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onotem2\Dropbox\Suivi Financier\"/>
    </mc:Choice>
  </mc:AlternateContent>
  <bookViews>
    <workbookView xWindow="120" yWindow="2145" windowWidth="15135" windowHeight="5940" firstSheet="11" activeTab="12"/>
  </bookViews>
  <sheets>
    <sheet name="Feuil10" sheetId="102" r:id="rId1"/>
    <sheet name="Feuil8" sheetId="100" r:id="rId2"/>
    <sheet name="Tableau de vérification TM TP" sheetId="94" state="hidden" r:id="rId3"/>
    <sheet name="Tableau de vérification 10" sheetId="103" r:id="rId4"/>
    <sheet name="Tableau de vérification 09" sheetId="95" r:id="rId5"/>
    <sheet name=" TRESORERIE ATTIJARI 2310" sheetId="111" r:id="rId6"/>
    <sheet name=" TRESORERIE ATTIJARI 2209 " sheetId="101" r:id="rId7"/>
    <sheet name=" TRESORERIE ATT PRO" sheetId="91" state="hidden" r:id="rId8"/>
    <sheet name=" TRESORERIE ATTIJARI 07012016" sheetId="117" r:id="rId9"/>
    <sheet name=" TRESORERIE AMB 25012016" sheetId="120" r:id="rId10"/>
    <sheet name="ATTIJARI JANV" sheetId="118" r:id="rId11"/>
    <sheet name=" TRESORERIE AMB 22042016" sheetId="125" r:id="rId12"/>
    <sheet name="SEPTEMBRE 2016" sheetId="136" r:id="rId13"/>
    <sheet name="AOUT 2016" sheetId="128" r:id="rId14"/>
    <sheet name="JUILLET 2016" sheetId="127" r:id="rId15"/>
    <sheet name="JUIN 2016" sheetId="126" r:id="rId16"/>
    <sheet name="MAI 2016" sheetId="124" r:id="rId17"/>
    <sheet name="AVRIL 2016 " sheetId="123" r:id="rId18"/>
    <sheet name="MARS 2016" sheetId="122" r:id="rId19"/>
    <sheet name="FEVRIER 2016" sheetId="119" r:id="rId20"/>
    <sheet name="JANVIER 2016" sheetId="115" r:id="rId21"/>
    <sheet name="DECEMBRE 2015 " sheetId="114" r:id="rId22"/>
    <sheet name="NOVEMBRE 2015" sheetId="110" r:id="rId23"/>
    <sheet name="OCTOBRE 2015" sheetId="93" r:id="rId24"/>
    <sheet name="SEPTEMBRE 2015" sheetId="90" r:id="rId25"/>
    <sheet name="Trésorerie AMB (2)" sheetId="54" r:id="rId26"/>
    <sheet name="Trésorerie AMB" sheetId="40" r:id="rId27"/>
    <sheet name="AOUT 2015" sheetId="88" r:id="rId28"/>
    <sheet name="JUILLET 2015" sheetId="84" r:id="rId29"/>
    <sheet name="JUIN 2015 " sheetId="81" r:id="rId30"/>
    <sheet name="Mai 2015" sheetId="71" r:id="rId31"/>
    <sheet name="Avril 2015" sheetId="68" r:id="rId32"/>
    <sheet name="Mars 2015" sheetId="66" r:id="rId33"/>
    <sheet name="FEVRIER 2015" sheetId="61" r:id="rId34"/>
    <sheet name="Trésorerie P" sheetId="8" r:id="rId35"/>
    <sheet name="EXPLOT.PREV" sheetId="9" r:id="rId36"/>
    <sheet name="Travaux 2015" sheetId="77" r:id="rId37"/>
    <sheet name="Exploitation prévisionnelles" sheetId="18" r:id="rId38"/>
    <sheet name="Plan tresorerie" sheetId="19" r:id="rId39"/>
    <sheet name="Engagements  B. 08012014" sheetId="27" r:id="rId40"/>
    <sheet name="SUIVI  IMPORT (3)" sheetId="41" r:id="rId41"/>
    <sheet name="Trésorerie ATTIJARI" sheetId="44" r:id="rId42"/>
    <sheet name="ENGAGEMENT PAR SIGNUATURE" sheetId="57" r:id="rId43"/>
    <sheet name="Trésorerie jawaher 04" sheetId="67" r:id="rId44"/>
    <sheet name="Trésorerie jawaher 05" sheetId="76" r:id="rId45"/>
    <sheet name="Trésorerie jawaher 06" sheetId="83" r:id="rId46"/>
    <sheet name="Trésorerie jawaher 07" sheetId="85" r:id="rId47"/>
    <sheet name="Trésorerie jawaher 08" sheetId="86" r:id="rId48"/>
    <sheet name="Trésorerie jawaher 09" sheetId="89" r:id="rId49"/>
    <sheet name="Trésorerie jawaher 10" sheetId="92" r:id="rId50"/>
    <sheet name="Trésorerie jawaher 11" sheetId="109" r:id="rId51"/>
    <sheet name="Trésorerie jawaher 12" sheetId="113" r:id="rId52"/>
    <sheet name="Exploitation P ATB" sheetId="112" r:id="rId53"/>
    <sheet name="Exploitation P ATTIJARI" sheetId="78" r:id="rId54"/>
    <sheet name="Engagements  B. 08012014 (2)" sheetId="131" r:id="rId55"/>
    <sheet name="Feuil1" sheetId="82" r:id="rId56"/>
    <sheet name="Feuil3" sheetId="130" r:id="rId57"/>
    <sheet name="Feuil2" sheetId="132" r:id="rId58"/>
    <sheet name="Feuil4" sheetId="133" r:id="rId59"/>
    <sheet name="Feuil5" sheetId="134" r:id="rId60"/>
    <sheet name="BESOIN TRESORERIE (2)" sheetId="137" r:id="rId61"/>
    <sheet name="BESOIN TRESORERIE 24-08-16" sheetId="135" r:id="rId62"/>
  </sheets>
  <definedNames>
    <definedName name="_xlnm._FilterDatabase" localSheetId="40" hidden="1">'SUIVI  IMPORT (3)'!#REF!</definedName>
    <definedName name="_xlnm.Print_Area" localSheetId="11">' TRESORERIE AMB 22042016'!$A$1:$H$63</definedName>
    <definedName name="_xlnm.Print_Area" localSheetId="9">' TRESORERIE AMB 25012016'!$A$1:$H$63</definedName>
    <definedName name="_xlnm.Print_Area" localSheetId="7">' TRESORERIE ATT PRO'!$A$89:$C$111</definedName>
    <definedName name="_xlnm.Print_Area" localSheetId="8">' TRESORERIE ATTIJARI 07012016'!$A$62:$F$113</definedName>
    <definedName name="_xlnm.Print_Area" localSheetId="6">' TRESORERIE ATTIJARI 2209 '!$A$109:$G$140</definedName>
    <definedName name="_xlnm.Print_Area" localSheetId="5">' TRESORERIE ATTIJARI 2310'!$A$12:$A$58</definedName>
    <definedName name="_xlnm.Print_Area" localSheetId="27">'AOUT 2015'!$A$83:$C$116</definedName>
    <definedName name="_xlnm.Print_Area" localSheetId="13">'AOUT 2016'!$C$44:$AG$78</definedName>
    <definedName name="_xlnm.Print_Area" localSheetId="10">'ATTIJARI JANV'!$C$44:$AG$78</definedName>
    <definedName name="_xlnm.Print_Area" localSheetId="31">'Avril 2015'!$A$83:$C$114</definedName>
    <definedName name="_xlnm.Print_Area" localSheetId="17">'AVRIL 2016 '!$C$44:$AG$78</definedName>
    <definedName name="_xlnm.Print_Area" localSheetId="60">'BESOIN TRESORERIE (2)'!$A$1:$I$68</definedName>
    <definedName name="_xlnm.Print_Area" localSheetId="61">'BESOIN TRESORERIE 24-08-16'!$A$1:$I$66</definedName>
    <definedName name="_xlnm.Print_Area" localSheetId="21">'DECEMBRE 2015 '!$A$405:$C$411</definedName>
    <definedName name="_xlnm.Print_Area" localSheetId="42">'ENGAGEMENT PAR SIGNUATURE'!$A$1:$U$36</definedName>
    <definedName name="_xlnm.Print_Area" localSheetId="39">'Engagements  B. 08012014'!$A$165:$AQ$219</definedName>
    <definedName name="_xlnm.Print_Area" localSheetId="54">'Engagements  B. 08012014 (2)'!$A$165:$AP$219</definedName>
    <definedName name="_xlnm.Print_Area" localSheetId="52">'Exploitation P ATB'!$A$6:$K$76</definedName>
    <definedName name="_xlnm.Print_Area" localSheetId="53">'Exploitation P ATTIJARI'!$A$6:$I$76</definedName>
    <definedName name="_xlnm.Print_Area" localSheetId="37">'Exploitation prévisionnelles'!$A$148:$E$222</definedName>
    <definedName name="_xlnm.Print_Area" localSheetId="35">EXPLOT.PREV!$A$391:$G$464</definedName>
    <definedName name="_xlnm.Print_Area" localSheetId="57">Feuil2!$B$1:$E$28</definedName>
    <definedName name="_xlnm.Print_Area" localSheetId="56">Feuil3!$A$1:$F$53</definedName>
    <definedName name="_xlnm.Print_Area" localSheetId="58">Feuil4!$A$1:$G$22</definedName>
    <definedName name="_xlnm.Print_Area" localSheetId="33">'FEVRIER 2015'!$A$83:$C$116</definedName>
    <definedName name="_xlnm.Print_Area" localSheetId="19">'FEVRIER 2016'!$C$44:$AG$78</definedName>
    <definedName name="_xlnm.Print_Area" localSheetId="20">'JANVIER 2016'!$C$44:$AG$78</definedName>
    <definedName name="_xlnm.Print_Area" localSheetId="28">'JUILLET 2015'!$A$83:$C$116</definedName>
    <definedName name="_xlnm.Print_Area" localSheetId="14">'JUILLET 2016'!$C$44:$AG$78</definedName>
    <definedName name="_xlnm.Print_Area" localSheetId="29">'JUIN 2015 '!$A$83:$C$116</definedName>
    <definedName name="_xlnm.Print_Area" localSheetId="15">'JUIN 2016'!$C$44:$AG$78</definedName>
    <definedName name="_xlnm.Print_Area" localSheetId="30">'Mai 2015'!$A$83:$C$116</definedName>
    <definedName name="_xlnm.Print_Area" localSheetId="16">'MAI 2016'!$C$44:$AG$78</definedName>
    <definedName name="_xlnm.Print_Area" localSheetId="32">'Mars 2015'!$A$83:$C$116</definedName>
    <definedName name="_xlnm.Print_Area" localSheetId="18">'MARS 2016'!$C$44:$AG$78</definedName>
    <definedName name="_xlnm.Print_Area" localSheetId="22">'NOVEMBRE 2015'!$A$43:$D$87</definedName>
    <definedName name="_xlnm.Print_Area" localSheetId="23">'OCTOBRE 2015'!$A$43:$D$87</definedName>
    <definedName name="_xlnm.Print_Area" localSheetId="38">'Plan tresorerie'!$A$1:$P$62</definedName>
    <definedName name="_xlnm.Print_Area" localSheetId="24">'SEPTEMBRE 2015'!$A$83:$C$115</definedName>
    <definedName name="_xlnm.Print_Area" localSheetId="12">'SEPTEMBRE 2016'!$C$44:$AG$78</definedName>
    <definedName name="_xlnm.Print_Area" localSheetId="40">'SUIVI  IMPORT (3)'!$A$1115:$U$1124</definedName>
    <definedName name="_xlnm.Print_Area" localSheetId="4">'Tableau de vérification 09'!$A$74:$C$96</definedName>
    <definedName name="_xlnm.Print_Area" localSheetId="3">'Tableau de vérification 10'!$A$74:$C$96</definedName>
    <definedName name="_xlnm.Print_Area" localSheetId="2">'Tableau de vérification TM TP'!$A$73:$C$95</definedName>
    <definedName name="_xlnm.Print_Area" localSheetId="36">'Travaux 2015'!$A$1:$D$54</definedName>
    <definedName name="_xlnm.Print_Area" localSheetId="26">'Trésorerie AMB'!$A$3:$H$58</definedName>
    <definedName name="_xlnm.Print_Area" localSheetId="25">'Trésorerie AMB (2)'!$A$3:$H$58</definedName>
    <definedName name="_xlnm.Print_Area" localSheetId="41">'Trésorerie ATTIJARI'!$A$3:$N$58</definedName>
    <definedName name="_xlnm.Print_Area" localSheetId="43">'Trésorerie jawaher 04'!$A$1:$X$83</definedName>
    <definedName name="_xlnm.Print_Area" localSheetId="44">'Trésorerie jawaher 05'!$A$1:$X$83</definedName>
    <definedName name="_xlnm.Print_Area" localSheetId="45">'Trésorerie jawaher 06'!$A$1:$X$84</definedName>
    <definedName name="_xlnm.Print_Area" localSheetId="46">'Trésorerie jawaher 07'!$A$1:$X$92</definedName>
    <definedName name="_xlnm.Print_Area" localSheetId="47">'Trésorerie jawaher 08'!$A$1:$X$89</definedName>
    <definedName name="_xlnm.Print_Area" localSheetId="48">'Trésorerie jawaher 09'!$A$1:$X$87</definedName>
    <definedName name="_xlnm.Print_Area" localSheetId="49">'Trésorerie jawaher 10'!$A$1:$X$84</definedName>
    <definedName name="_xlnm.Print_Area" localSheetId="50">'Trésorerie jawaher 11'!$A$1:$X$84</definedName>
    <definedName name="_xlnm.Print_Area" localSheetId="51">'Trésorerie jawaher 12'!$A$1:$X$54</definedName>
    <definedName name="_xlnm.Print_Area" localSheetId="34">'Trésorerie P'!$A$3:$H$58</definedName>
  </definedNames>
  <calcPr calcId="152511"/>
</workbook>
</file>

<file path=xl/calcChain.xml><?xml version="1.0" encoding="utf-8"?>
<calcChain xmlns="http://schemas.openxmlformats.org/spreadsheetml/2006/main">
  <c r="G1220" i="41" l="1"/>
  <c r="F225" i="136"/>
  <c r="AG44" i="128"/>
  <c r="G45" i="136" l="1"/>
  <c r="D44" i="136"/>
  <c r="D315" i="128"/>
  <c r="G45" i="128"/>
  <c r="D45" i="136"/>
  <c r="W45" i="128"/>
  <c r="C90" i="128"/>
  <c r="C114" i="128"/>
  <c r="G1219" i="41" l="1"/>
  <c r="C52" i="136"/>
  <c r="C46" i="136"/>
  <c r="K100" i="136"/>
  <c r="K99" i="136"/>
  <c r="AE188" i="128" l="1"/>
  <c r="AF365" i="136" l="1"/>
  <c r="AF363" i="136" s="1"/>
  <c r="AD365" i="136"/>
  <c r="AD363" i="136" s="1"/>
  <c r="B392" i="136"/>
  <c r="O390" i="136"/>
  <c r="O382" i="136" s="1"/>
  <c r="AH389" i="136"/>
  <c r="AG383" i="136"/>
  <c r="AF383" i="136"/>
  <c r="AE383" i="136"/>
  <c r="AD383" i="136"/>
  <c r="AC383" i="136"/>
  <c r="AB383" i="136"/>
  <c r="AA383" i="136"/>
  <c r="Z383" i="136"/>
  <c r="Y383" i="136"/>
  <c r="X383" i="136"/>
  <c r="W383" i="136"/>
  <c r="V383" i="136"/>
  <c r="U383" i="136"/>
  <c r="T383" i="136"/>
  <c r="S383" i="136"/>
  <c r="R383" i="136"/>
  <c r="Q383" i="136"/>
  <c r="P383" i="136"/>
  <c r="O383" i="136"/>
  <c r="N383" i="136"/>
  <c r="M383" i="136"/>
  <c r="L383" i="136"/>
  <c r="K383" i="136"/>
  <c r="J383" i="136"/>
  <c r="I383" i="136"/>
  <c r="H383" i="136"/>
  <c r="G383" i="136"/>
  <c r="F383" i="136"/>
  <c r="E383" i="136"/>
  <c r="D383" i="136"/>
  <c r="C383" i="136"/>
  <c r="AG382" i="136"/>
  <c r="AF382" i="136"/>
  <c r="AE382" i="136"/>
  <c r="AD382" i="136"/>
  <c r="AC382" i="136"/>
  <c r="AB382" i="136"/>
  <c r="AA382" i="136"/>
  <c r="Z382" i="136"/>
  <c r="Y382" i="136"/>
  <c r="X382" i="136"/>
  <c r="W382" i="136"/>
  <c r="V382" i="136"/>
  <c r="U382" i="136"/>
  <c r="T382" i="136"/>
  <c r="S382" i="136"/>
  <c r="R382" i="136"/>
  <c r="Q382" i="136"/>
  <c r="P382" i="136"/>
  <c r="N382" i="136"/>
  <c r="M382" i="136"/>
  <c r="L382" i="136"/>
  <c r="K382" i="136"/>
  <c r="J382" i="136"/>
  <c r="I382" i="136"/>
  <c r="H382" i="136"/>
  <c r="G382" i="136"/>
  <c r="F382" i="136"/>
  <c r="E382" i="136"/>
  <c r="D382" i="136"/>
  <c r="C382" i="136"/>
  <c r="AH373" i="136"/>
  <c r="AG371" i="136"/>
  <c r="AG376" i="136" s="1"/>
  <c r="AF371" i="136"/>
  <c r="AE371" i="136"/>
  <c r="AD371" i="136"/>
  <c r="AC371" i="136"/>
  <c r="AC376" i="136" s="1"/>
  <c r="AB371" i="136"/>
  <c r="AB376" i="136" s="1"/>
  <c r="AA371" i="136"/>
  <c r="Z371" i="136"/>
  <c r="Y371" i="136"/>
  <c r="X371" i="136"/>
  <c r="W371" i="136"/>
  <c r="V371" i="136"/>
  <c r="U371" i="136"/>
  <c r="U376" i="136" s="1"/>
  <c r="T371" i="136"/>
  <c r="T376" i="136" s="1"/>
  <c r="S371" i="136"/>
  <c r="R371" i="136"/>
  <c r="R376" i="136" s="1"/>
  <c r="Q371" i="136"/>
  <c r="Q376" i="136" s="1"/>
  <c r="P371" i="136"/>
  <c r="P376" i="136" s="1"/>
  <c r="O371" i="136"/>
  <c r="N371" i="136"/>
  <c r="N376" i="136" s="1"/>
  <c r="M371" i="136"/>
  <c r="M376" i="136" s="1"/>
  <c r="L371" i="136"/>
  <c r="L376" i="136" s="1"/>
  <c r="K371" i="136"/>
  <c r="J371" i="136"/>
  <c r="J376" i="136" s="1"/>
  <c r="I371" i="136"/>
  <c r="H371" i="136"/>
  <c r="H376" i="136" s="1"/>
  <c r="G371" i="136"/>
  <c r="F371" i="136"/>
  <c r="F376" i="136" s="1"/>
  <c r="E371" i="136"/>
  <c r="E376" i="136" s="1"/>
  <c r="D371" i="136"/>
  <c r="C371" i="136"/>
  <c r="AH367" i="136"/>
  <c r="AH366" i="136"/>
  <c r="AH364" i="136"/>
  <c r="AG363" i="136"/>
  <c r="AE363" i="136"/>
  <c r="AC363" i="136"/>
  <c r="AB363" i="136"/>
  <c r="AA363" i="136"/>
  <c r="Z363" i="136"/>
  <c r="Y363" i="136"/>
  <c r="X363" i="136"/>
  <c r="W363" i="136"/>
  <c r="V363" i="136"/>
  <c r="U363" i="136"/>
  <c r="T363" i="136"/>
  <c r="S363" i="136"/>
  <c r="R363" i="136"/>
  <c r="Q363" i="136"/>
  <c r="P363" i="136"/>
  <c r="O363" i="136"/>
  <c r="N363" i="136"/>
  <c r="M363" i="136"/>
  <c r="L363" i="136"/>
  <c r="K363" i="136"/>
  <c r="J363" i="136"/>
  <c r="I363" i="136"/>
  <c r="H363" i="136"/>
  <c r="G363" i="136"/>
  <c r="F363" i="136"/>
  <c r="E363" i="136"/>
  <c r="D363" i="136"/>
  <c r="C363" i="136"/>
  <c r="B350" i="136"/>
  <c r="B349" i="136"/>
  <c r="B348" i="136"/>
  <c r="B345" i="136"/>
  <c r="B354" i="136" s="1"/>
  <c r="B360" i="136" s="1"/>
  <c r="AA46" i="136"/>
  <c r="AF44" i="136"/>
  <c r="AF46" i="136"/>
  <c r="AH51" i="136"/>
  <c r="V44" i="136"/>
  <c r="Z376" i="136" l="1"/>
  <c r="AH365" i="136"/>
  <c r="C376" i="136"/>
  <c r="C379" i="136" s="1"/>
  <c r="C386" i="136" s="1"/>
  <c r="K376" i="136"/>
  <c r="S376" i="136"/>
  <c r="W376" i="136"/>
  <c r="AD376" i="136"/>
  <c r="Y376" i="136"/>
  <c r="AF376" i="136"/>
  <c r="AA376" i="136"/>
  <c r="X376" i="136"/>
  <c r="AE376" i="136"/>
  <c r="V376" i="136"/>
  <c r="O376" i="136"/>
  <c r="I376" i="136"/>
  <c r="G376" i="136"/>
  <c r="D376" i="136"/>
  <c r="AH363" i="136"/>
  <c r="D45" i="128"/>
  <c r="AF45" i="128"/>
  <c r="AF44" i="128"/>
  <c r="AE44" i="128"/>
  <c r="AG45" i="128"/>
  <c r="C92" i="128"/>
  <c r="C120" i="128"/>
  <c r="D379" i="136" l="1"/>
  <c r="D386" i="136" s="1"/>
  <c r="E379" i="136" s="1"/>
  <c r="E386" i="136" s="1"/>
  <c r="F379" i="136" s="1"/>
  <c r="F386" i="136" s="1"/>
  <c r="G379" i="136"/>
  <c r="G386" i="136" s="1"/>
  <c r="H379" i="136" s="1"/>
  <c r="H386" i="136" s="1"/>
  <c r="I379" i="136" s="1"/>
  <c r="I386" i="136" s="1"/>
  <c r="J379" i="136" s="1"/>
  <c r="J386" i="136" s="1"/>
  <c r="K379" i="136" s="1"/>
  <c r="K386" i="136" s="1"/>
  <c r="L379" i="136" s="1"/>
  <c r="L386" i="136" s="1"/>
  <c r="M379" i="136" s="1"/>
  <c r="M386" i="136" s="1"/>
  <c r="N379" i="136" s="1"/>
  <c r="N386" i="136" s="1"/>
  <c r="O379" i="136" s="1"/>
  <c r="O386" i="136" s="1"/>
  <c r="P379" i="136" s="1"/>
  <c r="P386" i="136" s="1"/>
  <c r="Q379" i="136" s="1"/>
  <c r="Q386" i="136" s="1"/>
  <c r="R379" i="136" s="1"/>
  <c r="R386" i="136" s="1"/>
  <c r="S379" i="136" s="1"/>
  <c r="S386" i="136" s="1"/>
  <c r="T379" i="136" s="1"/>
  <c r="T386" i="136" s="1"/>
  <c r="U379" i="136" s="1"/>
  <c r="U386" i="136" s="1"/>
  <c r="V379" i="136" s="1"/>
  <c r="V386" i="136" s="1"/>
  <c r="W379" i="136" s="1"/>
  <c r="W386" i="136" s="1"/>
  <c r="X379" i="136" s="1"/>
  <c r="X386" i="136" s="1"/>
  <c r="Y379" i="136" s="1"/>
  <c r="Y386" i="136" s="1"/>
  <c r="Z379" i="136" s="1"/>
  <c r="Z386" i="136" s="1"/>
  <c r="AA379" i="136" s="1"/>
  <c r="AA386" i="136" s="1"/>
  <c r="AB379" i="136" s="1"/>
  <c r="AB386" i="136" s="1"/>
  <c r="AC379" i="136" s="1"/>
  <c r="AC386" i="136" s="1"/>
  <c r="AD379" i="136" s="1"/>
  <c r="AD386" i="136" s="1"/>
  <c r="AE379" i="136" s="1"/>
  <c r="AE386" i="136" s="1"/>
  <c r="AF379" i="136" s="1"/>
  <c r="AF386" i="136" s="1"/>
  <c r="AG379" i="136" s="1"/>
  <c r="AG386" i="136" s="1"/>
  <c r="R32" i="57"/>
  <c r="AN62" i="27"/>
  <c r="U45" i="128"/>
  <c r="AB45" i="128"/>
  <c r="AC45" i="128"/>
  <c r="C111" i="128" l="1"/>
  <c r="C112" i="128"/>
  <c r="C110" i="128"/>
  <c r="AE45" i="128" l="1"/>
  <c r="AD45" i="128"/>
  <c r="AA44" i="128"/>
  <c r="AB44" i="128"/>
  <c r="X45" i="128"/>
  <c r="L45" i="127"/>
  <c r="N45" i="128" l="1"/>
  <c r="L44" i="128" l="1"/>
  <c r="AA45" i="128"/>
  <c r="Z44" i="128"/>
  <c r="AD188" i="128"/>
  <c r="Z45" i="128"/>
  <c r="V45" i="128"/>
  <c r="C109" i="128" l="1"/>
  <c r="D55" i="137" l="1"/>
  <c r="E49" i="137"/>
  <c r="E33" i="137"/>
  <c r="E22" i="137"/>
  <c r="E13" i="137"/>
  <c r="AE251" i="128"/>
  <c r="Y45" i="128"/>
  <c r="V44" i="128"/>
  <c r="AM62" i="27" l="1"/>
  <c r="Q32" i="57" s="1"/>
  <c r="V47" i="128"/>
  <c r="F315" i="128" l="1"/>
  <c r="H75" i="136"/>
  <c r="H67" i="136" s="1"/>
  <c r="I75" i="136"/>
  <c r="I67" i="136" s="1"/>
  <c r="J75" i="136"/>
  <c r="J67" i="136" s="1"/>
  <c r="K75" i="136"/>
  <c r="L75" i="136"/>
  <c r="L67" i="136" s="1"/>
  <c r="M75" i="136"/>
  <c r="M67" i="136" s="1"/>
  <c r="N75" i="136"/>
  <c r="N67" i="136" s="1"/>
  <c r="O75" i="136"/>
  <c r="P75" i="136"/>
  <c r="P67" i="136" s="1"/>
  <c r="Q75" i="136"/>
  <c r="Q67" i="136" s="1"/>
  <c r="R75" i="136"/>
  <c r="R67" i="136" s="1"/>
  <c r="S75" i="136"/>
  <c r="T75" i="136"/>
  <c r="T67" i="136" s="1"/>
  <c r="U75" i="136"/>
  <c r="V75" i="136"/>
  <c r="V67" i="136" s="1"/>
  <c r="W75" i="136"/>
  <c r="X75" i="136"/>
  <c r="X67" i="136" s="1"/>
  <c r="Y75" i="136"/>
  <c r="Y67" i="136" s="1"/>
  <c r="Z75" i="136"/>
  <c r="AA75" i="136"/>
  <c r="AB75" i="136"/>
  <c r="AC75" i="136"/>
  <c r="AC67" i="136" s="1"/>
  <c r="AD75" i="136"/>
  <c r="AD67" i="136" s="1"/>
  <c r="AE75" i="136"/>
  <c r="AF75" i="136"/>
  <c r="AF67" i="136" s="1"/>
  <c r="AG75" i="136"/>
  <c r="AG67" i="136" s="1"/>
  <c r="G75" i="136"/>
  <c r="H74" i="136"/>
  <c r="I74" i="136"/>
  <c r="I66" i="136" s="1"/>
  <c r="J74" i="136"/>
  <c r="K74" i="136"/>
  <c r="L74" i="136"/>
  <c r="M74" i="136"/>
  <c r="M66" i="136" s="1"/>
  <c r="N74" i="136"/>
  <c r="O74" i="136"/>
  <c r="O66" i="136" s="1"/>
  <c r="P74" i="136"/>
  <c r="Q74" i="136"/>
  <c r="Q66" i="136" s="1"/>
  <c r="R74" i="136"/>
  <c r="S74" i="136"/>
  <c r="T74" i="136"/>
  <c r="U74" i="136"/>
  <c r="U66" i="136" s="1"/>
  <c r="V74" i="136"/>
  <c r="V66" i="136" s="1"/>
  <c r="W74" i="136"/>
  <c r="X74" i="136"/>
  <c r="Y74" i="136"/>
  <c r="Y66" i="136" s="1"/>
  <c r="Z74" i="136"/>
  <c r="AA74" i="136"/>
  <c r="AB74" i="136"/>
  <c r="AC74" i="136"/>
  <c r="AC66" i="136" s="1"/>
  <c r="AD74" i="136"/>
  <c r="AD66" i="136" s="1"/>
  <c r="AE74" i="136"/>
  <c r="AE66" i="136" s="1"/>
  <c r="AF74" i="136"/>
  <c r="AG74" i="136"/>
  <c r="AG66" i="136" s="1"/>
  <c r="G74" i="136"/>
  <c r="B317" i="136"/>
  <c r="O315" i="136"/>
  <c r="D307" i="136"/>
  <c r="AH314" i="136"/>
  <c r="AG308" i="136"/>
  <c r="AF308" i="136"/>
  <c r="AE308" i="136"/>
  <c r="AD308" i="136"/>
  <c r="AC308" i="136"/>
  <c r="AB308" i="136"/>
  <c r="AA308" i="136"/>
  <c r="Z308" i="136"/>
  <c r="Y308" i="136"/>
  <c r="X308" i="136"/>
  <c r="W308" i="136"/>
  <c r="V308" i="136"/>
  <c r="U308" i="136"/>
  <c r="T308" i="136"/>
  <c r="S308" i="136"/>
  <c r="R308" i="136"/>
  <c r="Q308" i="136"/>
  <c r="P308" i="136"/>
  <c r="O308" i="136"/>
  <c r="N308" i="136"/>
  <c r="M308" i="136"/>
  <c r="L308" i="136"/>
  <c r="K308" i="136"/>
  <c r="J308" i="136"/>
  <c r="I308" i="136"/>
  <c r="H308" i="136"/>
  <c r="G308" i="136"/>
  <c r="F308" i="136"/>
  <c r="E308" i="136"/>
  <c r="D308" i="136"/>
  <c r="C308" i="136"/>
  <c r="AG307" i="136"/>
  <c r="AF307" i="136"/>
  <c r="AE307" i="136"/>
  <c r="AD307" i="136"/>
  <c r="AC307" i="136"/>
  <c r="AB307" i="136"/>
  <c r="AA307" i="136"/>
  <c r="Z307" i="136"/>
  <c r="Y307" i="136"/>
  <c r="X307" i="136"/>
  <c r="W307" i="136"/>
  <c r="V307" i="136"/>
  <c r="U307" i="136"/>
  <c r="T307" i="136"/>
  <c r="S307" i="136"/>
  <c r="R307" i="136"/>
  <c r="Q307" i="136"/>
  <c r="P307" i="136"/>
  <c r="O307" i="136"/>
  <c r="N307" i="136"/>
  <c r="M307" i="136"/>
  <c r="L307" i="136"/>
  <c r="K307" i="136"/>
  <c r="J307" i="136"/>
  <c r="I307" i="136"/>
  <c r="H307" i="136"/>
  <c r="G307" i="136"/>
  <c r="F307" i="136"/>
  <c r="E307" i="136"/>
  <c r="C307" i="136"/>
  <c r="AH298" i="136"/>
  <c r="AG296" i="136"/>
  <c r="AF296" i="136"/>
  <c r="AE296" i="136"/>
  <c r="AD296" i="136"/>
  <c r="AC296" i="136"/>
  <c r="AB296" i="136"/>
  <c r="AA296" i="136"/>
  <c r="Z296" i="136"/>
  <c r="Y296" i="136"/>
  <c r="X296" i="136"/>
  <c r="W296" i="136"/>
  <c r="V296" i="136"/>
  <c r="U296" i="136"/>
  <c r="T296" i="136"/>
  <c r="S296" i="136"/>
  <c r="R296" i="136"/>
  <c r="Q296" i="136"/>
  <c r="P296" i="136"/>
  <c r="O296" i="136"/>
  <c r="N296" i="136"/>
  <c r="M296" i="136"/>
  <c r="L296" i="136"/>
  <c r="K296" i="136"/>
  <c r="J296" i="136"/>
  <c r="I296" i="136"/>
  <c r="H296" i="136"/>
  <c r="G296" i="136"/>
  <c r="F296" i="136"/>
  <c r="E296" i="136"/>
  <c r="D296" i="136"/>
  <c r="C296" i="136"/>
  <c r="V288" i="136"/>
  <c r="AH292" i="136"/>
  <c r="AH291" i="136"/>
  <c r="AH290" i="136"/>
  <c r="AH289" i="136"/>
  <c r="AG288" i="136"/>
  <c r="AF288" i="136"/>
  <c r="AE288" i="136"/>
  <c r="AD288" i="136"/>
  <c r="AC288" i="136"/>
  <c r="AB288" i="136"/>
  <c r="AA288" i="136"/>
  <c r="Z288" i="136"/>
  <c r="Y288" i="136"/>
  <c r="X288" i="136"/>
  <c r="W288" i="136"/>
  <c r="U288" i="136"/>
  <c r="T288" i="136"/>
  <c r="S288" i="136"/>
  <c r="R288" i="136"/>
  <c r="Q288" i="136"/>
  <c r="P288" i="136"/>
  <c r="O288" i="136"/>
  <c r="N288" i="136"/>
  <c r="M288" i="136"/>
  <c r="L288" i="136"/>
  <c r="K288" i="136"/>
  <c r="J288" i="136"/>
  <c r="I288" i="136"/>
  <c r="G288" i="136"/>
  <c r="F288" i="136"/>
  <c r="E288" i="136"/>
  <c r="D288" i="136"/>
  <c r="C288" i="136"/>
  <c r="B275" i="136"/>
  <c r="B274" i="136"/>
  <c r="B253" i="136"/>
  <c r="AH252" i="136"/>
  <c r="AH250" i="136"/>
  <c r="AG244" i="136"/>
  <c r="AF244" i="136"/>
  <c r="AE244" i="136"/>
  <c r="AD244" i="136"/>
  <c r="AC244" i="136"/>
  <c r="AB244" i="136"/>
  <c r="AA244" i="136"/>
  <c r="Z244" i="136"/>
  <c r="Y244" i="136"/>
  <c r="X244" i="136"/>
  <c r="W244" i="136"/>
  <c r="V244" i="136"/>
  <c r="U244" i="136"/>
  <c r="T244" i="136"/>
  <c r="S244" i="136"/>
  <c r="R244" i="136"/>
  <c r="Q244" i="136"/>
  <c r="P244" i="136"/>
  <c r="O244" i="136"/>
  <c r="N244" i="136"/>
  <c r="M244" i="136"/>
  <c r="L244" i="136"/>
  <c r="K244" i="136"/>
  <c r="J244" i="136"/>
  <c r="I244" i="136"/>
  <c r="H244" i="136"/>
  <c r="G244" i="136"/>
  <c r="F244" i="136"/>
  <c r="E244" i="136"/>
  <c r="D244" i="136"/>
  <c r="C244" i="136"/>
  <c r="AG243" i="136"/>
  <c r="AF243" i="136"/>
  <c r="AE243" i="136"/>
  <c r="AD243" i="136"/>
  <c r="AC243" i="136"/>
  <c r="AB243" i="136"/>
  <c r="AA243" i="136"/>
  <c r="Z243" i="136"/>
  <c r="Y243" i="136"/>
  <c r="X243" i="136"/>
  <c r="W243" i="136"/>
  <c r="V243" i="136"/>
  <c r="U243" i="136"/>
  <c r="T243" i="136"/>
  <c r="S243" i="136"/>
  <c r="R243" i="136"/>
  <c r="Q243" i="136"/>
  <c r="P243" i="136"/>
  <c r="O243" i="136"/>
  <c r="N243" i="136"/>
  <c r="M243" i="136"/>
  <c r="L243" i="136"/>
  <c r="K243" i="136"/>
  <c r="J243" i="136"/>
  <c r="I243" i="136"/>
  <c r="H243" i="136"/>
  <c r="G243" i="136"/>
  <c r="F243" i="136"/>
  <c r="E243" i="136"/>
  <c r="D243" i="136"/>
  <c r="C243" i="136"/>
  <c r="AH234" i="136"/>
  <c r="AG232" i="136"/>
  <c r="AF232" i="136"/>
  <c r="AE232" i="136"/>
  <c r="AD232" i="136"/>
  <c r="AC232" i="136"/>
  <c r="AB232" i="136"/>
  <c r="AA232" i="136"/>
  <c r="Z232" i="136"/>
  <c r="Y232" i="136"/>
  <c r="X232" i="136"/>
  <c r="W232" i="136"/>
  <c r="V232" i="136"/>
  <c r="U232" i="136"/>
  <c r="T232" i="136"/>
  <c r="S232" i="136"/>
  <c r="R232" i="136"/>
  <c r="Q232" i="136"/>
  <c r="P232" i="136"/>
  <c r="O232" i="136"/>
  <c r="N232" i="136"/>
  <c r="M232" i="136"/>
  <c r="L232" i="136"/>
  <c r="K232" i="136"/>
  <c r="J232" i="136"/>
  <c r="I232" i="136"/>
  <c r="H232" i="136"/>
  <c r="G232" i="136"/>
  <c r="F232" i="136"/>
  <c r="E232" i="136"/>
  <c r="D232" i="136"/>
  <c r="C232" i="136"/>
  <c r="AH228" i="136"/>
  <c r="AH227" i="136"/>
  <c r="AH226" i="136"/>
  <c r="AH225" i="136"/>
  <c r="AG224" i="136"/>
  <c r="AF224" i="136"/>
  <c r="AE224" i="136"/>
  <c r="AD224" i="136"/>
  <c r="AC224" i="136"/>
  <c r="AB224" i="136"/>
  <c r="AA224" i="136"/>
  <c r="Z224" i="136"/>
  <c r="Y224" i="136"/>
  <c r="X224" i="136"/>
  <c r="W224" i="136"/>
  <c r="V224" i="136"/>
  <c r="U224" i="136"/>
  <c r="T224" i="136"/>
  <c r="S224" i="136"/>
  <c r="R224" i="136"/>
  <c r="Q224" i="136"/>
  <c r="P224" i="136"/>
  <c r="O224" i="136"/>
  <c r="N224" i="136"/>
  <c r="M224" i="136"/>
  <c r="L224" i="136"/>
  <c r="K224" i="136"/>
  <c r="J224" i="136"/>
  <c r="I224" i="136"/>
  <c r="H224" i="136"/>
  <c r="G224" i="136"/>
  <c r="F224" i="136"/>
  <c r="E224" i="136"/>
  <c r="D224" i="136"/>
  <c r="C224" i="136"/>
  <c r="B211" i="136"/>
  <c r="B210" i="136"/>
  <c r="B209" i="136" s="1"/>
  <c r="B190" i="136"/>
  <c r="M180" i="136"/>
  <c r="AG181" i="136"/>
  <c r="AF181" i="136"/>
  <c r="AE181" i="136"/>
  <c r="AD181" i="136"/>
  <c r="AC181" i="136"/>
  <c r="AB181" i="136"/>
  <c r="AA181" i="136"/>
  <c r="Z181" i="136"/>
  <c r="Y181" i="136"/>
  <c r="X181" i="136"/>
  <c r="W181" i="136"/>
  <c r="V181" i="136"/>
  <c r="U181" i="136"/>
  <c r="T181" i="136"/>
  <c r="S181" i="136"/>
  <c r="R181" i="136"/>
  <c r="Q181" i="136"/>
  <c r="P181" i="136"/>
  <c r="O181" i="136"/>
  <c r="N181" i="136"/>
  <c r="M181" i="136"/>
  <c r="L181" i="136"/>
  <c r="K181" i="136"/>
  <c r="J181" i="136"/>
  <c r="I181" i="136"/>
  <c r="H181" i="136"/>
  <c r="G181" i="136"/>
  <c r="F181" i="136"/>
  <c r="E181" i="136"/>
  <c r="D181" i="136"/>
  <c r="C181" i="136"/>
  <c r="AG180" i="136"/>
  <c r="AF180" i="136"/>
  <c r="AE180" i="136"/>
  <c r="AD180" i="136"/>
  <c r="AC180" i="136"/>
  <c r="AB180" i="136"/>
  <c r="AA180" i="136"/>
  <c r="Z180" i="136"/>
  <c r="Y180" i="136"/>
  <c r="X180" i="136"/>
  <c r="W180" i="136"/>
  <c r="V180" i="136"/>
  <c r="U180" i="136"/>
  <c r="T180" i="136"/>
  <c r="S180" i="136"/>
  <c r="R180" i="136"/>
  <c r="Q180" i="136"/>
  <c r="P180" i="136"/>
  <c r="O180" i="136"/>
  <c r="N180" i="136"/>
  <c r="L180" i="136"/>
  <c r="K180" i="136"/>
  <c r="J180" i="136"/>
  <c r="I180" i="136"/>
  <c r="H180" i="136"/>
  <c r="G180" i="136"/>
  <c r="F180" i="136"/>
  <c r="E180" i="136"/>
  <c r="D180" i="136"/>
  <c r="C180" i="136"/>
  <c r="AD174" i="136"/>
  <c r="AG169" i="136"/>
  <c r="AF169" i="136"/>
  <c r="AE169" i="136"/>
  <c r="AD169" i="136"/>
  <c r="AC169" i="136"/>
  <c r="AB169" i="136"/>
  <c r="AA169" i="136"/>
  <c r="Z169" i="136"/>
  <c r="Y169" i="136"/>
  <c r="X169" i="136"/>
  <c r="W169" i="136"/>
  <c r="V169" i="136"/>
  <c r="U169" i="136"/>
  <c r="T169" i="136"/>
  <c r="S169" i="136"/>
  <c r="R169" i="136"/>
  <c r="R174" i="136" s="1"/>
  <c r="Q169" i="136"/>
  <c r="P169" i="136"/>
  <c r="O169" i="136"/>
  <c r="N169" i="136"/>
  <c r="N174" i="136" s="1"/>
  <c r="M169" i="136"/>
  <c r="L169" i="136"/>
  <c r="K169" i="136"/>
  <c r="J169" i="136"/>
  <c r="I169" i="136"/>
  <c r="H169" i="136"/>
  <c r="G169" i="136"/>
  <c r="F169" i="136"/>
  <c r="E169" i="136"/>
  <c r="D169" i="136"/>
  <c r="C169" i="136"/>
  <c r="AH167" i="136"/>
  <c r="AH166" i="136"/>
  <c r="AH165" i="136"/>
  <c r="AH164" i="136"/>
  <c r="AH163" i="136"/>
  <c r="AH162" i="136"/>
  <c r="AH161" i="136"/>
  <c r="AH160" i="136"/>
  <c r="AG159" i="136"/>
  <c r="AF159" i="136"/>
  <c r="AE159" i="136"/>
  <c r="AD159" i="136"/>
  <c r="AC159" i="136"/>
  <c r="AB159" i="136"/>
  <c r="AA159" i="136"/>
  <c r="Z159" i="136"/>
  <c r="Y159" i="136"/>
  <c r="X159" i="136"/>
  <c r="W159" i="136"/>
  <c r="V159" i="136"/>
  <c r="U159" i="136"/>
  <c r="T159" i="136"/>
  <c r="S159" i="136"/>
  <c r="R159" i="136"/>
  <c r="Q159" i="136"/>
  <c r="P159" i="136"/>
  <c r="O159" i="136"/>
  <c r="N159" i="136"/>
  <c r="M159" i="136"/>
  <c r="L159" i="136"/>
  <c r="K159" i="136"/>
  <c r="J159" i="136"/>
  <c r="I159" i="136"/>
  <c r="H159" i="136"/>
  <c r="G159" i="136"/>
  <c r="F159" i="136"/>
  <c r="E159" i="136"/>
  <c r="D159" i="136"/>
  <c r="C159" i="136"/>
  <c r="B146" i="136"/>
  <c r="B145" i="136"/>
  <c r="B144" i="136" s="1"/>
  <c r="AP93" i="136"/>
  <c r="AN93" i="136"/>
  <c r="AN111" i="136" s="1"/>
  <c r="C82" i="136"/>
  <c r="B29" i="136" s="1"/>
  <c r="B28" i="136" s="1"/>
  <c r="AH79" i="136"/>
  <c r="AH78" i="136"/>
  <c r="AH77" i="136"/>
  <c r="U67" i="136"/>
  <c r="AF66" i="136"/>
  <c r="AB66" i="136"/>
  <c r="X66" i="136"/>
  <c r="W66" i="136"/>
  <c r="T66" i="136"/>
  <c r="AE67" i="136"/>
  <c r="AB67" i="136"/>
  <c r="AA67" i="136"/>
  <c r="Z67" i="136"/>
  <c r="W67" i="136"/>
  <c r="S67" i="136"/>
  <c r="O67" i="136"/>
  <c r="K67" i="136"/>
  <c r="G67" i="136"/>
  <c r="F67" i="136"/>
  <c r="E67" i="136"/>
  <c r="D67" i="136"/>
  <c r="C67" i="136"/>
  <c r="AA66" i="136"/>
  <c r="Z66" i="136"/>
  <c r="S66" i="136"/>
  <c r="R66" i="136"/>
  <c r="P66" i="136"/>
  <c r="N66" i="136"/>
  <c r="L66" i="136"/>
  <c r="K66" i="136"/>
  <c r="J66" i="136"/>
  <c r="H66" i="136"/>
  <c r="G66" i="136"/>
  <c r="F66" i="136"/>
  <c r="E66" i="136"/>
  <c r="D66" i="136"/>
  <c r="C66" i="136"/>
  <c r="AH65" i="136"/>
  <c r="AJ59" i="136"/>
  <c r="AJ60" i="136" s="1"/>
  <c r="AH58" i="136"/>
  <c r="AH57" i="136"/>
  <c r="AH56" i="136"/>
  <c r="AG55" i="136"/>
  <c r="AF55" i="136"/>
  <c r="AE55" i="136"/>
  <c r="AD55" i="136"/>
  <c r="AC55" i="136"/>
  <c r="AB55" i="136"/>
  <c r="AA55" i="136"/>
  <c r="Z55" i="136"/>
  <c r="Y55" i="136"/>
  <c r="X55" i="136"/>
  <c r="W55" i="136"/>
  <c r="V55" i="136"/>
  <c r="U55" i="136"/>
  <c r="T55" i="136"/>
  <c r="S55" i="136"/>
  <c r="R55" i="136"/>
  <c r="Q55" i="136"/>
  <c r="P55" i="136"/>
  <c r="O55" i="136"/>
  <c r="N55" i="136"/>
  <c r="M55" i="136"/>
  <c r="L55" i="136"/>
  <c r="K55" i="136"/>
  <c r="J55" i="136"/>
  <c r="I55" i="136"/>
  <c r="H55" i="136"/>
  <c r="G55" i="136"/>
  <c r="F55" i="136"/>
  <c r="E55" i="136"/>
  <c r="D55" i="136"/>
  <c r="C55" i="136"/>
  <c r="AH54" i="136"/>
  <c r="AH53" i="136"/>
  <c r="AH50" i="136"/>
  <c r="AH49" i="136"/>
  <c r="AH48" i="136"/>
  <c r="AH47" i="136"/>
  <c r="AG43" i="136"/>
  <c r="AH46" i="136"/>
  <c r="R43" i="136"/>
  <c r="K43" i="136"/>
  <c r="AH45" i="136"/>
  <c r="S43" i="136"/>
  <c r="N43" i="136"/>
  <c r="G43" i="136"/>
  <c r="AF43" i="136"/>
  <c r="AE43" i="136"/>
  <c r="AD43" i="136"/>
  <c r="AC43" i="136"/>
  <c r="AB43" i="136"/>
  <c r="AA43" i="136"/>
  <c r="Z43" i="136"/>
  <c r="Y43" i="136"/>
  <c r="X43" i="136"/>
  <c r="W43" i="136"/>
  <c r="V43" i="136"/>
  <c r="U43" i="136"/>
  <c r="T43" i="136"/>
  <c r="Q43" i="136"/>
  <c r="P43" i="136"/>
  <c r="O43" i="136"/>
  <c r="M43" i="136"/>
  <c r="J43" i="136"/>
  <c r="I43" i="136"/>
  <c r="H43" i="136"/>
  <c r="F43" i="136"/>
  <c r="E43" i="136"/>
  <c r="D43" i="136"/>
  <c r="AH42" i="136"/>
  <c r="AG13" i="136"/>
  <c r="AF13" i="136"/>
  <c r="AE13" i="136"/>
  <c r="AD13" i="136"/>
  <c r="AC13" i="136"/>
  <c r="AB13" i="136"/>
  <c r="AA13" i="136"/>
  <c r="Z13" i="136"/>
  <c r="Y13" i="136"/>
  <c r="X13" i="136"/>
  <c r="W13" i="136"/>
  <c r="V13" i="136"/>
  <c r="U13" i="136"/>
  <c r="T13" i="136"/>
  <c r="S13" i="136"/>
  <c r="R13" i="136"/>
  <c r="Q13" i="136"/>
  <c r="P13" i="136"/>
  <c r="O13" i="136"/>
  <c r="N13" i="136"/>
  <c r="M13" i="136"/>
  <c r="L13" i="136"/>
  <c r="K13" i="136"/>
  <c r="J13" i="136"/>
  <c r="I13" i="136"/>
  <c r="H13" i="136"/>
  <c r="G13" i="136"/>
  <c r="F13" i="136"/>
  <c r="E13" i="136"/>
  <c r="D13" i="136"/>
  <c r="C13" i="136"/>
  <c r="AG12" i="136"/>
  <c r="AF12" i="136"/>
  <c r="AE12" i="136"/>
  <c r="AD12" i="136"/>
  <c r="AC12" i="136"/>
  <c r="AB12" i="136"/>
  <c r="AA12" i="136"/>
  <c r="Z12" i="136"/>
  <c r="Y12" i="136"/>
  <c r="X12" i="136"/>
  <c r="X10" i="136" s="1"/>
  <c r="W12" i="136"/>
  <c r="V12" i="136"/>
  <c r="U12" i="136"/>
  <c r="T12" i="136"/>
  <c r="S12" i="136"/>
  <c r="R12" i="136"/>
  <c r="Q12" i="136"/>
  <c r="P12" i="136"/>
  <c r="O12" i="136"/>
  <c r="N12" i="136"/>
  <c r="M12" i="136"/>
  <c r="L12" i="136"/>
  <c r="K12" i="136"/>
  <c r="J12" i="136"/>
  <c r="I12" i="136"/>
  <c r="H12" i="136"/>
  <c r="H10" i="136" s="1"/>
  <c r="G12" i="136"/>
  <c r="F12" i="136"/>
  <c r="E12" i="136"/>
  <c r="D12" i="136"/>
  <c r="C12" i="136"/>
  <c r="AG11" i="136"/>
  <c r="AF11" i="136"/>
  <c r="AE11" i="136"/>
  <c r="AD11" i="136"/>
  <c r="AC11" i="136"/>
  <c r="AB11" i="136"/>
  <c r="AA11" i="136"/>
  <c r="Z11" i="136"/>
  <c r="Y11" i="136"/>
  <c r="X11" i="136"/>
  <c r="W11" i="136"/>
  <c r="V11" i="136"/>
  <c r="U11" i="136"/>
  <c r="T11" i="136"/>
  <c r="S11" i="136"/>
  <c r="R11" i="136"/>
  <c r="Q11" i="136"/>
  <c r="P11" i="136"/>
  <c r="O11" i="136"/>
  <c r="N11" i="136"/>
  <c r="M11" i="136"/>
  <c r="L11" i="136"/>
  <c r="K11" i="136"/>
  <c r="J11" i="136"/>
  <c r="I11" i="136"/>
  <c r="H11" i="136"/>
  <c r="G11" i="136"/>
  <c r="F11" i="136"/>
  <c r="E11" i="136"/>
  <c r="D11" i="136"/>
  <c r="C11" i="136"/>
  <c r="S44" i="128"/>
  <c r="F174" i="136" l="1"/>
  <c r="J174" i="136"/>
  <c r="V174" i="136"/>
  <c r="Z174" i="136"/>
  <c r="AG237" i="136"/>
  <c r="D301" i="136"/>
  <c r="D10" i="136"/>
  <c r="L10" i="136"/>
  <c r="P10" i="136"/>
  <c r="T10" i="136"/>
  <c r="AB10" i="136"/>
  <c r="AF10" i="136"/>
  <c r="C301" i="136"/>
  <c r="B273" i="136"/>
  <c r="G301" i="136"/>
  <c r="F237" i="136"/>
  <c r="J237" i="136"/>
  <c r="N237" i="136"/>
  <c r="R237" i="136"/>
  <c r="Z237" i="136"/>
  <c r="AD237" i="136"/>
  <c r="I237" i="136"/>
  <c r="Q237" i="136"/>
  <c r="Y237" i="136"/>
  <c r="AH224" i="136"/>
  <c r="D237" i="136"/>
  <c r="H237" i="136"/>
  <c r="L237" i="136"/>
  <c r="P237" i="136"/>
  <c r="T237" i="136"/>
  <c r="X237" i="136"/>
  <c r="AB237" i="136"/>
  <c r="AF237" i="136"/>
  <c r="E237" i="136"/>
  <c r="M237" i="136"/>
  <c r="U237" i="136"/>
  <c r="AC237" i="136"/>
  <c r="C237" i="136"/>
  <c r="G237" i="136"/>
  <c r="K237" i="136"/>
  <c r="O237" i="136"/>
  <c r="S237" i="136"/>
  <c r="AA237" i="136"/>
  <c r="K301" i="136"/>
  <c r="S301" i="136"/>
  <c r="E301" i="136"/>
  <c r="O301" i="136"/>
  <c r="F301" i="136"/>
  <c r="AG10" i="136"/>
  <c r="E10" i="136"/>
  <c r="I10" i="136"/>
  <c r="M10" i="136"/>
  <c r="Q10" i="136"/>
  <c r="U10" i="136"/>
  <c r="Y10" i="136"/>
  <c r="AC10" i="136"/>
  <c r="C10" i="136"/>
  <c r="G10" i="136"/>
  <c r="K10" i="136"/>
  <c r="O10" i="136"/>
  <c r="S10" i="136"/>
  <c r="W10" i="136"/>
  <c r="AA10" i="136"/>
  <c r="AE10" i="136"/>
  <c r="F10" i="136"/>
  <c r="N10" i="136"/>
  <c r="Z10" i="136"/>
  <c r="J10" i="136"/>
  <c r="R10" i="136"/>
  <c r="V10" i="136"/>
  <c r="AD10" i="136"/>
  <c r="S60" i="136"/>
  <c r="W60" i="136"/>
  <c r="AA60" i="136"/>
  <c r="AE60" i="136"/>
  <c r="G60" i="136"/>
  <c r="K60" i="136"/>
  <c r="O60" i="136"/>
  <c r="AA301" i="136"/>
  <c r="J301" i="136"/>
  <c r="I301" i="136"/>
  <c r="M301" i="136"/>
  <c r="Q301" i="136"/>
  <c r="U301" i="136"/>
  <c r="Y301" i="136"/>
  <c r="AC301" i="136"/>
  <c r="AG301" i="136"/>
  <c r="W301" i="136"/>
  <c r="AE301" i="136"/>
  <c r="N301" i="136"/>
  <c r="R301" i="136"/>
  <c r="Z301" i="136"/>
  <c r="AD301" i="136"/>
  <c r="L301" i="136"/>
  <c r="P301" i="136"/>
  <c r="T301" i="136"/>
  <c r="X301" i="136"/>
  <c r="AB301" i="136"/>
  <c r="AF301" i="136"/>
  <c r="AE237" i="136"/>
  <c r="W237" i="136"/>
  <c r="V237" i="136"/>
  <c r="D174" i="136"/>
  <c r="H174" i="136"/>
  <c r="L174" i="136"/>
  <c r="P174" i="136"/>
  <c r="T174" i="136"/>
  <c r="X174" i="136"/>
  <c r="AB174" i="136"/>
  <c r="AF174" i="136"/>
  <c r="C174" i="136"/>
  <c r="G174" i="136"/>
  <c r="K174" i="136"/>
  <c r="O174" i="136"/>
  <c r="S174" i="136"/>
  <c r="W174" i="136"/>
  <c r="AA174" i="136"/>
  <c r="AE174" i="136"/>
  <c r="E60" i="136"/>
  <c r="I60" i="136"/>
  <c r="M60" i="136"/>
  <c r="Q60" i="136"/>
  <c r="U60" i="136"/>
  <c r="Y60" i="136"/>
  <c r="AC60" i="136"/>
  <c r="AG60" i="136"/>
  <c r="D60" i="136"/>
  <c r="H60" i="136"/>
  <c r="P60" i="136"/>
  <c r="T60" i="136"/>
  <c r="X60" i="136"/>
  <c r="AB60" i="136"/>
  <c r="AF60" i="136"/>
  <c r="AH52" i="136"/>
  <c r="C43" i="136"/>
  <c r="C60" i="136" s="1"/>
  <c r="AH44" i="136"/>
  <c r="AI45" i="136" s="1"/>
  <c r="AH55" i="136"/>
  <c r="E174" i="136"/>
  <c r="I174" i="136"/>
  <c r="M174" i="136"/>
  <c r="Q174" i="136"/>
  <c r="U174" i="136"/>
  <c r="Y174" i="136"/>
  <c r="AC174" i="136"/>
  <c r="AG174" i="136"/>
  <c r="V301" i="136"/>
  <c r="L43" i="136"/>
  <c r="L60" i="136" s="1"/>
  <c r="F60" i="136"/>
  <c r="J60" i="136"/>
  <c r="N60" i="136"/>
  <c r="R60" i="136"/>
  <c r="V60" i="136"/>
  <c r="Z60" i="136"/>
  <c r="AD60" i="136"/>
  <c r="AH74" i="136"/>
  <c r="AH75" i="136"/>
  <c r="AH159" i="136"/>
  <c r="H288" i="136"/>
  <c r="AH288" i="136" s="1"/>
  <c r="G1117" i="41"/>
  <c r="G1218" i="41"/>
  <c r="G1217" i="41"/>
  <c r="H301" i="136" l="1"/>
  <c r="AH10" i="136"/>
  <c r="AH43" i="136"/>
  <c r="G1118" i="41"/>
  <c r="G1116" i="41"/>
  <c r="G1070" i="41"/>
  <c r="G1109" i="41"/>
  <c r="G1122" i="41"/>
  <c r="AG46" i="128"/>
  <c r="AD46" i="128"/>
  <c r="T45" i="128"/>
  <c r="D53" i="135" l="1"/>
  <c r="E47" i="135"/>
  <c r="E20" i="135"/>
  <c r="E11" i="135"/>
  <c r="E31" i="135"/>
  <c r="AM44" i="27" l="1"/>
  <c r="Q21" i="57" s="1"/>
  <c r="S45" i="128"/>
  <c r="Q44" i="128"/>
  <c r="C49" i="128" l="1"/>
  <c r="R45" i="128"/>
  <c r="J44" i="128" l="1"/>
  <c r="G44" i="128"/>
  <c r="Q45" i="128"/>
  <c r="P45" i="128"/>
  <c r="P44" i="128"/>
  <c r="C107" i="127"/>
  <c r="E12" i="130"/>
  <c r="E42" i="130"/>
  <c r="E29" i="130" l="1"/>
  <c r="E19" i="130"/>
  <c r="D46" i="130" l="1"/>
  <c r="AF45" i="127"/>
  <c r="L45" i="128" l="1"/>
  <c r="G1130" i="41"/>
  <c r="G419" i="131"/>
  <c r="F400" i="131"/>
  <c r="F391" i="131"/>
  <c r="F382" i="131"/>
  <c r="H371" i="131"/>
  <c r="H419" i="131" s="1"/>
  <c r="G351" i="131"/>
  <c r="F332" i="131"/>
  <c r="F323" i="131"/>
  <c r="F314" i="131"/>
  <c r="F351" i="131" s="1"/>
  <c r="H303" i="131"/>
  <c r="H351" i="131" s="1"/>
  <c r="G290" i="131"/>
  <c r="F274" i="131"/>
  <c r="F290" i="131" s="1"/>
  <c r="F265" i="131"/>
  <c r="F256" i="131"/>
  <c r="H245" i="131"/>
  <c r="H290" i="131" s="1"/>
  <c r="F245" i="131"/>
  <c r="AN213" i="131"/>
  <c r="AN209" i="131"/>
  <c r="AN200" i="131"/>
  <c r="F200" i="131"/>
  <c r="F191" i="131"/>
  <c r="AN191" i="131" s="1"/>
  <c r="F182" i="131"/>
  <c r="AN182" i="131" s="1"/>
  <c r="H171" i="131"/>
  <c r="H216" i="131" s="1"/>
  <c r="F171" i="131"/>
  <c r="F151" i="131"/>
  <c r="F144" i="131"/>
  <c r="F137" i="131"/>
  <c r="F129" i="131"/>
  <c r="AN90" i="131"/>
  <c r="AO88" i="131"/>
  <c r="AO86" i="131" s="1"/>
  <c r="AN88" i="131"/>
  <c r="H134" i="131" s="1"/>
  <c r="I86" i="131"/>
  <c r="H86" i="131"/>
  <c r="G86" i="131"/>
  <c r="F86" i="131"/>
  <c r="E86" i="131"/>
  <c r="AO62" i="131"/>
  <c r="AM62" i="131"/>
  <c r="AL62" i="131"/>
  <c r="AK62" i="131"/>
  <c r="AJ62" i="131"/>
  <c r="AI62" i="131"/>
  <c r="AH62" i="131"/>
  <c r="AG62" i="131"/>
  <c r="AF62" i="131"/>
  <c r="AE62" i="131"/>
  <c r="AD62" i="131"/>
  <c r="AC62" i="131"/>
  <c r="AB62" i="131"/>
  <c r="AA62" i="131"/>
  <c r="Z62" i="131"/>
  <c r="Y62" i="131"/>
  <c r="X62" i="131"/>
  <c r="AN62" i="131" s="1"/>
  <c r="H155" i="131" s="1"/>
  <c r="V62" i="131"/>
  <c r="U62" i="131"/>
  <c r="T62" i="131"/>
  <c r="S62" i="131"/>
  <c r="R62" i="131"/>
  <c r="Q62" i="131"/>
  <c r="P62" i="131"/>
  <c r="O62" i="131"/>
  <c r="N62" i="131"/>
  <c r="M62" i="131"/>
  <c r="L62" i="131"/>
  <c r="K62" i="131"/>
  <c r="J62" i="131"/>
  <c r="I62" i="131"/>
  <c r="H62" i="131"/>
  <c r="G62" i="131"/>
  <c r="F62" i="131"/>
  <c r="E62" i="131"/>
  <c r="AO55" i="131"/>
  <c r="AK55" i="131"/>
  <c r="AH55" i="131"/>
  <c r="AE55" i="131"/>
  <c r="AD55" i="131"/>
  <c r="AA55" i="131"/>
  <c r="Y55" i="131"/>
  <c r="X55" i="131"/>
  <c r="W55" i="131"/>
  <c r="V55" i="131"/>
  <c r="U55" i="131"/>
  <c r="T55" i="131"/>
  <c r="S55" i="131"/>
  <c r="R55" i="131"/>
  <c r="Q55" i="131"/>
  <c r="P55" i="131"/>
  <c r="O55" i="131"/>
  <c r="N55" i="131"/>
  <c r="M55" i="131"/>
  <c r="L55" i="131"/>
  <c r="K55" i="131"/>
  <c r="E55" i="131"/>
  <c r="AS46" i="131"/>
  <c r="AO44" i="131"/>
  <c r="AM44" i="131"/>
  <c r="AL44" i="131"/>
  <c r="AK44" i="131"/>
  <c r="AJ44" i="131"/>
  <c r="AI44" i="131"/>
  <c r="AG44" i="131"/>
  <c r="AF44" i="131"/>
  <c r="AD44" i="131"/>
  <c r="AC44" i="131"/>
  <c r="AA44" i="131"/>
  <c r="Z44" i="131"/>
  <c r="Y44" i="131"/>
  <c r="X44" i="131"/>
  <c r="W44" i="131"/>
  <c r="T44" i="131"/>
  <c r="Q44" i="131"/>
  <c r="P44" i="131"/>
  <c r="O44" i="131"/>
  <c r="N44" i="131"/>
  <c r="L44" i="131"/>
  <c r="H44" i="131"/>
  <c r="G44" i="131"/>
  <c r="F44" i="131"/>
  <c r="E44" i="131"/>
  <c r="AO32" i="131"/>
  <c r="AM32" i="131"/>
  <c r="AL32" i="131"/>
  <c r="AK32" i="131"/>
  <c r="AJ32" i="131"/>
  <c r="AI32" i="131"/>
  <c r="AH32" i="131"/>
  <c r="AG32" i="131"/>
  <c r="AF32" i="131"/>
  <c r="AE32" i="131"/>
  <c r="AD32" i="131"/>
  <c r="AC32" i="131"/>
  <c r="Z32" i="131"/>
  <c r="Y32" i="131"/>
  <c r="X32" i="131"/>
  <c r="W32" i="131"/>
  <c r="U32" i="131"/>
  <c r="T32" i="131"/>
  <c r="S32" i="131"/>
  <c r="R32" i="131"/>
  <c r="Q32" i="131"/>
  <c r="P32" i="131"/>
  <c r="O32" i="131"/>
  <c r="N32" i="131"/>
  <c r="M32" i="131"/>
  <c r="L32" i="131"/>
  <c r="L30" i="131" s="1"/>
  <c r="K32" i="131"/>
  <c r="I32" i="131"/>
  <c r="H32" i="131"/>
  <c r="G32" i="131"/>
  <c r="F32" i="131"/>
  <c r="F30" i="131" s="1"/>
  <c r="E32" i="131"/>
  <c r="R30" i="131"/>
  <c r="Q30" i="131"/>
  <c r="P30" i="131"/>
  <c r="O30" i="131"/>
  <c r="N30" i="131"/>
  <c r="M30" i="131"/>
  <c r="I30" i="131"/>
  <c r="H30" i="131"/>
  <c r="E30" i="131"/>
  <c r="AO23" i="131"/>
  <c r="AG23" i="131"/>
  <c r="AF23" i="131"/>
  <c r="I23" i="131"/>
  <c r="H23" i="131"/>
  <c r="G23" i="131"/>
  <c r="F23" i="131"/>
  <c r="AO18" i="131"/>
  <c r="N18" i="131"/>
  <c r="I18" i="131"/>
  <c r="AO14" i="131"/>
  <c r="AH14" i="131"/>
  <c r="W14" i="131"/>
  <c r="H14" i="131"/>
  <c r="AO9" i="131"/>
  <c r="AF9" i="131"/>
  <c r="V9" i="131"/>
  <c r="U9" i="131"/>
  <c r="J9" i="131"/>
  <c r="J7" i="131" s="1"/>
  <c r="I9" i="131"/>
  <c r="AN9" i="131" s="1"/>
  <c r="H132" i="131" s="1"/>
  <c r="H9" i="131"/>
  <c r="G7" i="131"/>
  <c r="F7" i="131"/>
  <c r="E7" i="131"/>
  <c r="H216" i="27"/>
  <c r="AO209" i="27"/>
  <c r="G216" i="27"/>
  <c r="H171" i="27"/>
  <c r="H44" i="128"/>
  <c r="K45" i="128"/>
  <c r="I45" i="127"/>
  <c r="G30" i="131" l="1"/>
  <c r="AO7" i="131"/>
  <c r="AN32" i="131"/>
  <c r="AN30" i="131" s="1"/>
  <c r="AO30" i="131"/>
  <c r="AN55" i="131"/>
  <c r="H148" i="131" s="1"/>
  <c r="F158" i="131"/>
  <c r="AN14" i="131"/>
  <c r="H140" i="131" s="1"/>
  <c r="H137" i="131" s="1"/>
  <c r="AN137" i="131" s="1"/>
  <c r="I7" i="131"/>
  <c r="AN44" i="131"/>
  <c r="H141" i="131" s="1"/>
  <c r="H7" i="131"/>
  <c r="AN23" i="131"/>
  <c r="H154" i="131" s="1"/>
  <c r="H151" i="131" s="1"/>
  <c r="K30" i="131"/>
  <c r="AN86" i="131"/>
  <c r="F216" i="131"/>
  <c r="AN216" i="131" s="1"/>
  <c r="G216" i="131"/>
  <c r="F419" i="131"/>
  <c r="H133" i="131"/>
  <c r="H129" i="131" s="1"/>
  <c r="AN129" i="131" s="1"/>
  <c r="AN7" i="131"/>
  <c r="AN18" i="131"/>
  <c r="H147" i="131" s="1"/>
  <c r="H144" i="131" s="1"/>
  <c r="AN144" i="131" s="1"/>
  <c r="AN171" i="131"/>
  <c r="H158" i="131" l="1"/>
  <c r="AN158" i="131" s="1"/>
  <c r="AN151" i="131"/>
  <c r="M188" i="128"/>
  <c r="J45" i="128"/>
  <c r="F44" i="128"/>
  <c r="AD52" i="127"/>
  <c r="AD45" i="127"/>
  <c r="I45" i="128"/>
  <c r="C121" i="127"/>
  <c r="C52" i="127"/>
  <c r="AG44" i="127"/>
  <c r="E44" i="128" l="1"/>
  <c r="AF44" i="127"/>
  <c r="F45" i="128"/>
  <c r="AA45" i="127"/>
  <c r="AF46" i="127" l="1"/>
  <c r="AG45" i="127"/>
  <c r="AG52" i="127"/>
  <c r="C44" i="128"/>
  <c r="E45" i="128"/>
  <c r="G1148" i="41"/>
  <c r="G1149" i="41"/>
  <c r="AA44" i="127"/>
  <c r="AC44" i="127"/>
  <c r="AB44" i="127"/>
  <c r="C52" i="128"/>
  <c r="C91" i="127"/>
  <c r="U44" i="127" l="1"/>
  <c r="AD44" i="127"/>
  <c r="C46" i="128"/>
  <c r="X45" i="127"/>
  <c r="V45" i="127" l="1"/>
  <c r="V44" i="127"/>
  <c r="AC46" i="127"/>
  <c r="AE45" i="127"/>
  <c r="C109" i="127"/>
  <c r="AL62" i="27"/>
  <c r="G1069" i="41"/>
  <c r="G1150" i="41"/>
  <c r="Q15" i="57"/>
  <c r="AM32" i="27"/>
  <c r="Y44" i="127"/>
  <c r="Z46" i="127"/>
  <c r="X44" i="127"/>
  <c r="AB45" i="127"/>
  <c r="C88" i="127"/>
  <c r="P21" i="57" l="1"/>
  <c r="AL44" i="27"/>
  <c r="Z45" i="127" l="1"/>
  <c r="W46" i="127"/>
  <c r="AC45" i="127"/>
  <c r="Z44" i="127"/>
  <c r="W45" i="127" l="1"/>
  <c r="W44" i="127"/>
  <c r="G1115" i="41" l="1"/>
  <c r="C111" i="127" l="1"/>
  <c r="Z45" i="126" l="1"/>
  <c r="R44" i="127"/>
  <c r="Q44" i="127"/>
  <c r="U45" i="127" l="1"/>
  <c r="V52" i="127" l="1"/>
  <c r="T45" i="127"/>
  <c r="S45" i="127"/>
  <c r="P32" i="57"/>
  <c r="H75" i="128" l="1"/>
  <c r="G1077" i="41"/>
  <c r="G1076" i="41"/>
  <c r="G1123" i="41"/>
  <c r="G1073" i="41"/>
  <c r="G1066" i="41" l="1"/>
  <c r="AH290" i="128" l="1"/>
  <c r="B317" i="128"/>
  <c r="O315" i="128"/>
  <c r="O307" i="128" s="1"/>
  <c r="AH314" i="128"/>
  <c r="AG308" i="128"/>
  <c r="AF308" i="128"/>
  <c r="AE308" i="128"/>
  <c r="AD308" i="128"/>
  <c r="AC308" i="128"/>
  <c r="AB308" i="128"/>
  <c r="AA308" i="128"/>
  <c r="Z308" i="128"/>
  <c r="Y308" i="128"/>
  <c r="X308" i="128"/>
  <c r="W308" i="128"/>
  <c r="V308" i="128"/>
  <c r="U308" i="128"/>
  <c r="T308" i="128"/>
  <c r="S308" i="128"/>
  <c r="R308" i="128"/>
  <c r="Q308" i="128"/>
  <c r="P308" i="128"/>
  <c r="O308" i="128"/>
  <c r="N308" i="128"/>
  <c r="M308" i="128"/>
  <c r="L308" i="128"/>
  <c r="K308" i="128"/>
  <c r="J308" i="128"/>
  <c r="I308" i="128"/>
  <c r="H308" i="128"/>
  <c r="G308" i="128"/>
  <c r="F308" i="128"/>
  <c r="E308" i="128"/>
  <c r="D308" i="128"/>
  <c r="C308" i="128"/>
  <c r="AG307" i="128"/>
  <c r="AF307" i="128"/>
  <c r="AE307" i="128"/>
  <c r="AD307" i="128"/>
  <c r="AC307" i="128"/>
  <c r="AB307" i="128"/>
  <c r="AA307" i="128"/>
  <c r="Z307" i="128"/>
  <c r="Y307" i="128"/>
  <c r="X307" i="128"/>
  <c r="W307" i="128"/>
  <c r="V307" i="128"/>
  <c r="U307" i="128"/>
  <c r="T307" i="128"/>
  <c r="S307" i="128"/>
  <c r="R307" i="128"/>
  <c r="Q307" i="128"/>
  <c r="P307" i="128"/>
  <c r="N307" i="128"/>
  <c r="M307" i="128"/>
  <c r="L307" i="128"/>
  <c r="K307" i="128"/>
  <c r="J307" i="128"/>
  <c r="I307" i="128"/>
  <c r="H307" i="128"/>
  <c r="G307" i="128"/>
  <c r="F307" i="128"/>
  <c r="E307" i="128"/>
  <c r="D307" i="128"/>
  <c r="C307" i="128"/>
  <c r="AH298" i="128"/>
  <c r="AG296" i="128"/>
  <c r="AF296" i="128"/>
  <c r="AE296" i="128"/>
  <c r="AD296" i="128"/>
  <c r="AC296" i="128"/>
  <c r="AB296" i="128"/>
  <c r="AA296" i="128"/>
  <c r="Z296" i="128"/>
  <c r="Y296" i="128"/>
  <c r="X296" i="128"/>
  <c r="W296" i="128"/>
  <c r="V296" i="128"/>
  <c r="U296" i="128"/>
  <c r="T296" i="128"/>
  <c r="S296" i="128"/>
  <c r="R296" i="128"/>
  <c r="Q296" i="128"/>
  <c r="P296" i="128"/>
  <c r="O296" i="128"/>
  <c r="N296" i="128"/>
  <c r="M296" i="128"/>
  <c r="L296" i="128"/>
  <c r="K296" i="128"/>
  <c r="J296" i="128"/>
  <c r="I296" i="128"/>
  <c r="H296" i="128"/>
  <c r="G296" i="128"/>
  <c r="F296" i="128"/>
  <c r="E296" i="128"/>
  <c r="D296" i="128"/>
  <c r="C296" i="128"/>
  <c r="AH292" i="128"/>
  <c r="AH291" i="128"/>
  <c r="AH289" i="128"/>
  <c r="AG288" i="128"/>
  <c r="AF288" i="128"/>
  <c r="AF301" i="128" s="1"/>
  <c r="AE288" i="128"/>
  <c r="AD288" i="128"/>
  <c r="AC288" i="128"/>
  <c r="AB288" i="128"/>
  <c r="AB301" i="128" s="1"/>
  <c r="AA288" i="128"/>
  <c r="Z288" i="128"/>
  <c r="Y288" i="128"/>
  <c r="X288" i="128"/>
  <c r="W288" i="128"/>
  <c r="V288" i="128"/>
  <c r="U288" i="128"/>
  <c r="T288" i="128"/>
  <c r="S288" i="128"/>
  <c r="R288" i="128"/>
  <c r="Q288" i="128"/>
  <c r="P288" i="128"/>
  <c r="P301" i="128" s="1"/>
  <c r="O288" i="128"/>
  <c r="N288" i="128"/>
  <c r="M288" i="128"/>
  <c r="L288" i="128"/>
  <c r="L301" i="128" s="1"/>
  <c r="K288" i="128"/>
  <c r="J288" i="128"/>
  <c r="I288" i="128"/>
  <c r="H288" i="128"/>
  <c r="G288" i="128"/>
  <c r="F288" i="128"/>
  <c r="E288" i="128"/>
  <c r="D288" i="128"/>
  <c r="C288" i="128"/>
  <c r="B275" i="128"/>
  <c r="B274" i="128"/>
  <c r="B253" i="128"/>
  <c r="AH252" i="128"/>
  <c r="AH250" i="128"/>
  <c r="AG244" i="128"/>
  <c r="AF244" i="128"/>
  <c r="AE244" i="128"/>
  <c r="AD244" i="128"/>
  <c r="AC244" i="128"/>
  <c r="AB244" i="128"/>
  <c r="AA244" i="128"/>
  <c r="Z244" i="128"/>
  <c r="Y244" i="128"/>
  <c r="X244" i="128"/>
  <c r="W244" i="128"/>
  <c r="V244" i="128"/>
  <c r="U244" i="128"/>
  <c r="T244" i="128"/>
  <c r="S244" i="128"/>
  <c r="R244" i="128"/>
  <c r="Q244" i="128"/>
  <c r="P244" i="128"/>
  <c r="O244" i="128"/>
  <c r="N244" i="128"/>
  <c r="M244" i="128"/>
  <c r="L244" i="128"/>
  <c r="K244" i="128"/>
  <c r="J244" i="128"/>
  <c r="I244" i="128"/>
  <c r="H244" i="128"/>
  <c r="G244" i="128"/>
  <c r="F244" i="128"/>
  <c r="E244" i="128"/>
  <c r="D244" i="128"/>
  <c r="C244" i="128"/>
  <c r="AG243" i="128"/>
  <c r="AF243" i="128"/>
  <c r="AE243" i="128"/>
  <c r="AD243" i="128"/>
  <c r="AC243" i="128"/>
  <c r="AB243" i="128"/>
  <c r="AA243" i="128"/>
  <c r="Z243" i="128"/>
  <c r="Y243" i="128"/>
  <c r="X243" i="128"/>
  <c r="W243" i="128"/>
  <c r="V243" i="128"/>
  <c r="U243" i="128"/>
  <c r="T243" i="128"/>
  <c r="S243" i="128"/>
  <c r="R243" i="128"/>
  <c r="Q243" i="128"/>
  <c r="P243" i="128"/>
  <c r="O243" i="128"/>
  <c r="N243" i="128"/>
  <c r="M243" i="128"/>
  <c r="L243" i="128"/>
  <c r="K243" i="128"/>
  <c r="J243" i="128"/>
  <c r="I243" i="128"/>
  <c r="H243" i="128"/>
  <c r="G243" i="128"/>
  <c r="F243" i="128"/>
  <c r="E243" i="128"/>
  <c r="D243" i="128"/>
  <c r="C243" i="128"/>
  <c r="AH234" i="128"/>
  <c r="AG232" i="128"/>
  <c r="AF232" i="128"/>
  <c r="AE232" i="128"/>
  <c r="AD232" i="128"/>
  <c r="AC232" i="128"/>
  <c r="AC237" i="128" s="1"/>
  <c r="AB232" i="128"/>
  <c r="AA232" i="128"/>
  <c r="AA237" i="128" s="1"/>
  <c r="Z232" i="128"/>
  <c r="Y232" i="128"/>
  <c r="X232" i="128"/>
  <c r="W232" i="128"/>
  <c r="W237" i="128" s="1"/>
  <c r="V232" i="128"/>
  <c r="U232" i="128"/>
  <c r="T232" i="128"/>
  <c r="S232" i="128"/>
  <c r="S237" i="128" s="1"/>
  <c r="R232" i="128"/>
  <c r="Q232" i="128"/>
  <c r="Q237" i="128" s="1"/>
  <c r="P232" i="128"/>
  <c r="O232" i="128"/>
  <c r="O237" i="128" s="1"/>
  <c r="N232" i="128"/>
  <c r="M232" i="128"/>
  <c r="M237" i="128" s="1"/>
  <c r="L232" i="128"/>
  <c r="K232" i="128"/>
  <c r="K237" i="128" s="1"/>
  <c r="J232" i="128"/>
  <c r="I232" i="128"/>
  <c r="H232" i="128"/>
  <c r="G232" i="128"/>
  <c r="G237" i="128" s="1"/>
  <c r="F232" i="128"/>
  <c r="E232" i="128"/>
  <c r="D232" i="128"/>
  <c r="C232" i="128"/>
  <c r="C237" i="128" s="1"/>
  <c r="AH228" i="128"/>
  <c r="AH227" i="128"/>
  <c r="AH226" i="128"/>
  <c r="AH225" i="128"/>
  <c r="AD224" i="128"/>
  <c r="AG224" i="128"/>
  <c r="AF224" i="128"/>
  <c r="AE224" i="128"/>
  <c r="AC224" i="128"/>
  <c r="AB224" i="128"/>
  <c r="AA224" i="128"/>
  <c r="Z224" i="128"/>
  <c r="Y224" i="128"/>
  <c r="X224" i="128"/>
  <c r="W224" i="128"/>
  <c r="V224" i="128"/>
  <c r="U224" i="128"/>
  <c r="T224" i="128"/>
  <c r="S224" i="128"/>
  <c r="R224" i="128"/>
  <c r="Q224" i="128"/>
  <c r="P224" i="128"/>
  <c r="O224" i="128"/>
  <c r="N224" i="128"/>
  <c r="M224" i="128"/>
  <c r="L224" i="128"/>
  <c r="K224" i="128"/>
  <c r="J224" i="128"/>
  <c r="I224" i="128"/>
  <c r="H224" i="128"/>
  <c r="G224" i="128"/>
  <c r="F224" i="128"/>
  <c r="E224" i="128"/>
  <c r="D224" i="128"/>
  <c r="C224" i="128"/>
  <c r="B211" i="128"/>
  <c r="B210" i="128"/>
  <c r="B190" i="128"/>
  <c r="AG181" i="128"/>
  <c r="AF181" i="128"/>
  <c r="AE181" i="128"/>
  <c r="AD181" i="128"/>
  <c r="AC181" i="128"/>
  <c r="AB181" i="128"/>
  <c r="AA181" i="128"/>
  <c r="Z181" i="128"/>
  <c r="Y181" i="128"/>
  <c r="X181" i="128"/>
  <c r="W181" i="128"/>
  <c r="V181" i="128"/>
  <c r="U181" i="128"/>
  <c r="T181" i="128"/>
  <c r="S181" i="128"/>
  <c r="R181" i="128"/>
  <c r="Q181" i="128"/>
  <c r="P181" i="128"/>
  <c r="O181" i="128"/>
  <c r="N181" i="128"/>
  <c r="M181" i="128"/>
  <c r="L181" i="128"/>
  <c r="K181" i="128"/>
  <c r="J181" i="128"/>
  <c r="I181" i="128"/>
  <c r="H181" i="128"/>
  <c r="G181" i="128"/>
  <c r="F181" i="128"/>
  <c r="E181" i="128"/>
  <c r="D181" i="128"/>
  <c r="C181" i="128"/>
  <c r="AG180" i="128"/>
  <c r="AF180" i="128"/>
  <c r="AE180" i="128"/>
  <c r="AD180" i="128"/>
  <c r="AC180" i="128"/>
  <c r="AB180" i="128"/>
  <c r="AA180" i="128"/>
  <c r="Z180" i="128"/>
  <c r="Y180" i="128"/>
  <c r="X180" i="128"/>
  <c r="W180" i="128"/>
  <c r="V180" i="128"/>
  <c r="U180" i="128"/>
  <c r="T180" i="128"/>
  <c r="S180" i="128"/>
  <c r="R180" i="128"/>
  <c r="Q180" i="128"/>
  <c r="P180" i="128"/>
  <c r="O180" i="128"/>
  <c r="N180" i="128"/>
  <c r="M180" i="128"/>
  <c r="L180" i="128"/>
  <c r="K180" i="128"/>
  <c r="J180" i="128"/>
  <c r="I180" i="128"/>
  <c r="H180" i="128"/>
  <c r="G180" i="128"/>
  <c r="F180" i="128"/>
  <c r="E180" i="128"/>
  <c r="D180" i="128"/>
  <c r="C180" i="128"/>
  <c r="AG169" i="128"/>
  <c r="AG174" i="128" s="1"/>
  <c r="AF169" i="128"/>
  <c r="AE169" i="128"/>
  <c r="AD169" i="128"/>
  <c r="AC169" i="128"/>
  <c r="AB169" i="128"/>
  <c r="AA169" i="128"/>
  <c r="Z169" i="128"/>
  <c r="Y169" i="128"/>
  <c r="X169" i="128"/>
  <c r="W169" i="128"/>
  <c r="V169" i="128"/>
  <c r="U169" i="128"/>
  <c r="T169" i="128"/>
  <c r="S169" i="128"/>
  <c r="R169" i="128"/>
  <c r="Q169" i="128"/>
  <c r="P169" i="128"/>
  <c r="O169" i="128"/>
  <c r="N169" i="128"/>
  <c r="M169" i="128"/>
  <c r="L169" i="128"/>
  <c r="K169" i="128"/>
  <c r="J169" i="128"/>
  <c r="I169" i="128"/>
  <c r="H169" i="128"/>
  <c r="G169" i="128"/>
  <c r="F169" i="128"/>
  <c r="E169" i="128"/>
  <c r="D169" i="128"/>
  <c r="C169" i="128"/>
  <c r="AH167" i="128"/>
  <c r="AH166" i="128"/>
  <c r="AH165" i="128"/>
  <c r="AH164" i="128"/>
  <c r="AH163" i="128"/>
  <c r="AH162" i="128"/>
  <c r="AH161" i="128"/>
  <c r="AH160" i="128"/>
  <c r="AG159" i="128"/>
  <c r="AF159" i="128"/>
  <c r="AE159" i="128"/>
  <c r="AD159" i="128"/>
  <c r="AC159" i="128"/>
  <c r="AC174" i="128" s="1"/>
  <c r="AB159" i="128"/>
  <c r="AA159" i="128"/>
  <c r="Z159" i="128"/>
  <c r="Y159" i="128"/>
  <c r="Y174" i="128" s="1"/>
  <c r="X159" i="128"/>
  <c r="W159" i="128"/>
  <c r="V159" i="128"/>
  <c r="U159" i="128"/>
  <c r="U174" i="128" s="1"/>
  <c r="T159" i="128"/>
  <c r="S159" i="128"/>
  <c r="R159" i="128"/>
  <c r="Q159" i="128"/>
  <c r="Q174" i="128" s="1"/>
  <c r="P159" i="128"/>
  <c r="O159" i="128"/>
  <c r="N159" i="128"/>
  <c r="M159" i="128"/>
  <c r="M174" i="128" s="1"/>
  <c r="L159" i="128"/>
  <c r="K159" i="128"/>
  <c r="J159" i="128"/>
  <c r="I159" i="128"/>
  <c r="I174" i="128" s="1"/>
  <c r="H159" i="128"/>
  <c r="G159" i="128"/>
  <c r="F159" i="128"/>
  <c r="E159" i="128"/>
  <c r="E174" i="128" s="1"/>
  <c r="D159" i="128"/>
  <c r="C159" i="128"/>
  <c r="B146" i="128"/>
  <c r="B145" i="128"/>
  <c r="B144" i="128" s="1"/>
  <c r="C82" i="128"/>
  <c r="B29" i="128" s="1"/>
  <c r="B28" i="128" s="1"/>
  <c r="AN93" i="128"/>
  <c r="AH79" i="128"/>
  <c r="AH78" i="128"/>
  <c r="AH77" i="128"/>
  <c r="AE67" i="128"/>
  <c r="AD67" i="128"/>
  <c r="AC67" i="128"/>
  <c r="AA67" i="128"/>
  <c r="Z67" i="128"/>
  <c r="Y67" i="128"/>
  <c r="W67" i="128"/>
  <c r="S67" i="128"/>
  <c r="R67" i="128"/>
  <c r="AG66" i="128"/>
  <c r="AC66" i="128"/>
  <c r="AB66" i="128"/>
  <c r="Y66" i="128"/>
  <c r="X66" i="128"/>
  <c r="U66" i="128"/>
  <c r="T66" i="128"/>
  <c r="Q66" i="128"/>
  <c r="AG67" i="128"/>
  <c r="AF67" i="128"/>
  <c r="AB67" i="128"/>
  <c r="X67" i="128"/>
  <c r="V67" i="128"/>
  <c r="U67" i="128"/>
  <c r="T67" i="128"/>
  <c r="Q67" i="128"/>
  <c r="P67" i="128"/>
  <c r="O67" i="128"/>
  <c r="N67" i="128"/>
  <c r="M67" i="128"/>
  <c r="L67" i="128"/>
  <c r="K67" i="128"/>
  <c r="J67" i="128"/>
  <c r="I67" i="128"/>
  <c r="H67" i="128"/>
  <c r="G67" i="128"/>
  <c r="F67" i="128"/>
  <c r="E67" i="128"/>
  <c r="D67" i="128"/>
  <c r="C67" i="128"/>
  <c r="AF66" i="128"/>
  <c r="AE66" i="128"/>
  <c r="AD66" i="128"/>
  <c r="AA66" i="128"/>
  <c r="Z66" i="128"/>
  <c r="W66" i="128"/>
  <c r="V66" i="128"/>
  <c r="S66" i="128"/>
  <c r="R66" i="128"/>
  <c r="P66" i="128"/>
  <c r="O66" i="128"/>
  <c r="N66" i="128"/>
  <c r="M66" i="128"/>
  <c r="L66" i="128"/>
  <c r="K66" i="128"/>
  <c r="J66" i="128"/>
  <c r="I66" i="128"/>
  <c r="H66" i="128"/>
  <c r="G66" i="128"/>
  <c r="F66" i="128"/>
  <c r="E66" i="128"/>
  <c r="D66" i="128"/>
  <c r="C66" i="128"/>
  <c r="AH65" i="128"/>
  <c r="AJ59" i="128"/>
  <c r="AJ60" i="128" s="1"/>
  <c r="AH58" i="128"/>
  <c r="AH57" i="128"/>
  <c r="AH56" i="128"/>
  <c r="AG55" i="128"/>
  <c r="AF55" i="128"/>
  <c r="AE55" i="128"/>
  <c r="AD55" i="128"/>
  <c r="AC55" i="128"/>
  <c r="AB55" i="128"/>
  <c r="AA55" i="128"/>
  <c r="Z55" i="128"/>
  <c r="Y55" i="128"/>
  <c r="X55" i="128"/>
  <c r="W55" i="128"/>
  <c r="V55" i="128"/>
  <c r="U55" i="128"/>
  <c r="T55" i="128"/>
  <c r="S55" i="128"/>
  <c r="R55" i="128"/>
  <c r="Q55" i="128"/>
  <c r="P55" i="128"/>
  <c r="O55" i="128"/>
  <c r="N55" i="128"/>
  <c r="M55" i="128"/>
  <c r="L55" i="128"/>
  <c r="K55" i="128"/>
  <c r="J55" i="128"/>
  <c r="I55" i="128"/>
  <c r="H55" i="128"/>
  <c r="G55" i="128"/>
  <c r="F55" i="128"/>
  <c r="E55" i="128"/>
  <c r="D55" i="128"/>
  <c r="C55" i="128"/>
  <c r="AH54" i="128"/>
  <c r="AH53" i="128"/>
  <c r="AC43" i="128"/>
  <c r="AH51" i="128"/>
  <c r="AH50" i="128"/>
  <c r="AH49" i="128"/>
  <c r="AH48" i="128"/>
  <c r="AH47" i="128"/>
  <c r="AF43" i="128"/>
  <c r="Q43" i="128"/>
  <c r="O43" i="128"/>
  <c r="H43" i="128"/>
  <c r="G43" i="128"/>
  <c r="AG43" i="128"/>
  <c r="AE43" i="128"/>
  <c r="AD43" i="128"/>
  <c r="AA43" i="128"/>
  <c r="Z43" i="128"/>
  <c r="Y43" i="128"/>
  <c r="X43" i="128"/>
  <c r="W43" i="128"/>
  <c r="V43" i="128"/>
  <c r="U43" i="128"/>
  <c r="T43" i="128"/>
  <c r="S43" i="128"/>
  <c r="R43" i="128"/>
  <c r="P43" i="128"/>
  <c r="N43" i="128"/>
  <c r="M43" i="128"/>
  <c r="L43" i="128"/>
  <c r="K43" i="128"/>
  <c r="J43" i="128"/>
  <c r="I43" i="128"/>
  <c r="I60" i="128" s="1"/>
  <c r="F43" i="128"/>
  <c r="E43" i="128"/>
  <c r="D43" i="128"/>
  <c r="AH42" i="128"/>
  <c r="AG13" i="128"/>
  <c r="AF13" i="128"/>
  <c r="AE13" i="128"/>
  <c r="AD13" i="128"/>
  <c r="AC13" i="128"/>
  <c r="AB13" i="128"/>
  <c r="AA13" i="128"/>
  <c r="Z13" i="128"/>
  <c r="Y13" i="128"/>
  <c r="X13" i="128"/>
  <c r="W13" i="128"/>
  <c r="V13" i="128"/>
  <c r="U13" i="128"/>
  <c r="T13" i="128"/>
  <c r="S13" i="128"/>
  <c r="R13" i="128"/>
  <c r="Q13" i="128"/>
  <c r="P13" i="128"/>
  <c r="O13" i="128"/>
  <c r="N13" i="128"/>
  <c r="M13" i="128"/>
  <c r="L13" i="128"/>
  <c r="K13" i="128"/>
  <c r="J13" i="128"/>
  <c r="I13" i="128"/>
  <c r="H13" i="128"/>
  <c r="G13" i="128"/>
  <c r="F13" i="128"/>
  <c r="E13" i="128"/>
  <c r="D13" i="128"/>
  <c r="C13" i="128"/>
  <c r="AG12" i="128"/>
  <c r="AF12" i="128"/>
  <c r="AE12" i="128"/>
  <c r="AD12" i="128"/>
  <c r="AC12" i="128"/>
  <c r="AB12" i="128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D12" i="128"/>
  <c r="C12" i="128"/>
  <c r="AG11" i="128"/>
  <c r="AF11" i="128"/>
  <c r="AE11" i="128"/>
  <c r="AD11" i="128"/>
  <c r="AC11" i="128"/>
  <c r="AB11" i="128"/>
  <c r="AA11" i="128"/>
  <c r="Z11" i="128"/>
  <c r="Y11" i="128"/>
  <c r="X11" i="128"/>
  <c r="W11" i="128"/>
  <c r="V11" i="128"/>
  <c r="U11" i="128"/>
  <c r="T11" i="128"/>
  <c r="S11" i="128"/>
  <c r="R11" i="128"/>
  <c r="Q11" i="128"/>
  <c r="P11" i="128"/>
  <c r="O11" i="128"/>
  <c r="N11" i="128"/>
  <c r="M11" i="128"/>
  <c r="L11" i="128"/>
  <c r="K11" i="128"/>
  <c r="J11" i="128"/>
  <c r="I11" i="128"/>
  <c r="H11" i="128"/>
  <c r="G11" i="128"/>
  <c r="F11" i="128"/>
  <c r="E11" i="128"/>
  <c r="D11" i="128"/>
  <c r="C11" i="128"/>
  <c r="L44" i="127"/>
  <c r="H44" i="127"/>
  <c r="Q45" i="127"/>
  <c r="V52" i="126"/>
  <c r="V45" i="126"/>
  <c r="C115" i="127"/>
  <c r="G44" i="127"/>
  <c r="D10" i="128" l="1"/>
  <c r="H10" i="128"/>
  <c r="L10" i="128"/>
  <c r="P10" i="128"/>
  <c r="T10" i="128"/>
  <c r="X10" i="128"/>
  <c r="AB10" i="128"/>
  <c r="AF10" i="128"/>
  <c r="E10" i="128"/>
  <c r="I10" i="128"/>
  <c r="M10" i="128"/>
  <c r="Q10" i="128"/>
  <c r="U10" i="128"/>
  <c r="Y10" i="128"/>
  <c r="AC10" i="128"/>
  <c r="AG10" i="128"/>
  <c r="H237" i="128"/>
  <c r="L237" i="128"/>
  <c r="P237" i="128"/>
  <c r="AB237" i="128"/>
  <c r="AG237" i="128"/>
  <c r="F237" i="128"/>
  <c r="N237" i="128"/>
  <c r="V237" i="128"/>
  <c r="Z237" i="128"/>
  <c r="B273" i="128"/>
  <c r="X237" i="128"/>
  <c r="T60" i="128"/>
  <c r="X60" i="128"/>
  <c r="D60" i="128"/>
  <c r="J237" i="128"/>
  <c r="T237" i="128"/>
  <c r="I237" i="128"/>
  <c r="E237" i="128"/>
  <c r="U60" i="128"/>
  <c r="Y60" i="128"/>
  <c r="E60" i="128"/>
  <c r="Y237" i="128"/>
  <c r="U237" i="128"/>
  <c r="F174" i="128"/>
  <c r="J174" i="128"/>
  <c r="N174" i="128"/>
  <c r="R174" i="128"/>
  <c r="V174" i="128"/>
  <c r="Z174" i="128"/>
  <c r="AD174" i="128"/>
  <c r="C174" i="128"/>
  <c r="G174" i="128"/>
  <c r="K174" i="128"/>
  <c r="O174" i="128"/>
  <c r="S174" i="128"/>
  <c r="W174" i="128"/>
  <c r="AA174" i="128"/>
  <c r="AE174" i="128"/>
  <c r="J10" i="128"/>
  <c r="AD10" i="128"/>
  <c r="C10" i="128"/>
  <c r="G10" i="128"/>
  <c r="K10" i="128"/>
  <c r="O10" i="128"/>
  <c r="S10" i="128"/>
  <c r="W10" i="128"/>
  <c r="AA10" i="128"/>
  <c r="AE10" i="128"/>
  <c r="F10" i="128"/>
  <c r="N10" i="128"/>
  <c r="R10" i="128"/>
  <c r="V10" i="128"/>
  <c r="Z10" i="128"/>
  <c r="D301" i="128"/>
  <c r="H301" i="128"/>
  <c r="X301" i="128"/>
  <c r="T301" i="128"/>
  <c r="J301" i="128"/>
  <c r="N301" i="128"/>
  <c r="R301" i="128"/>
  <c r="Z301" i="128"/>
  <c r="AD301" i="128"/>
  <c r="C301" i="128"/>
  <c r="K301" i="128"/>
  <c r="O301" i="128"/>
  <c r="S301" i="128"/>
  <c r="W301" i="128"/>
  <c r="AA301" i="128"/>
  <c r="I301" i="128"/>
  <c r="M301" i="128"/>
  <c r="Q301" i="128"/>
  <c r="U301" i="128"/>
  <c r="Y301" i="128"/>
  <c r="AC301" i="128"/>
  <c r="AG301" i="128"/>
  <c r="L60" i="128"/>
  <c r="AE301" i="128"/>
  <c r="V301" i="128"/>
  <c r="F301" i="128"/>
  <c r="G301" i="128"/>
  <c r="E301" i="128"/>
  <c r="AE237" i="128"/>
  <c r="R237" i="128"/>
  <c r="AH224" i="128"/>
  <c r="D237" i="128"/>
  <c r="AH55" i="128"/>
  <c r="G60" i="128"/>
  <c r="K60" i="128"/>
  <c r="O60" i="128"/>
  <c r="S60" i="128"/>
  <c r="W60" i="128"/>
  <c r="AA60" i="128"/>
  <c r="AE60" i="128"/>
  <c r="P60" i="128"/>
  <c r="F60" i="128"/>
  <c r="R60" i="128"/>
  <c r="V60" i="128"/>
  <c r="Z60" i="128"/>
  <c r="M60" i="128"/>
  <c r="Q60" i="128"/>
  <c r="AC60" i="128"/>
  <c r="AG60" i="128"/>
  <c r="AP93" i="128"/>
  <c r="AN111" i="128"/>
  <c r="AH45" i="128"/>
  <c r="C43" i="128"/>
  <c r="C60" i="128" s="1"/>
  <c r="AF237" i="128"/>
  <c r="AH46" i="128"/>
  <c r="J60" i="128"/>
  <c r="N60" i="128"/>
  <c r="AD60" i="128"/>
  <c r="AH52" i="128"/>
  <c r="AH74" i="128"/>
  <c r="AH159" i="128"/>
  <c r="D174" i="128"/>
  <c r="H174" i="128"/>
  <c r="L174" i="128"/>
  <c r="P174" i="128"/>
  <c r="T174" i="128"/>
  <c r="X174" i="128"/>
  <c r="AB174" i="128"/>
  <c r="AF174" i="128"/>
  <c r="B209" i="128"/>
  <c r="AD237" i="128"/>
  <c r="AH288" i="128"/>
  <c r="H60" i="128"/>
  <c r="AF60" i="128"/>
  <c r="AH75" i="128"/>
  <c r="AB43" i="128"/>
  <c r="AB60" i="128" s="1"/>
  <c r="AH44" i="128"/>
  <c r="C113" i="127"/>
  <c r="AH10" i="128" l="1"/>
  <c r="AI45" i="128"/>
  <c r="AH43" i="128"/>
  <c r="P15" i="57"/>
  <c r="AL32" i="27"/>
  <c r="O45" i="127"/>
  <c r="O44" i="127"/>
  <c r="G1061" i="41"/>
  <c r="N45" i="127" l="1"/>
  <c r="AF45" i="126"/>
  <c r="AF44" i="126"/>
  <c r="Z44" i="126" l="1"/>
  <c r="AA52" i="126"/>
  <c r="AA45" i="126"/>
  <c r="W44" i="126" l="1"/>
  <c r="AB45" i="126"/>
  <c r="C46" i="127"/>
  <c r="J45" i="127"/>
  <c r="E44" i="127"/>
  <c r="G45" i="127"/>
  <c r="AD44" i="126"/>
  <c r="G1216" i="41" l="1"/>
  <c r="AG47" i="127" l="1"/>
  <c r="AA47" i="127"/>
  <c r="C44" i="127" l="1"/>
  <c r="F45" i="127"/>
  <c r="Y45" i="126"/>
  <c r="J115" i="126"/>
  <c r="AK32" i="27" l="1"/>
  <c r="O15" i="57"/>
  <c r="G1133" i="41" l="1"/>
  <c r="AF46" i="126"/>
  <c r="AA44" i="126" l="1"/>
  <c r="AE45" i="126"/>
  <c r="B43" i="82"/>
  <c r="B42" i="82"/>
  <c r="B41" i="82"/>
  <c r="B40" i="82"/>
  <c r="B39" i="82"/>
  <c r="B64" i="82"/>
  <c r="B57" i="82"/>
  <c r="B56" i="82"/>
  <c r="B55" i="82"/>
  <c r="B54" i="82"/>
  <c r="B53" i="82"/>
  <c r="B52" i="82"/>
  <c r="B33" i="82"/>
  <c r="B32" i="82"/>
  <c r="B13" i="82"/>
  <c r="B21" i="82"/>
  <c r="B12" i="82"/>
  <c r="B20" i="82"/>
  <c r="B11" i="82"/>
  <c r="B10" i="82"/>
  <c r="B9" i="82"/>
  <c r="G2420" i="41"/>
  <c r="G2415" i="41"/>
  <c r="G2414" i="41"/>
  <c r="G2413" i="41"/>
  <c r="G2412" i="41"/>
  <c r="G2411" i="41"/>
  <c r="G2410" i="41"/>
  <c r="G2404" i="41"/>
  <c r="G2403" i="41"/>
  <c r="G2402" i="41"/>
  <c r="G2401" i="41"/>
  <c r="G2400" i="41"/>
  <c r="G2399" i="41"/>
  <c r="G2398" i="41"/>
  <c r="G2382" i="41"/>
  <c r="G2381" i="41"/>
  <c r="G2380" i="41"/>
  <c r="G2379" i="41"/>
  <c r="G2378" i="41"/>
  <c r="G2377" i="41"/>
  <c r="G2376" i="41"/>
  <c r="G2371" i="41"/>
  <c r="G2370" i="41"/>
  <c r="O26" i="57"/>
  <c r="X44" i="126"/>
  <c r="AC45" i="126"/>
  <c r="AD45" i="126"/>
  <c r="V44" i="126" l="1"/>
  <c r="G1072" i="41" l="1"/>
  <c r="O21" i="57"/>
  <c r="AK44" i="27"/>
  <c r="G1152" i="41"/>
  <c r="X45" i="126" l="1"/>
  <c r="S44" i="126"/>
  <c r="AC52" i="127" l="1"/>
  <c r="AB52" i="127"/>
  <c r="Z52" i="127"/>
  <c r="L44" i="126" l="1"/>
  <c r="T44" i="126"/>
  <c r="W45" i="126"/>
  <c r="U45" i="126" l="1"/>
  <c r="S45" i="126"/>
  <c r="V293" i="126" l="1"/>
  <c r="AF52" i="126" l="1"/>
  <c r="P45" i="126" l="1"/>
  <c r="L45" i="126"/>
  <c r="AH65" i="126"/>
  <c r="G1071" i="41" l="1"/>
  <c r="G67" i="127" l="1"/>
  <c r="K67" i="127"/>
  <c r="O67" i="127"/>
  <c r="S67" i="127"/>
  <c r="W67" i="127"/>
  <c r="AB67" i="127"/>
  <c r="AE67" i="127"/>
  <c r="H66" i="127"/>
  <c r="I66" i="127"/>
  <c r="L66" i="127"/>
  <c r="M66" i="127"/>
  <c r="P66" i="127"/>
  <c r="Q66" i="127"/>
  <c r="T66" i="127"/>
  <c r="U66" i="127"/>
  <c r="X66" i="127"/>
  <c r="AB66" i="127"/>
  <c r="AC66" i="127"/>
  <c r="AF66" i="127"/>
  <c r="B317" i="127"/>
  <c r="O307" i="127"/>
  <c r="AH314" i="127"/>
  <c r="AG308" i="127"/>
  <c r="AF308" i="127"/>
  <c r="AE308" i="127"/>
  <c r="AD308" i="127"/>
  <c r="AC308" i="127"/>
  <c r="AB308" i="127"/>
  <c r="AA308" i="127"/>
  <c r="Z308" i="127"/>
  <c r="Y308" i="127"/>
  <c r="X308" i="127"/>
  <c r="W308" i="127"/>
  <c r="V308" i="127"/>
  <c r="U308" i="127"/>
  <c r="T308" i="127"/>
  <c r="S308" i="127"/>
  <c r="R308" i="127"/>
  <c r="Q308" i="127"/>
  <c r="P308" i="127"/>
  <c r="O308" i="127"/>
  <c r="N308" i="127"/>
  <c r="M308" i="127"/>
  <c r="L308" i="127"/>
  <c r="K308" i="127"/>
  <c r="J308" i="127"/>
  <c r="I308" i="127"/>
  <c r="H308" i="127"/>
  <c r="G308" i="127"/>
  <c r="F308" i="127"/>
  <c r="E308" i="127"/>
  <c r="D308" i="127"/>
  <c r="C308" i="127"/>
  <c r="AG307" i="127"/>
  <c r="AF307" i="127"/>
  <c r="AE307" i="127"/>
  <c r="AD307" i="127"/>
  <c r="AC307" i="127"/>
  <c r="AB307" i="127"/>
  <c r="AA307" i="127"/>
  <c r="Z307" i="127"/>
  <c r="Y307" i="127"/>
  <c r="X307" i="127"/>
  <c r="W307" i="127"/>
  <c r="V307" i="127"/>
  <c r="U307" i="127"/>
  <c r="T307" i="127"/>
  <c r="S307" i="127"/>
  <c r="R307" i="127"/>
  <c r="Q307" i="127"/>
  <c r="P307" i="127"/>
  <c r="N307" i="127"/>
  <c r="M307" i="127"/>
  <c r="L307" i="127"/>
  <c r="K307" i="127"/>
  <c r="J307" i="127"/>
  <c r="I307" i="127"/>
  <c r="H307" i="127"/>
  <c r="G307" i="127"/>
  <c r="F307" i="127"/>
  <c r="E307" i="127"/>
  <c r="D307" i="127"/>
  <c r="C307" i="127"/>
  <c r="AH298" i="127"/>
  <c r="AG296" i="127"/>
  <c r="AF296" i="127"/>
  <c r="AE296" i="127"/>
  <c r="AD296" i="127"/>
  <c r="AC296" i="127"/>
  <c r="AB296" i="127"/>
  <c r="AA296" i="127"/>
  <c r="Z296" i="127"/>
  <c r="Y296" i="127"/>
  <c r="X296" i="127"/>
  <c r="W296" i="127"/>
  <c r="V296" i="127"/>
  <c r="U296" i="127"/>
  <c r="T296" i="127"/>
  <c r="S296" i="127"/>
  <c r="R296" i="127"/>
  <c r="Q296" i="127"/>
  <c r="P296" i="127"/>
  <c r="O296" i="127"/>
  <c r="N296" i="127"/>
  <c r="M296" i="127"/>
  <c r="L296" i="127"/>
  <c r="K296" i="127"/>
  <c r="J296" i="127"/>
  <c r="I296" i="127"/>
  <c r="H296" i="127"/>
  <c r="G296" i="127"/>
  <c r="F296" i="127"/>
  <c r="E296" i="127"/>
  <c r="D296" i="127"/>
  <c r="C296" i="127"/>
  <c r="V288" i="127"/>
  <c r="AH292" i="127"/>
  <c r="AH291" i="127"/>
  <c r="AH290" i="127"/>
  <c r="AH289" i="127"/>
  <c r="AG288" i="127"/>
  <c r="AF288" i="127"/>
  <c r="AE288" i="127"/>
  <c r="AD288" i="127"/>
  <c r="AC288" i="127"/>
  <c r="AB288" i="127"/>
  <c r="AA288" i="127"/>
  <c r="Z288" i="127"/>
  <c r="Y288" i="127"/>
  <c r="X288" i="127"/>
  <c r="W288" i="127"/>
  <c r="U288" i="127"/>
  <c r="T288" i="127"/>
  <c r="S288" i="127"/>
  <c r="R288" i="127"/>
  <c r="Q288" i="127"/>
  <c r="P288" i="127"/>
  <c r="O288" i="127"/>
  <c r="N288" i="127"/>
  <c r="M288" i="127"/>
  <c r="L288" i="127"/>
  <c r="K288" i="127"/>
  <c r="J288" i="127"/>
  <c r="I288" i="127"/>
  <c r="H288" i="127"/>
  <c r="G288" i="127"/>
  <c r="F288" i="127"/>
  <c r="E288" i="127"/>
  <c r="D288" i="127"/>
  <c r="C288" i="127"/>
  <c r="B275" i="127"/>
  <c r="B274" i="127"/>
  <c r="B273" i="127" s="1"/>
  <c r="B253" i="127"/>
  <c r="AH252" i="127"/>
  <c r="AH250" i="127"/>
  <c r="AG244" i="127"/>
  <c r="AF244" i="127"/>
  <c r="AE244" i="127"/>
  <c r="AD244" i="127"/>
  <c r="AC244" i="127"/>
  <c r="AB244" i="127"/>
  <c r="AA244" i="127"/>
  <c r="Z244" i="127"/>
  <c r="Y244" i="127"/>
  <c r="X244" i="127"/>
  <c r="W244" i="127"/>
  <c r="V244" i="127"/>
  <c r="U244" i="127"/>
  <c r="T244" i="127"/>
  <c r="S244" i="127"/>
  <c r="R244" i="127"/>
  <c r="Q244" i="127"/>
  <c r="P244" i="127"/>
  <c r="O244" i="127"/>
  <c r="N244" i="127"/>
  <c r="M244" i="127"/>
  <c r="L244" i="127"/>
  <c r="K244" i="127"/>
  <c r="J244" i="127"/>
  <c r="I244" i="127"/>
  <c r="H244" i="127"/>
  <c r="G244" i="127"/>
  <c r="F244" i="127"/>
  <c r="E244" i="127"/>
  <c r="D244" i="127"/>
  <c r="C244" i="127"/>
  <c r="AG243" i="127"/>
  <c r="AF243" i="127"/>
  <c r="AE243" i="127"/>
  <c r="AD243" i="127"/>
  <c r="AC243" i="127"/>
  <c r="AB243" i="127"/>
  <c r="AA243" i="127"/>
  <c r="Z243" i="127"/>
  <c r="Y243" i="127"/>
  <c r="X243" i="127"/>
  <c r="W243" i="127"/>
  <c r="V243" i="127"/>
  <c r="U243" i="127"/>
  <c r="T243" i="127"/>
  <c r="S243" i="127"/>
  <c r="R243" i="127"/>
  <c r="Q243" i="127"/>
  <c r="P243" i="127"/>
  <c r="O243" i="127"/>
  <c r="N243" i="127"/>
  <c r="M243" i="127"/>
  <c r="L243" i="127"/>
  <c r="K243" i="127"/>
  <c r="J243" i="127"/>
  <c r="I243" i="127"/>
  <c r="H243" i="127"/>
  <c r="G243" i="127"/>
  <c r="F243" i="127"/>
  <c r="E243" i="127"/>
  <c r="D243" i="127"/>
  <c r="C243" i="127"/>
  <c r="AH234" i="127"/>
  <c r="AG232" i="127"/>
  <c r="AF232" i="127"/>
  <c r="AF237" i="127" s="1"/>
  <c r="AE232" i="127"/>
  <c r="AD232" i="127"/>
  <c r="AC232" i="127"/>
  <c r="AB232" i="127"/>
  <c r="AB237" i="127" s="1"/>
  <c r="AA232" i="127"/>
  <c r="Z232" i="127"/>
  <c r="Y232" i="127"/>
  <c r="X232" i="127"/>
  <c r="X237" i="127" s="1"/>
  <c r="W232" i="127"/>
  <c r="V232" i="127"/>
  <c r="U232" i="127"/>
  <c r="T232" i="127"/>
  <c r="T237" i="127" s="1"/>
  <c r="S232" i="127"/>
  <c r="R232" i="127"/>
  <c r="Q232" i="127"/>
  <c r="P232" i="127"/>
  <c r="P237" i="127" s="1"/>
  <c r="O232" i="127"/>
  <c r="N232" i="127"/>
  <c r="M232" i="127"/>
  <c r="L232" i="127"/>
  <c r="L237" i="127" s="1"/>
  <c r="K232" i="127"/>
  <c r="J232" i="127"/>
  <c r="I232" i="127"/>
  <c r="H232" i="127"/>
  <c r="H237" i="127" s="1"/>
  <c r="G232" i="127"/>
  <c r="F232" i="127"/>
  <c r="E232" i="127"/>
  <c r="D232" i="127"/>
  <c r="C232" i="127"/>
  <c r="AH228" i="127"/>
  <c r="AH227" i="127"/>
  <c r="AH226" i="127"/>
  <c r="AH225" i="127"/>
  <c r="AG224" i="127"/>
  <c r="AF224" i="127"/>
  <c r="AE224" i="127"/>
  <c r="AD224" i="127"/>
  <c r="AC224" i="127"/>
  <c r="AB224" i="127"/>
  <c r="AA224" i="127"/>
  <c r="Z224" i="127"/>
  <c r="Y224" i="127"/>
  <c r="X224" i="127"/>
  <c r="W224" i="127"/>
  <c r="V224" i="127"/>
  <c r="U224" i="127"/>
  <c r="T224" i="127"/>
  <c r="S224" i="127"/>
  <c r="R224" i="127"/>
  <c r="Q224" i="127"/>
  <c r="P224" i="127"/>
  <c r="O224" i="127"/>
  <c r="N224" i="127"/>
  <c r="M224" i="127"/>
  <c r="L224" i="127"/>
  <c r="K224" i="127"/>
  <c r="J224" i="127"/>
  <c r="I224" i="127"/>
  <c r="H224" i="127"/>
  <c r="G224" i="127"/>
  <c r="F224" i="127"/>
  <c r="E224" i="127"/>
  <c r="D224" i="127"/>
  <c r="C224" i="127"/>
  <c r="B211" i="127"/>
  <c r="B210" i="127"/>
  <c r="B209" i="127" s="1"/>
  <c r="B190" i="127"/>
  <c r="AG181" i="127"/>
  <c r="AF181" i="127"/>
  <c r="AE181" i="127"/>
  <c r="AD181" i="127"/>
  <c r="AC181" i="127"/>
  <c r="AB181" i="127"/>
  <c r="AA181" i="127"/>
  <c r="Z181" i="127"/>
  <c r="Y181" i="127"/>
  <c r="X181" i="127"/>
  <c r="W181" i="127"/>
  <c r="V181" i="127"/>
  <c r="U181" i="127"/>
  <c r="T181" i="127"/>
  <c r="S181" i="127"/>
  <c r="R181" i="127"/>
  <c r="Q181" i="127"/>
  <c r="P181" i="127"/>
  <c r="O181" i="127"/>
  <c r="N181" i="127"/>
  <c r="M181" i="127"/>
  <c r="L181" i="127"/>
  <c r="K181" i="127"/>
  <c r="J181" i="127"/>
  <c r="I181" i="127"/>
  <c r="H181" i="127"/>
  <c r="G181" i="127"/>
  <c r="F181" i="127"/>
  <c r="E181" i="127"/>
  <c r="D181" i="127"/>
  <c r="C181" i="127"/>
  <c r="AG180" i="127"/>
  <c r="AF180" i="127"/>
  <c r="AE180" i="127"/>
  <c r="AD180" i="127"/>
  <c r="AC180" i="127"/>
  <c r="AB180" i="127"/>
  <c r="AA180" i="127"/>
  <c r="Z180" i="127"/>
  <c r="Y180" i="127"/>
  <c r="X180" i="127"/>
  <c r="W180" i="127"/>
  <c r="V180" i="127"/>
  <c r="U180" i="127"/>
  <c r="T180" i="127"/>
  <c r="S180" i="127"/>
  <c r="R180" i="127"/>
  <c r="Q180" i="127"/>
  <c r="P180" i="127"/>
  <c r="O180" i="127"/>
  <c r="N180" i="127"/>
  <c r="M180" i="127"/>
  <c r="L180" i="127"/>
  <c r="K180" i="127"/>
  <c r="J180" i="127"/>
  <c r="I180" i="127"/>
  <c r="H180" i="127"/>
  <c r="G180" i="127"/>
  <c r="F180" i="127"/>
  <c r="E180" i="127"/>
  <c r="D180" i="127"/>
  <c r="C180" i="127"/>
  <c r="AG169" i="127"/>
  <c r="AF169" i="127"/>
  <c r="AE169" i="127"/>
  <c r="AD169" i="127"/>
  <c r="AD174" i="127" s="1"/>
  <c r="AC169" i="127"/>
  <c r="AB169" i="127"/>
  <c r="AA169" i="127"/>
  <c r="Z169" i="127"/>
  <c r="Z174" i="127" s="1"/>
  <c r="Y169" i="127"/>
  <c r="X169" i="127"/>
  <c r="W169" i="127"/>
  <c r="V169" i="127"/>
  <c r="V174" i="127" s="1"/>
  <c r="U169" i="127"/>
  <c r="T169" i="127"/>
  <c r="S169" i="127"/>
  <c r="R169" i="127"/>
  <c r="R174" i="127" s="1"/>
  <c r="Q169" i="127"/>
  <c r="P169" i="127"/>
  <c r="O169" i="127"/>
  <c r="N169" i="127"/>
  <c r="N174" i="127" s="1"/>
  <c r="M169" i="127"/>
  <c r="L169" i="127"/>
  <c r="K169" i="127"/>
  <c r="J169" i="127"/>
  <c r="J174" i="127" s="1"/>
  <c r="I169" i="127"/>
  <c r="H169" i="127"/>
  <c r="G169" i="127"/>
  <c r="F169" i="127"/>
  <c r="F174" i="127" s="1"/>
  <c r="E169" i="127"/>
  <c r="D169" i="127"/>
  <c r="C169" i="127"/>
  <c r="AH167" i="127"/>
  <c r="AH166" i="127"/>
  <c r="AH165" i="127"/>
  <c r="AH164" i="127"/>
  <c r="AH163" i="127"/>
  <c r="AH162" i="127"/>
  <c r="AH161" i="127"/>
  <c r="AH160" i="127"/>
  <c r="AG159" i="127"/>
  <c r="AF159" i="127"/>
  <c r="AE159" i="127"/>
  <c r="AD159" i="127"/>
  <c r="AC159" i="127"/>
  <c r="AB159" i="127"/>
  <c r="AA159" i="127"/>
  <c r="AA174" i="127" s="1"/>
  <c r="Z159" i="127"/>
  <c r="Y159" i="127"/>
  <c r="X159" i="127"/>
  <c r="W159" i="127"/>
  <c r="W174" i="127" s="1"/>
  <c r="V159" i="127"/>
  <c r="U159" i="127"/>
  <c r="T159" i="127"/>
  <c r="S159" i="127"/>
  <c r="S174" i="127" s="1"/>
  <c r="R159" i="127"/>
  <c r="Q159" i="127"/>
  <c r="P159" i="127"/>
  <c r="O159" i="127"/>
  <c r="O174" i="127" s="1"/>
  <c r="N159" i="127"/>
  <c r="M159" i="127"/>
  <c r="L159" i="127"/>
  <c r="K159" i="127"/>
  <c r="K174" i="127" s="1"/>
  <c r="J159" i="127"/>
  <c r="I159" i="127"/>
  <c r="H159" i="127"/>
  <c r="G159" i="127"/>
  <c r="G174" i="127" s="1"/>
  <c r="F159" i="127"/>
  <c r="E159" i="127"/>
  <c r="D159" i="127"/>
  <c r="C159" i="127"/>
  <c r="C174" i="127" s="1"/>
  <c r="B146" i="127"/>
  <c r="B145" i="127"/>
  <c r="B144" i="127" s="1"/>
  <c r="AN93" i="127"/>
  <c r="AP93" i="127" s="1"/>
  <c r="C82" i="127"/>
  <c r="B29" i="127" s="1"/>
  <c r="B28" i="127" s="1"/>
  <c r="AH79" i="127"/>
  <c r="AH78" i="127"/>
  <c r="AH77" i="127"/>
  <c r="AF67" i="127"/>
  <c r="AC67" i="127"/>
  <c r="Y67" i="127"/>
  <c r="X67" i="127"/>
  <c r="AE66" i="127"/>
  <c r="AA66" i="127"/>
  <c r="W66" i="127"/>
  <c r="AG67" i="127"/>
  <c r="AD67" i="127"/>
  <c r="AA67" i="127"/>
  <c r="Z67" i="127"/>
  <c r="V67" i="127"/>
  <c r="T67" i="127"/>
  <c r="R67" i="127"/>
  <c r="Q67" i="127"/>
  <c r="P67" i="127"/>
  <c r="N67" i="127"/>
  <c r="M67" i="127"/>
  <c r="L67" i="127"/>
  <c r="J67" i="127"/>
  <c r="I67" i="127"/>
  <c r="H67" i="127"/>
  <c r="F67" i="127"/>
  <c r="E67" i="127"/>
  <c r="D67" i="127"/>
  <c r="C67" i="127"/>
  <c r="AG66" i="127"/>
  <c r="AD66" i="127"/>
  <c r="Z66" i="127"/>
  <c r="Y66" i="127"/>
  <c r="V66" i="127"/>
  <c r="S66" i="127"/>
  <c r="R66" i="127"/>
  <c r="O66" i="127"/>
  <c r="N66" i="127"/>
  <c r="K66" i="127"/>
  <c r="J66" i="127"/>
  <c r="G66" i="127"/>
  <c r="F66" i="127"/>
  <c r="E66" i="127"/>
  <c r="D66" i="127"/>
  <c r="C66" i="127"/>
  <c r="AH65" i="127"/>
  <c r="AJ59" i="127"/>
  <c r="AJ60" i="127" s="1"/>
  <c r="AH58" i="127"/>
  <c r="AH57" i="127"/>
  <c r="AH56" i="127"/>
  <c r="AG55" i="127"/>
  <c r="AF55" i="127"/>
  <c r="AE55" i="127"/>
  <c r="AD55" i="127"/>
  <c r="AC55" i="127"/>
  <c r="AB55" i="127"/>
  <c r="AA55" i="127"/>
  <c r="Z55" i="127"/>
  <c r="Y55" i="127"/>
  <c r="X55" i="127"/>
  <c r="W55" i="127"/>
  <c r="V55" i="127"/>
  <c r="U55" i="127"/>
  <c r="T55" i="127"/>
  <c r="S55" i="127"/>
  <c r="R55" i="127"/>
  <c r="Q55" i="127"/>
  <c r="P55" i="127"/>
  <c r="O55" i="127"/>
  <c r="N55" i="127"/>
  <c r="M55" i="127"/>
  <c r="L55" i="127"/>
  <c r="K55" i="127"/>
  <c r="J55" i="127"/>
  <c r="I55" i="127"/>
  <c r="H55" i="127"/>
  <c r="G55" i="127"/>
  <c r="F55" i="127"/>
  <c r="E55" i="127"/>
  <c r="D55" i="127"/>
  <c r="C55" i="127"/>
  <c r="AH54" i="127"/>
  <c r="AH53" i="127"/>
  <c r="AH52" i="127"/>
  <c r="AH51" i="127"/>
  <c r="AH49" i="127"/>
  <c r="AH48" i="127"/>
  <c r="AH47" i="127"/>
  <c r="AH46" i="127"/>
  <c r="AE43" i="127"/>
  <c r="N43" i="127"/>
  <c r="G43" i="127"/>
  <c r="V43" i="127"/>
  <c r="M43" i="127"/>
  <c r="L43" i="127"/>
  <c r="AG43" i="127"/>
  <c r="AF43" i="127"/>
  <c r="AD43" i="127"/>
  <c r="AC43" i="127"/>
  <c r="AB43" i="127"/>
  <c r="AA43" i="127"/>
  <c r="Z43" i="127"/>
  <c r="Y43" i="127"/>
  <c r="X43" i="127"/>
  <c r="W43" i="127"/>
  <c r="U43" i="127"/>
  <c r="T43" i="127"/>
  <c r="S43" i="127"/>
  <c r="R43" i="127"/>
  <c r="Q43" i="127"/>
  <c r="P43" i="127"/>
  <c r="O43" i="127"/>
  <c r="K43" i="127"/>
  <c r="I43" i="127"/>
  <c r="H43" i="127"/>
  <c r="F43" i="127"/>
  <c r="D43" i="127"/>
  <c r="C43" i="127"/>
  <c r="AH42" i="127"/>
  <c r="AG13" i="127"/>
  <c r="AF13" i="127"/>
  <c r="AE13" i="127"/>
  <c r="AD13" i="127"/>
  <c r="AC13" i="127"/>
  <c r="AB13" i="127"/>
  <c r="AA13" i="127"/>
  <c r="Z13" i="127"/>
  <c r="Y13" i="127"/>
  <c r="X13" i="127"/>
  <c r="W13" i="127"/>
  <c r="V13" i="127"/>
  <c r="U13" i="127"/>
  <c r="T13" i="127"/>
  <c r="S13" i="127"/>
  <c r="R13" i="127"/>
  <c r="Q13" i="127"/>
  <c r="P13" i="127"/>
  <c r="O13" i="127"/>
  <c r="N13" i="127"/>
  <c r="M13" i="127"/>
  <c r="L13" i="127"/>
  <c r="K13" i="127"/>
  <c r="J13" i="127"/>
  <c r="I13" i="127"/>
  <c r="H13" i="127"/>
  <c r="G13" i="127"/>
  <c r="F13" i="127"/>
  <c r="E13" i="127"/>
  <c r="D13" i="127"/>
  <c r="C13" i="127"/>
  <c r="AG12" i="127"/>
  <c r="AF12" i="127"/>
  <c r="AE12" i="127"/>
  <c r="AD12" i="127"/>
  <c r="AC12" i="127"/>
  <c r="AB12" i="127"/>
  <c r="AA12" i="127"/>
  <c r="Z12" i="127"/>
  <c r="Y12" i="127"/>
  <c r="X12" i="127"/>
  <c r="W12" i="127"/>
  <c r="V12" i="127"/>
  <c r="U12" i="127"/>
  <c r="T12" i="127"/>
  <c r="S12" i="127"/>
  <c r="R12" i="127"/>
  <c r="Q12" i="127"/>
  <c r="P12" i="127"/>
  <c r="O12" i="127"/>
  <c r="N12" i="127"/>
  <c r="M12" i="127"/>
  <c r="L12" i="127"/>
  <c r="K12" i="127"/>
  <c r="J12" i="127"/>
  <c r="I12" i="127"/>
  <c r="H12" i="127"/>
  <c r="G12" i="127"/>
  <c r="F12" i="127"/>
  <c r="E12" i="127"/>
  <c r="D12" i="127"/>
  <c r="C12" i="127"/>
  <c r="AG11" i="127"/>
  <c r="AF11" i="127"/>
  <c r="AE11" i="127"/>
  <c r="AD11" i="127"/>
  <c r="AC11" i="127"/>
  <c r="AB11" i="127"/>
  <c r="AA11" i="127"/>
  <c r="Z11" i="127"/>
  <c r="Y11" i="127"/>
  <c r="X11" i="127"/>
  <c r="W11" i="127"/>
  <c r="V11" i="127"/>
  <c r="U11" i="127"/>
  <c r="T11" i="127"/>
  <c r="S11" i="127"/>
  <c r="R11" i="127"/>
  <c r="Q11" i="127"/>
  <c r="P11" i="127"/>
  <c r="O11" i="127"/>
  <c r="N11" i="127"/>
  <c r="M11" i="127"/>
  <c r="L11" i="127"/>
  <c r="K11" i="127"/>
  <c r="J11" i="127"/>
  <c r="I11" i="127"/>
  <c r="H11" i="127"/>
  <c r="G11" i="127"/>
  <c r="F11" i="127"/>
  <c r="E11" i="127"/>
  <c r="D11" i="127"/>
  <c r="C11" i="127"/>
  <c r="Q44" i="126"/>
  <c r="Q50" i="126"/>
  <c r="M44" i="126"/>
  <c r="R45" i="126"/>
  <c r="Q45" i="126"/>
  <c r="G44" i="126"/>
  <c r="P50" i="126"/>
  <c r="O44" i="126"/>
  <c r="G1055" i="41"/>
  <c r="AN111" i="127" l="1"/>
  <c r="F10" i="127"/>
  <c r="J10" i="127"/>
  <c r="N10" i="127"/>
  <c r="R10" i="127"/>
  <c r="V10" i="127"/>
  <c r="Z10" i="127"/>
  <c r="AD10" i="127"/>
  <c r="AE174" i="127"/>
  <c r="D237" i="127"/>
  <c r="F301" i="127"/>
  <c r="J301" i="127"/>
  <c r="N301" i="127"/>
  <c r="R301" i="127"/>
  <c r="AG10" i="127"/>
  <c r="E10" i="127"/>
  <c r="F60" i="127"/>
  <c r="N60" i="127"/>
  <c r="AC10" i="127"/>
  <c r="D10" i="127"/>
  <c r="L10" i="127"/>
  <c r="T10" i="127"/>
  <c r="X10" i="127"/>
  <c r="AF10" i="127"/>
  <c r="I10" i="127"/>
  <c r="M10" i="127"/>
  <c r="Q10" i="127"/>
  <c r="U10" i="127"/>
  <c r="Y10" i="127"/>
  <c r="H10" i="127"/>
  <c r="P10" i="127"/>
  <c r="AB10" i="127"/>
  <c r="V60" i="127"/>
  <c r="E174" i="127"/>
  <c r="M174" i="127"/>
  <c r="U174" i="127"/>
  <c r="AC174" i="127"/>
  <c r="G237" i="127"/>
  <c r="O237" i="127"/>
  <c r="W237" i="127"/>
  <c r="AA237" i="127"/>
  <c r="E237" i="127"/>
  <c r="I237" i="127"/>
  <c r="M237" i="127"/>
  <c r="U237" i="127"/>
  <c r="Y237" i="127"/>
  <c r="AC237" i="127"/>
  <c r="AG237" i="127"/>
  <c r="C301" i="127"/>
  <c r="AE301" i="127"/>
  <c r="AD301" i="127"/>
  <c r="R60" i="127"/>
  <c r="I174" i="127"/>
  <c r="Q174" i="127"/>
  <c r="Y174" i="127"/>
  <c r="AG174" i="127"/>
  <c r="C237" i="127"/>
  <c r="K237" i="127"/>
  <c r="AE237" i="127"/>
  <c r="E301" i="127"/>
  <c r="AG301" i="127"/>
  <c r="AG60" i="127"/>
  <c r="F237" i="127"/>
  <c r="J237" i="127"/>
  <c r="N237" i="127"/>
  <c r="V237" i="127"/>
  <c r="Z237" i="127"/>
  <c r="AD237" i="127"/>
  <c r="D301" i="127"/>
  <c r="AF301" i="127"/>
  <c r="C10" i="127"/>
  <c r="G10" i="127"/>
  <c r="K10" i="127"/>
  <c r="O10" i="127"/>
  <c r="W10" i="127"/>
  <c r="AA10" i="127"/>
  <c r="AE10" i="127"/>
  <c r="S10" i="127"/>
  <c r="I301" i="127"/>
  <c r="M301" i="127"/>
  <c r="Q301" i="127"/>
  <c r="U301" i="127"/>
  <c r="Y301" i="127"/>
  <c r="AC301" i="127"/>
  <c r="G301" i="127"/>
  <c r="K301" i="127"/>
  <c r="O301" i="127"/>
  <c r="S301" i="127"/>
  <c r="W301" i="127"/>
  <c r="AA301" i="127"/>
  <c r="Z301" i="127"/>
  <c r="H301" i="127"/>
  <c r="L301" i="127"/>
  <c r="P301" i="127"/>
  <c r="T301" i="127"/>
  <c r="X301" i="127"/>
  <c r="AB301" i="127"/>
  <c r="S237" i="127"/>
  <c r="Q237" i="127"/>
  <c r="R237" i="127"/>
  <c r="AH224" i="127"/>
  <c r="D174" i="127"/>
  <c r="H174" i="127"/>
  <c r="L174" i="127"/>
  <c r="P174" i="127"/>
  <c r="T174" i="127"/>
  <c r="X174" i="127"/>
  <c r="AB174" i="127"/>
  <c r="AF174" i="127"/>
  <c r="AH159" i="127"/>
  <c r="AD60" i="127"/>
  <c r="M60" i="127"/>
  <c r="Q60" i="127"/>
  <c r="U60" i="127"/>
  <c r="Y60" i="127"/>
  <c r="AC60" i="127"/>
  <c r="D60" i="127"/>
  <c r="H60" i="127"/>
  <c r="P60" i="127"/>
  <c r="T60" i="127"/>
  <c r="X60" i="127"/>
  <c r="AB60" i="127"/>
  <c r="AF60" i="127"/>
  <c r="Z60" i="127"/>
  <c r="I60" i="127"/>
  <c r="K60" i="127"/>
  <c r="W60" i="127"/>
  <c r="AA60" i="127"/>
  <c r="AH50" i="127"/>
  <c r="J43" i="127"/>
  <c r="J60" i="127" s="1"/>
  <c r="U67" i="127"/>
  <c r="AH75" i="127"/>
  <c r="AH55" i="127"/>
  <c r="V301" i="127"/>
  <c r="AH45" i="127"/>
  <c r="L60" i="127"/>
  <c r="AH74" i="127"/>
  <c r="AH44" i="127"/>
  <c r="E43" i="127"/>
  <c r="C60" i="127"/>
  <c r="G60" i="127"/>
  <c r="O60" i="127"/>
  <c r="S60" i="127"/>
  <c r="AE60" i="127"/>
  <c r="AH288" i="127"/>
  <c r="N45" i="126"/>
  <c r="AH10" i="127" l="1"/>
  <c r="AH43" i="127"/>
  <c r="AI45" i="127"/>
  <c r="E60" i="127"/>
  <c r="G1132" i="41"/>
  <c r="J44" i="126" l="1"/>
  <c r="K45" i="126"/>
  <c r="G45" i="126"/>
  <c r="C109" i="124" l="1"/>
  <c r="C111" i="124"/>
  <c r="J50" i="126" l="1"/>
  <c r="AK55" i="27" l="1"/>
  <c r="G1134" i="41"/>
  <c r="AK62" i="27" l="1"/>
  <c r="F45" i="126"/>
  <c r="H45" i="126"/>
  <c r="G1110" i="41" l="1"/>
  <c r="E44" i="126" l="1"/>
  <c r="E45" i="126"/>
  <c r="O32" i="57"/>
  <c r="AG44" i="124"/>
  <c r="AD44" i="124"/>
  <c r="C52" i="126"/>
  <c r="G1068" i="41" l="1"/>
  <c r="G1050" i="41"/>
  <c r="G1025" i="41"/>
  <c r="G1026" i="41"/>
  <c r="G1027" i="41"/>
  <c r="G1028" i="41"/>
  <c r="G1029" i="41"/>
  <c r="G1030" i="41"/>
  <c r="G1031" i="41"/>
  <c r="G1032" i="41"/>
  <c r="G1033" i="41"/>
  <c r="G1034" i="41"/>
  <c r="G1035" i="41"/>
  <c r="G1036" i="41"/>
  <c r="G1037" i="41"/>
  <c r="G1038" i="41"/>
  <c r="G1039" i="41"/>
  <c r="G1040" i="41"/>
  <c r="G1041" i="41"/>
  <c r="G1042" i="41"/>
  <c r="G1043" i="41"/>
  <c r="G1044" i="41"/>
  <c r="G1045" i="41"/>
  <c r="G1046" i="41"/>
  <c r="G1047" i="41"/>
  <c r="G1048" i="41"/>
  <c r="G1049" i="41"/>
  <c r="G1024" i="41"/>
  <c r="AA44" i="124"/>
  <c r="C46" i="126"/>
  <c r="AE45" i="124" l="1"/>
  <c r="AA45" i="124"/>
  <c r="AG45" i="124"/>
  <c r="AF45" i="124" l="1"/>
  <c r="AD45" i="124"/>
  <c r="AC45" i="124"/>
  <c r="AB50" i="124"/>
  <c r="X44" i="124"/>
  <c r="AB45" i="124"/>
  <c r="Z45" i="124"/>
  <c r="C121" i="124"/>
  <c r="N32" i="57"/>
  <c r="AJ62" i="27"/>
  <c r="G1215" i="41" l="1"/>
  <c r="G1214" i="41" l="1"/>
  <c r="T44" i="124"/>
  <c r="G1213" i="41"/>
  <c r="V44" i="124"/>
  <c r="Y45" i="124"/>
  <c r="X45" i="124"/>
  <c r="U44" i="124"/>
  <c r="W45" i="124"/>
  <c r="V47" i="124" l="1"/>
  <c r="V45" i="124"/>
  <c r="U45" i="124" l="1"/>
  <c r="G1074" i="41" l="1"/>
  <c r="I67" i="126"/>
  <c r="J67" i="126"/>
  <c r="N67" i="126"/>
  <c r="R67" i="126"/>
  <c r="Y67" i="126"/>
  <c r="Z67" i="126"/>
  <c r="AC67" i="126"/>
  <c r="AD67" i="126"/>
  <c r="G67" i="126"/>
  <c r="H66" i="126"/>
  <c r="J66" i="126"/>
  <c r="L66" i="126"/>
  <c r="Q74" i="126"/>
  <c r="Q66" i="126" s="1"/>
  <c r="T66" i="126"/>
  <c r="X66" i="126"/>
  <c r="AB66" i="126"/>
  <c r="AC66" i="126"/>
  <c r="AF66" i="126"/>
  <c r="G66" i="126"/>
  <c r="B317" i="126"/>
  <c r="S307" i="126"/>
  <c r="O315" i="126"/>
  <c r="O307" i="126" s="1"/>
  <c r="AH314" i="126"/>
  <c r="AG308" i="126"/>
  <c r="AF308" i="126"/>
  <c r="AE308" i="126"/>
  <c r="AD308" i="126"/>
  <c r="AC308" i="126"/>
  <c r="AB308" i="126"/>
  <c r="AA308" i="126"/>
  <c r="Z308" i="126"/>
  <c r="Y308" i="126"/>
  <c r="X308" i="126"/>
  <c r="W308" i="126"/>
  <c r="V308" i="126"/>
  <c r="U308" i="126"/>
  <c r="T308" i="126"/>
  <c r="S308" i="126"/>
  <c r="R308" i="126"/>
  <c r="Q308" i="126"/>
  <c r="P308" i="126"/>
  <c r="O308" i="126"/>
  <c r="N308" i="126"/>
  <c r="M308" i="126"/>
  <c r="L308" i="126"/>
  <c r="K308" i="126"/>
  <c r="J308" i="126"/>
  <c r="I308" i="126"/>
  <c r="H308" i="126"/>
  <c r="G308" i="126"/>
  <c r="F308" i="126"/>
  <c r="E308" i="126"/>
  <c r="D308" i="126"/>
  <c r="C308" i="126"/>
  <c r="AG307" i="126"/>
  <c r="AF307" i="126"/>
  <c r="AE307" i="126"/>
  <c r="AD307" i="126"/>
  <c r="AC307" i="126"/>
  <c r="AB307" i="126"/>
  <c r="AA307" i="126"/>
  <c r="Z307" i="126"/>
  <c r="Y307" i="126"/>
  <c r="X307" i="126"/>
  <c r="W307" i="126"/>
  <c r="V307" i="126"/>
  <c r="U307" i="126"/>
  <c r="T307" i="126"/>
  <c r="R307" i="126"/>
  <c r="Q307" i="126"/>
  <c r="P307" i="126"/>
  <c r="N307" i="126"/>
  <c r="M307" i="126"/>
  <c r="L307" i="126"/>
  <c r="K307" i="126"/>
  <c r="J307" i="126"/>
  <c r="I307" i="126"/>
  <c r="H307" i="126"/>
  <c r="G307" i="126"/>
  <c r="F307" i="126"/>
  <c r="E307" i="126"/>
  <c r="D307" i="126"/>
  <c r="C307" i="126"/>
  <c r="AH298" i="126"/>
  <c r="AG296" i="126"/>
  <c r="AF296" i="126"/>
  <c r="AE296" i="126"/>
  <c r="AD296" i="126"/>
  <c r="AC296" i="126"/>
  <c r="AB296" i="126"/>
  <c r="AA296" i="126"/>
  <c r="Z296" i="126"/>
  <c r="Y296" i="126"/>
  <c r="X296" i="126"/>
  <c r="W296" i="126"/>
  <c r="V296" i="126"/>
  <c r="U296" i="126"/>
  <c r="T296" i="126"/>
  <c r="S296" i="126"/>
  <c r="R296" i="126"/>
  <c r="Q296" i="126"/>
  <c r="P296" i="126"/>
  <c r="O296" i="126"/>
  <c r="N296" i="126"/>
  <c r="M296" i="126"/>
  <c r="L296" i="126"/>
  <c r="K296" i="126"/>
  <c r="J296" i="126"/>
  <c r="I296" i="126"/>
  <c r="H296" i="126"/>
  <c r="G296" i="126"/>
  <c r="F296" i="126"/>
  <c r="E296" i="126"/>
  <c r="D296" i="126"/>
  <c r="C296" i="126"/>
  <c r="AH292" i="126"/>
  <c r="AH291" i="126"/>
  <c r="AH290" i="126"/>
  <c r="AH289" i="126"/>
  <c r="AG288" i="126"/>
  <c r="AF288" i="126"/>
  <c r="AE288" i="126"/>
  <c r="AD288" i="126"/>
  <c r="AC288" i="126"/>
  <c r="AB288" i="126"/>
  <c r="AA288" i="126"/>
  <c r="Z288" i="126"/>
  <c r="Y288" i="126"/>
  <c r="X288" i="126"/>
  <c r="W288" i="126"/>
  <c r="V288" i="126"/>
  <c r="U288" i="126"/>
  <c r="T288" i="126"/>
  <c r="S288" i="126"/>
  <c r="R288" i="126"/>
  <c r="Q288" i="126"/>
  <c r="P288" i="126"/>
  <c r="O288" i="126"/>
  <c r="N288" i="126"/>
  <c r="M288" i="126"/>
  <c r="L288" i="126"/>
  <c r="K288" i="126"/>
  <c r="J288" i="126"/>
  <c r="I288" i="126"/>
  <c r="H288" i="126"/>
  <c r="G288" i="126"/>
  <c r="F288" i="126"/>
  <c r="E288" i="126"/>
  <c r="D288" i="126"/>
  <c r="C288" i="126"/>
  <c r="B275" i="126"/>
  <c r="B274" i="126"/>
  <c r="B253" i="126"/>
  <c r="AH252" i="126"/>
  <c r="AH250" i="126"/>
  <c r="AG244" i="126"/>
  <c r="AF244" i="126"/>
  <c r="AE244" i="126"/>
  <c r="AD244" i="126"/>
  <c r="AC244" i="126"/>
  <c r="AB244" i="126"/>
  <c r="AA244" i="126"/>
  <c r="Z244" i="126"/>
  <c r="Y244" i="126"/>
  <c r="X244" i="126"/>
  <c r="W244" i="126"/>
  <c r="V244" i="126"/>
  <c r="U244" i="126"/>
  <c r="T244" i="126"/>
  <c r="S244" i="126"/>
  <c r="R244" i="126"/>
  <c r="Q244" i="126"/>
  <c r="P244" i="126"/>
  <c r="O244" i="126"/>
  <c r="N244" i="126"/>
  <c r="M244" i="126"/>
  <c r="L244" i="126"/>
  <c r="K244" i="126"/>
  <c r="J244" i="126"/>
  <c r="I244" i="126"/>
  <c r="H244" i="126"/>
  <c r="G244" i="126"/>
  <c r="F244" i="126"/>
  <c r="E244" i="126"/>
  <c r="D244" i="126"/>
  <c r="C244" i="126"/>
  <c r="AG243" i="126"/>
  <c r="AF243" i="126"/>
  <c r="AE243" i="126"/>
  <c r="AD243" i="126"/>
  <c r="AC243" i="126"/>
  <c r="AB243" i="126"/>
  <c r="AA243" i="126"/>
  <c r="Z243" i="126"/>
  <c r="Y243" i="126"/>
  <c r="X243" i="126"/>
  <c r="W243" i="126"/>
  <c r="V243" i="126"/>
  <c r="U243" i="126"/>
  <c r="T243" i="126"/>
  <c r="S243" i="126"/>
  <c r="R243" i="126"/>
  <c r="Q243" i="126"/>
  <c r="P243" i="126"/>
  <c r="O243" i="126"/>
  <c r="N243" i="126"/>
  <c r="M243" i="126"/>
  <c r="L243" i="126"/>
  <c r="K243" i="126"/>
  <c r="J243" i="126"/>
  <c r="I243" i="126"/>
  <c r="H243" i="126"/>
  <c r="G243" i="126"/>
  <c r="F243" i="126"/>
  <c r="E243" i="126"/>
  <c r="D243" i="126"/>
  <c r="C243" i="126"/>
  <c r="AH234" i="126"/>
  <c r="AG232" i="126"/>
  <c r="AG237" i="126" s="1"/>
  <c r="AF232" i="126"/>
  <c r="AE232" i="126"/>
  <c r="AD232" i="126"/>
  <c r="AC232" i="126"/>
  <c r="AB232" i="126"/>
  <c r="AA232" i="126"/>
  <c r="Z232" i="126"/>
  <c r="Y232" i="126"/>
  <c r="Y237" i="126" s="1"/>
  <c r="X232" i="126"/>
  <c r="W232" i="126"/>
  <c r="V232" i="126"/>
  <c r="U232" i="126"/>
  <c r="U237" i="126" s="1"/>
  <c r="T232" i="126"/>
  <c r="S232" i="126"/>
  <c r="R232" i="126"/>
  <c r="Q232" i="126"/>
  <c r="Q237" i="126" s="1"/>
  <c r="P232" i="126"/>
  <c r="O232" i="126"/>
  <c r="N232" i="126"/>
  <c r="M232" i="126"/>
  <c r="L232" i="126"/>
  <c r="K232" i="126"/>
  <c r="J232" i="126"/>
  <c r="I232" i="126"/>
  <c r="H232" i="126"/>
  <c r="G232" i="126"/>
  <c r="F232" i="126"/>
  <c r="E232" i="126"/>
  <c r="E237" i="126" s="1"/>
  <c r="D232" i="126"/>
  <c r="C232" i="126"/>
  <c r="AH228" i="126"/>
  <c r="AH227" i="126"/>
  <c r="AH226" i="126"/>
  <c r="AH225" i="126"/>
  <c r="AG224" i="126"/>
  <c r="AF224" i="126"/>
  <c r="AE224" i="126"/>
  <c r="AD224" i="126"/>
  <c r="AC224" i="126"/>
  <c r="AB224" i="126"/>
  <c r="AA224" i="126"/>
  <c r="Z224" i="126"/>
  <c r="Y224" i="126"/>
  <c r="X224" i="126"/>
  <c r="W224" i="126"/>
  <c r="V224" i="126"/>
  <c r="U224" i="126"/>
  <c r="T224" i="126"/>
  <c r="S224" i="126"/>
  <c r="R224" i="126"/>
  <c r="Q224" i="126"/>
  <c r="P224" i="126"/>
  <c r="O224" i="126"/>
  <c r="N224" i="126"/>
  <c r="M224" i="126"/>
  <c r="L224" i="126"/>
  <c r="K224" i="126"/>
  <c r="J224" i="126"/>
  <c r="I224" i="126"/>
  <c r="H224" i="126"/>
  <c r="G224" i="126"/>
  <c r="F224" i="126"/>
  <c r="E224" i="126"/>
  <c r="D224" i="126"/>
  <c r="C224" i="126"/>
  <c r="B211" i="126"/>
  <c r="B210" i="126"/>
  <c r="B209" i="126" s="1"/>
  <c r="B190" i="126"/>
  <c r="AG181" i="126"/>
  <c r="AF181" i="126"/>
  <c r="AE181" i="126"/>
  <c r="AD181" i="126"/>
  <c r="AC181" i="126"/>
  <c r="AB181" i="126"/>
  <c r="AA181" i="126"/>
  <c r="Z181" i="126"/>
  <c r="Y181" i="126"/>
  <c r="X181" i="126"/>
  <c r="W181" i="126"/>
  <c r="V181" i="126"/>
  <c r="U181" i="126"/>
  <c r="T181" i="126"/>
  <c r="S181" i="126"/>
  <c r="R181" i="126"/>
  <c r="Q181" i="126"/>
  <c r="P181" i="126"/>
  <c r="O181" i="126"/>
  <c r="N181" i="126"/>
  <c r="M181" i="126"/>
  <c r="L181" i="126"/>
  <c r="K181" i="126"/>
  <c r="J181" i="126"/>
  <c r="I181" i="126"/>
  <c r="H181" i="126"/>
  <c r="G181" i="126"/>
  <c r="F181" i="126"/>
  <c r="E181" i="126"/>
  <c r="D181" i="126"/>
  <c r="C181" i="126"/>
  <c r="AG180" i="126"/>
  <c r="AF180" i="126"/>
  <c r="AE180" i="126"/>
  <c r="AD180" i="126"/>
  <c r="AC180" i="126"/>
  <c r="AB180" i="126"/>
  <c r="AA180" i="126"/>
  <c r="Z180" i="126"/>
  <c r="Y180" i="126"/>
  <c r="X180" i="126"/>
  <c r="W180" i="126"/>
  <c r="V180" i="126"/>
  <c r="U180" i="126"/>
  <c r="T180" i="126"/>
  <c r="S180" i="126"/>
  <c r="R180" i="126"/>
  <c r="Q180" i="126"/>
  <c r="P180" i="126"/>
  <c r="O180" i="126"/>
  <c r="N180" i="126"/>
  <c r="M180" i="126"/>
  <c r="L180" i="126"/>
  <c r="K180" i="126"/>
  <c r="J180" i="126"/>
  <c r="I180" i="126"/>
  <c r="H180" i="126"/>
  <c r="G180" i="126"/>
  <c r="F180" i="126"/>
  <c r="E180" i="126"/>
  <c r="D180" i="126"/>
  <c r="C180" i="126"/>
  <c r="AG169" i="126"/>
  <c r="AF169" i="126"/>
  <c r="AE169" i="126"/>
  <c r="AE174" i="126" s="1"/>
  <c r="AD169" i="126"/>
  <c r="AC169" i="126"/>
  <c r="AB169" i="126"/>
  <c r="AA169" i="126"/>
  <c r="AA174" i="126" s="1"/>
  <c r="Z169" i="126"/>
  <c r="Y169" i="126"/>
  <c r="X169" i="126"/>
  <c r="W169" i="126"/>
  <c r="W174" i="126" s="1"/>
  <c r="V169" i="126"/>
  <c r="V174" i="126" s="1"/>
  <c r="U169" i="126"/>
  <c r="U174" i="126" s="1"/>
  <c r="T169" i="126"/>
  <c r="T174" i="126" s="1"/>
  <c r="S169" i="126"/>
  <c r="S174" i="126" s="1"/>
  <c r="R169" i="126"/>
  <c r="R174" i="126" s="1"/>
  <c r="Q169" i="126"/>
  <c r="Q174" i="126" s="1"/>
  <c r="P169" i="126"/>
  <c r="O169" i="126"/>
  <c r="O174" i="126" s="1"/>
  <c r="N169" i="126"/>
  <c r="M169" i="126"/>
  <c r="M174" i="126" s="1"/>
  <c r="L169" i="126"/>
  <c r="K169" i="126"/>
  <c r="K174" i="126" s="1"/>
  <c r="J169" i="126"/>
  <c r="J174" i="126" s="1"/>
  <c r="I169" i="126"/>
  <c r="I174" i="126" s="1"/>
  <c r="H169" i="126"/>
  <c r="G169" i="126"/>
  <c r="F169" i="126"/>
  <c r="F174" i="126" s="1"/>
  <c r="E169" i="126"/>
  <c r="D169" i="126"/>
  <c r="C169" i="126"/>
  <c r="AH167" i="126"/>
  <c r="AH166" i="126"/>
  <c r="AH165" i="126"/>
  <c r="AH164" i="126"/>
  <c r="AH163" i="126"/>
  <c r="AH162" i="126"/>
  <c r="AH161" i="126"/>
  <c r="AH160" i="126"/>
  <c r="AG159" i="126"/>
  <c r="AF159" i="126"/>
  <c r="AF174" i="126" s="1"/>
  <c r="AE159" i="126"/>
  <c r="AD159" i="126"/>
  <c r="AC159" i="126"/>
  <c r="AB159" i="126"/>
  <c r="AB174" i="126" s="1"/>
  <c r="AA159" i="126"/>
  <c r="Z159" i="126"/>
  <c r="Y159" i="126"/>
  <c r="X159" i="126"/>
  <c r="X174" i="126" s="1"/>
  <c r="W159" i="126"/>
  <c r="V159" i="126"/>
  <c r="U159" i="126"/>
  <c r="T159" i="126"/>
  <c r="S159" i="126"/>
  <c r="R159" i="126"/>
  <c r="Q159" i="126"/>
  <c r="P159" i="126"/>
  <c r="P174" i="126" s="1"/>
  <c r="O159" i="126"/>
  <c r="N159" i="126"/>
  <c r="M159" i="126"/>
  <c r="L159" i="126"/>
  <c r="L174" i="126" s="1"/>
  <c r="K159" i="126"/>
  <c r="J159" i="126"/>
  <c r="I159" i="126"/>
  <c r="H159" i="126"/>
  <c r="H174" i="126" s="1"/>
  <c r="G159" i="126"/>
  <c r="F159" i="126"/>
  <c r="E159" i="126"/>
  <c r="D159" i="126"/>
  <c r="D174" i="126" s="1"/>
  <c r="C159" i="126"/>
  <c r="B146" i="126"/>
  <c r="B145" i="126"/>
  <c r="B144" i="126" s="1"/>
  <c r="AN93" i="126"/>
  <c r="C82" i="126"/>
  <c r="B29" i="126" s="1"/>
  <c r="B28" i="126" s="1"/>
  <c r="AH79" i="126"/>
  <c r="AH78" i="126"/>
  <c r="AH77" i="126"/>
  <c r="AB67" i="126"/>
  <c r="AA67" i="126"/>
  <c r="W67" i="126"/>
  <c r="V67" i="126"/>
  <c r="Y66" i="126"/>
  <c r="U66" i="126"/>
  <c r="R66" i="126"/>
  <c r="P66" i="126"/>
  <c r="AG67" i="126"/>
  <c r="AF67" i="126"/>
  <c r="AE67" i="126"/>
  <c r="X67" i="126"/>
  <c r="U67" i="126"/>
  <c r="T67" i="126"/>
  <c r="S67" i="126"/>
  <c r="Q67" i="126"/>
  <c r="P67" i="126"/>
  <c r="O67" i="126"/>
  <c r="M67" i="126"/>
  <c r="L67" i="126"/>
  <c r="K67" i="126"/>
  <c r="H67" i="126"/>
  <c r="F67" i="126"/>
  <c r="E67" i="126"/>
  <c r="D67" i="126"/>
  <c r="C67" i="126"/>
  <c r="AG66" i="126"/>
  <c r="AE66" i="126"/>
  <c r="AD66" i="126"/>
  <c r="AA66" i="126"/>
  <c r="Z66" i="126"/>
  <c r="W66" i="126"/>
  <c r="V66" i="126"/>
  <c r="S66" i="126"/>
  <c r="O66" i="126"/>
  <c r="N66" i="126"/>
  <c r="M66" i="126"/>
  <c r="K66" i="126"/>
  <c r="I66" i="126"/>
  <c r="F66" i="126"/>
  <c r="E66" i="126"/>
  <c r="D66" i="126"/>
  <c r="C66" i="126"/>
  <c r="AJ59" i="126"/>
  <c r="AJ60" i="126" s="1"/>
  <c r="AH58" i="126"/>
  <c r="AH57" i="126"/>
  <c r="AH56" i="126"/>
  <c r="AG55" i="126"/>
  <c r="AG60" i="126" s="1"/>
  <c r="AF55" i="126"/>
  <c r="AE55" i="126"/>
  <c r="AD55" i="126"/>
  <c r="AC55" i="126"/>
  <c r="AB55" i="126"/>
  <c r="AA55" i="126"/>
  <c r="Z55" i="126"/>
  <c r="Y55" i="126"/>
  <c r="X55" i="126"/>
  <c r="W55" i="126"/>
  <c r="V55" i="126"/>
  <c r="U55" i="126"/>
  <c r="T55" i="126"/>
  <c r="S55" i="126"/>
  <c r="R55" i="126"/>
  <c r="Q55" i="126"/>
  <c r="P55" i="126"/>
  <c r="O55" i="126"/>
  <c r="N55" i="126"/>
  <c r="M55" i="126"/>
  <c r="L55" i="126"/>
  <c r="K55" i="126"/>
  <c r="J55" i="126"/>
  <c r="I55" i="126"/>
  <c r="H55" i="126"/>
  <c r="G55" i="126"/>
  <c r="F55" i="126"/>
  <c r="E55" i="126"/>
  <c r="D55" i="126"/>
  <c r="C55" i="126"/>
  <c r="AH54" i="126"/>
  <c r="AH53" i="126"/>
  <c r="AH52" i="126"/>
  <c r="AH51" i="126"/>
  <c r="AH50" i="126"/>
  <c r="AH49" i="126"/>
  <c r="AH48" i="126"/>
  <c r="AH47" i="126"/>
  <c r="S43" i="126"/>
  <c r="R43" i="126"/>
  <c r="I43" i="126"/>
  <c r="O43" i="126"/>
  <c r="N43" i="126"/>
  <c r="G43" i="126"/>
  <c r="AG43" i="126"/>
  <c r="AF43" i="126"/>
  <c r="AE43" i="126"/>
  <c r="AD43" i="126"/>
  <c r="AC43" i="126"/>
  <c r="AB43" i="126"/>
  <c r="AA43" i="126"/>
  <c r="Z43" i="126"/>
  <c r="Y43" i="126"/>
  <c r="X43" i="126"/>
  <c r="W43" i="126"/>
  <c r="V43" i="126"/>
  <c r="U43" i="126"/>
  <c r="T43" i="126"/>
  <c r="Q43" i="126"/>
  <c r="P43" i="126"/>
  <c r="M43" i="126"/>
  <c r="L43" i="126"/>
  <c r="K43" i="126"/>
  <c r="J43" i="126"/>
  <c r="H43" i="126"/>
  <c r="F43" i="126"/>
  <c r="D43" i="126"/>
  <c r="AH42" i="126"/>
  <c r="AG13" i="126"/>
  <c r="AF13" i="126"/>
  <c r="AE13" i="126"/>
  <c r="AD13" i="126"/>
  <c r="AC13" i="126"/>
  <c r="AB13" i="126"/>
  <c r="AA13" i="126"/>
  <c r="Z13" i="126"/>
  <c r="Z10" i="126" s="1"/>
  <c r="Y13" i="126"/>
  <c r="X13" i="126"/>
  <c r="W13" i="126"/>
  <c r="V13" i="126"/>
  <c r="V10" i="126" s="1"/>
  <c r="U13" i="126"/>
  <c r="T13" i="126"/>
  <c r="S13" i="126"/>
  <c r="R13" i="126"/>
  <c r="Q13" i="126"/>
  <c r="P13" i="126"/>
  <c r="O13" i="126"/>
  <c r="N13" i="126"/>
  <c r="M13" i="126"/>
  <c r="L13" i="126"/>
  <c r="K13" i="126"/>
  <c r="J13" i="126"/>
  <c r="I13" i="126"/>
  <c r="H13" i="126"/>
  <c r="G13" i="126"/>
  <c r="F13" i="126"/>
  <c r="F10" i="126" s="1"/>
  <c r="E13" i="126"/>
  <c r="D13" i="126"/>
  <c r="C13" i="126"/>
  <c r="AG12" i="126"/>
  <c r="AF12" i="126"/>
  <c r="AE12" i="126"/>
  <c r="AD12" i="126"/>
  <c r="AC12" i="126"/>
  <c r="AB12" i="126"/>
  <c r="AA12" i="126"/>
  <c r="Z12" i="126"/>
  <c r="Y12" i="126"/>
  <c r="X12" i="126"/>
  <c r="W12" i="126"/>
  <c r="V12" i="126"/>
  <c r="U12" i="126"/>
  <c r="T12" i="126"/>
  <c r="S12" i="126"/>
  <c r="R12" i="126"/>
  <c r="Q12" i="126"/>
  <c r="P12" i="126"/>
  <c r="O12" i="126"/>
  <c r="N12" i="126"/>
  <c r="M12" i="126"/>
  <c r="L12" i="126"/>
  <c r="K12" i="126"/>
  <c r="J12" i="126"/>
  <c r="J10" i="126" s="1"/>
  <c r="I12" i="126"/>
  <c r="H12" i="126"/>
  <c r="G12" i="126"/>
  <c r="F12" i="126"/>
  <c r="E12" i="126"/>
  <c r="D12" i="126"/>
  <c r="C12" i="126"/>
  <c r="AG11" i="126"/>
  <c r="AF11" i="126"/>
  <c r="AE11" i="126"/>
  <c r="AD11" i="126"/>
  <c r="AC11" i="126"/>
  <c r="AB11" i="126"/>
  <c r="AA11" i="126"/>
  <c r="Z11" i="126"/>
  <c r="Y11" i="126"/>
  <c r="X11" i="126"/>
  <c r="W11" i="126"/>
  <c r="V11" i="126"/>
  <c r="U11" i="126"/>
  <c r="T11" i="126"/>
  <c r="S11" i="126"/>
  <c r="R11" i="126"/>
  <c r="Q11" i="126"/>
  <c r="P11" i="126"/>
  <c r="O11" i="126"/>
  <c r="N11" i="126"/>
  <c r="M11" i="126"/>
  <c r="L11" i="126"/>
  <c r="K11" i="126"/>
  <c r="J11" i="126"/>
  <c r="I11" i="126"/>
  <c r="H11" i="126"/>
  <c r="G11" i="126"/>
  <c r="F11" i="126"/>
  <c r="E11" i="126"/>
  <c r="D11" i="126"/>
  <c r="C11" i="126"/>
  <c r="T45" i="124"/>
  <c r="R44" i="124"/>
  <c r="K10" i="126" l="1"/>
  <c r="B273" i="126"/>
  <c r="I237" i="126"/>
  <c r="N174" i="126"/>
  <c r="G174" i="126"/>
  <c r="AG301" i="126"/>
  <c r="D237" i="126"/>
  <c r="H237" i="126"/>
  <c r="L237" i="126"/>
  <c r="P237" i="126"/>
  <c r="T237" i="126"/>
  <c r="X237" i="126"/>
  <c r="AB237" i="126"/>
  <c r="AF237" i="126"/>
  <c r="C237" i="126"/>
  <c r="G237" i="126"/>
  <c r="K237" i="126"/>
  <c r="O237" i="126"/>
  <c r="S237" i="126"/>
  <c r="W237" i="126"/>
  <c r="AE237" i="126"/>
  <c r="F237" i="126"/>
  <c r="J237" i="126"/>
  <c r="N237" i="126"/>
  <c r="R237" i="126"/>
  <c r="V237" i="126"/>
  <c r="J301" i="126"/>
  <c r="AD301" i="126"/>
  <c r="F301" i="126"/>
  <c r="N301" i="126"/>
  <c r="R301" i="126"/>
  <c r="V301" i="126"/>
  <c r="Z301" i="126"/>
  <c r="C301" i="126"/>
  <c r="G301" i="126"/>
  <c r="K301" i="126"/>
  <c r="O301" i="126"/>
  <c r="S301" i="126"/>
  <c r="W301" i="126"/>
  <c r="AA301" i="126"/>
  <c r="AE301" i="126"/>
  <c r="M237" i="126"/>
  <c r="AH224" i="126"/>
  <c r="AD10" i="126"/>
  <c r="N10" i="126"/>
  <c r="R10" i="126"/>
  <c r="C10" i="126"/>
  <c r="G10" i="126"/>
  <c r="O10" i="126"/>
  <c r="S10" i="126"/>
  <c r="W10" i="126"/>
  <c r="AA10" i="126"/>
  <c r="AE10" i="126"/>
  <c r="AG10" i="126"/>
  <c r="D10" i="126"/>
  <c r="H10" i="126"/>
  <c r="L10" i="126"/>
  <c r="P10" i="126"/>
  <c r="T10" i="126"/>
  <c r="X10" i="126"/>
  <c r="AB10" i="126"/>
  <c r="AF10" i="126"/>
  <c r="E10" i="126"/>
  <c r="I10" i="126"/>
  <c r="M10" i="126"/>
  <c r="Q10" i="126"/>
  <c r="U10" i="126"/>
  <c r="Y10" i="126"/>
  <c r="AC10" i="126"/>
  <c r="C174" i="126"/>
  <c r="J60" i="126"/>
  <c r="V60" i="126"/>
  <c r="Z60" i="126"/>
  <c r="AD60" i="126"/>
  <c r="I60" i="126"/>
  <c r="F60" i="126"/>
  <c r="M60" i="126"/>
  <c r="U60" i="126"/>
  <c r="AC60" i="126"/>
  <c r="E301" i="126"/>
  <c r="I301" i="126"/>
  <c r="M301" i="126"/>
  <c r="Q301" i="126"/>
  <c r="U301" i="126"/>
  <c r="Y301" i="126"/>
  <c r="AC301" i="126"/>
  <c r="D301" i="126"/>
  <c r="H301" i="126"/>
  <c r="L301" i="126"/>
  <c r="P301" i="126"/>
  <c r="T301" i="126"/>
  <c r="X301" i="126"/>
  <c r="AB301" i="126"/>
  <c r="AH288" i="126"/>
  <c r="AF301" i="126"/>
  <c r="AA237" i="126"/>
  <c r="Z237" i="126"/>
  <c r="AD237" i="126"/>
  <c r="AC237" i="126"/>
  <c r="Z174" i="126"/>
  <c r="AD174" i="126"/>
  <c r="Y174" i="126"/>
  <c r="AC174" i="126"/>
  <c r="AG174" i="126"/>
  <c r="AH159" i="126"/>
  <c r="E174" i="126"/>
  <c r="Y60" i="126"/>
  <c r="N60" i="126"/>
  <c r="Q60" i="126"/>
  <c r="G60" i="126"/>
  <c r="K60" i="126"/>
  <c r="O60" i="126"/>
  <c r="S60" i="126"/>
  <c r="W60" i="126"/>
  <c r="AA60" i="126"/>
  <c r="AE60" i="126"/>
  <c r="AN111" i="126"/>
  <c r="AP93" i="126"/>
  <c r="AH45" i="126"/>
  <c r="E43" i="126"/>
  <c r="E60" i="126" s="1"/>
  <c r="R60" i="126"/>
  <c r="AH74" i="126"/>
  <c r="AH75" i="126"/>
  <c r="AH44" i="126"/>
  <c r="D60" i="126"/>
  <c r="H60" i="126"/>
  <c r="L60" i="126"/>
  <c r="P60" i="126"/>
  <c r="T60" i="126"/>
  <c r="X60" i="126"/>
  <c r="AB60" i="126"/>
  <c r="AF60" i="126"/>
  <c r="C43" i="126"/>
  <c r="C60" i="126" s="1"/>
  <c r="AH46" i="126"/>
  <c r="AH55" i="126"/>
  <c r="S315" i="124"/>
  <c r="Q44" i="124"/>
  <c r="S45" i="124"/>
  <c r="AH10" i="126" l="1"/>
  <c r="AI45" i="126"/>
  <c r="AH43" i="126"/>
  <c r="R45" i="124"/>
  <c r="O44" i="124"/>
  <c r="Q45" i="124"/>
  <c r="Z45" i="123"/>
  <c r="N21" i="57"/>
  <c r="AJ44" i="27"/>
  <c r="N44" i="124"/>
  <c r="O45" i="124"/>
  <c r="N45" i="124"/>
  <c r="L44" i="124"/>
  <c r="I44" i="124" l="1"/>
  <c r="G45" i="124"/>
  <c r="C44" i="123"/>
  <c r="L45" i="115"/>
  <c r="L45" i="124"/>
  <c r="G44" i="124"/>
  <c r="K45" i="124"/>
  <c r="I45" i="124"/>
  <c r="J45" i="124"/>
  <c r="H45" i="124" l="1"/>
  <c r="D44" i="124"/>
  <c r="AF44" i="123"/>
  <c r="G1137" i="41"/>
  <c r="F45" i="124" l="1"/>
  <c r="E45" i="124"/>
  <c r="AF45" i="123"/>
  <c r="AD44" i="123" l="1"/>
  <c r="C46" i="124"/>
  <c r="R45" i="115"/>
  <c r="G1062" i="41" l="1"/>
  <c r="AC44" i="123"/>
  <c r="AE45" i="123"/>
  <c r="AB44" i="123"/>
  <c r="AA45" i="123"/>
  <c r="G2545" i="41"/>
  <c r="G2544" i="41"/>
  <c r="G2538" i="41"/>
  <c r="G2537" i="41"/>
  <c r="G2536" i="41"/>
  <c r="G2535" i="41"/>
  <c r="G2534" i="41"/>
  <c r="G2533" i="41"/>
  <c r="G2528" i="41"/>
  <c r="G2527" i="41"/>
  <c r="G2526" i="41"/>
  <c r="G2525" i="41"/>
  <c r="G2524" i="41"/>
  <c r="G2523" i="41"/>
  <c r="G2522" i="41"/>
  <c r="G2521" i="41"/>
  <c r="G2520" i="41"/>
  <c r="G2519" i="41"/>
  <c r="G2518" i="41"/>
  <c r="G2517" i="41"/>
  <c r="G2516" i="41"/>
  <c r="G2515" i="41"/>
  <c r="G2514" i="41"/>
  <c r="G2506" i="41"/>
  <c r="G2505" i="41"/>
  <c r="G2504" i="41"/>
  <c r="G2503" i="41"/>
  <c r="G2502" i="41"/>
  <c r="G2501" i="41"/>
  <c r="G2500" i="41"/>
  <c r="G2499" i="41"/>
  <c r="G2498" i="41"/>
  <c r="G2497" i="41"/>
  <c r="G2496" i="41"/>
  <c r="G2495" i="41"/>
  <c r="G2494" i="41"/>
  <c r="G2493" i="41"/>
  <c r="H2530" i="41" l="1"/>
  <c r="I2530" i="41"/>
  <c r="AD45" i="123" l="1"/>
  <c r="S44" i="123" l="1"/>
  <c r="AB45" i="123"/>
  <c r="AC45" i="123"/>
  <c r="AH62" i="27" l="1"/>
  <c r="L32" i="57" l="1"/>
  <c r="W44" i="123"/>
  <c r="Z44" i="123"/>
  <c r="AA44" i="123"/>
  <c r="Y45" i="123"/>
  <c r="Y44" i="123"/>
  <c r="M21" i="57"/>
  <c r="AI44" i="27"/>
  <c r="N15" i="57" l="1"/>
  <c r="AJ32" i="27"/>
  <c r="X45" i="123"/>
  <c r="C192" i="125"/>
  <c r="C185" i="125"/>
  <c r="C184" i="125"/>
  <c r="C183" i="125"/>
  <c r="C182" i="125"/>
  <c r="B182" i="125"/>
  <c r="C181" i="125"/>
  <c r="B180" i="125"/>
  <c r="C179" i="125"/>
  <c r="C178" i="125"/>
  <c r="B177" i="125"/>
  <c r="C176" i="125"/>
  <c r="C175" i="125"/>
  <c r="C174" i="125"/>
  <c r="C173" i="125"/>
  <c r="C172" i="125"/>
  <c r="H57" i="125"/>
  <c r="G57" i="125"/>
  <c r="F57" i="125"/>
  <c r="E57" i="125"/>
  <c r="D57" i="125"/>
  <c r="C57" i="125"/>
  <c r="B57" i="125"/>
  <c r="F18" i="125" s="1"/>
  <c r="H41" i="125"/>
  <c r="H37" i="125" s="1"/>
  <c r="G41" i="125"/>
  <c r="F41" i="125"/>
  <c r="F37" i="125" s="1"/>
  <c r="F51" i="125" s="1"/>
  <c r="E41" i="125"/>
  <c r="D41" i="125"/>
  <c r="D37" i="125" s="1"/>
  <c r="C41" i="125"/>
  <c r="B41" i="125"/>
  <c r="B37" i="125" s="1"/>
  <c r="G37" i="125"/>
  <c r="G51" i="125" s="1"/>
  <c r="E37" i="125"/>
  <c r="C37" i="125"/>
  <c r="D33" i="125"/>
  <c r="D22" i="125" s="1"/>
  <c r="B31" i="125"/>
  <c r="B22" i="125" s="1"/>
  <c r="E28" i="125"/>
  <c r="E22" i="125" s="1"/>
  <c r="D28" i="125"/>
  <c r="N25" i="125"/>
  <c r="C25" i="125"/>
  <c r="B24" i="125"/>
  <c r="N22" i="125"/>
  <c r="M22" i="125"/>
  <c r="L22" i="125"/>
  <c r="L25" i="125" s="1"/>
  <c r="J22" i="125"/>
  <c r="J25" i="125" s="1"/>
  <c r="J26" i="125" s="1"/>
  <c r="I22" i="125"/>
  <c r="H22" i="125"/>
  <c r="G22" i="125"/>
  <c r="F22" i="125"/>
  <c r="C22" i="125"/>
  <c r="H18" i="125"/>
  <c r="G18" i="125"/>
  <c r="D18" i="125"/>
  <c r="K17" i="125"/>
  <c r="B17" i="125"/>
  <c r="B15" i="125" s="1"/>
  <c r="K8" i="125"/>
  <c r="K6" i="125"/>
  <c r="H51" i="125" l="1"/>
  <c r="N23" i="125"/>
  <c r="C51" i="125"/>
  <c r="C18" i="125"/>
  <c r="K22" i="125"/>
  <c r="K25" i="125" s="1"/>
  <c r="K26" i="125" s="1"/>
  <c r="J23" i="125"/>
  <c r="B51" i="125"/>
  <c r="C189" i="125"/>
  <c r="B189" i="125"/>
  <c r="B190" i="125" s="1"/>
  <c r="B192" i="125" s="1"/>
  <c r="L26" i="125"/>
  <c r="N26" i="125"/>
  <c r="E51" i="125"/>
  <c r="B54" i="125"/>
  <c r="B56" i="125" s="1"/>
  <c r="C17" i="125" s="1"/>
  <c r="C15" i="125" s="1"/>
  <c r="C54" i="125" s="1"/>
  <c r="C56" i="125" s="1"/>
  <c r="D17" i="125" s="1"/>
  <c r="D15" i="125" s="1"/>
  <c r="M23" i="125"/>
  <c r="C190" i="125"/>
  <c r="D189" i="125"/>
  <c r="D51" i="125"/>
  <c r="J37" i="125"/>
  <c r="K37" i="125" s="1"/>
  <c r="C188" i="125"/>
  <c r="D188" i="125" s="1"/>
  <c r="I23" i="125"/>
  <c r="I25" i="125"/>
  <c r="M25" i="125"/>
  <c r="M26" i="125" s="1"/>
  <c r="B188" i="125"/>
  <c r="L23" i="125"/>
  <c r="K23" i="125" l="1"/>
  <c r="D54" i="125"/>
  <c r="D56" i="125" s="1"/>
  <c r="E17" i="125" s="1"/>
  <c r="E15" i="125" s="1"/>
  <c r="E54" i="125" s="1"/>
  <c r="E56" i="125" s="1"/>
  <c r="F17" i="125" s="1"/>
  <c r="F15" i="125" s="1"/>
  <c r="F54" i="125" s="1"/>
  <c r="F56" i="125" s="1"/>
  <c r="G17" i="125" s="1"/>
  <c r="G15" i="125" s="1"/>
  <c r="G54" i="125" s="1"/>
  <c r="G56" i="125" s="1"/>
  <c r="H17" i="125" s="1"/>
  <c r="H15" i="125" s="1"/>
  <c r="H54" i="125" s="1"/>
  <c r="H56" i="125" s="1"/>
  <c r="O22" i="125"/>
  <c r="O25" i="125"/>
  <c r="K40" i="125" s="1"/>
  <c r="I26" i="125"/>
  <c r="N27" i="125"/>
  <c r="L37" i="125" s="1"/>
  <c r="M37" i="125" s="1"/>
  <c r="V293" i="123" l="1"/>
  <c r="V44" i="123"/>
  <c r="W45" i="123"/>
  <c r="AC45" i="122"/>
  <c r="V45" i="123" l="1"/>
  <c r="T45" i="123"/>
  <c r="T44" i="123"/>
  <c r="M15" i="57"/>
  <c r="AI32" i="27"/>
  <c r="AI62" i="27"/>
  <c r="M32" i="57" s="1"/>
  <c r="I75" i="124"/>
  <c r="B317" i="124" l="1"/>
  <c r="O315" i="124"/>
  <c r="O307" i="124" s="1"/>
  <c r="AH314" i="124"/>
  <c r="AG308" i="124"/>
  <c r="AF308" i="124"/>
  <c r="AE308" i="124"/>
  <c r="AD308" i="124"/>
  <c r="AC308" i="124"/>
  <c r="AB308" i="124"/>
  <c r="AA308" i="124"/>
  <c r="Z308" i="124"/>
  <c r="Y308" i="124"/>
  <c r="X308" i="124"/>
  <c r="W308" i="124"/>
  <c r="V308" i="124"/>
  <c r="U308" i="124"/>
  <c r="T308" i="124"/>
  <c r="S308" i="124"/>
  <c r="R308" i="124"/>
  <c r="Q308" i="124"/>
  <c r="P308" i="124"/>
  <c r="O308" i="124"/>
  <c r="N308" i="124"/>
  <c r="M308" i="124"/>
  <c r="L308" i="124"/>
  <c r="K308" i="124"/>
  <c r="J308" i="124"/>
  <c r="I308" i="124"/>
  <c r="H308" i="124"/>
  <c r="G308" i="124"/>
  <c r="F308" i="124"/>
  <c r="E308" i="124"/>
  <c r="D308" i="124"/>
  <c r="C308" i="124"/>
  <c r="AG307" i="124"/>
  <c r="AF307" i="124"/>
  <c r="AE307" i="124"/>
  <c r="AD307" i="124"/>
  <c r="AC307" i="124"/>
  <c r="AB307" i="124"/>
  <c r="AA307" i="124"/>
  <c r="Z307" i="124"/>
  <c r="Y307" i="124"/>
  <c r="X307" i="124"/>
  <c r="W307" i="124"/>
  <c r="V307" i="124"/>
  <c r="U307" i="124"/>
  <c r="T307" i="124"/>
  <c r="S307" i="124"/>
  <c r="R307" i="124"/>
  <c r="Q307" i="124"/>
  <c r="P307" i="124"/>
  <c r="N307" i="124"/>
  <c r="M307" i="124"/>
  <c r="L307" i="124"/>
  <c r="K307" i="124"/>
  <c r="J307" i="124"/>
  <c r="I307" i="124"/>
  <c r="H307" i="124"/>
  <c r="G307" i="124"/>
  <c r="F307" i="124"/>
  <c r="E307" i="124"/>
  <c r="D307" i="124"/>
  <c r="C307" i="124"/>
  <c r="AH298" i="124"/>
  <c r="AG296" i="124"/>
  <c r="AF296" i="124"/>
  <c r="AE296" i="124"/>
  <c r="AD296" i="124"/>
  <c r="AC296" i="124"/>
  <c r="AB296" i="124"/>
  <c r="AA296" i="124"/>
  <c r="Z296" i="124"/>
  <c r="Y296" i="124"/>
  <c r="X296" i="124"/>
  <c r="W296" i="124"/>
  <c r="V296" i="124"/>
  <c r="U296" i="124"/>
  <c r="T296" i="124"/>
  <c r="S296" i="124"/>
  <c r="R296" i="124"/>
  <c r="Q296" i="124"/>
  <c r="P296" i="124"/>
  <c r="O296" i="124"/>
  <c r="N296" i="124"/>
  <c r="M296" i="124"/>
  <c r="L296" i="124"/>
  <c r="K296" i="124"/>
  <c r="J296" i="124"/>
  <c r="I296" i="124"/>
  <c r="H296" i="124"/>
  <c r="G296" i="124"/>
  <c r="F296" i="124"/>
  <c r="E296" i="124"/>
  <c r="D296" i="124"/>
  <c r="C296" i="124"/>
  <c r="AH292" i="124"/>
  <c r="AH291" i="124"/>
  <c r="AH290" i="124"/>
  <c r="AH289" i="124"/>
  <c r="AG288" i="124"/>
  <c r="AF288" i="124"/>
  <c r="AE288" i="124"/>
  <c r="AD288" i="124"/>
  <c r="AC288" i="124"/>
  <c r="AB288" i="124"/>
  <c r="AA288" i="124"/>
  <c r="Z288" i="124"/>
  <c r="Y288" i="124"/>
  <c r="X288" i="124"/>
  <c r="W288" i="124"/>
  <c r="V288" i="124"/>
  <c r="U288" i="124"/>
  <c r="T288" i="124"/>
  <c r="S288" i="124"/>
  <c r="R288" i="124"/>
  <c r="Q288" i="124"/>
  <c r="P288" i="124"/>
  <c r="O288" i="124"/>
  <c r="N288" i="124"/>
  <c r="M288" i="124"/>
  <c r="L288" i="124"/>
  <c r="K288" i="124"/>
  <c r="J288" i="124"/>
  <c r="I288" i="124"/>
  <c r="H288" i="124"/>
  <c r="G288" i="124"/>
  <c r="F288" i="124"/>
  <c r="E288" i="124"/>
  <c r="D288" i="124"/>
  <c r="C288" i="124"/>
  <c r="B275" i="124"/>
  <c r="B273" i="124" s="1"/>
  <c r="B274" i="124"/>
  <c r="B253" i="124"/>
  <c r="AH252" i="124"/>
  <c r="AH250" i="124"/>
  <c r="AG244" i="124"/>
  <c r="AF244" i="124"/>
  <c r="AE244" i="124"/>
  <c r="AD244" i="124"/>
  <c r="AC244" i="124"/>
  <c r="AB244" i="124"/>
  <c r="AA244" i="124"/>
  <c r="Z244" i="124"/>
  <c r="Y244" i="124"/>
  <c r="X244" i="124"/>
  <c r="W244" i="124"/>
  <c r="V244" i="124"/>
  <c r="U244" i="124"/>
  <c r="T244" i="124"/>
  <c r="S244" i="124"/>
  <c r="R244" i="124"/>
  <c r="Q244" i="124"/>
  <c r="P244" i="124"/>
  <c r="O244" i="124"/>
  <c r="N244" i="124"/>
  <c r="M244" i="124"/>
  <c r="L244" i="124"/>
  <c r="K244" i="124"/>
  <c r="J244" i="124"/>
  <c r="I244" i="124"/>
  <c r="H244" i="124"/>
  <c r="G244" i="124"/>
  <c r="F244" i="124"/>
  <c r="E244" i="124"/>
  <c r="D244" i="124"/>
  <c r="C244" i="124"/>
  <c r="AG243" i="124"/>
  <c r="AF243" i="124"/>
  <c r="AE243" i="124"/>
  <c r="AD243" i="124"/>
  <c r="AC243" i="124"/>
  <c r="AB243" i="124"/>
  <c r="AA243" i="124"/>
  <c r="Z243" i="124"/>
  <c r="Y243" i="124"/>
  <c r="X243" i="124"/>
  <c r="W243" i="124"/>
  <c r="V243" i="124"/>
  <c r="U243" i="124"/>
  <c r="T243" i="124"/>
  <c r="S243" i="124"/>
  <c r="R243" i="124"/>
  <c r="Q243" i="124"/>
  <c r="P243" i="124"/>
  <c r="O243" i="124"/>
  <c r="N243" i="124"/>
  <c r="M243" i="124"/>
  <c r="L243" i="124"/>
  <c r="K243" i="124"/>
  <c r="J243" i="124"/>
  <c r="I243" i="124"/>
  <c r="H243" i="124"/>
  <c r="G243" i="124"/>
  <c r="F243" i="124"/>
  <c r="E243" i="124"/>
  <c r="D243" i="124"/>
  <c r="C243" i="124"/>
  <c r="AH234" i="124"/>
  <c r="AG232" i="124"/>
  <c r="AG237" i="124" s="1"/>
  <c r="AF232" i="124"/>
  <c r="AE232" i="124"/>
  <c r="AD232" i="124"/>
  <c r="AC232" i="124"/>
  <c r="AB232" i="124"/>
  <c r="AA232" i="124"/>
  <c r="Z232" i="124"/>
  <c r="Y232" i="124"/>
  <c r="X232" i="124"/>
  <c r="W232" i="124"/>
  <c r="W237" i="124" s="1"/>
  <c r="V232" i="124"/>
  <c r="V237" i="124" s="1"/>
  <c r="U232" i="124"/>
  <c r="U237" i="124" s="1"/>
  <c r="T232" i="124"/>
  <c r="S232" i="124"/>
  <c r="S237" i="124" s="1"/>
  <c r="R232" i="124"/>
  <c r="R237" i="124" s="1"/>
  <c r="Q232" i="124"/>
  <c r="Q237" i="124" s="1"/>
  <c r="P232" i="124"/>
  <c r="O232" i="124"/>
  <c r="O237" i="124" s="1"/>
  <c r="N232" i="124"/>
  <c r="N237" i="124" s="1"/>
  <c r="M232" i="124"/>
  <c r="M237" i="124" s="1"/>
  <c r="L232" i="124"/>
  <c r="K232" i="124"/>
  <c r="K237" i="124" s="1"/>
  <c r="J232" i="124"/>
  <c r="J237" i="124" s="1"/>
  <c r="I232" i="124"/>
  <c r="I237" i="124" s="1"/>
  <c r="H232" i="124"/>
  <c r="G232" i="124"/>
  <c r="G237" i="124" s="1"/>
  <c r="F232" i="124"/>
  <c r="E232" i="124"/>
  <c r="E237" i="124" s="1"/>
  <c r="D232" i="124"/>
  <c r="C232" i="124"/>
  <c r="AH228" i="124"/>
  <c r="AH227" i="124"/>
  <c r="AH226" i="124"/>
  <c r="AH225" i="124"/>
  <c r="AG224" i="124"/>
  <c r="AF224" i="124"/>
  <c r="AE224" i="124"/>
  <c r="AD224" i="124"/>
  <c r="AC224" i="124"/>
  <c r="AB224" i="124"/>
  <c r="AA224" i="124"/>
  <c r="Z224" i="124"/>
  <c r="Y224" i="124"/>
  <c r="X224" i="124"/>
  <c r="W224" i="124"/>
  <c r="V224" i="124"/>
  <c r="U224" i="124"/>
  <c r="T224" i="124"/>
  <c r="S224" i="124"/>
  <c r="R224" i="124"/>
  <c r="Q224" i="124"/>
  <c r="P224" i="124"/>
  <c r="O224" i="124"/>
  <c r="N224" i="124"/>
  <c r="M224" i="124"/>
  <c r="L224" i="124"/>
  <c r="K224" i="124"/>
  <c r="J224" i="124"/>
  <c r="I224" i="124"/>
  <c r="H224" i="124"/>
  <c r="G224" i="124"/>
  <c r="F224" i="124"/>
  <c r="E224" i="124"/>
  <c r="D224" i="124"/>
  <c r="C224" i="124"/>
  <c r="B211" i="124"/>
  <c r="B210" i="124"/>
  <c r="B209" i="124" s="1"/>
  <c r="B190" i="124"/>
  <c r="AG181" i="124"/>
  <c r="AF181" i="124"/>
  <c r="AE181" i="124"/>
  <c r="AD181" i="124"/>
  <c r="AC181" i="124"/>
  <c r="AB181" i="124"/>
  <c r="AA181" i="124"/>
  <c r="Z181" i="124"/>
  <c r="Y181" i="124"/>
  <c r="X181" i="124"/>
  <c r="W181" i="124"/>
  <c r="V181" i="124"/>
  <c r="U181" i="124"/>
  <c r="T181" i="124"/>
  <c r="S181" i="124"/>
  <c r="R181" i="124"/>
  <c r="Q181" i="124"/>
  <c r="P181" i="124"/>
  <c r="O181" i="124"/>
  <c r="N181" i="124"/>
  <c r="M181" i="124"/>
  <c r="L181" i="124"/>
  <c r="K181" i="124"/>
  <c r="J181" i="124"/>
  <c r="I181" i="124"/>
  <c r="H181" i="124"/>
  <c r="G181" i="124"/>
  <c r="F181" i="124"/>
  <c r="E181" i="124"/>
  <c r="D181" i="124"/>
  <c r="C181" i="124"/>
  <c r="AG180" i="124"/>
  <c r="AF180" i="124"/>
  <c r="AE180" i="124"/>
  <c r="AD180" i="124"/>
  <c r="AC180" i="124"/>
  <c r="AB180" i="124"/>
  <c r="AA180" i="124"/>
  <c r="Z180" i="124"/>
  <c r="Y180" i="124"/>
  <c r="X180" i="124"/>
  <c r="W180" i="124"/>
  <c r="V180" i="124"/>
  <c r="U180" i="124"/>
  <c r="T180" i="124"/>
  <c r="S180" i="124"/>
  <c r="R180" i="124"/>
  <c r="Q180" i="124"/>
  <c r="P180" i="124"/>
  <c r="O180" i="124"/>
  <c r="N180" i="124"/>
  <c r="M180" i="124"/>
  <c r="L180" i="124"/>
  <c r="K180" i="124"/>
  <c r="J180" i="124"/>
  <c r="I180" i="124"/>
  <c r="H180" i="124"/>
  <c r="G180" i="124"/>
  <c r="F180" i="124"/>
  <c r="E180" i="124"/>
  <c r="D180" i="124"/>
  <c r="C180" i="124"/>
  <c r="AG174" i="124"/>
  <c r="Q174" i="124"/>
  <c r="AG169" i="124"/>
  <c r="AF169" i="124"/>
  <c r="AF174" i="124" s="1"/>
  <c r="AE169" i="124"/>
  <c r="AD169" i="124"/>
  <c r="AC169" i="124"/>
  <c r="AB169" i="124"/>
  <c r="AB174" i="124" s="1"/>
  <c r="AA169" i="124"/>
  <c r="Z169" i="124"/>
  <c r="Y169" i="124"/>
  <c r="X169" i="124"/>
  <c r="W169" i="124"/>
  <c r="V169" i="124"/>
  <c r="U169" i="124"/>
  <c r="T169" i="124"/>
  <c r="T174" i="124" s="1"/>
  <c r="S169" i="124"/>
  <c r="R169" i="124"/>
  <c r="Q169" i="124"/>
  <c r="P169" i="124"/>
  <c r="P174" i="124" s="1"/>
  <c r="O169" i="124"/>
  <c r="N169" i="124"/>
  <c r="M169" i="124"/>
  <c r="L169" i="124"/>
  <c r="L174" i="124" s="1"/>
  <c r="K169" i="124"/>
  <c r="J169" i="124"/>
  <c r="I169" i="124"/>
  <c r="I174" i="124" s="1"/>
  <c r="H169" i="124"/>
  <c r="H174" i="124" s="1"/>
  <c r="G169" i="124"/>
  <c r="F169" i="124"/>
  <c r="E169" i="124"/>
  <c r="D169" i="124"/>
  <c r="D174" i="124" s="1"/>
  <c r="C169" i="124"/>
  <c r="AH167" i="124"/>
  <c r="AH166" i="124"/>
  <c r="AH165" i="124"/>
  <c r="AH164" i="124"/>
  <c r="AH163" i="124"/>
  <c r="AH162" i="124"/>
  <c r="AH161" i="124"/>
  <c r="AH160" i="124"/>
  <c r="AG159" i="124"/>
  <c r="AF159" i="124"/>
  <c r="AE159" i="124"/>
  <c r="AD159" i="124"/>
  <c r="AD174" i="124" s="1"/>
  <c r="AC159" i="124"/>
  <c r="AB159" i="124"/>
  <c r="AA159" i="124"/>
  <c r="Z159" i="124"/>
  <c r="Z174" i="124" s="1"/>
  <c r="Y159" i="124"/>
  <c r="X159" i="124"/>
  <c r="W159" i="124"/>
  <c r="V159" i="124"/>
  <c r="V174" i="124" s="1"/>
  <c r="U159" i="124"/>
  <c r="T159" i="124"/>
  <c r="S159" i="124"/>
  <c r="R159" i="124"/>
  <c r="R174" i="124" s="1"/>
  <c r="Q159" i="124"/>
  <c r="P159" i="124"/>
  <c r="O159" i="124"/>
  <c r="N159" i="124"/>
  <c r="N174" i="124" s="1"/>
  <c r="M159" i="124"/>
  <c r="L159" i="124"/>
  <c r="K159" i="124"/>
  <c r="J159" i="124"/>
  <c r="J174" i="124" s="1"/>
  <c r="I159" i="124"/>
  <c r="H159" i="124"/>
  <c r="G159" i="124"/>
  <c r="F159" i="124"/>
  <c r="F174" i="124" s="1"/>
  <c r="E159" i="124"/>
  <c r="D159" i="124"/>
  <c r="C159" i="124"/>
  <c r="B146" i="124"/>
  <c r="B145" i="124"/>
  <c r="C82" i="124"/>
  <c r="B29" i="124" s="1"/>
  <c r="B28" i="124" s="1"/>
  <c r="AN93" i="124"/>
  <c r="AH79" i="124"/>
  <c r="AH78" i="124"/>
  <c r="AH77" i="124"/>
  <c r="AF67" i="124"/>
  <c r="AE67" i="124"/>
  <c r="AD67" i="124"/>
  <c r="AB67" i="124"/>
  <c r="AA67" i="124"/>
  <c r="Z67" i="124"/>
  <c r="X67" i="124"/>
  <c r="W67" i="124"/>
  <c r="V67" i="124"/>
  <c r="H67" i="124"/>
  <c r="AE66" i="124"/>
  <c r="AD66" i="124"/>
  <c r="AA66" i="124"/>
  <c r="Z66" i="124"/>
  <c r="W66" i="124"/>
  <c r="AG67" i="124"/>
  <c r="AC67" i="124"/>
  <c r="Y67" i="124"/>
  <c r="U67" i="124"/>
  <c r="T67" i="124"/>
  <c r="S67" i="124"/>
  <c r="R67" i="124"/>
  <c r="Q67" i="124"/>
  <c r="P67" i="124"/>
  <c r="O67" i="124"/>
  <c r="N67" i="124"/>
  <c r="M67" i="124"/>
  <c r="L67" i="124"/>
  <c r="K67" i="124"/>
  <c r="J67" i="124"/>
  <c r="I67" i="124"/>
  <c r="G67" i="124"/>
  <c r="F67" i="124"/>
  <c r="E67" i="124"/>
  <c r="D67" i="124"/>
  <c r="C67" i="124"/>
  <c r="AG66" i="124"/>
  <c r="AF66" i="124"/>
  <c r="AC66" i="124"/>
  <c r="AB66" i="124"/>
  <c r="Y66" i="124"/>
  <c r="X66" i="124"/>
  <c r="V66" i="124"/>
  <c r="U66" i="124"/>
  <c r="T66" i="124"/>
  <c r="S66" i="124"/>
  <c r="R66" i="124"/>
  <c r="Q66" i="124"/>
  <c r="P66" i="124"/>
  <c r="O66" i="124"/>
  <c r="N66" i="124"/>
  <c r="M66" i="124"/>
  <c r="L66" i="124"/>
  <c r="K66" i="124"/>
  <c r="J66" i="124"/>
  <c r="I66" i="124"/>
  <c r="H66" i="124"/>
  <c r="F66" i="124"/>
  <c r="E66" i="124"/>
  <c r="D66" i="124"/>
  <c r="C66" i="124"/>
  <c r="AH65" i="124"/>
  <c r="AJ59" i="124"/>
  <c r="AJ60" i="124" s="1"/>
  <c r="AH58" i="124"/>
  <c r="AH57" i="124"/>
  <c r="AH56" i="124"/>
  <c r="AG55" i="124"/>
  <c r="AF55" i="124"/>
  <c r="AE55" i="124"/>
  <c r="AD55" i="124"/>
  <c r="AC55" i="124"/>
  <c r="AB55" i="124"/>
  <c r="AA55" i="124"/>
  <c r="Z55" i="124"/>
  <c r="Y55" i="124"/>
  <c r="X55" i="124"/>
  <c r="W55" i="124"/>
  <c r="V55" i="124"/>
  <c r="U55" i="124"/>
  <c r="T55" i="124"/>
  <c r="S55" i="124"/>
  <c r="R55" i="124"/>
  <c r="Q55" i="124"/>
  <c r="P55" i="124"/>
  <c r="O55" i="124"/>
  <c r="N55" i="124"/>
  <c r="M55" i="124"/>
  <c r="L55" i="124"/>
  <c r="K55" i="124"/>
  <c r="J55" i="124"/>
  <c r="I55" i="124"/>
  <c r="H55" i="124"/>
  <c r="G55" i="124"/>
  <c r="F55" i="124"/>
  <c r="E55" i="124"/>
  <c r="D55" i="124"/>
  <c r="C55" i="124"/>
  <c r="AH54" i="124"/>
  <c r="AH53" i="124"/>
  <c r="AH52" i="124"/>
  <c r="AH51" i="124"/>
  <c r="AH50" i="124"/>
  <c r="AH49" i="124"/>
  <c r="AH48" i="124"/>
  <c r="AH47" i="124"/>
  <c r="U43" i="124"/>
  <c r="O43" i="124"/>
  <c r="N43" i="124"/>
  <c r="J43" i="124"/>
  <c r="I43" i="124"/>
  <c r="AH45" i="124"/>
  <c r="R43" i="124"/>
  <c r="Q43" i="124"/>
  <c r="G43" i="124"/>
  <c r="AG43" i="124"/>
  <c r="AF43" i="124"/>
  <c r="AE43" i="124"/>
  <c r="AD43" i="124"/>
  <c r="AC43" i="124"/>
  <c r="AB43" i="124"/>
  <c r="AA43" i="124"/>
  <c r="Z43" i="124"/>
  <c r="Y43" i="124"/>
  <c r="X43" i="124"/>
  <c r="W43" i="124"/>
  <c r="V43" i="124"/>
  <c r="T43" i="124"/>
  <c r="S43" i="124"/>
  <c r="P43" i="124"/>
  <c r="M43" i="124"/>
  <c r="L43" i="124"/>
  <c r="K43" i="124"/>
  <c r="H43" i="124"/>
  <c r="E43" i="124"/>
  <c r="D43" i="124"/>
  <c r="AH42" i="124"/>
  <c r="AG13" i="124"/>
  <c r="AF13" i="124"/>
  <c r="AE13" i="124"/>
  <c r="AD13" i="124"/>
  <c r="AC13" i="124"/>
  <c r="AB13" i="124"/>
  <c r="AA13" i="124"/>
  <c r="Z13" i="124"/>
  <c r="Y13" i="124"/>
  <c r="X13" i="124"/>
  <c r="W13" i="124"/>
  <c r="V13" i="124"/>
  <c r="U13" i="124"/>
  <c r="T13" i="124"/>
  <c r="S13" i="124"/>
  <c r="R13" i="124"/>
  <c r="Q13" i="124"/>
  <c r="P13" i="124"/>
  <c r="O13" i="124"/>
  <c r="N13" i="124"/>
  <c r="M13" i="124"/>
  <c r="L13" i="124"/>
  <c r="K13" i="124"/>
  <c r="J13" i="124"/>
  <c r="I13" i="124"/>
  <c r="H13" i="124"/>
  <c r="G13" i="124"/>
  <c r="F13" i="124"/>
  <c r="E13" i="124"/>
  <c r="D13" i="124"/>
  <c r="C13" i="124"/>
  <c r="AG12" i="124"/>
  <c r="AF12" i="124"/>
  <c r="AE12" i="124"/>
  <c r="AD12" i="124"/>
  <c r="AC12" i="124"/>
  <c r="AB12" i="124"/>
  <c r="AA12" i="124"/>
  <c r="Z12" i="124"/>
  <c r="Y12" i="124"/>
  <c r="X12" i="124"/>
  <c r="W12" i="124"/>
  <c r="V12" i="124"/>
  <c r="U12" i="124"/>
  <c r="T12" i="124"/>
  <c r="S12" i="124"/>
  <c r="R12" i="124"/>
  <c r="Q12" i="124"/>
  <c r="P12" i="124"/>
  <c r="O12" i="124"/>
  <c r="N12" i="124"/>
  <c r="M12" i="124"/>
  <c r="L12" i="124"/>
  <c r="K12" i="124"/>
  <c r="J12" i="124"/>
  <c r="I12" i="124"/>
  <c r="H12" i="124"/>
  <c r="G12" i="124"/>
  <c r="F12" i="124"/>
  <c r="E12" i="124"/>
  <c r="D12" i="124"/>
  <c r="C12" i="124"/>
  <c r="AG11" i="124"/>
  <c r="AF11" i="124"/>
  <c r="AE11" i="124"/>
  <c r="AD11" i="124"/>
  <c r="AC11" i="124"/>
  <c r="AB11" i="124"/>
  <c r="AA11" i="124"/>
  <c r="Z11" i="124"/>
  <c r="Y11" i="124"/>
  <c r="X11" i="124"/>
  <c r="W11" i="124"/>
  <c r="V11" i="124"/>
  <c r="U11" i="124"/>
  <c r="T11" i="124"/>
  <c r="S11" i="124"/>
  <c r="R11" i="124"/>
  <c r="Q11" i="124"/>
  <c r="P11" i="124"/>
  <c r="O11" i="124"/>
  <c r="N11" i="124"/>
  <c r="M11" i="124"/>
  <c r="L11" i="124"/>
  <c r="K11" i="124"/>
  <c r="J11" i="124"/>
  <c r="I11" i="124"/>
  <c r="H11" i="124"/>
  <c r="G11" i="124"/>
  <c r="F11" i="124"/>
  <c r="E11" i="124"/>
  <c r="D11" i="124"/>
  <c r="C11" i="124"/>
  <c r="H60" i="124" l="1"/>
  <c r="P60" i="124"/>
  <c r="J10" i="124"/>
  <c r="V10" i="124"/>
  <c r="Z10" i="124"/>
  <c r="C10" i="124"/>
  <c r="K10" i="124"/>
  <c r="E174" i="124"/>
  <c r="M174" i="124"/>
  <c r="U174" i="124"/>
  <c r="Y174" i="124"/>
  <c r="AC174" i="124"/>
  <c r="D237" i="124"/>
  <c r="H237" i="124"/>
  <c r="L237" i="124"/>
  <c r="P237" i="124"/>
  <c r="T237" i="124"/>
  <c r="X237" i="124"/>
  <c r="AB237" i="124"/>
  <c r="AD237" i="124"/>
  <c r="AB60" i="124"/>
  <c r="Y237" i="124"/>
  <c r="F237" i="124"/>
  <c r="C237" i="124"/>
  <c r="X174" i="124"/>
  <c r="AC237" i="124"/>
  <c r="Z237" i="124"/>
  <c r="AD10" i="124"/>
  <c r="N10" i="124"/>
  <c r="R10" i="124"/>
  <c r="S10" i="124"/>
  <c r="G10" i="124"/>
  <c r="O10" i="124"/>
  <c r="W10" i="124"/>
  <c r="AA10" i="124"/>
  <c r="AE10" i="124"/>
  <c r="F10" i="124"/>
  <c r="L60" i="124"/>
  <c r="T60" i="124"/>
  <c r="F301" i="124"/>
  <c r="J301" i="124"/>
  <c r="N301" i="124"/>
  <c r="R301" i="124"/>
  <c r="Z301" i="124"/>
  <c r="AD301" i="124"/>
  <c r="E301" i="124"/>
  <c r="I301" i="124"/>
  <c r="M301" i="124"/>
  <c r="U301" i="124"/>
  <c r="Y301" i="124"/>
  <c r="AC301" i="124"/>
  <c r="AG301" i="124"/>
  <c r="D301" i="124"/>
  <c r="H301" i="124"/>
  <c r="L301" i="124"/>
  <c r="P301" i="124"/>
  <c r="T301" i="124"/>
  <c r="X301" i="124"/>
  <c r="AB301" i="124"/>
  <c r="C301" i="124"/>
  <c r="G301" i="124"/>
  <c r="K301" i="124"/>
  <c r="O301" i="124"/>
  <c r="S301" i="124"/>
  <c r="W301" i="124"/>
  <c r="AA301" i="124"/>
  <c r="AE301" i="124"/>
  <c r="G174" i="124"/>
  <c r="O174" i="124"/>
  <c r="S174" i="124"/>
  <c r="AA174" i="124"/>
  <c r="C174" i="124"/>
  <c r="K174" i="124"/>
  <c r="W174" i="124"/>
  <c r="AE174" i="124"/>
  <c r="D60" i="124"/>
  <c r="AH288" i="124"/>
  <c r="Q301" i="124"/>
  <c r="V301" i="124"/>
  <c r="E60" i="124"/>
  <c r="I60" i="124"/>
  <c r="M60" i="124"/>
  <c r="AG60" i="124"/>
  <c r="AF301" i="124"/>
  <c r="AE237" i="124"/>
  <c r="AH224" i="124"/>
  <c r="AF237" i="124"/>
  <c r="AA237" i="124"/>
  <c r="E10" i="124"/>
  <c r="M10" i="124"/>
  <c r="U10" i="124"/>
  <c r="AC10" i="124"/>
  <c r="D10" i="124"/>
  <c r="H10" i="124"/>
  <c r="L10" i="124"/>
  <c r="P10" i="124"/>
  <c r="T10" i="124"/>
  <c r="X10" i="124"/>
  <c r="AB10" i="124"/>
  <c r="AF10" i="124"/>
  <c r="I10" i="124"/>
  <c r="Q10" i="124"/>
  <c r="Y10" i="124"/>
  <c r="AG10" i="124"/>
  <c r="AH159" i="124"/>
  <c r="AF60" i="124"/>
  <c r="K60" i="124"/>
  <c r="S60" i="124"/>
  <c r="W60" i="124"/>
  <c r="AA60" i="124"/>
  <c r="AE60" i="124"/>
  <c r="V60" i="124"/>
  <c r="Z60" i="124"/>
  <c r="AD60" i="124"/>
  <c r="X60" i="124"/>
  <c r="Y60" i="124"/>
  <c r="AC60" i="124"/>
  <c r="AP93" i="124"/>
  <c r="AN111" i="124"/>
  <c r="AH44" i="124"/>
  <c r="AI45" i="124" s="1"/>
  <c r="AH55" i="124"/>
  <c r="G60" i="124"/>
  <c r="O60" i="124"/>
  <c r="AH75" i="124"/>
  <c r="J60" i="124"/>
  <c r="N60" i="124"/>
  <c r="R60" i="124"/>
  <c r="B144" i="124"/>
  <c r="AH46" i="124"/>
  <c r="C43" i="124"/>
  <c r="C60" i="124" s="1"/>
  <c r="AH74" i="124"/>
  <c r="G66" i="124"/>
  <c r="Q60" i="124"/>
  <c r="U60" i="124"/>
  <c r="F43" i="124"/>
  <c r="F60" i="124" s="1"/>
  <c r="Q44" i="123"/>
  <c r="U45" i="123"/>
  <c r="AH10" i="124" l="1"/>
  <c r="AH43" i="124"/>
  <c r="S45" i="123"/>
  <c r="R45" i="123"/>
  <c r="R44" i="123"/>
  <c r="O315" i="123"/>
  <c r="Q45" i="123"/>
  <c r="O45" i="123"/>
  <c r="N45" i="123" l="1"/>
  <c r="K44" i="123"/>
  <c r="L44" i="123"/>
  <c r="I44" i="123"/>
  <c r="C52" i="123" l="1"/>
  <c r="L45" i="123"/>
  <c r="M45" i="123"/>
  <c r="J45" i="123"/>
  <c r="C117" i="123"/>
  <c r="G1064" i="41"/>
  <c r="G44" i="123" l="1"/>
  <c r="I45" i="123" l="1"/>
  <c r="Y45" i="122"/>
  <c r="G1051" i="41" l="1"/>
  <c r="G1157" i="41"/>
  <c r="H45" i="123" l="1"/>
  <c r="G1222" i="41"/>
  <c r="AG44" i="122" l="1"/>
  <c r="G1059" i="41"/>
  <c r="F45" i="123" l="1"/>
  <c r="C92" i="122"/>
  <c r="AF44" i="122"/>
  <c r="C46" i="123" l="1"/>
  <c r="C52" i="122"/>
  <c r="AE45" i="119"/>
  <c r="AG315" i="122" l="1"/>
  <c r="AD44" i="122"/>
  <c r="AG45" i="122"/>
  <c r="AF45" i="122" l="1"/>
  <c r="C90" i="122"/>
  <c r="C91" i="122" l="1"/>
  <c r="C109" i="122" l="1"/>
  <c r="AE45" i="122"/>
  <c r="AB44" i="122"/>
  <c r="AA44" i="122"/>
  <c r="X44" i="122"/>
  <c r="AC44" i="122"/>
  <c r="AB45" i="122"/>
  <c r="AD45" i="122"/>
  <c r="V45" i="122"/>
  <c r="AA45" i="122" l="1"/>
  <c r="M44" i="122"/>
  <c r="Q44" i="122"/>
  <c r="Q45" i="122"/>
  <c r="Z45" i="122"/>
  <c r="G1053" i="41" l="1"/>
  <c r="AF9" i="27"/>
  <c r="U44" i="122" l="1"/>
  <c r="R44" i="122"/>
  <c r="V44" i="122"/>
  <c r="X45" i="122"/>
  <c r="Y188" i="122"/>
  <c r="W50" i="122"/>
  <c r="W45" i="122"/>
  <c r="U45" i="122"/>
  <c r="Q44" i="119"/>
  <c r="T45" i="122" l="1"/>
  <c r="K227" i="122" l="1"/>
  <c r="S45" i="122" l="1"/>
  <c r="S50" i="122"/>
  <c r="G1067" i="41" l="1"/>
  <c r="O44" i="122" l="1"/>
  <c r="Q50" i="122"/>
  <c r="R45" i="122"/>
  <c r="V288" i="123"/>
  <c r="AH45" i="123"/>
  <c r="H67" i="123"/>
  <c r="I67" i="123"/>
  <c r="J67" i="123"/>
  <c r="K67" i="123"/>
  <c r="L67" i="123"/>
  <c r="N67" i="123"/>
  <c r="O67" i="123"/>
  <c r="P67" i="123"/>
  <c r="Q67" i="123"/>
  <c r="R67" i="123"/>
  <c r="S67" i="123"/>
  <c r="T67" i="123"/>
  <c r="U67" i="123"/>
  <c r="V67" i="123"/>
  <c r="W67" i="123"/>
  <c r="X67" i="123"/>
  <c r="Y67" i="123"/>
  <c r="Z67" i="123"/>
  <c r="AA67" i="123"/>
  <c r="AB67" i="123"/>
  <c r="AC67" i="123"/>
  <c r="AD67" i="123"/>
  <c r="AE67" i="123"/>
  <c r="AF67" i="123"/>
  <c r="AG67" i="123"/>
  <c r="G67" i="123"/>
  <c r="H66" i="123"/>
  <c r="I66" i="123"/>
  <c r="L66" i="123"/>
  <c r="M66" i="123"/>
  <c r="P66" i="123"/>
  <c r="Q66" i="123"/>
  <c r="T66" i="123"/>
  <c r="U66" i="123"/>
  <c r="W66" i="123"/>
  <c r="X66" i="123"/>
  <c r="Y66" i="123"/>
  <c r="AB66" i="123"/>
  <c r="AF74" i="123"/>
  <c r="AF66" i="123" s="1"/>
  <c r="AG66" i="123"/>
  <c r="B317" i="123"/>
  <c r="AH314" i="123"/>
  <c r="AG308" i="123"/>
  <c r="AF308" i="123"/>
  <c r="AE308" i="123"/>
  <c r="AD308" i="123"/>
  <c r="AC308" i="123"/>
  <c r="AB308" i="123"/>
  <c r="AA308" i="123"/>
  <c r="Z308" i="123"/>
  <c r="Y308" i="123"/>
  <c r="X308" i="123"/>
  <c r="W308" i="123"/>
  <c r="V308" i="123"/>
  <c r="U308" i="123"/>
  <c r="T308" i="123"/>
  <c r="S308" i="123"/>
  <c r="R308" i="123"/>
  <c r="Q308" i="123"/>
  <c r="P308" i="123"/>
  <c r="O308" i="123"/>
  <c r="N308" i="123"/>
  <c r="M308" i="123"/>
  <c r="L308" i="123"/>
  <c r="K308" i="123"/>
  <c r="J308" i="123"/>
  <c r="I308" i="123"/>
  <c r="H308" i="123"/>
  <c r="G308" i="123"/>
  <c r="F308" i="123"/>
  <c r="E308" i="123"/>
  <c r="D308" i="123"/>
  <c r="C308" i="123"/>
  <c r="AG307" i="123"/>
  <c r="AF307" i="123"/>
  <c r="AE307" i="123"/>
  <c r="AD307" i="123"/>
  <c r="AC307" i="123"/>
  <c r="AB307" i="123"/>
  <c r="AA307" i="123"/>
  <c r="Z307" i="123"/>
  <c r="Y307" i="123"/>
  <c r="X307" i="123"/>
  <c r="W307" i="123"/>
  <c r="V307" i="123"/>
  <c r="U307" i="123"/>
  <c r="T307" i="123"/>
  <c r="S307" i="123"/>
  <c r="R307" i="123"/>
  <c r="Q307" i="123"/>
  <c r="P307" i="123"/>
  <c r="O307" i="123"/>
  <c r="N307" i="123"/>
  <c r="M307" i="123"/>
  <c r="L307" i="123"/>
  <c r="K307" i="123"/>
  <c r="J307" i="123"/>
  <c r="I307" i="123"/>
  <c r="H307" i="123"/>
  <c r="G307" i="123"/>
  <c r="F307" i="123"/>
  <c r="E307" i="123"/>
  <c r="D307" i="123"/>
  <c r="C307" i="123"/>
  <c r="AH298" i="123"/>
  <c r="AG296" i="123"/>
  <c r="AF296" i="123"/>
  <c r="AE296" i="123"/>
  <c r="AD296" i="123"/>
  <c r="AC296" i="123"/>
  <c r="AB296" i="123"/>
  <c r="AB301" i="123" s="1"/>
  <c r="AA296" i="123"/>
  <c r="Z296" i="123"/>
  <c r="Y296" i="123"/>
  <c r="X296" i="123"/>
  <c r="X301" i="123" s="1"/>
  <c r="W296" i="123"/>
  <c r="V296" i="123"/>
  <c r="U296" i="123"/>
  <c r="T296" i="123"/>
  <c r="T301" i="123" s="1"/>
  <c r="S296" i="123"/>
  <c r="R296" i="123"/>
  <c r="Q296" i="123"/>
  <c r="P296" i="123"/>
  <c r="O296" i="123"/>
  <c r="N296" i="123"/>
  <c r="M296" i="123"/>
  <c r="L296" i="123"/>
  <c r="L301" i="123" s="1"/>
  <c r="K296" i="123"/>
  <c r="J296" i="123"/>
  <c r="I296" i="123"/>
  <c r="H296" i="123"/>
  <c r="H301" i="123" s="1"/>
  <c r="G296" i="123"/>
  <c r="F296" i="123"/>
  <c r="E296" i="123"/>
  <c r="D296" i="123"/>
  <c r="D301" i="123" s="1"/>
  <c r="C296" i="123"/>
  <c r="AH292" i="123"/>
  <c r="AH291" i="123"/>
  <c r="AH290" i="123"/>
  <c r="AH289" i="123"/>
  <c r="AG288" i="123"/>
  <c r="AF288" i="123"/>
  <c r="AE288" i="123"/>
  <c r="AD288" i="123"/>
  <c r="AC288" i="123"/>
  <c r="AB288" i="123"/>
  <c r="AA288" i="123"/>
  <c r="Z288" i="123"/>
  <c r="Y288" i="123"/>
  <c r="X288" i="123"/>
  <c r="W288" i="123"/>
  <c r="U288" i="123"/>
  <c r="T288" i="123"/>
  <c r="S288" i="123"/>
  <c r="R288" i="123"/>
  <c r="Q288" i="123"/>
  <c r="P288" i="123"/>
  <c r="O288" i="123"/>
  <c r="N288" i="123"/>
  <c r="M288" i="123"/>
  <c r="L288" i="123"/>
  <c r="K288" i="123"/>
  <c r="J288" i="123"/>
  <c r="I288" i="123"/>
  <c r="H288" i="123"/>
  <c r="G288" i="123"/>
  <c r="F288" i="123"/>
  <c r="E288" i="123"/>
  <c r="D288" i="123"/>
  <c r="C288" i="123"/>
  <c r="B275" i="123"/>
  <c r="B273" i="123" s="1"/>
  <c r="B274" i="123"/>
  <c r="B253" i="123"/>
  <c r="AH252" i="123"/>
  <c r="AH250" i="123"/>
  <c r="AG244" i="123"/>
  <c r="AF244" i="123"/>
  <c r="AE244" i="123"/>
  <c r="AD244" i="123"/>
  <c r="AC244" i="123"/>
  <c r="AB244" i="123"/>
  <c r="AA244" i="123"/>
  <c r="Z244" i="123"/>
  <c r="Y244" i="123"/>
  <c r="X244" i="123"/>
  <c r="W244" i="123"/>
  <c r="V244" i="123"/>
  <c r="U244" i="123"/>
  <c r="T244" i="123"/>
  <c r="S244" i="123"/>
  <c r="R244" i="123"/>
  <c r="Q244" i="123"/>
  <c r="P244" i="123"/>
  <c r="O244" i="123"/>
  <c r="N244" i="123"/>
  <c r="M244" i="123"/>
  <c r="L244" i="123"/>
  <c r="K244" i="123"/>
  <c r="J244" i="123"/>
  <c r="I244" i="123"/>
  <c r="H244" i="123"/>
  <c r="G244" i="123"/>
  <c r="F244" i="123"/>
  <c r="E244" i="123"/>
  <c r="D244" i="123"/>
  <c r="C244" i="123"/>
  <c r="AG243" i="123"/>
  <c r="AF243" i="123"/>
  <c r="AE243" i="123"/>
  <c r="AD243" i="123"/>
  <c r="AC243" i="123"/>
  <c r="AB243" i="123"/>
  <c r="AA243" i="123"/>
  <c r="Z243" i="123"/>
  <c r="Y243" i="123"/>
  <c r="X243" i="123"/>
  <c r="W243" i="123"/>
  <c r="V243" i="123"/>
  <c r="U243" i="123"/>
  <c r="T243" i="123"/>
  <c r="S243" i="123"/>
  <c r="R243" i="123"/>
  <c r="Q243" i="123"/>
  <c r="P243" i="123"/>
  <c r="O243" i="123"/>
  <c r="N243" i="123"/>
  <c r="M243" i="123"/>
  <c r="L243" i="123"/>
  <c r="K243" i="123"/>
  <c r="J243" i="123"/>
  <c r="I243" i="123"/>
  <c r="H243" i="123"/>
  <c r="G243" i="123"/>
  <c r="F243" i="123"/>
  <c r="E243" i="123"/>
  <c r="D243" i="123"/>
  <c r="C243" i="123"/>
  <c r="AH234" i="123"/>
  <c r="AG232" i="123"/>
  <c r="AF232" i="123"/>
  <c r="AE232" i="123"/>
  <c r="AD232" i="123"/>
  <c r="AC232" i="123"/>
  <c r="AB232" i="123"/>
  <c r="AA232" i="123"/>
  <c r="Z232" i="123"/>
  <c r="Y232" i="123"/>
  <c r="X232" i="123"/>
  <c r="W232" i="123"/>
  <c r="V232" i="123"/>
  <c r="U232" i="123"/>
  <c r="T232" i="123"/>
  <c r="S232" i="123"/>
  <c r="R232" i="123"/>
  <c r="Q232" i="123"/>
  <c r="P232" i="123"/>
  <c r="O232" i="123"/>
  <c r="N232" i="123"/>
  <c r="M232" i="123"/>
  <c r="L232" i="123"/>
  <c r="K232" i="123"/>
  <c r="J232" i="123"/>
  <c r="J237" i="123" s="1"/>
  <c r="I232" i="123"/>
  <c r="H232" i="123"/>
  <c r="G232" i="123"/>
  <c r="F232" i="123"/>
  <c r="F237" i="123" s="1"/>
  <c r="E232" i="123"/>
  <c r="D232" i="123"/>
  <c r="C232" i="123"/>
  <c r="AH228" i="123"/>
  <c r="AH227" i="123"/>
  <c r="L224" i="123"/>
  <c r="AH226" i="123"/>
  <c r="AH225" i="123"/>
  <c r="AG224" i="123"/>
  <c r="AF224" i="123"/>
  <c r="AE224" i="123"/>
  <c r="AD224" i="123"/>
  <c r="AC224" i="123"/>
  <c r="AB224" i="123"/>
  <c r="AA224" i="123"/>
  <c r="Z224" i="123"/>
  <c r="Y224" i="123"/>
  <c r="X224" i="123"/>
  <c r="W224" i="123"/>
  <c r="V224" i="123"/>
  <c r="U224" i="123"/>
  <c r="T224" i="123"/>
  <c r="S224" i="123"/>
  <c r="R224" i="123"/>
  <c r="Q224" i="123"/>
  <c r="P224" i="123"/>
  <c r="O224" i="123"/>
  <c r="N224" i="123"/>
  <c r="M224" i="123"/>
  <c r="K224" i="123"/>
  <c r="J224" i="123"/>
  <c r="I224" i="123"/>
  <c r="H224" i="123"/>
  <c r="G224" i="123"/>
  <c r="F224" i="123"/>
  <c r="E224" i="123"/>
  <c r="D224" i="123"/>
  <c r="C224" i="123"/>
  <c r="B211" i="123"/>
  <c r="B210" i="123"/>
  <c r="B209" i="123" s="1"/>
  <c r="B190" i="123"/>
  <c r="AG181" i="123"/>
  <c r="AF181" i="123"/>
  <c r="AE181" i="123"/>
  <c r="AD181" i="123"/>
  <c r="AC181" i="123"/>
  <c r="AB181" i="123"/>
  <c r="AA181" i="123"/>
  <c r="Z181" i="123"/>
  <c r="Y181" i="123"/>
  <c r="X181" i="123"/>
  <c r="W181" i="123"/>
  <c r="V181" i="123"/>
  <c r="U181" i="123"/>
  <c r="T181" i="123"/>
  <c r="S181" i="123"/>
  <c r="R181" i="123"/>
  <c r="Q181" i="123"/>
  <c r="P181" i="123"/>
  <c r="O181" i="123"/>
  <c r="N181" i="123"/>
  <c r="M181" i="123"/>
  <c r="L181" i="123"/>
  <c r="K181" i="123"/>
  <c r="J181" i="123"/>
  <c r="I181" i="123"/>
  <c r="H181" i="123"/>
  <c r="G181" i="123"/>
  <c r="F181" i="123"/>
  <c r="E181" i="123"/>
  <c r="D181" i="123"/>
  <c r="C181" i="123"/>
  <c r="AG180" i="123"/>
  <c r="AF180" i="123"/>
  <c r="AE180" i="123"/>
  <c r="AD180" i="123"/>
  <c r="AC180" i="123"/>
  <c r="AB180" i="123"/>
  <c r="AA180" i="123"/>
  <c r="Z180" i="123"/>
  <c r="Y180" i="123"/>
  <c r="X180" i="123"/>
  <c r="W180" i="123"/>
  <c r="V180" i="123"/>
  <c r="U180" i="123"/>
  <c r="T180" i="123"/>
  <c r="S180" i="123"/>
  <c r="R180" i="123"/>
  <c r="Q180" i="123"/>
  <c r="P180" i="123"/>
  <c r="O180" i="123"/>
  <c r="N180" i="123"/>
  <c r="M180" i="123"/>
  <c r="L180" i="123"/>
  <c r="K180" i="123"/>
  <c r="J180" i="123"/>
  <c r="I180" i="123"/>
  <c r="H180" i="123"/>
  <c r="G180" i="123"/>
  <c r="F180" i="123"/>
  <c r="E180" i="123"/>
  <c r="D180" i="123"/>
  <c r="C180" i="123"/>
  <c r="AG169" i="123"/>
  <c r="AF169" i="123"/>
  <c r="AF174" i="123" s="1"/>
  <c r="AE169" i="123"/>
  <c r="AD169" i="123"/>
  <c r="AD174" i="123" s="1"/>
  <c r="AC169" i="123"/>
  <c r="AB169" i="123"/>
  <c r="AB174" i="123" s="1"/>
  <c r="AA169" i="123"/>
  <c r="Z169" i="123"/>
  <c r="Z174" i="123" s="1"/>
  <c r="Y169" i="123"/>
  <c r="X169" i="123"/>
  <c r="X174" i="123" s="1"/>
  <c r="W169" i="123"/>
  <c r="V169" i="123"/>
  <c r="V174" i="123" s="1"/>
  <c r="U169" i="123"/>
  <c r="T169" i="123"/>
  <c r="T174" i="123" s="1"/>
  <c r="S169" i="123"/>
  <c r="R169" i="123"/>
  <c r="R174" i="123" s="1"/>
  <c r="Q169" i="123"/>
  <c r="P169" i="123"/>
  <c r="P174" i="123" s="1"/>
  <c r="O169" i="123"/>
  <c r="N169" i="123"/>
  <c r="N174" i="123" s="1"/>
  <c r="M169" i="123"/>
  <c r="L169" i="123"/>
  <c r="L174" i="123" s="1"/>
  <c r="K169" i="123"/>
  <c r="J169" i="123"/>
  <c r="J174" i="123" s="1"/>
  <c r="I169" i="123"/>
  <c r="H169" i="123"/>
  <c r="H174" i="123" s="1"/>
  <c r="G169" i="123"/>
  <c r="F169" i="123"/>
  <c r="E169" i="123"/>
  <c r="D169" i="123"/>
  <c r="C169" i="123"/>
  <c r="AH167" i="123"/>
  <c r="AH166" i="123"/>
  <c r="AH165" i="123"/>
  <c r="AH164" i="123"/>
  <c r="AH163" i="123"/>
  <c r="AH162" i="123"/>
  <c r="AH161" i="123"/>
  <c r="AH160" i="123"/>
  <c r="AG159" i="123"/>
  <c r="AF159" i="123"/>
  <c r="AE159" i="123"/>
  <c r="AD159" i="123"/>
  <c r="AC159" i="123"/>
  <c r="AB159" i="123"/>
  <c r="AA159" i="123"/>
  <c r="Z159" i="123"/>
  <c r="Y159" i="123"/>
  <c r="X159" i="123"/>
  <c r="W159" i="123"/>
  <c r="V159" i="123"/>
  <c r="U159" i="123"/>
  <c r="T159" i="123"/>
  <c r="S159" i="123"/>
  <c r="R159" i="123"/>
  <c r="Q159" i="123"/>
  <c r="P159" i="123"/>
  <c r="O159" i="123"/>
  <c r="N159" i="123"/>
  <c r="M159" i="123"/>
  <c r="L159" i="123"/>
  <c r="K159" i="123"/>
  <c r="J159" i="123"/>
  <c r="I159" i="123"/>
  <c r="H159" i="123"/>
  <c r="G159" i="123"/>
  <c r="F159" i="123"/>
  <c r="E159" i="123"/>
  <c r="D159" i="123"/>
  <c r="C159" i="123"/>
  <c r="B146" i="123"/>
  <c r="B145" i="123"/>
  <c r="B144" i="123" s="1"/>
  <c r="AN93" i="123"/>
  <c r="AN111" i="123" s="1"/>
  <c r="C82" i="123"/>
  <c r="B29" i="123" s="1"/>
  <c r="B28" i="123" s="1"/>
  <c r="AH79" i="123"/>
  <c r="AH78" i="123"/>
  <c r="AH77" i="123"/>
  <c r="AC66" i="123"/>
  <c r="M67" i="123"/>
  <c r="F67" i="123"/>
  <c r="E67" i="123"/>
  <c r="D67" i="123"/>
  <c r="C67" i="123"/>
  <c r="AE66" i="123"/>
  <c r="AD66" i="123"/>
  <c r="AA66" i="123"/>
  <c r="Z66" i="123"/>
  <c r="V66" i="123"/>
  <c r="S66" i="123"/>
  <c r="R66" i="123"/>
  <c r="O66" i="123"/>
  <c r="N66" i="123"/>
  <c r="K66" i="123"/>
  <c r="J66" i="123"/>
  <c r="G66" i="123"/>
  <c r="F66" i="123"/>
  <c r="E66" i="123"/>
  <c r="D66" i="123"/>
  <c r="C66" i="123"/>
  <c r="AH65" i="123"/>
  <c r="AJ59" i="123"/>
  <c r="AJ60" i="123" s="1"/>
  <c r="AH58" i="123"/>
  <c r="AH57" i="123"/>
  <c r="AH56" i="123"/>
  <c r="AG55" i="123"/>
  <c r="AF55" i="123"/>
  <c r="AE55" i="123"/>
  <c r="AD55" i="123"/>
  <c r="AC55" i="123"/>
  <c r="AB55" i="123"/>
  <c r="AA55" i="123"/>
  <c r="Z55" i="123"/>
  <c r="Y55" i="123"/>
  <c r="X55" i="123"/>
  <c r="W55" i="123"/>
  <c r="V55" i="123"/>
  <c r="U55" i="123"/>
  <c r="T55" i="123"/>
  <c r="S55" i="123"/>
  <c r="R55" i="123"/>
  <c r="Q55" i="123"/>
  <c r="P55" i="123"/>
  <c r="O55" i="123"/>
  <c r="N55" i="123"/>
  <c r="M55" i="123"/>
  <c r="L55" i="123"/>
  <c r="K55" i="123"/>
  <c r="J55" i="123"/>
  <c r="I55" i="123"/>
  <c r="H55" i="123"/>
  <c r="G55" i="123"/>
  <c r="F55" i="123"/>
  <c r="E55" i="123"/>
  <c r="D55" i="123"/>
  <c r="C55" i="123"/>
  <c r="AH54" i="123"/>
  <c r="AH53" i="123"/>
  <c r="AH52" i="123"/>
  <c r="AH51" i="123"/>
  <c r="AH50" i="123"/>
  <c r="AH49" i="123"/>
  <c r="AH48" i="123"/>
  <c r="AH47" i="123"/>
  <c r="AH46" i="123"/>
  <c r="L43" i="123"/>
  <c r="Q43" i="123"/>
  <c r="O43" i="123"/>
  <c r="I43" i="123"/>
  <c r="G43" i="123"/>
  <c r="AG43" i="123"/>
  <c r="AF43" i="123"/>
  <c r="AE43" i="123"/>
  <c r="AD43" i="123"/>
  <c r="AC43" i="123"/>
  <c r="AB43" i="123"/>
  <c r="AA43" i="123"/>
  <c r="Z43" i="123"/>
  <c r="Y43" i="123"/>
  <c r="X43" i="123"/>
  <c r="W43" i="123"/>
  <c r="V43" i="123"/>
  <c r="U43" i="123"/>
  <c r="T43" i="123"/>
  <c r="S43" i="123"/>
  <c r="R43" i="123"/>
  <c r="P43" i="123"/>
  <c r="N43" i="123"/>
  <c r="M43" i="123"/>
  <c r="K43" i="123"/>
  <c r="J43" i="123"/>
  <c r="H43" i="123"/>
  <c r="F43" i="123"/>
  <c r="E43" i="123"/>
  <c r="D43" i="123"/>
  <c r="C43" i="123"/>
  <c r="AH42" i="123"/>
  <c r="AG13" i="123"/>
  <c r="AF13" i="123"/>
  <c r="AE13" i="123"/>
  <c r="AD13" i="123"/>
  <c r="AC13" i="123"/>
  <c r="AB13" i="123"/>
  <c r="AA13" i="123"/>
  <c r="Z13" i="123"/>
  <c r="Y13" i="123"/>
  <c r="X13" i="123"/>
  <c r="W13" i="123"/>
  <c r="V13" i="123"/>
  <c r="U13" i="123"/>
  <c r="T13" i="123"/>
  <c r="S13" i="123"/>
  <c r="R13" i="123"/>
  <c r="Q13" i="123"/>
  <c r="P13" i="123"/>
  <c r="O13" i="123"/>
  <c r="N13" i="123"/>
  <c r="M13" i="123"/>
  <c r="L13" i="123"/>
  <c r="K13" i="123"/>
  <c r="J13" i="123"/>
  <c r="I13" i="123"/>
  <c r="H13" i="123"/>
  <c r="G13" i="123"/>
  <c r="F13" i="123"/>
  <c r="E13" i="123"/>
  <c r="D13" i="123"/>
  <c r="C13" i="123"/>
  <c r="AG12" i="123"/>
  <c r="AF12" i="123"/>
  <c r="AE12" i="123"/>
  <c r="AD12" i="123"/>
  <c r="AC12" i="123"/>
  <c r="AB12" i="123"/>
  <c r="AA12" i="123"/>
  <c r="Z12" i="123"/>
  <c r="Y12" i="123"/>
  <c r="X12" i="123"/>
  <c r="W12" i="123"/>
  <c r="V12" i="123"/>
  <c r="U12" i="123"/>
  <c r="T12" i="123"/>
  <c r="S12" i="123"/>
  <c r="R12" i="123"/>
  <c r="Q12" i="123"/>
  <c r="P12" i="123"/>
  <c r="O12" i="123"/>
  <c r="N12" i="123"/>
  <c r="M12" i="123"/>
  <c r="L12" i="123"/>
  <c r="K12" i="123"/>
  <c r="J12" i="123"/>
  <c r="I12" i="123"/>
  <c r="H12" i="123"/>
  <c r="G12" i="123"/>
  <c r="F12" i="123"/>
  <c r="E12" i="123"/>
  <c r="D12" i="123"/>
  <c r="C12" i="123"/>
  <c r="AG11" i="123"/>
  <c r="AF11" i="123"/>
  <c r="AE11" i="123"/>
  <c r="AD11" i="123"/>
  <c r="AC11" i="123"/>
  <c r="AB11" i="123"/>
  <c r="AA11" i="123"/>
  <c r="Z11" i="123"/>
  <c r="Y11" i="123"/>
  <c r="X11" i="123"/>
  <c r="W11" i="123"/>
  <c r="V11" i="123"/>
  <c r="U11" i="123"/>
  <c r="T11" i="123"/>
  <c r="S11" i="123"/>
  <c r="R11" i="123"/>
  <c r="Q11" i="123"/>
  <c r="P11" i="123"/>
  <c r="O11" i="123"/>
  <c r="N11" i="123"/>
  <c r="M11" i="123"/>
  <c r="L11" i="123"/>
  <c r="K11" i="123"/>
  <c r="J11" i="123"/>
  <c r="I11" i="123"/>
  <c r="H11" i="123"/>
  <c r="G11" i="123"/>
  <c r="F11" i="123"/>
  <c r="E11" i="123"/>
  <c r="D11" i="123"/>
  <c r="C11" i="123"/>
  <c r="L227" i="122"/>
  <c r="I44" i="122"/>
  <c r="N44" i="122"/>
  <c r="AP93" i="123" l="1"/>
  <c r="D174" i="123"/>
  <c r="I174" i="123"/>
  <c r="M174" i="123"/>
  <c r="Q174" i="123"/>
  <c r="U174" i="123"/>
  <c r="Y174" i="123"/>
  <c r="AG174" i="123"/>
  <c r="D10" i="123"/>
  <c r="C174" i="123"/>
  <c r="K174" i="123"/>
  <c r="O174" i="123"/>
  <c r="S174" i="123"/>
  <c r="AA174" i="123"/>
  <c r="AE174" i="123"/>
  <c r="E237" i="123"/>
  <c r="I237" i="123"/>
  <c r="C301" i="123"/>
  <c r="G301" i="123"/>
  <c r="K301" i="123"/>
  <c r="S301" i="123"/>
  <c r="W301" i="123"/>
  <c r="AB237" i="123"/>
  <c r="P301" i="123"/>
  <c r="E174" i="123"/>
  <c r="F174" i="123"/>
  <c r="AE301" i="123"/>
  <c r="AA301" i="123"/>
  <c r="O301" i="123"/>
  <c r="AD60" i="123"/>
  <c r="J60" i="123"/>
  <c r="V60" i="123"/>
  <c r="Z60" i="123"/>
  <c r="N60" i="123"/>
  <c r="AF301" i="123"/>
  <c r="AH288" i="123"/>
  <c r="H10" i="123"/>
  <c r="L10" i="123"/>
  <c r="P10" i="123"/>
  <c r="T10" i="123"/>
  <c r="X10" i="123"/>
  <c r="AB10" i="123"/>
  <c r="AF10" i="123"/>
  <c r="I10" i="123"/>
  <c r="Q10" i="123"/>
  <c r="Y10" i="123"/>
  <c r="AC10" i="123"/>
  <c r="AG10" i="123"/>
  <c r="E10" i="123"/>
  <c r="AC174" i="123"/>
  <c r="E60" i="123"/>
  <c r="AG60" i="123"/>
  <c r="U60" i="123"/>
  <c r="Y60" i="123"/>
  <c r="AC60" i="123"/>
  <c r="M10" i="123"/>
  <c r="U10" i="123"/>
  <c r="F10" i="123"/>
  <c r="J10" i="123"/>
  <c r="N10" i="123"/>
  <c r="R10" i="123"/>
  <c r="V10" i="123"/>
  <c r="Z10" i="123"/>
  <c r="AD10" i="123"/>
  <c r="C10" i="123"/>
  <c r="G10" i="123"/>
  <c r="K10" i="123"/>
  <c r="O10" i="123"/>
  <c r="S10" i="123"/>
  <c r="W10" i="123"/>
  <c r="AA10" i="123"/>
  <c r="AE10" i="123"/>
  <c r="R60" i="123"/>
  <c r="F301" i="123"/>
  <c r="J301" i="123"/>
  <c r="N301" i="123"/>
  <c r="R301" i="123"/>
  <c r="V301" i="123"/>
  <c r="Z301" i="123"/>
  <c r="AD301" i="123"/>
  <c r="E301" i="123"/>
  <c r="I301" i="123"/>
  <c r="M301" i="123"/>
  <c r="Q301" i="123"/>
  <c r="U301" i="123"/>
  <c r="Y301" i="123"/>
  <c r="AC301" i="123"/>
  <c r="AG301" i="123"/>
  <c r="Q237" i="123"/>
  <c r="U237" i="123"/>
  <c r="AC237" i="123"/>
  <c r="AH224" i="123"/>
  <c r="D237" i="123"/>
  <c r="H237" i="123"/>
  <c r="P237" i="123"/>
  <c r="T237" i="123"/>
  <c r="X237" i="123"/>
  <c r="AF237" i="123"/>
  <c r="C237" i="123"/>
  <c r="G237" i="123"/>
  <c r="K237" i="123"/>
  <c r="O237" i="123"/>
  <c r="S237" i="123"/>
  <c r="W237" i="123"/>
  <c r="AA237" i="123"/>
  <c r="AE237" i="123"/>
  <c r="M237" i="123"/>
  <c r="Y237" i="123"/>
  <c r="AG237" i="123"/>
  <c r="N237" i="123"/>
  <c r="R237" i="123"/>
  <c r="V237" i="123"/>
  <c r="Z237" i="123"/>
  <c r="AD237" i="123"/>
  <c r="W174" i="123"/>
  <c r="G174" i="123"/>
  <c r="AH159" i="123"/>
  <c r="AH55" i="123"/>
  <c r="F60" i="123"/>
  <c r="AH75" i="123"/>
  <c r="M60" i="123"/>
  <c r="AH43" i="123"/>
  <c r="D60" i="123"/>
  <c r="H60" i="123"/>
  <c r="L60" i="123"/>
  <c r="P60" i="123"/>
  <c r="T60" i="123"/>
  <c r="X60" i="123"/>
  <c r="AB60" i="123"/>
  <c r="AF60" i="123"/>
  <c r="C60" i="123"/>
  <c r="K60" i="123"/>
  <c r="S60" i="123"/>
  <c r="W60" i="123"/>
  <c r="AA60" i="123"/>
  <c r="AE60" i="123"/>
  <c r="AH74" i="123"/>
  <c r="G60" i="123"/>
  <c r="O60" i="123"/>
  <c r="L237" i="123"/>
  <c r="AH44" i="123"/>
  <c r="AI45" i="123" s="1"/>
  <c r="I60" i="123"/>
  <c r="Q60" i="123"/>
  <c r="AH10" i="123" l="1"/>
  <c r="G1135" i="41" l="1"/>
  <c r="N45" i="122" l="1"/>
  <c r="G1136" i="41"/>
  <c r="G1058" i="41"/>
  <c r="C52" i="119" l="1"/>
  <c r="AF45" i="115"/>
  <c r="J44" i="122"/>
  <c r="I45" i="122"/>
  <c r="M45" i="122"/>
  <c r="F44" i="122" l="1"/>
  <c r="L45" i="122"/>
  <c r="V45" i="119"/>
  <c r="H45" i="122"/>
  <c r="F45" i="122"/>
  <c r="J45" i="122"/>
  <c r="G44" i="122"/>
  <c r="AD44" i="119"/>
  <c r="J45" i="115"/>
  <c r="G45" i="122"/>
  <c r="AH55" i="27"/>
  <c r="E315" i="122" l="1"/>
  <c r="AB45" i="119"/>
  <c r="E45" i="122"/>
  <c r="AH32" i="27"/>
  <c r="L15" i="57" s="1"/>
  <c r="G1056" i="41"/>
  <c r="V44" i="119"/>
  <c r="AC45" i="119"/>
  <c r="Z45" i="119"/>
  <c r="AE44" i="119"/>
  <c r="AA45" i="119"/>
  <c r="AC44" i="119"/>
  <c r="C44" i="122"/>
  <c r="K32" i="57"/>
  <c r="AG62" i="27"/>
  <c r="C46" i="122"/>
  <c r="AD315" i="119" l="1"/>
  <c r="AG44" i="27"/>
  <c r="AD45" i="119" l="1"/>
  <c r="AA50" i="119"/>
  <c r="P45" i="119"/>
  <c r="C88" i="119"/>
  <c r="L26" i="57"/>
  <c r="Y44" i="119"/>
  <c r="AA44" i="119"/>
  <c r="C93" i="119"/>
  <c r="G1057" i="41" l="1"/>
  <c r="AH14" i="27" l="1"/>
  <c r="L19" i="57" s="1"/>
  <c r="S19" i="57" s="1"/>
  <c r="K21" i="57"/>
  <c r="X44" i="119"/>
  <c r="W44" i="119"/>
  <c r="T44" i="119"/>
  <c r="G1065" i="41"/>
  <c r="V47" i="119"/>
  <c r="U44" i="119"/>
  <c r="X45" i="119"/>
  <c r="AF23" i="27"/>
  <c r="J30" i="57" s="1"/>
  <c r="E19" i="57" l="1"/>
  <c r="G419" i="27"/>
  <c r="F400" i="27"/>
  <c r="F391" i="27"/>
  <c r="F382" i="27"/>
  <c r="H371" i="27"/>
  <c r="H419" i="27" s="1"/>
  <c r="F419" i="27" l="1"/>
  <c r="R44" i="119"/>
  <c r="U45" i="119"/>
  <c r="N44" i="119"/>
  <c r="R45" i="119"/>
  <c r="G1063" i="41"/>
  <c r="H67" i="122"/>
  <c r="I67" i="122"/>
  <c r="L75" i="122"/>
  <c r="L67" i="122" s="1"/>
  <c r="M67" i="122"/>
  <c r="P67" i="122"/>
  <c r="Q67" i="122"/>
  <c r="T67" i="122"/>
  <c r="X67" i="122"/>
  <c r="AB67" i="122"/>
  <c r="AC67" i="122"/>
  <c r="AG67" i="122"/>
  <c r="G67" i="122"/>
  <c r="I66" i="122"/>
  <c r="L66" i="122"/>
  <c r="O66" i="122"/>
  <c r="Q66" i="122"/>
  <c r="T66" i="122"/>
  <c r="Y66" i="122"/>
  <c r="AB66" i="122"/>
  <c r="AF66" i="122"/>
  <c r="AG66" i="122"/>
  <c r="G66" i="122"/>
  <c r="F66" i="122"/>
  <c r="J66" i="122"/>
  <c r="K66" i="122"/>
  <c r="N66" i="122"/>
  <c r="R66" i="122"/>
  <c r="S66" i="122"/>
  <c r="V66" i="122"/>
  <c r="AA66" i="122"/>
  <c r="AD66" i="122"/>
  <c r="AE66" i="122"/>
  <c r="B317" i="122"/>
  <c r="AH314" i="122"/>
  <c r="AG308" i="122"/>
  <c r="AF308" i="122"/>
  <c r="AE308" i="122"/>
  <c r="AD308" i="122"/>
  <c r="AC308" i="122"/>
  <c r="AB308" i="122"/>
  <c r="AA308" i="122"/>
  <c r="Z308" i="122"/>
  <c r="Y308" i="122"/>
  <c r="X308" i="122"/>
  <c r="W308" i="122"/>
  <c r="V308" i="122"/>
  <c r="U308" i="122"/>
  <c r="T308" i="122"/>
  <c r="S308" i="122"/>
  <c r="R308" i="122"/>
  <c r="Q308" i="122"/>
  <c r="P308" i="122"/>
  <c r="O308" i="122"/>
  <c r="N308" i="122"/>
  <c r="M308" i="122"/>
  <c r="L308" i="122"/>
  <c r="K308" i="122"/>
  <c r="J308" i="122"/>
  <c r="I308" i="122"/>
  <c r="H308" i="122"/>
  <c r="G308" i="122"/>
  <c r="F308" i="122"/>
  <c r="E308" i="122"/>
  <c r="D308" i="122"/>
  <c r="C308" i="122"/>
  <c r="AG307" i="122"/>
  <c r="AF307" i="122"/>
  <c r="AE307" i="122"/>
  <c r="AD307" i="122"/>
  <c r="AC307" i="122"/>
  <c r="AB307" i="122"/>
  <c r="AA307" i="122"/>
  <c r="Z307" i="122"/>
  <c r="Y307" i="122"/>
  <c r="X307" i="122"/>
  <c r="W307" i="122"/>
  <c r="V307" i="122"/>
  <c r="U307" i="122"/>
  <c r="T307" i="122"/>
  <c r="S307" i="122"/>
  <c r="R307" i="122"/>
  <c r="Q307" i="122"/>
  <c r="P307" i="122"/>
  <c r="O307" i="122"/>
  <c r="N307" i="122"/>
  <c r="M307" i="122"/>
  <c r="L307" i="122"/>
  <c r="K307" i="122"/>
  <c r="J307" i="122"/>
  <c r="I307" i="122"/>
  <c r="H307" i="122"/>
  <c r="G307" i="122"/>
  <c r="F307" i="122"/>
  <c r="E307" i="122"/>
  <c r="D307" i="122"/>
  <c r="C307" i="122"/>
  <c r="AH298" i="122"/>
  <c r="AG296" i="122"/>
  <c r="AF296" i="122"/>
  <c r="AE296" i="122"/>
  <c r="AD296" i="122"/>
  <c r="AC296" i="122"/>
  <c r="AB296" i="122"/>
  <c r="AA296" i="122"/>
  <c r="Z296" i="122"/>
  <c r="Y296" i="122"/>
  <c r="X296" i="122"/>
  <c r="W296" i="122"/>
  <c r="V296" i="122"/>
  <c r="U296" i="122"/>
  <c r="T296" i="122"/>
  <c r="S296" i="122"/>
  <c r="R296" i="122"/>
  <c r="Q296" i="122"/>
  <c r="P296" i="122"/>
  <c r="O296" i="122"/>
  <c r="N296" i="122"/>
  <c r="M296" i="122"/>
  <c r="L296" i="122"/>
  <c r="K296" i="122"/>
  <c r="J296" i="122"/>
  <c r="I296" i="122"/>
  <c r="H296" i="122"/>
  <c r="G296" i="122"/>
  <c r="F296" i="122"/>
  <c r="E296" i="122"/>
  <c r="D296" i="122"/>
  <c r="C296" i="122"/>
  <c r="AH292" i="122"/>
  <c r="AH291" i="122"/>
  <c r="AH290" i="122"/>
  <c r="AH289" i="122"/>
  <c r="AG288" i="122"/>
  <c r="AF288" i="122"/>
  <c r="AE288" i="122"/>
  <c r="AD288" i="122"/>
  <c r="AC288" i="122"/>
  <c r="AB288" i="122"/>
  <c r="AA288" i="122"/>
  <c r="Z288" i="122"/>
  <c r="Y288" i="122"/>
  <c r="X288" i="122"/>
  <c r="W288" i="122"/>
  <c r="V288" i="122"/>
  <c r="U288" i="122"/>
  <c r="T288" i="122"/>
  <c r="S288" i="122"/>
  <c r="R288" i="122"/>
  <c r="Q288" i="122"/>
  <c r="P288" i="122"/>
  <c r="O288" i="122"/>
  <c r="N288" i="122"/>
  <c r="M288" i="122"/>
  <c r="L288" i="122"/>
  <c r="K288" i="122"/>
  <c r="J288" i="122"/>
  <c r="I288" i="122"/>
  <c r="H288" i="122"/>
  <c r="G288" i="122"/>
  <c r="F288" i="122"/>
  <c r="E288" i="122"/>
  <c r="D288" i="122"/>
  <c r="C288" i="122"/>
  <c r="B275" i="122"/>
  <c r="B273" i="122" s="1"/>
  <c r="B274" i="122"/>
  <c r="B253" i="122"/>
  <c r="AH252" i="122"/>
  <c r="AH250" i="122"/>
  <c r="AG244" i="122"/>
  <c r="AF244" i="122"/>
  <c r="AE244" i="122"/>
  <c r="AD244" i="122"/>
  <c r="AC244" i="122"/>
  <c r="AB244" i="122"/>
  <c r="AA244" i="122"/>
  <c r="Z244" i="122"/>
  <c r="Y244" i="122"/>
  <c r="X244" i="122"/>
  <c r="W244" i="122"/>
  <c r="V244" i="122"/>
  <c r="U244" i="122"/>
  <c r="T244" i="122"/>
  <c r="S244" i="122"/>
  <c r="R244" i="122"/>
  <c r="Q244" i="122"/>
  <c r="P244" i="122"/>
  <c r="O244" i="122"/>
  <c r="N244" i="122"/>
  <c r="M244" i="122"/>
  <c r="L244" i="122"/>
  <c r="K244" i="122"/>
  <c r="J244" i="122"/>
  <c r="I244" i="122"/>
  <c r="H244" i="122"/>
  <c r="G244" i="122"/>
  <c r="F244" i="122"/>
  <c r="E244" i="122"/>
  <c r="D244" i="122"/>
  <c r="C244" i="122"/>
  <c r="AG243" i="122"/>
  <c r="AF243" i="122"/>
  <c r="AE243" i="122"/>
  <c r="AD243" i="122"/>
  <c r="AC243" i="122"/>
  <c r="AB243" i="122"/>
  <c r="AA243" i="122"/>
  <c r="Z243" i="122"/>
  <c r="Y243" i="122"/>
  <c r="X243" i="122"/>
  <c r="W243" i="122"/>
  <c r="V243" i="122"/>
  <c r="U243" i="122"/>
  <c r="T243" i="122"/>
  <c r="S243" i="122"/>
  <c r="R243" i="122"/>
  <c r="Q243" i="122"/>
  <c r="P243" i="122"/>
  <c r="O243" i="122"/>
  <c r="N243" i="122"/>
  <c r="M243" i="122"/>
  <c r="L243" i="122"/>
  <c r="K243" i="122"/>
  <c r="J243" i="122"/>
  <c r="I243" i="122"/>
  <c r="H243" i="122"/>
  <c r="G243" i="122"/>
  <c r="F243" i="122"/>
  <c r="E243" i="122"/>
  <c r="D243" i="122"/>
  <c r="C243" i="122"/>
  <c r="AH234" i="122"/>
  <c r="AG232" i="122"/>
  <c r="AF232" i="122"/>
  <c r="AE232" i="122"/>
  <c r="AD232" i="122"/>
  <c r="AC232" i="122"/>
  <c r="AB232" i="122"/>
  <c r="AA232" i="122"/>
  <c r="AA237" i="122" s="1"/>
  <c r="Z232" i="122"/>
  <c r="Y232" i="122"/>
  <c r="X232" i="122"/>
  <c r="W232" i="122"/>
  <c r="W237" i="122" s="1"/>
  <c r="V232" i="122"/>
  <c r="U232" i="122"/>
  <c r="T232" i="122"/>
  <c r="S232" i="122"/>
  <c r="S237" i="122" s="1"/>
  <c r="R232" i="122"/>
  <c r="Q232" i="122"/>
  <c r="P232" i="122"/>
  <c r="O232" i="122"/>
  <c r="O237" i="122" s="1"/>
  <c r="N232" i="122"/>
  <c r="M232" i="122"/>
  <c r="L232" i="122"/>
  <c r="K232" i="122"/>
  <c r="J232" i="122"/>
  <c r="I232" i="122"/>
  <c r="H232" i="122"/>
  <c r="G232" i="122"/>
  <c r="G237" i="122" s="1"/>
  <c r="F232" i="122"/>
  <c r="E232" i="122"/>
  <c r="D232" i="122"/>
  <c r="C232" i="122"/>
  <c r="C237" i="122" s="1"/>
  <c r="AH228" i="122"/>
  <c r="AH227" i="122"/>
  <c r="AH226" i="122"/>
  <c r="AH225" i="122"/>
  <c r="AG224" i="122"/>
  <c r="AF224" i="122"/>
  <c r="AE224" i="122"/>
  <c r="AD224" i="122"/>
  <c r="AC224" i="122"/>
  <c r="AB224" i="122"/>
  <c r="AA224" i="122"/>
  <c r="Z224" i="122"/>
  <c r="Y224" i="122"/>
  <c r="X224" i="122"/>
  <c r="W224" i="122"/>
  <c r="V224" i="122"/>
  <c r="U224" i="122"/>
  <c r="T224" i="122"/>
  <c r="S224" i="122"/>
  <c r="R224" i="122"/>
  <c r="Q224" i="122"/>
  <c r="P224" i="122"/>
  <c r="O224" i="122"/>
  <c r="N224" i="122"/>
  <c r="M224" i="122"/>
  <c r="L224" i="122"/>
  <c r="K224" i="122"/>
  <c r="J224" i="122"/>
  <c r="I224" i="122"/>
  <c r="H224" i="122"/>
  <c r="G224" i="122"/>
  <c r="F224" i="122"/>
  <c r="E224" i="122"/>
  <c r="D224" i="122"/>
  <c r="C224" i="122"/>
  <c r="B211" i="122"/>
  <c r="B210" i="122"/>
  <c r="B190" i="122"/>
  <c r="AG181" i="122"/>
  <c r="AF181" i="122"/>
  <c r="AE181" i="122"/>
  <c r="AD181" i="122"/>
  <c r="AC181" i="122"/>
  <c r="AB181" i="122"/>
  <c r="AA181" i="122"/>
  <c r="Z181" i="122"/>
  <c r="Y181" i="122"/>
  <c r="X181" i="122"/>
  <c r="W181" i="122"/>
  <c r="V181" i="122"/>
  <c r="U181" i="122"/>
  <c r="T181" i="122"/>
  <c r="S181" i="122"/>
  <c r="R181" i="122"/>
  <c r="Q181" i="122"/>
  <c r="P181" i="122"/>
  <c r="O181" i="122"/>
  <c r="N181" i="122"/>
  <c r="M181" i="122"/>
  <c r="L181" i="122"/>
  <c r="K181" i="122"/>
  <c r="J181" i="122"/>
  <c r="I181" i="122"/>
  <c r="H181" i="122"/>
  <c r="G181" i="122"/>
  <c r="F181" i="122"/>
  <c r="E181" i="122"/>
  <c r="D181" i="122"/>
  <c r="C181" i="122"/>
  <c r="AG180" i="122"/>
  <c r="AF180" i="122"/>
  <c r="AE180" i="122"/>
  <c r="AD180" i="122"/>
  <c r="AC180" i="122"/>
  <c r="AB180" i="122"/>
  <c r="AA180" i="122"/>
  <c r="Z180" i="122"/>
  <c r="Y180" i="122"/>
  <c r="X180" i="122"/>
  <c r="W180" i="122"/>
  <c r="V180" i="122"/>
  <c r="U180" i="122"/>
  <c r="T180" i="122"/>
  <c r="S180" i="122"/>
  <c r="R180" i="122"/>
  <c r="Q180" i="122"/>
  <c r="P180" i="122"/>
  <c r="O180" i="122"/>
  <c r="N180" i="122"/>
  <c r="M180" i="122"/>
  <c r="L180" i="122"/>
  <c r="K180" i="122"/>
  <c r="J180" i="122"/>
  <c r="I180" i="122"/>
  <c r="H180" i="122"/>
  <c r="G180" i="122"/>
  <c r="F180" i="122"/>
  <c r="E180" i="122"/>
  <c r="D180" i="122"/>
  <c r="C180" i="122"/>
  <c r="AG169" i="122"/>
  <c r="AG174" i="122" s="1"/>
  <c r="AF169" i="122"/>
  <c r="AE169" i="122"/>
  <c r="AD169" i="122"/>
  <c r="AC169" i="122"/>
  <c r="AB169" i="122"/>
  <c r="AB174" i="122" s="1"/>
  <c r="AA169" i="122"/>
  <c r="Z169" i="122"/>
  <c r="Y169" i="122"/>
  <c r="X169" i="122"/>
  <c r="W169" i="122"/>
  <c r="V169" i="122"/>
  <c r="U169" i="122"/>
  <c r="T169" i="122"/>
  <c r="S169" i="122"/>
  <c r="R169" i="122"/>
  <c r="Q169" i="122"/>
  <c r="P169" i="122"/>
  <c r="O169" i="122"/>
  <c r="N169" i="122"/>
  <c r="M169" i="122"/>
  <c r="L169" i="122"/>
  <c r="K169" i="122"/>
  <c r="J169" i="122"/>
  <c r="I169" i="122"/>
  <c r="H169" i="122"/>
  <c r="G169" i="122"/>
  <c r="F169" i="122"/>
  <c r="E169" i="122"/>
  <c r="D169" i="122"/>
  <c r="C169" i="122"/>
  <c r="AH167" i="122"/>
  <c r="AH166" i="122"/>
  <c r="AH165" i="122"/>
  <c r="AH164" i="122"/>
  <c r="AH163" i="122"/>
  <c r="AH162" i="122"/>
  <c r="AH161" i="122"/>
  <c r="AH160" i="122"/>
  <c r="AG159" i="122"/>
  <c r="AF159" i="122"/>
  <c r="AF174" i="122" s="1"/>
  <c r="AE159" i="122"/>
  <c r="AD159" i="122"/>
  <c r="AC159" i="122"/>
  <c r="AB159" i="122"/>
  <c r="AA159" i="122"/>
  <c r="Z159" i="122"/>
  <c r="Y159" i="122"/>
  <c r="X159" i="122"/>
  <c r="X174" i="122" s="1"/>
  <c r="W159" i="122"/>
  <c r="V159" i="122"/>
  <c r="U159" i="122"/>
  <c r="T159" i="122"/>
  <c r="T174" i="122" s="1"/>
  <c r="S159" i="122"/>
  <c r="R159" i="122"/>
  <c r="Q159" i="122"/>
  <c r="P159" i="122"/>
  <c r="P174" i="122" s="1"/>
  <c r="O159" i="122"/>
  <c r="N159" i="122"/>
  <c r="M159" i="122"/>
  <c r="L159" i="122"/>
  <c r="L174" i="122" s="1"/>
  <c r="K159" i="122"/>
  <c r="J159" i="122"/>
  <c r="I159" i="122"/>
  <c r="H159" i="122"/>
  <c r="H174" i="122" s="1"/>
  <c r="G159" i="122"/>
  <c r="F159" i="122"/>
  <c r="E159" i="122"/>
  <c r="D159" i="122"/>
  <c r="D174" i="122" s="1"/>
  <c r="C159" i="122"/>
  <c r="B146" i="122"/>
  <c r="B145" i="122"/>
  <c r="AN93" i="122"/>
  <c r="AN111" i="122" s="1"/>
  <c r="C82" i="122"/>
  <c r="B29" i="122" s="1"/>
  <c r="B28" i="122" s="1"/>
  <c r="AH79" i="122"/>
  <c r="AH78" i="122"/>
  <c r="AH77" i="122"/>
  <c r="AD67" i="122"/>
  <c r="Y67" i="122"/>
  <c r="V67" i="122"/>
  <c r="W66" i="122"/>
  <c r="AF67" i="122"/>
  <c r="AE67" i="122"/>
  <c r="AA67" i="122"/>
  <c r="Z67" i="122"/>
  <c r="W67" i="122"/>
  <c r="S67" i="122"/>
  <c r="R67" i="122"/>
  <c r="O67" i="122"/>
  <c r="N67" i="122"/>
  <c r="K67" i="122"/>
  <c r="J67" i="122"/>
  <c r="F67" i="122"/>
  <c r="E67" i="122"/>
  <c r="D67" i="122"/>
  <c r="C67" i="122"/>
  <c r="AC66" i="122"/>
  <c r="Z66" i="122"/>
  <c r="X66" i="122"/>
  <c r="U66" i="122"/>
  <c r="P66" i="122"/>
  <c r="M66" i="122"/>
  <c r="H66" i="122"/>
  <c r="E66" i="122"/>
  <c r="D66" i="122"/>
  <c r="C66" i="122"/>
  <c r="AH65" i="122"/>
  <c r="AJ59" i="122"/>
  <c r="AJ60" i="122" s="1"/>
  <c r="AH58" i="122"/>
  <c r="AH57" i="122"/>
  <c r="AH56" i="122"/>
  <c r="AG55" i="122"/>
  <c r="AF55" i="122"/>
  <c r="AE55" i="122"/>
  <c r="AD55" i="122"/>
  <c r="AC55" i="122"/>
  <c r="AB55" i="122"/>
  <c r="AA55" i="122"/>
  <c r="Z55" i="122"/>
  <c r="Y55" i="122"/>
  <c r="X55" i="122"/>
  <c r="W55" i="122"/>
  <c r="V55" i="122"/>
  <c r="U55" i="122"/>
  <c r="T55" i="122"/>
  <c r="S55" i="122"/>
  <c r="R55" i="122"/>
  <c r="Q55" i="122"/>
  <c r="P55" i="122"/>
  <c r="O55" i="122"/>
  <c r="N55" i="122"/>
  <c r="M55" i="122"/>
  <c r="L55" i="122"/>
  <c r="K55" i="122"/>
  <c r="J55" i="122"/>
  <c r="I55" i="122"/>
  <c r="H55" i="122"/>
  <c r="G55" i="122"/>
  <c r="F55" i="122"/>
  <c r="E55" i="122"/>
  <c r="D55" i="122"/>
  <c r="C55" i="122"/>
  <c r="AH54" i="122"/>
  <c r="AH53" i="122"/>
  <c r="AH52" i="122"/>
  <c r="AH51" i="122"/>
  <c r="AH50" i="122"/>
  <c r="AH49" i="122"/>
  <c r="AH48" i="122"/>
  <c r="AH47" i="122"/>
  <c r="AH46" i="122"/>
  <c r="T43" i="122"/>
  <c r="AH45" i="122"/>
  <c r="AE43" i="122"/>
  <c r="O43" i="122"/>
  <c r="K43" i="122"/>
  <c r="AH44" i="122"/>
  <c r="AG43" i="122"/>
  <c r="AF43" i="122"/>
  <c r="AD43" i="122"/>
  <c r="AC43" i="122"/>
  <c r="AB43" i="122"/>
  <c r="AA43" i="122"/>
  <c r="Z43" i="122"/>
  <c r="Y43" i="122"/>
  <c r="X43" i="122"/>
  <c r="W43" i="122"/>
  <c r="V43" i="122"/>
  <c r="U43" i="122"/>
  <c r="R43" i="122"/>
  <c r="Q43" i="122"/>
  <c r="P43" i="122"/>
  <c r="N43" i="122"/>
  <c r="M43" i="122"/>
  <c r="L43" i="122"/>
  <c r="J43" i="122"/>
  <c r="I43" i="122"/>
  <c r="H43" i="122"/>
  <c r="G43" i="122"/>
  <c r="F43" i="122"/>
  <c r="E43" i="122"/>
  <c r="D43" i="122"/>
  <c r="C43" i="122"/>
  <c r="AH42" i="122"/>
  <c r="AG13" i="122"/>
  <c r="AF13" i="122"/>
  <c r="AE13" i="122"/>
  <c r="AD13" i="122"/>
  <c r="AC13" i="122"/>
  <c r="AB13" i="122"/>
  <c r="AA13" i="122"/>
  <c r="Z13" i="122"/>
  <c r="Y13" i="122"/>
  <c r="X13" i="122"/>
  <c r="W13" i="122"/>
  <c r="V13" i="122"/>
  <c r="U13" i="122"/>
  <c r="T13" i="122"/>
  <c r="S13" i="122"/>
  <c r="R13" i="122"/>
  <c r="Q13" i="122"/>
  <c r="P13" i="122"/>
  <c r="O13" i="122"/>
  <c r="N13" i="122"/>
  <c r="M13" i="122"/>
  <c r="L13" i="122"/>
  <c r="K13" i="122"/>
  <c r="J13" i="122"/>
  <c r="I13" i="122"/>
  <c r="H13" i="122"/>
  <c r="G13" i="122"/>
  <c r="F13" i="122"/>
  <c r="E13" i="122"/>
  <c r="D13" i="122"/>
  <c r="C13" i="122"/>
  <c r="AG12" i="122"/>
  <c r="AF12" i="122"/>
  <c r="AE12" i="122"/>
  <c r="AD12" i="122"/>
  <c r="AC12" i="122"/>
  <c r="AB12" i="122"/>
  <c r="AA12" i="122"/>
  <c r="Z12" i="122"/>
  <c r="Y12" i="122"/>
  <c r="X12" i="122"/>
  <c r="W12" i="122"/>
  <c r="V12" i="122"/>
  <c r="U12" i="122"/>
  <c r="T12" i="122"/>
  <c r="S12" i="122"/>
  <c r="R12" i="122"/>
  <c r="Q12" i="122"/>
  <c r="P12" i="122"/>
  <c r="O12" i="122"/>
  <c r="N12" i="122"/>
  <c r="M12" i="122"/>
  <c r="L12" i="122"/>
  <c r="K12" i="122"/>
  <c r="J12" i="122"/>
  <c r="I12" i="122"/>
  <c r="H12" i="122"/>
  <c r="G12" i="122"/>
  <c r="F12" i="122"/>
  <c r="E12" i="122"/>
  <c r="D12" i="122"/>
  <c r="C12" i="122"/>
  <c r="AG11" i="122"/>
  <c r="AF11" i="122"/>
  <c r="AE11" i="122"/>
  <c r="AD11" i="122"/>
  <c r="AC11" i="122"/>
  <c r="AB11" i="122"/>
  <c r="AA11" i="122"/>
  <c r="Z11" i="122"/>
  <c r="Y11" i="122"/>
  <c r="X11" i="122"/>
  <c r="W11" i="122"/>
  <c r="V11" i="122"/>
  <c r="U11" i="122"/>
  <c r="T11" i="122"/>
  <c r="S11" i="122"/>
  <c r="R11" i="122"/>
  <c r="Q11" i="122"/>
  <c r="P11" i="122"/>
  <c r="O11" i="122"/>
  <c r="N11" i="122"/>
  <c r="M11" i="122"/>
  <c r="L11" i="122"/>
  <c r="K11" i="122"/>
  <c r="J11" i="122"/>
  <c r="I11" i="122"/>
  <c r="H11" i="122"/>
  <c r="G11" i="122"/>
  <c r="F11" i="122"/>
  <c r="E11" i="122"/>
  <c r="D11" i="122"/>
  <c r="C11" i="122"/>
  <c r="AE62" i="27"/>
  <c r="I32" i="57" s="1"/>
  <c r="B144" i="122" l="1"/>
  <c r="B209" i="122"/>
  <c r="AF60" i="122"/>
  <c r="K237" i="122"/>
  <c r="AH159" i="122"/>
  <c r="E60" i="122"/>
  <c r="I60" i="122"/>
  <c r="Q60" i="122"/>
  <c r="U60" i="122"/>
  <c r="Y60" i="122"/>
  <c r="AC60" i="122"/>
  <c r="AG60" i="122"/>
  <c r="AG301" i="122"/>
  <c r="F237" i="122"/>
  <c r="J237" i="122"/>
  <c r="N237" i="122"/>
  <c r="R237" i="122"/>
  <c r="V237" i="122"/>
  <c r="Z237" i="122"/>
  <c r="AD237" i="122"/>
  <c r="E237" i="122"/>
  <c r="I237" i="122"/>
  <c r="M237" i="122"/>
  <c r="Q237" i="122"/>
  <c r="U237" i="122"/>
  <c r="Y237" i="122"/>
  <c r="AC237" i="122"/>
  <c r="AG237" i="122"/>
  <c r="AH224" i="122"/>
  <c r="D237" i="122"/>
  <c r="H237" i="122"/>
  <c r="L237" i="122"/>
  <c r="P237" i="122"/>
  <c r="T237" i="122"/>
  <c r="X237" i="122"/>
  <c r="AB237" i="122"/>
  <c r="AF237" i="122"/>
  <c r="C301" i="122"/>
  <c r="G301" i="122"/>
  <c r="K301" i="122"/>
  <c r="O301" i="122"/>
  <c r="S301" i="122"/>
  <c r="W301" i="122"/>
  <c r="AA301" i="122"/>
  <c r="AE301" i="122"/>
  <c r="I10" i="122"/>
  <c r="M10" i="122"/>
  <c r="U10" i="122"/>
  <c r="AG10" i="122"/>
  <c r="E10" i="122"/>
  <c r="Q10" i="122"/>
  <c r="J10" i="122"/>
  <c r="R10" i="122"/>
  <c r="V10" i="122"/>
  <c r="AD10" i="122"/>
  <c r="Y10" i="122"/>
  <c r="D10" i="122"/>
  <c r="H10" i="122"/>
  <c r="L10" i="122"/>
  <c r="P10" i="122"/>
  <c r="T10" i="122"/>
  <c r="X10" i="122"/>
  <c r="AB10" i="122"/>
  <c r="AF10" i="122"/>
  <c r="G60" i="122"/>
  <c r="O60" i="122"/>
  <c r="W60" i="122"/>
  <c r="AA60" i="122"/>
  <c r="C10" i="122"/>
  <c r="G10" i="122"/>
  <c r="K10" i="122"/>
  <c r="O10" i="122"/>
  <c r="S10" i="122"/>
  <c r="W10" i="122"/>
  <c r="AA10" i="122"/>
  <c r="AE10" i="122"/>
  <c r="F10" i="122"/>
  <c r="N10" i="122"/>
  <c r="Z10" i="122"/>
  <c r="AC10" i="122"/>
  <c r="F301" i="122"/>
  <c r="J301" i="122"/>
  <c r="E301" i="122"/>
  <c r="I301" i="122"/>
  <c r="D301" i="122"/>
  <c r="H301" i="122"/>
  <c r="AF301" i="122"/>
  <c r="N301" i="122"/>
  <c r="Z301" i="122"/>
  <c r="M301" i="122"/>
  <c r="Q301" i="122"/>
  <c r="U301" i="122"/>
  <c r="Y301" i="122"/>
  <c r="AC301" i="122"/>
  <c r="R301" i="122"/>
  <c r="V301" i="122"/>
  <c r="AD301" i="122"/>
  <c r="AH288" i="122"/>
  <c r="L301" i="122"/>
  <c r="P301" i="122"/>
  <c r="T301" i="122"/>
  <c r="X301" i="122"/>
  <c r="AB301" i="122"/>
  <c r="AE237" i="122"/>
  <c r="C174" i="122"/>
  <c r="K174" i="122"/>
  <c r="S174" i="122"/>
  <c r="AE174" i="122"/>
  <c r="F174" i="122"/>
  <c r="J174" i="122"/>
  <c r="N174" i="122"/>
  <c r="R174" i="122"/>
  <c r="V174" i="122"/>
  <c r="Z174" i="122"/>
  <c r="AD174" i="122"/>
  <c r="G174" i="122"/>
  <c r="O174" i="122"/>
  <c r="W174" i="122"/>
  <c r="AA174" i="122"/>
  <c r="E174" i="122"/>
  <c r="I174" i="122"/>
  <c r="M174" i="122"/>
  <c r="Q174" i="122"/>
  <c r="U174" i="122"/>
  <c r="Y174" i="122"/>
  <c r="AC174" i="122"/>
  <c r="AH55" i="122"/>
  <c r="AH75" i="122"/>
  <c r="K60" i="122"/>
  <c r="AE60" i="122"/>
  <c r="F60" i="122"/>
  <c r="J60" i="122"/>
  <c r="N60" i="122"/>
  <c r="R60" i="122"/>
  <c r="V60" i="122"/>
  <c r="Z60" i="122"/>
  <c r="AD60" i="122"/>
  <c r="AH74" i="122"/>
  <c r="M60" i="122"/>
  <c r="D60" i="122"/>
  <c r="H60" i="122"/>
  <c r="L60" i="122"/>
  <c r="P60" i="122"/>
  <c r="X60" i="122"/>
  <c r="AB60" i="122"/>
  <c r="AI45" i="122"/>
  <c r="T60" i="122"/>
  <c r="U67" i="122"/>
  <c r="AP93" i="122"/>
  <c r="C60" i="122"/>
  <c r="S43" i="122"/>
  <c r="S60" i="122" s="1"/>
  <c r="T45" i="119"/>
  <c r="AH10" i="122" l="1"/>
  <c r="AH43" i="122"/>
  <c r="G1120" i="41"/>
  <c r="G1052" i="41"/>
  <c r="S50" i="119" l="1"/>
  <c r="S45" i="119"/>
  <c r="O44" i="119" l="1"/>
  <c r="C45" i="115" l="1"/>
  <c r="G44" i="119"/>
  <c r="Q45" i="119"/>
  <c r="O45" i="119"/>
  <c r="C44" i="119"/>
  <c r="G1054" i="41" l="1"/>
  <c r="AG45" i="115"/>
  <c r="N45" i="119"/>
  <c r="L44" i="119"/>
  <c r="C111" i="115"/>
  <c r="I30" i="57"/>
  <c r="AG23" i="27"/>
  <c r="AB45" i="115"/>
  <c r="J44" i="119"/>
  <c r="M44" i="119"/>
  <c r="L45" i="119" l="1"/>
  <c r="H45" i="119"/>
  <c r="K45" i="119"/>
  <c r="K44" i="119"/>
  <c r="AE45" i="115" l="1"/>
  <c r="AE44" i="115"/>
  <c r="J45" i="119"/>
  <c r="F45" i="119"/>
  <c r="I45" i="119"/>
  <c r="AG44" i="115" l="1"/>
  <c r="G45" i="119"/>
  <c r="K15" i="57" l="1"/>
  <c r="AG32" i="27"/>
  <c r="AD45" i="115"/>
  <c r="Y45" i="115"/>
  <c r="AD44" i="115" l="1"/>
  <c r="E45" i="119"/>
  <c r="D45" i="119"/>
  <c r="Z45" i="115"/>
  <c r="AA44" i="115"/>
  <c r="H188" i="115"/>
  <c r="AC44" i="115" l="1"/>
  <c r="C90" i="115"/>
  <c r="C113" i="115"/>
  <c r="C46" i="119"/>
  <c r="AC45" i="115" l="1"/>
  <c r="AB44" i="115" l="1"/>
  <c r="V45" i="115"/>
  <c r="Z44" i="115"/>
  <c r="X44" i="115"/>
  <c r="W44" i="115"/>
  <c r="C109" i="115"/>
  <c r="AA45" i="115"/>
  <c r="E28" i="120"/>
  <c r="K22" i="120" s="1"/>
  <c r="K25" i="120" s="1"/>
  <c r="D28" i="120"/>
  <c r="J22" i="120" s="1"/>
  <c r="D33" i="120"/>
  <c r="B31" i="120"/>
  <c r="G1005" i="41"/>
  <c r="B24" i="120"/>
  <c r="B17" i="120"/>
  <c r="B15" i="120" s="1"/>
  <c r="C192" i="120"/>
  <c r="C185" i="120"/>
  <c r="C184" i="120"/>
  <c r="C183" i="120"/>
  <c r="B182" i="120"/>
  <c r="C182" i="120" s="1"/>
  <c r="C181" i="120"/>
  <c r="B180" i="120"/>
  <c r="C179" i="120"/>
  <c r="C178" i="120"/>
  <c r="B177" i="120"/>
  <c r="B189" i="120" s="1"/>
  <c r="C176" i="120"/>
  <c r="C175" i="120"/>
  <c r="C174" i="120"/>
  <c r="C173" i="120"/>
  <c r="C172" i="120"/>
  <c r="H57" i="120"/>
  <c r="G57" i="120"/>
  <c r="F57" i="120"/>
  <c r="E57" i="120"/>
  <c r="D57" i="120"/>
  <c r="C57" i="120"/>
  <c r="B57" i="120"/>
  <c r="F18" i="120" s="1"/>
  <c r="H41" i="120"/>
  <c r="G41" i="120"/>
  <c r="G37" i="120" s="1"/>
  <c r="F41" i="120"/>
  <c r="F37" i="120" s="1"/>
  <c r="E41" i="120"/>
  <c r="E37" i="120" s="1"/>
  <c r="D41" i="120"/>
  <c r="C41" i="120"/>
  <c r="C37" i="120" s="1"/>
  <c r="B41" i="120"/>
  <c r="B37" i="120" s="1"/>
  <c r="H37" i="120"/>
  <c r="N23" i="120" s="1"/>
  <c r="D37" i="120"/>
  <c r="C25" i="120"/>
  <c r="C22" i="120" s="1"/>
  <c r="N22" i="120"/>
  <c r="N25" i="120" s="1"/>
  <c r="M22" i="120"/>
  <c r="M25" i="120" s="1"/>
  <c r="L22" i="120"/>
  <c r="I22" i="120"/>
  <c r="I25" i="120" s="1"/>
  <c r="H22" i="120"/>
  <c r="G22" i="120"/>
  <c r="F22" i="120"/>
  <c r="E22" i="120"/>
  <c r="H18" i="120"/>
  <c r="K17" i="120"/>
  <c r="K8" i="120"/>
  <c r="K6" i="120"/>
  <c r="AF62" i="27"/>
  <c r="J32" i="57" s="1"/>
  <c r="S32" i="57" s="1"/>
  <c r="AF32" i="27"/>
  <c r="G1147" i="41"/>
  <c r="AF44" i="27"/>
  <c r="J21" i="57" s="1"/>
  <c r="X45" i="115"/>
  <c r="W45" i="115"/>
  <c r="C18" i="120" l="1"/>
  <c r="G51" i="120"/>
  <c r="M26" i="120"/>
  <c r="J15" i="57"/>
  <c r="K26" i="120"/>
  <c r="D18" i="120"/>
  <c r="N26" i="120"/>
  <c r="G18" i="120"/>
  <c r="L23" i="120"/>
  <c r="C189" i="120"/>
  <c r="C190" i="120" s="1"/>
  <c r="B188" i="120"/>
  <c r="F51" i="120"/>
  <c r="C51" i="120"/>
  <c r="M23" i="120"/>
  <c r="E51" i="120"/>
  <c r="D22" i="120"/>
  <c r="D51" i="120" s="1"/>
  <c r="I23" i="120"/>
  <c r="B22" i="120"/>
  <c r="B51" i="120" s="1"/>
  <c r="B54" i="120" s="1"/>
  <c r="B56" i="120" s="1"/>
  <c r="C17" i="120" s="1"/>
  <c r="C15" i="120" s="1"/>
  <c r="D189" i="120"/>
  <c r="I26" i="120"/>
  <c r="J23" i="120"/>
  <c r="O22" i="120"/>
  <c r="J25" i="120"/>
  <c r="J26" i="120" s="1"/>
  <c r="B190" i="120"/>
  <c r="B192" i="120" s="1"/>
  <c r="J37" i="120"/>
  <c r="K37" i="120" s="1"/>
  <c r="C188" i="120"/>
  <c r="D188" i="120" s="1"/>
  <c r="K23" i="120"/>
  <c r="H51" i="120"/>
  <c r="L25" i="120"/>
  <c r="L26" i="120" s="1"/>
  <c r="V44" i="115"/>
  <c r="T44" i="115"/>
  <c r="C54" i="120" l="1"/>
  <c r="C56" i="120" s="1"/>
  <c r="D17" i="120" s="1"/>
  <c r="D15" i="120" s="1"/>
  <c r="D54" i="120" s="1"/>
  <c r="D56" i="120" s="1"/>
  <c r="E17" i="120" s="1"/>
  <c r="E15" i="120" s="1"/>
  <c r="E54" i="120" s="1"/>
  <c r="E56" i="120" s="1"/>
  <c r="F17" i="120" s="1"/>
  <c r="F15" i="120" s="1"/>
  <c r="F54" i="120" s="1"/>
  <c r="F56" i="120" s="1"/>
  <c r="G17" i="120" s="1"/>
  <c r="G15" i="120" s="1"/>
  <c r="G54" i="120" s="1"/>
  <c r="G56" i="120" s="1"/>
  <c r="H17" i="120" s="1"/>
  <c r="H15" i="120" s="1"/>
  <c r="H54" i="120" s="1"/>
  <c r="H56" i="120" s="1"/>
  <c r="O25" i="120"/>
  <c r="K40" i="120" s="1"/>
  <c r="N27" i="120"/>
  <c r="L37" i="120" s="1"/>
  <c r="M37" i="120" s="1"/>
  <c r="AH57" i="119" l="1"/>
  <c r="V47" i="115"/>
  <c r="U44" i="115"/>
  <c r="R44" i="115"/>
  <c r="Q45" i="115"/>
  <c r="V290" i="115"/>
  <c r="B317" i="119"/>
  <c r="AH314" i="119"/>
  <c r="AG308" i="119"/>
  <c r="AF308" i="119"/>
  <c r="AE308" i="119"/>
  <c r="AD308" i="119"/>
  <c r="AC308" i="119"/>
  <c r="AB308" i="119"/>
  <c r="AA308" i="119"/>
  <c r="Z308" i="119"/>
  <c r="Y308" i="119"/>
  <c r="X308" i="119"/>
  <c r="W308" i="119"/>
  <c r="V308" i="119"/>
  <c r="U308" i="119"/>
  <c r="T308" i="119"/>
  <c r="S308" i="119"/>
  <c r="R308" i="119"/>
  <c r="Q308" i="119"/>
  <c r="P308" i="119"/>
  <c r="O308" i="119"/>
  <c r="N308" i="119"/>
  <c r="M308" i="119"/>
  <c r="L308" i="119"/>
  <c r="K308" i="119"/>
  <c r="J308" i="119"/>
  <c r="I308" i="119"/>
  <c r="H308" i="119"/>
  <c r="G308" i="119"/>
  <c r="F308" i="119"/>
  <c r="E308" i="119"/>
  <c r="D308" i="119"/>
  <c r="C308" i="119"/>
  <c r="AG307" i="119"/>
  <c r="AF307" i="119"/>
  <c r="AE307" i="119"/>
  <c r="AD307" i="119"/>
  <c r="AC307" i="119"/>
  <c r="AB307" i="119"/>
  <c r="AA307" i="119"/>
  <c r="Z307" i="119"/>
  <c r="Y307" i="119"/>
  <c r="X307" i="119"/>
  <c r="W307" i="119"/>
  <c r="V307" i="119"/>
  <c r="U307" i="119"/>
  <c r="T307" i="119"/>
  <c r="S307" i="119"/>
  <c r="R307" i="119"/>
  <c r="Q307" i="119"/>
  <c r="P307" i="119"/>
  <c r="O307" i="119"/>
  <c r="N307" i="119"/>
  <c r="M307" i="119"/>
  <c r="L307" i="119"/>
  <c r="K307" i="119"/>
  <c r="J307" i="119"/>
  <c r="I307" i="119"/>
  <c r="H307" i="119"/>
  <c r="G307" i="119"/>
  <c r="F307" i="119"/>
  <c r="E307" i="119"/>
  <c r="D307" i="119"/>
  <c r="C307" i="119"/>
  <c r="AH298" i="119"/>
  <c r="AG296" i="119"/>
  <c r="AF296" i="119"/>
  <c r="AE296" i="119"/>
  <c r="AD296" i="119"/>
  <c r="AC296" i="119"/>
  <c r="AB296" i="119"/>
  <c r="AA296" i="119"/>
  <c r="Z296" i="119"/>
  <c r="Y296" i="119"/>
  <c r="X296" i="119"/>
  <c r="W296" i="119"/>
  <c r="V296" i="119"/>
  <c r="U296" i="119"/>
  <c r="T296" i="119"/>
  <c r="S296" i="119"/>
  <c r="R296" i="119"/>
  <c r="Q296" i="119"/>
  <c r="P296" i="119"/>
  <c r="O296" i="119"/>
  <c r="N296" i="119"/>
  <c r="M296" i="119"/>
  <c r="L296" i="119"/>
  <c r="K296" i="119"/>
  <c r="J296" i="119"/>
  <c r="I296" i="119"/>
  <c r="H296" i="119"/>
  <c r="G296" i="119"/>
  <c r="F296" i="119"/>
  <c r="E296" i="119"/>
  <c r="D296" i="119"/>
  <c r="C296" i="119"/>
  <c r="AH292" i="119"/>
  <c r="AH291" i="119"/>
  <c r="AH290" i="119"/>
  <c r="AH289" i="119"/>
  <c r="AG288" i="119"/>
  <c r="AF288" i="119"/>
  <c r="AE288" i="119"/>
  <c r="AD288" i="119"/>
  <c r="AC288" i="119"/>
  <c r="AB288" i="119"/>
  <c r="AA288" i="119"/>
  <c r="Z288" i="119"/>
  <c r="Y288" i="119"/>
  <c r="X288" i="119"/>
  <c r="W288" i="119"/>
  <c r="V288" i="119"/>
  <c r="U288" i="119"/>
  <c r="T288" i="119"/>
  <c r="S288" i="119"/>
  <c r="R288" i="119"/>
  <c r="Q288" i="119"/>
  <c r="P288" i="119"/>
  <c r="O288" i="119"/>
  <c r="N288" i="119"/>
  <c r="M288" i="119"/>
  <c r="L288" i="119"/>
  <c r="K288" i="119"/>
  <c r="J288" i="119"/>
  <c r="I288" i="119"/>
  <c r="H288" i="119"/>
  <c r="G288" i="119"/>
  <c r="F288" i="119"/>
  <c r="E288" i="119"/>
  <c r="D288" i="119"/>
  <c r="C288" i="119"/>
  <c r="B275" i="119"/>
  <c r="B274" i="119"/>
  <c r="B273" i="119"/>
  <c r="B253" i="119"/>
  <c r="AH252" i="119"/>
  <c r="AH250" i="119"/>
  <c r="AG244" i="119"/>
  <c r="AF244" i="119"/>
  <c r="AE244" i="119"/>
  <c r="AD244" i="119"/>
  <c r="AC244" i="119"/>
  <c r="AB244" i="119"/>
  <c r="AA244" i="119"/>
  <c r="Z244" i="119"/>
  <c r="Y244" i="119"/>
  <c r="X244" i="119"/>
  <c r="W244" i="119"/>
  <c r="V244" i="119"/>
  <c r="U244" i="119"/>
  <c r="T244" i="119"/>
  <c r="S244" i="119"/>
  <c r="R244" i="119"/>
  <c r="Q244" i="119"/>
  <c r="P244" i="119"/>
  <c r="O244" i="119"/>
  <c r="N244" i="119"/>
  <c r="M244" i="119"/>
  <c r="L244" i="119"/>
  <c r="K244" i="119"/>
  <c r="J244" i="119"/>
  <c r="I244" i="119"/>
  <c r="H244" i="119"/>
  <c r="G244" i="119"/>
  <c r="F244" i="119"/>
  <c r="E244" i="119"/>
  <c r="D244" i="119"/>
  <c r="C244" i="119"/>
  <c r="AG243" i="119"/>
  <c r="AF243" i="119"/>
  <c r="AE243" i="119"/>
  <c r="AD243" i="119"/>
  <c r="AC243" i="119"/>
  <c r="AB243" i="119"/>
  <c r="AA243" i="119"/>
  <c r="Z243" i="119"/>
  <c r="Y243" i="119"/>
  <c r="X243" i="119"/>
  <c r="W243" i="119"/>
  <c r="V243" i="119"/>
  <c r="U243" i="119"/>
  <c r="T243" i="119"/>
  <c r="S243" i="119"/>
  <c r="R243" i="119"/>
  <c r="Q243" i="119"/>
  <c r="P243" i="119"/>
  <c r="O243" i="119"/>
  <c r="N243" i="119"/>
  <c r="M243" i="119"/>
  <c r="L243" i="119"/>
  <c r="K243" i="119"/>
  <c r="J243" i="119"/>
  <c r="I243" i="119"/>
  <c r="H243" i="119"/>
  <c r="G243" i="119"/>
  <c r="F243" i="119"/>
  <c r="E243" i="119"/>
  <c r="D243" i="119"/>
  <c r="C243" i="119"/>
  <c r="AH234" i="119"/>
  <c r="AG232" i="119"/>
  <c r="AF232" i="119"/>
  <c r="AF237" i="119" s="1"/>
  <c r="AE232" i="119"/>
  <c r="AD232" i="119"/>
  <c r="AC232" i="119"/>
  <c r="AB232" i="119"/>
  <c r="AB237" i="119" s="1"/>
  <c r="AA232" i="119"/>
  <c r="Z232" i="119"/>
  <c r="Y232" i="119"/>
  <c r="X232" i="119"/>
  <c r="X237" i="119" s="1"/>
  <c r="W232" i="119"/>
  <c r="V232" i="119"/>
  <c r="U232" i="119"/>
  <c r="T232" i="119"/>
  <c r="T237" i="119" s="1"/>
  <c r="S232" i="119"/>
  <c r="R232" i="119"/>
  <c r="Q232" i="119"/>
  <c r="P232" i="119"/>
  <c r="P237" i="119" s="1"/>
  <c r="O232" i="119"/>
  <c r="N232" i="119"/>
  <c r="M232" i="119"/>
  <c r="L232" i="119"/>
  <c r="K232" i="119"/>
  <c r="J232" i="119"/>
  <c r="I232" i="119"/>
  <c r="H232" i="119"/>
  <c r="G232" i="119"/>
  <c r="F232" i="119"/>
  <c r="E232" i="119"/>
  <c r="D232" i="119"/>
  <c r="D237" i="119" s="1"/>
  <c r="C232" i="119"/>
  <c r="AH228" i="119"/>
  <c r="AH227" i="119"/>
  <c r="AH226" i="119"/>
  <c r="AH225" i="119"/>
  <c r="AG224" i="119"/>
  <c r="AF224" i="119"/>
  <c r="AE224" i="119"/>
  <c r="AD224" i="119"/>
  <c r="AC224" i="119"/>
  <c r="AB224" i="119"/>
  <c r="AA224" i="119"/>
  <c r="Z224" i="119"/>
  <c r="Y224" i="119"/>
  <c r="X224" i="119"/>
  <c r="W224" i="119"/>
  <c r="V224" i="119"/>
  <c r="U224" i="119"/>
  <c r="T224" i="119"/>
  <c r="S224" i="119"/>
  <c r="R224" i="119"/>
  <c r="Q224" i="119"/>
  <c r="P224" i="119"/>
  <c r="O224" i="119"/>
  <c r="N224" i="119"/>
  <c r="M224" i="119"/>
  <c r="L224" i="119"/>
  <c r="K224" i="119"/>
  <c r="J224" i="119"/>
  <c r="I224" i="119"/>
  <c r="H224" i="119"/>
  <c r="G224" i="119"/>
  <c r="F224" i="119"/>
  <c r="E224" i="119"/>
  <c r="D224" i="119"/>
  <c r="C224" i="119"/>
  <c r="B211" i="119"/>
  <c r="B210" i="119"/>
  <c r="B190" i="119"/>
  <c r="AG181" i="119"/>
  <c r="AF181" i="119"/>
  <c r="AE181" i="119"/>
  <c r="AD181" i="119"/>
  <c r="AC181" i="119"/>
  <c r="AB181" i="119"/>
  <c r="AA181" i="119"/>
  <c r="Z181" i="119"/>
  <c r="Y181" i="119"/>
  <c r="X181" i="119"/>
  <c r="W181" i="119"/>
  <c r="V181" i="119"/>
  <c r="U181" i="119"/>
  <c r="T181" i="119"/>
  <c r="S181" i="119"/>
  <c r="R181" i="119"/>
  <c r="Q181" i="119"/>
  <c r="P181" i="119"/>
  <c r="O181" i="119"/>
  <c r="N181" i="119"/>
  <c r="M181" i="119"/>
  <c r="L181" i="119"/>
  <c r="K181" i="119"/>
  <c r="J181" i="119"/>
  <c r="I181" i="119"/>
  <c r="H181" i="119"/>
  <c r="G181" i="119"/>
  <c r="F181" i="119"/>
  <c r="E181" i="119"/>
  <c r="D181" i="119"/>
  <c r="C181" i="119"/>
  <c r="AG180" i="119"/>
  <c r="AF180" i="119"/>
  <c r="AE180" i="119"/>
  <c r="AD180" i="119"/>
  <c r="AC180" i="119"/>
  <c r="AB180" i="119"/>
  <c r="AA180" i="119"/>
  <c r="Z180" i="119"/>
  <c r="Y180" i="119"/>
  <c r="X180" i="119"/>
  <c r="W180" i="119"/>
  <c r="V180" i="119"/>
  <c r="U180" i="119"/>
  <c r="T180" i="119"/>
  <c r="S180" i="119"/>
  <c r="R180" i="119"/>
  <c r="Q180" i="119"/>
  <c r="P180" i="119"/>
  <c r="O180" i="119"/>
  <c r="N180" i="119"/>
  <c r="M180" i="119"/>
  <c r="L180" i="119"/>
  <c r="K180" i="119"/>
  <c r="J180" i="119"/>
  <c r="I180" i="119"/>
  <c r="H180" i="119"/>
  <c r="G180" i="119"/>
  <c r="F180" i="119"/>
  <c r="E180" i="119"/>
  <c r="D180" i="119"/>
  <c r="C180" i="119"/>
  <c r="AG169" i="119"/>
  <c r="AG174" i="119" s="1"/>
  <c r="AF169" i="119"/>
  <c r="AE169" i="119"/>
  <c r="AD169" i="119"/>
  <c r="AC169" i="119"/>
  <c r="AB169" i="119"/>
  <c r="AA169" i="119"/>
  <c r="Z169" i="119"/>
  <c r="Y169" i="119"/>
  <c r="X169" i="119"/>
  <c r="W169" i="119"/>
  <c r="V169" i="119"/>
  <c r="U169" i="119"/>
  <c r="T169" i="119"/>
  <c r="S169" i="119"/>
  <c r="R169" i="119"/>
  <c r="Q169" i="119"/>
  <c r="P169" i="119"/>
  <c r="O169" i="119"/>
  <c r="N169" i="119"/>
  <c r="M169" i="119"/>
  <c r="L169" i="119"/>
  <c r="K169" i="119"/>
  <c r="J169" i="119"/>
  <c r="I169" i="119"/>
  <c r="H169" i="119"/>
  <c r="G169" i="119"/>
  <c r="F169" i="119"/>
  <c r="E169" i="119"/>
  <c r="D169" i="119"/>
  <c r="C169" i="119"/>
  <c r="AH167" i="119"/>
  <c r="AH166" i="119"/>
  <c r="AH165" i="119"/>
  <c r="AH164" i="119"/>
  <c r="AH163" i="119"/>
  <c r="AH162" i="119"/>
  <c r="AH161" i="119"/>
  <c r="AH160" i="119"/>
  <c r="AG159" i="119"/>
  <c r="AF159" i="119"/>
  <c r="AE159" i="119"/>
  <c r="AD159" i="119"/>
  <c r="AD174" i="119" s="1"/>
  <c r="AC159" i="119"/>
  <c r="AB159" i="119"/>
  <c r="AA159" i="119"/>
  <c r="Z159" i="119"/>
  <c r="Y159" i="119"/>
  <c r="X159" i="119"/>
  <c r="W159" i="119"/>
  <c r="V159" i="119"/>
  <c r="V174" i="119" s="1"/>
  <c r="U159" i="119"/>
  <c r="T159" i="119"/>
  <c r="S159" i="119"/>
  <c r="R159" i="119"/>
  <c r="R174" i="119" s="1"/>
  <c r="Q159" i="119"/>
  <c r="P159" i="119"/>
  <c r="O159" i="119"/>
  <c r="N159" i="119"/>
  <c r="N174" i="119" s="1"/>
  <c r="M159" i="119"/>
  <c r="L159" i="119"/>
  <c r="K159" i="119"/>
  <c r="J159" i="119"/>
  <c r="J174" i="119" s="1"/>
  <c r="I159" i="119"/>
  <c r="H159" i="119"/>
  <c r="G159" i="119"/>
  <c r="F159" i="119"/>
  <c r="E159" i="119"/>
  <c r="D159" i="119"/>
  <c r="C159" i="119"/>
  <c r="B146" i="119"/>
  <c r="B145" i="119"/>
  <c r="AN93" i="119"/>
  <c r="AN111" i="119" s="1"/>
  <c r="C82" i="119"/>
  <c r="B29" i="119" s="1"/>
  <c r="B28" i="119" s="1"/>
  <c r="AH79" i="119"/>
  <c r="AH78" i="119"/>
  <c r="AH77" i="119"/>
  <c r="AG67" i="119"/>
  <c r="AF67" i="119"/>
  <c r="AD67" i="119"/>
  <c r="AC67" i="119"/>
  <c r="Z67" i="119"/>
  <c r="Y67" i="119"/>
  <c r="X67" i="119"/>
  <c r="V67" i="119"/>
  <c r="O67" i="119"/>
  <c r="AG66" i="119"/>
  <c r="AF66" i="119"/>
  <c r="AD66" i="119"/>
  <c r="AC66" i="119"/>
  <c r="AB66" i="119"/>
  <c r="X66" i="119"/>
  <c r="V66" i="119"/>
  <c r="T66" i="119"/>
  <c r="AH74" i="119"/>
  <c r="Q66" i="119"/>
  <c r="AE67" i="119"/>
  <c r="AB67" i="119"/>
  <c r="AA67" i="119"/>
  <c r="W67" i="119"/>
  <c r="U67" i="119"/>
  <c r="T67" i="119"/>
  <c r="S67" i="119"/>
  <c r="R67" i="119"/>
  <c r="Q67" i="119"/>
  <c r="P67" i="119"/>
  <c r="N67" i="119"/>
  <c r="M67" i="119"/>
  <c r="L67" i="119"/>
  <c r="K67" i="119"/>
  <c r="J67" i="119"/>
  <c r="I67" i="119"/>
  <c r="H67" i="119"/>
  <c r="G67" i="119"/>
  <c r="F67" i="119"/>
  <c r="E67" i="119"/>
  <c r="D67" i="119"/>
  <c r="C67" i="119"/>
  <c r="AE66" i="119"/>
  <c r="AA66" i="119"/>
  <c r="Z66" i="119"/>
  <c r="Y66" i="119"/>
  <c r="W66" i="119"/>
  <c r="U66" i="119"/>
  <c r="S66" i="119"/>
  <c r="P66" i="119"/>
  <c r="O66" i="119"/>
  <c r="N66" i="119"/>
  <c r="M66" i="119"/>
  <c r="L66" i="119"/>
  <c r="K66" i="119"/>
  <c r="J66" i="119"/>
  <c r="I66" i="119"/>
  <c r="H66" i="119"/>
  <c r="G66" i="119"/>
  <c r="F66" i="119"/>
  <c r="E66" i="119"/>
  <c r="D66" i="119"/>
  <c r="C66" i="119"/>
  <c r="AH65" i="119"/>
  <c r="AJ59" i="119"/>
  <c r="AJ60" i="119" s="1"/>
  <c r="AH58" i="119"/>
  <c r="AH56" i="119"/>
  <c r="AG55" i="119"/>
  <c r="AF55" i="119"/>
  <c r="AE55" i="119"/>
  <c r="AD55" i="119"/>
  <c r="AC55" i="119"/>
  <c r="AB55" i="119"/>
  <c r="AA55" i="119"/>
  <c r="Z55" i="119"/>
  <c r="Y55" i="119"/>
  <c r="X55" i="119"/>
  <c r="W55" i="119"/>
  <c r="V55" i="119"/>
  <c r="U55" i="119"/>
  <c r="T55" i="119"/>
  <c r="S55" i="119"/>
  <c r="R55" i="119"/>
  <c r="Q55" i="119"/>
  <c r="P55" i="119"/>
  <c r="O55" i="119"/>
  <c r="N55" i="119"/>
  <c r="M55" i="119"/>
  <c r="L55" i="119"/>
  <c r="K55" i="119"/>
  <c r="J55" i="119"/>
  <c r="I55" i="119"/>
  <c r="H55" i="119"/>
  <c r="G55" i="119"/>
  <c r="F55" i="119"/>
  <c r="E55" i="119"/>
  <c r="D55" i="119"/>
  <c r="C55" i="119"/>
  <c r="AH54" i="119"/>
  <c r="AH53" i="119"/>
  <c r="AH52" i="119"/>
  <c r="AH51" i="119"/>
  <c r="AH50" i="119"/>
  <c r="AH49" i="119"/>
  <c r="AH48" i="119"/>
  <c r="AH47" i="119"/>
  <c r="AH46" i="119"/>
  <c r="AH45" i="119"/>
  <c r="T43" i="119"/>
  <c r="L43" i="119"/>
  <c r="D43" i="119"/>
  <c r="AG43" i="119"/>
  <c r="AF43" i="119"/>
  <c r="AE43" i="119"/>
  <c r="AD43" i="119"/>
  <c r="AC43" i="119"/>
  <c r="AB43" i="119"/>
  <c r="AA43" i="119"/>
  <c r="Z43" i="119"/>
  <c r="Y43" i="119"/>
  <c r="X43" i="119"/>
  <c r="W43" i="119"/>
  <c r="V43" i="119"/>
  <c r="U43" i="119"/>
  <c r="S43" i="119"/>
  <c r="R43" i="119"/>
  <c r="Q43" i="119"/>
  <c r="P43" i="119"/>
  <c r="O43" i="119"/>
  <c r="N43" i="119"/>
  <c r="M43" i="119"/>
  <c r="K43" i="119"/>
  <c r="J43" i="119"/>
  <c r="I43" i="119"/>
  <c r="H43" i="119"/>
  <c r="G43" i="119"/>
  <c r="F43" i="119"/>
  <c r="E43" i="119"/>
  <c r="C43" i="119"/>
  <c r="AH42" i="119"/>
  <c r="AG13" i="119"/>
  <c r="AF13" i="119"/>
  <c r="AE13" i="119"/>
  <c r="AD13" i="119"/>
  <c r="AC13" i="119"/>
  <c r="AB13" i="119"/>
  <c r="AA13" i="119"/>
  <c r="Z13" i="119"/>
  <c r="Y13" i="119"/>
  <c r="X13" i="119"/>
  <c r="W13" i="119"/>
  <c r="V13" i="119"/>
  <c r="V10" i="119" s="1"/>
  <c r="U13" i="119"/>
  <c r="T13" i="119"/>
  <c r="S13" i="119"/>
  <c r="R13" i="119"/>
  <c r="Q13" i="119"/>
  <c r="P13" i="119"/>
  <c r="O13" i="119"/>
  <c r="N13" i="119"/>
  <c r="M13" i="119"/>
  <c r="L13" i="119"/>
  <c r="K13" i="119"/>
  <c r="J13" i="119"/>
  <c r="I13" i="119"/>
  <c r="H13" i="119"/>
  <c r="G13" i="119"/>
  <c r="F13" i="119"/>
  <c r="E13" i="119"/>
  <c r="D13" i="119"/>
  <c r="C13" i="119"/>
  <c r="AG12" i="119"/>
  <c r="AF12" i="119"/>
  <c r="AE12" i="119"/>
  <c r="AD12" i="119"/>
  <c r="AC12" i="119"/>
  <c r="AB12" i="119"/>
  <c r="AA12" i="119"/>
  <c r="Z12" i="119"/>
  <c r="Y12" i="119"/>
  <c r="X12" i="119"/>
  <c r="W12" i="119"/>
  <c r="V12" i="119"/>
  <c r="U12" i="119"/>
  <c r="T12" i="119"/>
  <c r="S12" i="119"/>
  <c r="R12" i="119"/>
  <c r="Q12" i="119"/>
  <c r="P12" i="119"/>
  <c r="O12" i="119"/>
  <c r="N12" i="119"/>
  <c r="M12" i="119"/>
  <c r="L12" i="119"/>
  <c r="K12" i="119"/>
  <c r="J12" i="119"/>
  <c r="I12" i="119"/>
  <c r="H12" i="119"/>
  <c r="G12" i="119"/>
  <c r="F12" i="119"/>
  <c r="E12" i="119"/>
  <c r="D12" i="119"/>
  <c r="C12" i="119"/>
  <c r="AG11" i="119"/>
  <c r="AF11" i="119"/>
  <c r="AE11" i="119"/>
  <c r="AD11" i="119"/>
  <c r="AC11" i="119"/>
  <c r="AB11" i="119"/>
  <c r="AA11" i="119"/>
  <c r="Z11" i="119"/>
  <c r="Y11" i="119"/>
  <c r="X11" i="119"/>
  <c r="W11" i="119"/>
  <c r="V11" i="119"/>
  <c r="U11" i="119"/>
  <c r="T11" i="119"/>
  <c r="S11" i="119"/>
  <c r="R11" i="119"/>
  <c r="Q11" i="119"/>
  <c r="P11" i="119"/>
  <c r="O11" i="119"/>
  <c r="N11" i="119"/>
  <c r="M11" i="119"/>
  <c r="L11" i="119"/>
  <c r="K11" i="119"/>
  <c r="J11" i="119"/>
  <c r="I11" i="119"/>
  <c r="H11" i="119"/>
  <c r="G11" i="119"/>
  <c r="F11" i="119"/>
  <c r="E11" i="119"/>
  <c r="D11" i="119"/>
  <c r="C11" i="119"/>
  <c r="AC10" i="119" l="1"/>
  <c r="AP93" i="119"/>
  <c r="H237" i="119"/>
  <c r="L237" i="119"/>
  <c r="F10" i="119"/>
  <c r="AD10" i="119"/>
  <c r="C10" i="119"/>
  <c r="G10" i="119"/>
  <c r="K10" i="119"/>
  <c r="O10" i="119"/>
  <c r="S10" i="119"/>
  <c r="W10" i="119"/>
  <c r="AA10" i="119"/>
  <c r="AE10" i="119"/>
  <c r="J10" i="119"/>
  <c r="N10" i="119"/>
  <c r="R10" i="119"/>
  <c r="Z10" i="119"/>
  <c r="E10" i="119"/>
  <c r="I10" i="119"/>
  <c r="M10" i="119"/>
  <c r="Q10" i="119"/>
  <c r="U10" i="119"/>
  <c r="Y10" i="119"/>
  <c r="D10" i="119"/>
  <c r="H10" i="119"/>
  <c r="L10" i="119"/>
  <c r="P10" i="119"/>
  <c r="T10" i="119"/>
  <c r="X10" i="119"/>
  <c r="AB10" i="119"/>
  <c r="AG301" i="119"/>
  <c r="E301" i="119"/>
  <c r="I301" i="119"/>
  <c r="M301" i="119"/>
  <c r="Q301" i="119"/>
  <c r="U301" i="119"/>
  <c r="Y301" i="119"/>
  <c r="AC301" i="119"/>
  <c r="F174" i="119"/>
  <c r="Z174" i="119"/>
  <c r="E174" i="119"/>
  <c r="I174" i="119"/>
  <c r="M174" i="119"/>
  <c r="Q174" i="119"/>
  <c r="U174" i="119"/>
  <c r="AC174" i="119"/>
  <c r="Y174" i="119"/>
  <c r="H174" i="119"/>
  <c r="T174" i="119"/>
  <c r="AB174" i="119"/>
  <c r="AG10" i="119"/>
  <c r="B144" i="119"/>
  <c r="AH159" i="119"/>
  <c r="D174" i="119"/>
  <c r="L174" i="119"/>
  <c r="P174" i="119"/>
  <c r="X174" i="119"/>
  <c r="AF174" i="119"/>
  <c r="C174" i="119"/>
  <c r="G174" i="119"/>
  <c r="K174" i="119"/>
  <c r="O174" i="119"/>
  <c r="S174" i="119"/>
  <c r="W174" i="119"/>
  <c r="AA174" i="119"/>
  <c r="AE174" i="119"/>
  <c r="B209" i="119"/>
  <c r="C237" i="119"/>
  <c r="K237" i="119"/>
  <c r="S237" i="119"/>
  <c r="AA237" i="119"/>
  <c r="D301" i="119"/>
  <c r="H301" i="119"/>
  <c r="L301" i="119"/>
  <c r="P301" i="119"/>
  <c r="T301" i="119"/>
  <c r="X301" i="119"/>
  <c r="AB301" i="119"/>
  <c r="AF301" i="119"/>
  <c r="F237" i="119"/>
  <c r="N237" i="119"/>
  <c r="R237" i="119"/>
  <c r="V237" i="119"/>
  <c r="AD237" i="119"/>
  <c r="E237" i="119"/>
  <c r="I237" i="119"/>
  <c r="M237" i="119"/>
  <c r="Q237" i="119"/>
  <c r="U237" i="119"/>
  <c r="Y237" i="119"/>
  <c r="AC237" i="119"/>
  <c r="F301" i="119"/>
  <c r="J301" i="119"/>
  <c r="N301" i="119"/>
  <c r="R301" i="119"/>
  <c r="Z301" i="119"/>
  <c r="AD301" i="119"/>
  <c r="G237" i="119"/>
  <c r="O237" i="119"/>
  <c r="AE237" i="119"/>
  <c r="J237" i="119"/>
  <c r="Z237" i="119"/>
  <c r="AH288" i="119"/>
  <c r="C301" i="119"/>
  <c r="G301" i="119"/>
  <c r="K301" i="119"/>
  <c r="O301" i="119"/>
  <c r="S301" i="119"/>
  <c r="W301" i="119"/>
  <c r="AA301" i="119"/>
  <c r="AE301" i="119"/>
  <c r="W237" i="119"/>
  <c r="C60" i="119"/>
  <c r="G60" i="119"/>
  <c r="K60" i="119"/>
  <c r="D60" i="119"/>
  <c r="H60" i="119"/>
  <c r="L60" i="119"/>
  <c r="P60" i="119"/>
  <c r="AF10" i="119"/>
  <c r="V301" i="119"/>
  <c r="AG237" i="119"/>
  <c r="AH224" i="119"/>
  <c r="X60" i="119"/>
  <c r="AB60" i="119"/>
  <c r="AF60" i="119"/>
  <c r="O60" i="119"/>
  <c r="S60" i="119"/>
  <c r="W60" i="119"/>
  <c r="AA60" i="119"/>
  <c r="AE60" i="119"/>
  <c r="F60" i="119"/>
  <c r="J60" i="119"/>
  <c r="N60" i="119"/>
  <c r="R60" i="119"/>
  <c r="V60" i="119"/>
  <c r="Z60" i="119"/>
  <c r="AD60" i="119"/>
  <c r="R66" i="119"/>
  <c r="E60" i="119"/>
  <c r="I60" i="119"/>
  <c r="M60" i="119"/>
  <c r="Q60" i="119"/>
  <c r="U60" i="119"/>
  <c r="Y60" i="119"/>
  <c r="AC60" i="119"/>
  <c r="AG60" i="119"/>
  <c r="AH43" i="119"/>
  <c r="T60" i="119"/>
  <c r="AH44" i="119"/>
  <c r="AI45" i="119" s="1"/>
  <c r="AH75" i="119"/>
  <c r="AH55" i="119"/>
  <c r="U45" i="115"/>
  <c r="T45" i="115"/>
  <c r="R45" i="114"/>
  <c r="AH10" i="119" l="1"/>
  <c r="C89" i="114"/>
  <c r="P45" i="115" l="1"/>
  <c r="AA45" i="114"/>
  <c r="O44" i="115"/>
  <c r="Q44" i="115"/>
  <c r="L44" i="115"/>
  <c r="S45" i="115"/>
  <c r="G1129" i="41" l="1"/>
  <c r="O45" i="115"/>
  <c r="AA44" i="114"/>
  <c r="C44" i="114"/>
  <c r="F45" i="115"/>
  <c r="N45" i="115"/>
  <c r="D24" i="117"/>
  <c r="X45" i="114"/>
  <c r="V45" i="114"/>
  <c r="M45" i="115"/>
  <c r="K45" i="115"/>
  <c r="K44" i="115"/>
  <c r="I22" i="117" l="1"/>
  <c r="K17" i="117"/>
  <c r="I25" i="117" l="1"/>
  <c r="J22" i="117"/>
  <c r="J44" i="115" l="1"/>
  <c r="D33" i="117" l="1"/>
  <c r="G2301" i="41"/>
  <c r="G2292" i="41"/>
  <c r="G2288" i="41"/>
  <c r="G2293" i="41"/>
  <c r="G2294" i="41"/>
  <c r="G2295" i="41"/>
  <c r="G2350" i="41"/>
  <c r="G2349" i="41"/>
  <c r="G2316" i="41"/>
  <c r="G2348" i="41"/>
  <c r="G2347" i="41"/>
  <c r="G2315" i="41"/>
  <c r="G2346" i="41"/>
  <c r="G2345" i="41"/>
  <c r="G2344" i="41"/>
  <c r="G2343" i="41"/>
  <c r="G2281" i="41"/>
  <c r="G2314" i="41"/>
  <c r="G2313" i="41"/>
  <c r="G2280" i="41"/>
  <c r="G2323" i="41"/>
  <c r="G2331" i="41"/>
  <c r="G2312" i="41"/>
  <c r="G2330" i="41"/>
  <c r="G2311" i="41"/>
  <c r="G2329" i="41"/>
  <c r="G2328" i="41"/>
  <c r="G2279" i="41"/>
  <c r="G2300" i="41"/>
  <c r="G2278" i="41"/>
  <c r="G2277" i="41"/>
  <c r="G2276" i="41"/>
  <c r="G2275" i="41"/>
  <c r="G2274" i="41"/>
  <c r="B17" i="117"/>
  <c r="AF45" i="114"/>
  <c r="I45" i="115"/>
  <c r="G2317" i="41" l="1"/>
  <c r="G2282" i="41"/>
  <c r="B31" i="117" l="1"/>
  <c r="B24" i="117"/>
  <c r="B317" i="118"/>
  <c r="I315" i="118"/>
  <c r="I307" i="118" s="1"/>
  <c r="AH314" i="118"/>
  <c r="AG308" i="118"/>
  <c r="AF308" i="118"/>
  <c r="AE308" i="118"/>
  <c r="AD308" i="118"/>
  <c r="AC308" i="118"/>
  <c r="AB308" i="118"/>
  <c r="AA308" i="118"/>
  <c r="Z308" i="118"/>
  <c r="Y308" i="118"/>
  <c r="X308" i="118"/>
  <c r="W308" i="118"/>
  <c r="V308" i="118"/>
  <c r="U308" i="118"/>
  <c r="T308" i="118"/>
  <c r="S308" i="118"/>
  <c r="R308" i="118"/>
  <c r="Q308" i="118"/>
  <c r="P308" i="118"/>
  <c r="O308" i="118"/>
  <c r="N308" i="118"/>
  <c r="M308" i="118"/>
  <c r="L308" i="118"/>
  <c r="K308" i="118"/>
  <c r="J308" i="118"/>
  <c r="I308" i="118"/>
  <c r="H308" i="118"/>
  <c r="G308" i="118"/>
  <c r="F308" i="118"/>
  <c r="E308" i="118"/>
  <c r="D308" i="118"/>
  <c r="C308" i="118"/>
  <c r="AG307" i="118"/>
  <c r="AF307" i="118"/>
  <c r="AE307" i="118"/>
  <c r="AD307" i="118"/>
  <c r="AC307" i="118"/>
  <c r="AB307" i="118"/>
  <c r="AA307" i="118"/>
  <c r="Z307" i="118"/>
  <c r="Y307" i="118"/>
  <c r="X307" i="118"/>
  <c r="W307" i="118"/>
  <c r="V307" i="118"/>
  <c r="U307" i="118"/>
  <c r="T307" i="118"/>
  <c r="S307" i="118"/>
  <c r="R307" i="118"/>
  <c r="Q307" i="118"/>
  <c r="P307" i="118"/>
  <c r="O307" i="118"/>
  <c r="N307" i="118"/>
  <c r="M307" i="118"/>
  <c r="L307" i="118"/>
  <c r="K307" i="118"/>
  <c r="J307" i="118"/>
  <c r="H307" i="118"/>
  <c r="G307" i="118"/>
  <c r="F307" i="118"/>
  <c r="E307" i="118"/>
  <c r="D307" i="118"/>
  <c r="C307" i="118"/>
  <c r="AH298" i="118"/>
  <c r="AG296" i="118"/>
  <c r="AF296" i="118"/>
  <c r="AE296" i="118"/>
  <c r="AD296" i="118"/>
  <c r="AD301" i="118" s="1"/>
  <c r="AC296" i="118"/>
  <c r="AB296" i="118"/>
  <c r="AB301" i="118" s="1"/>
  <c r="AA296" i="118"/>
  <c r="Z296" i="118"/>
  <c r="Z301" i="118" s="1"/>
  <c r="Y296" i="118"/>
  <c r="X296" i="118"/>
  <c r="X301" i="118" s="1"/>
  <c r="W296" i="118"/>
  <c r="V296" i="118"/>
  <c r="V301" i="118" s="1"/>
  <c r="U296" i="118"/>
  <c r="T296" i="118"/>
  <c r="T301" i="118" s="1"/>
  <c r="S296" i="118"/>
  <c r="R296" i="118"/>
  <c r="R301" i="118" s="1"/>
  <c r="Q296" i="118"/>
  <c r="P296" i="118"/>
  <c r="P301" i="118" s="1"/>
  <c r="O296" i="118"/>
  <c r="N296" i="118"/>
  <c r="N301" i="118" s="1"/>
  <c r="M296" i="118"/>
  <c r="L296" i="118"/>
  <c r="L301" i="118" s="1"/>
  <c r="K296" i="118"/>
  <c r="J296" i="118"/>
  <c r="J301" i="118" s="1"/>
  <c r="I296" i="118"/>
  <c r="H296" i="118"/>
  <c r="H301" i="118" s="1"/>
  <c r="G296" i="118"/>
  <c r="F296" i="118"/>
  <c r="F301" i="118" s="1"/>
  <c r="E296" i="118"/>
  <c r="D296" i="118"/>
  <c r="D301" i="118" s="1"/>
  <c r="C296" i="118"/>
  <c r="AH292" i="118"/>
  <c r="AH291" i="118"/>
  <c r="AH290" i="118"/>
  <c r="AH289" i="118"/>
  <c r="AG288" i="118"/>
  <c r="AF288" i="118"/>
  <c r="AE288" i="118"/>
  <c r="AD288" i="118"/>
  <c r="AC288" i="118"/>
  <c r="AB288" i="118"/>
  <c r="AA288" i="118"/>
  <c r="Z288" i="118"/>
  <c r="Y288" i="118"/>
  <c r="X288" i="118"/>
  <c r="W288" i="118"/>
  <c r="V288" i="118"/>
  <c r="U288" i="118"/>
  <c r="T288" i="118"/>
  <c r="S288" i="118"/>
  <c r="R288" i="118"/>
  <c r="Q288" i="118"/>
  <c r="P288" i="118"/>
  <c r="O288" i="118"/>
  <c r="N288" i="118"/>
  <c r="M288" i="118"/>
  <c r="L288" i="118"/>
  <c r="K288" i="118"/>
  <c r="J288" i="118"/>
  <c r="I288" i="118"/>
  <c r="H288" i="118"/>
  <c r="G288" i="118"/>
  <c r="F288" i="118"/>
  <c r="E288" i="118"/>
  <c r="D288" i="118"/>
  <c r="C288" i="118"/>
  <c r="B275" i="118"/>
  <c r="B274" i="118"/>
  <c r="B273" i="118" s="1"/>
  <c r="B279" i="118" s="1"/>
  <c r="B285" i="118" s="1"/>
  <c r="B253" i="118"/>
  <c r="AH252" i="118"/>
  <c r="AH250" i="118"/>
  <c r="AG244" i="118"/>
  <c r="AF244" i="118"/>
  <c r="AE244" i="118"/>
  <c r="AD244" i="118"/>
  <c r="AC244" i="118"/>
  <c r="AB244" i="118"/>
  <c r="AA244" i="118"/>
  <c r="Z244" i="118"/>
  <c r="Y244" i="118"/>
  <c r="X244" i="118"/>
  <c r="W244" i="118"/>
  <c r="V244" i="118"/>
  <c r="U244" i="118"/>
  <c r="T244" i="118"/>
  <c r="S244" i="118"/>
  <c r="R244" i="118"/>
  <c r="Q244" i="118"/>
  <c r="P244" i="118"/>
  <c r="O244" i="118"/>
  <c r="N244" i="118"/>
  <c r="M244" i="118"/>
  <c r="L244" i="118"/>
  <c r="K244" i="118"/>
  <c r="J244" i="118"/>
  <c r="I244" i="118"/>
  <c r="H244" i="118"/>
  <c r="G244" i="118"/>
  <c r="F244" i="118"/>
  <c r="E244" i="118"/>
  <c r="D244" i="118"/>
  <c r="C244" i="118"/>
  <c r="AG243" i="118"/>
  <c r="AF243" i="118"/>
  <c r="AE243" i="118"/>
  <c r="AD243" i="118"/>
  <c r="AC243" i="118"/>
  <c r="AB243" i="118"/>
  <c r="AA243" i="118"/>
  <c r="Z243" i="118"/>
  <c r="Y243" i="118"/>
  <c r="X243" i="118"/>
  <c r="W243" i="118"/>
  <c r="V243" i="118"/>
  <c r="U243" i="118"/>
  <c r="T243" i="118"/>
  <c r="S243" i="118"/>
  <c r="R243" i="118"/>
  <c r="Q243" i="118"/>
  <c r="P243" i="118"/>
  <c r="O243" i="118"/>
  <c r="N243" i="118"/>
  <c r="M243" i="118"/>
  <c r="L243" i="118"/>
  <c r="K243" i="118"/>
  <c r="J243" i="118"/>
  <c r="I243" i="118"/>
  <c r="H243" i="118"/>
  <c r="G243" i="118"/>
  <c r="F243" i="118"/>
  <c r="E243" i="118"/>
  <c r="D243" i="118"/>
  <c r="C243" i="118"/>
  <c r="AH234" i="118"/>
  <c r="AG232" i="118"/>
  <c r="AF232" i="118"/>
  <c r="AF237" i="118" s="1"/>
  <c r="AE232" i="118"/>
  <c r="AD232" i="118"/>
  <c r="AD237" i="118" s="1"/>
  <c r="AC232" i="118"/>
  <c r="AB232" i="118"/>
  <c r="AB237" i="118" s="1"/>
  <c r="AA232" i="118"/>
  <c r="Z232" i="118"/>
  <c r="Z237" i="118" s="1"/>
  <c r="Y232" i="118"/>
  <c r="X232" i="118"/>
  <c r="X237" i="118" s="1"/>
  <c r="W232" i="118"/>
  <c r="V232" i="118"/>
  <c r="V237" i="118" s="1"/>
  <c r="U232" i="118"/>
  <c r="T232" i="118"/>
  <c r="T237" i="118" s="1"/>
  <c r="S232" i="118"/>
  <c r="R232" i="118"/>
  <c r="R237" i="118" s="1"/>
  <c r="Q232" i="118"/>
  <c r="P232" i="118"/>
  <c r="P237" i="118" s="1"/>
  <c r="O232" i="118"/>
  <c r="N232" i="118"/>
  <c r="N237" i="118" s="1"/>
  <c r="M232" i="118"/>
  <c r="L232" i="118"/>
  <c r="L237" i="118" s="1"/>
  <c r="K232" i="118"/>
  <c r="J232" i="118"/>
  <c r="J237" i="118" s="1"/>
  <c r="I232" i="118"/>
  <c r="H232" i="118"/>
  <c r="H237" i="118" s="1"/>
  <c r="G232" i="118"/>
  <c r="F232" i="118"/>
  <c r="F237" i="118" s="1"/>
  <c r="E232" i="118"/>
  <c r="D232" i="118"/>
  <c r="D237" i="118" s="1"/>
  <c r="C232" i="118"/>
  <c r="AH228" i="118"/>
  <c r="AH227" i="118"/>
  <c r="AH226" i="118"/>
  <c r="AH225" i="118"/>
  <c r="AG224" i="118"/>
  <c r="AF224" i="118"/>
  <c r="AE224" i="118"/>
  <c r="AD224" i="118"/>
  <c r="AC224" i="118"/>
  <c r="AB224" i="118"/>
  <c r="AA224" i="118"/>
  <c r="Z224" i="118"/>
  <c r="Y224" i="118"/>
  <c r="X224" i="118"/>
  <c r="W224" i="118"/>
  <c r="V224" i="118"/>
  <c r="U224" i="118"/>
  <c r="T224" i="118"/>
  <c r="S224" i="118"/>
  <c r="R224" i="118"/>
  <c r="Q224" i="118"/>
  <c r="P224" i="118"/>
  <c r="O224" i="118"/>
  <c r="N224" i="118"/>
  <c r="M224" i="118"/>
  <c r="L224" i="118"/>
  <c r="K224" i="118"/>
  <c r="J224" i="118"/>
  <c r="I224" i="118"/>
  <c r="H224" i="118"/>
  <c r="G224" i="118"/>
  <c r="F224" i="118"/>
  <c r="E224" i="118"/>
  <c r="D224" i="118"/>
  <c r="C224" i="118"/>
  <c r="B211" i="118"/>
  <c r="B210" i="118"/>
  <c r="B209" i="118" s="1"/>
  <c r="B215" i="118" s="1"/>
  <c r="B221" i="118" s="1"/>
  <c r="B190" i="118"/>
  <c r="E188" i="118"/>
  <c r="AG181" i="118"/>
  <c r="AF181" i="118"/>
  <c r="AE181" i="118"/>
  <c r="AD181" i="118"/>
  <c r="AC181" i="118"/>
  <c r="AB181" i="118"/>
  <c r="AA181" i="118"/>
  <c r="Z181" i="118"/>
  <c r="Y181" i="118"/>
  <c r="X181" i="118"/>
  <c r="W181" i="118"/>
  <c r="V181" i="118"/>
  <c r="U181" i="118"/>
  <c r="T181" i="118"/>
  <c r="S181" i="118"/>
  <c r="R181" i="118"/>
  <c r="Q181" i="118"/>
  <c r="P181" i="118"/>
  <c r="O181" i="118"/>
  <c r="N181" i="118"/>
  <c r="M181" i="118"/>
  <c r="L181" i="118"/>
  <c r="K181" i="118"/>
  <c r="J181" i="118"/>
  <c r="I181" i="118"/>
  <c r="H181" i="118"/>
  <c r="G181" i="118"/>
  <c r="F181" i="118"/>
  <c r="E181" i="118"/>
  <c r="D181" i="118"/>
  <c r="C181" i="118"/>
  <c r="AG180" i="118"/>
  <c r="AF180" i="118"/>
  <c r="AE180" i="118"/>
  <c r="AD180" i="118"/>
  <c r="AC180" i="118"/>
  <c r="AB180" i="118"/>
  <c r="AA180" i="118"/>
  <c r="Z180" i="118"/>
  <c r="Y180" i="118"/>
  <c r="X180" i="118"/>
  <c r="W180" i="118"/>
  <c r="V180" i="118"/>
  <c r="U180" i="118"/>
  <c r="T180" i="118"/>
  <c r="S180" i="118"/>
  <c r="R180" i="118"/>
  <c r="Q180" i="118"/>
  <c r="P180" i="118"/>
  <c r="O180" i="118"/>
  <c r="N180" i="118"/>
  <c r="M180" i="118"/>
  <c r="L180" i="118"/>
  <c r="K180" i="118"/>
  <c r="J180" i="118"/>
  <c r="I180" i="118"/>
  <c r="H180" i="118"/>
  <c r="G180" i="118"/>
  <c r="F180" i="118"/>
  <c r="E180" i="118"/>
  <c r="D180" i="118"/>
  <c r="C180" i="118"/>
  <c r="X174" i="118"/>
  <c r="H174" i="118"/>
  <c r="AG169" i="118"/>
  <c r="AG174" i="118" s="1"/>
  <c r="AF169" i="118"/>
  <c r="AE169" i="118"/>
  <c r="AD169" i="118"/>
  <c r="AC169" i="118"/>
  <c r="AC174" i="118" s="1"/>
  <c r="AB169" i="118"/>
  <c r="AB174" i="118" s="1"/>
  <c r="AA169" i="118"/>
  <c r="Z169" i="118"/>
  <c r="Y169" i="118"/>
  <c r="Y174" i="118" s="1"/>
  <c r="X169" i="118"/>
  <c r="W169" i="118"/>
  <c r="V169" i="118"/>
  <c r="U169" i="118"/>
  <c r="U174" i="118" s="1"/>
  <c r="T169" i="118"/>
  <c r="T174" i="118" s="1"/>
  <c r="S169" i="118"/>
  <c r="R169" i="118"/>
  <c r="Q169" i="118"/>
  <c r="Q174" i="118" s="1"/>
  <c r="P169" i="118"/>
  <c r="O169" i="118"/>
  <c r="N169" i="118"/>
  <c r="M169" i="118"/>
  <c r="M174" i="118" s="1"/>
  <c r="L169" i="118"/>
  <c r="L174" i="118" s="1"/>
  <c r="K169" i="118"/>
  <c r="J169" i="118"/>
  <c r="I169" i="118"/>
  <c r="I174" i="118" s="1"/>
  <c r="H169" i="118"/>
  <c r="G169" i="118"/>
  <c r="F169" i="118"/>
  <c r="E169" i="118"/>
  <c r="E174" i="118" s="1"/>
  <c r="D169" i="118"/>
  <c r="D174" i="118" s="1"/>
  <c r="C169" i="118"/>
  <c r="AH167" i="118"/>
  <c r="AH166" i="118"/>
  <c r="AH165" i="118"/>
  <c r="AH164" i="118"/>
  <c r="AH163" i="118"/>
  <c r="AH162" i="118"/>
  <c r="AH161" i="118"/>
  <c r="AH160" i="118"/>
  <c r="AG159" i="118"/>
  <c r="AF159" i="118"/>
  <c r="AF174" i="118" s="1"/>
  <c r="AE159" i="118"/>
  <c r="AD159" i="118"/>
  <c r="AC159" i="118"/>
  <c r="AB159" i="118"/>
  <c r="AA159" i="118"/>
  <c r="Z159" i="118"/>
  <c r="Y159" i="118"/>
  <c r="X159" i="118"/>
  <c r="W159" i="118"/>
  <c r="V159" i="118"/>
  <c r="U159" i="118"/>
  <c r="T159" i="118"/>
  <c r="S159" i="118"/>
  <c r="R159" i="118"/>
  <c r="Q159" i="118"/>
  <c r="P159" i="118"/>
  <c r="P174" i="118" s="1"/>
  <c r="O159" i="118"/>
  <c r="N159" i="118"/>
  <c r="M159" i="118"/>
  <c r="L159" i="118"/>
  <c r="K159" i="118"/>
  <c r="J159" i="118"/>
  <c r="I159" i="118"/>
  <c r="H159" i="118"/>
  <c r="G159" i="118"/>
  <c r="F159" i="118"/>
  <c r="E159" i="118"/>
  <c r="D159" i="118"/>
  <c r="C159" i="118"/>
  <c r="B146" i="118"/>
  <c r="B145" i="118"/>
  <c r="C104" i="118"/>
  <c r="H97" i="118"/>
  <c r="AP93" i="118"/>
  <c r="AN93" i="118"/>
  <c r="AN111" i="118" s="1"/>
  <c r="C88" i="118"/>
  <c r="C82" i="118" s="1"/>
  <c r="B29" i="118" s="1"/>
  <c r="B28" i="118" s="1"/>
  <c r="AH79" i="118"/>
  <c r="AH78" i="118"/>
  <c r="AH77" i="118"/>
  <c r="AG75" i="118"/>
  <c r="AG67" i="118" s="1"/>
  <c r="AF75" i="118"/>
  <c r="AF67" i="118" s="1"/>
  <c r="AE75" i="118"/>
  <c r="AD75" i="118"/>
  <c r="AD67" i="118" s="1"/>
  <c r="AC75" i="118"/>
  <c r="AC67" i="118" s="1"/>
  <c r="AB75" i="118"/>
  <c r="AB67" i="118" s="1"/>
  <c r="AA75" i="118"/>
  <c r="Z75" i="118"/>
  <c r="Z67" i="118" s="1"/>
  <c r="Y75" i="118"/>
  <c r="Y67" i="118" s="1"/>
  <c r="X75" i="118"/>
  <c r="X67" i="118" s="1"/>
  <c r="W75" i="118"/>
  <c r="V75" i="118"/>
  <c r="V67" i="118" s="1"/>
  <c r="U75" i="118"/>
  <c r="U67" i="118" s="1"/>
  <c r="T75" i="118"/>
  <c r="T67" i="118" s="1"/>
  <c r="S75" i="118"/>
  <c r="R75" i="118"/>
  <c r="R67" i="118" s="1"/>
  <c r="Q75" i="118"/>
  <c r="Q67" i="118" s="1"/>
  <c r="P75" i="118"/>
  <c r="P67" i="118" s="1"/>
  <c r="O75" i="118"/>
  <c r="N75" i="118"/>
  <c r="N67" i="118" s="1"/>
  <c r="M75" i="118"/>
  <c r="M67" i="118" s="1"/>
  <c r="L75" i="118"/>
  <c r="L67" i="118" s="1"/>
  <c r="K75" i="118"/>
  <c r="J75" i="118"/>
  <c r="J67" i="118" s="1"/>
  <c r="I75" i="118"/>
  <c r="I67" i="118" s="1"/>
  <c r="H75" i="118"/>
  <c r="H67" i="118" s="1"/>
  <c r="G75" i="118"/>
  <c r="AG74" i="118"/>
  <c r="AG66" i="118" s="1"/>
  <c r="AF74" i="118"/>
  <c r="AE74" i="118"/>
  <c r="AD74" i="118"/>
  <c r="AD66" i="118" s="1"/>
  <c r="AC74" i="118"/>
  <c r="AC66" i="118" s="1"/>
  <c r="AB74" i="118"/>
  <c r="AA74" i="118"/>
  <c r="AA66" i="118" s="1"/>
  <c r="Z74" i="118"/>
  <c r="Z66" i="118" s="1"/>
  <c r="Y74" i="118"/>
  <c r="Y66" i="118" s="1"/>
  <c r="X74" i="118"/>
  <c r="W74" i="118"/>
  <c r="V74" i="118"/>
  <c r="V66" i="118" s="1"/>
  <c r="U74" i="118"/>
  <c r="U66" i="118" s="1"/>
  <c r="T74" i="118"/>
  <c r="S74" i="118"/>
  <c r="S66" i="118" s="1"/>
  <c r="R74" i="118"/>
  <c r="R66" i="118" s="1"/>
  <c r="Q74" i="118"/>
  <c r="Q66" i="118" s="1"/>
  <c r="P74" i="118"/>
  <c r="O74" i="118"/>
  <c r="N74" i="118"/>
  <c r="N66" i="118" s="1"/>
  <c r="M74" i="118"/>
  <c r="M66" i="118" s="1"/>
  <c r="L74" i="118"/>
  <c r="K74" i="118"/>
  <c r="K66" i="118" s="1"/>
  <c r="J74" i="118"/>
  <c r="J66" i="118" s="1"/>
  <c r="I74" i="118"/>
  <c r="I66" i="118" s="1"/>
  <c r="H74" i="118"/>
  <c r="G74" i="118"/>
  <c r="AE67" i="118"/>
  <c r="AA67" i="118"/>
  <c r="W67" i="118"/>
  <c r="S67" i="118"/>
  <c r="O67" i="118"/>
  <c r="K67" i="118"/>
  <c r="G67" i="118"/>
  <c r="F67" i="118"/>
  <c r="E67" i="118"/>
  <c r="D67" i="118"/>
  <c r="C67" i="118"/>
  <c r="AF66" i="118"/>
  <c r="AE66" i="118"/>
  <c r="AB66" i="118"/>
  <c r="X66" i="118"/>
  <c r="W66" i="118"/>
  <c r="T66" i="118"/>
  <c r="P66" i="118"/>
  <c r="O66" i="118"/>
  <c r="L66" i="118"/>
  <c r="H66" i="118"/>
  <c r="G66" i="118"/>
  <c r="F66" i="118"/>
  <c r="E66" i="118"/>
  <c r="D66" i="118"/>
  <c r="C66" i="118"/>
  <c r="AH65" i="118"/>
  <c r="K60" i="118"/>
  <c r="AJ59" i="118"/>
  <c r="AJ60" i="118" s="1"/>
  <c r="AH58" i="118"/>
  <c r="AH57" i="118"/>
  <c r="AH56" i="118"/>
  <c r="AG55" i="118"/>
  <c r="AF55" i="118"/>
  <c r="AE55" i="118"/>
  <c r="AD55" i="118"/>
  <c r="AC55" i="118"/>
  <c r="AB55" i="118"/>
  <c r="AA55" i="118"/>
  <c r="Z55" i="118"/>
  <c r="Y55" i="118"/>
  <c r="X55" i="118"/>
  <c r="W55" i="118"/>
  <c r="V55" i="118"/>
  <c r="U55" i="118"/>
  <c r="T55" i="118"/>
  <c r="S55" i="118"/>
  <c r="R55" i="118"/>
  <c r="Q55" i="118"/>
  <c r="P55" i="118"/>
  <c r="O55" i="118"/>
  <c r="N55" i="118"/>
  <c r="M55" i="118"/>
  <c r="L55" i="118"/>
  <c r="K55" i="118"/>
  <c r="J55" i="118"/>
  <c r="I55" i="118"/>
  <c r="H55" i="118"/>
  <c r="G55" i="118"/>
  <c r="F55" i="118"/>
  <c r="E55" i="118"/>
  <c r="D55" i="118"/>
  <c r="D60" i="118" s="1"/>
  <c r="C55" i="118"/>
  <c r="AH54" i="118"/>
  <c r="AH53" i="118"/>
  <c r="AH52" i="118"/>
  <c r="AH51" i="118"/>
  <c r="AH50" i="118"/>
  <c r="AH49" i="118"/>
  <c r="AH48" i="118"/>
  <c r="AH47" i="118"/>
  <c r="C46" i="118"/>
  <c r="AH46" i="118" s="1"/>
  <c r="H45" i="118"/>
  <c r="H43" i="118" s="1"/>
  <c r="G45" i="118"/>
  <c r="F45" i="118"/>
  <c r="F43" i="118" s="1"/>
  <c r="E45" i="118"/>
  <c r="E43" i="118" s="1"/>
  <c r="AH44" i="118"/>
  <c r="G44" i="118"/>
  <c r="C44" i="118"/>
  <c r="AG43" i="118"/>
  <c r="AF43" i="118"/>
  <c r="AE43" i="118"/>
  <c r="AD43" i="118"/>
  <c r="AC43" i="118"/>
  <c r="AB43" i="118"/>
  <c r="AA43" i="118"/>
  <c r="AA60" i="118" s="1"/>
  <c r="Z43" i="118"/>
  <c r="Y43" i="118"/>
  <c r="X43" i="118"/>
  <c r="W43" i="118"/>
  <c r="V43" i="118"/>
  <c r="U43" i="118"/>
  <c r="T43" i="118"/>
  <c r="S43" i="118"/>
  <c r="R43" i="118"/>
  <c r="Q43" i="118"/>
  <c r="P43" i="118"/>
  <c r="O43" i="118"/>
  <c r="N43" i="118"/>
  <c r="M43" i="118"/>
  <c r="L43" i="118"/>
  <c r="K43" i="118"/>
  <c r="J43" i="118"/>
  <c r="I43" i="118"/>
  <c r="G43" i="118"/>
  <c r="D43" i="118"/>
  <c r="C43" i="118"/>
  <c r="AH42" i="118"/>
  <c r="AG13" i="118"/>
  <c r="AF13" i="118"/>
  <c r="AE13" i="118"/>
  <c r="AD13" i="118"/>
  <c r="AD10" i="118" s="1"/>
  <c r="AC13" i="118"/>
  <c r="AB13" i="118"/>
  <c r="AA13" i="118"/>
  <c r="Z13" i="118"/>
  <c r="Y13" i="118"/>
  <c r="X13" i="118"/>
  <c r="W13" i="118"/>
  <c r="V13" i="118"/>
  <c r="V10" i="118" s="1"/>
  <c r="U13" i="118"/>
  <c r="T13" i="118"/>
  <c r="S13" i="118"/>
  <c r="R13" i="118"/>
  <c r="Q13" i="118"/>
  <c r="P13" i="118"/>
  <c r="O13" i="118"/>
  <c r="N13" i="118"/>
  <c r="N10" i="118" s="1"/>
  <c r="M13" i="118"/>
  <c r="L13" i="118"/>
  <c r="K13" i="118"/>
  <c r="J13" i="118"/>
  <c r="I13" i="118"/>
  <c r="H13" i="118"/>
  <c r="G13" i="118"/>
  <c r="F13" i="118"/>
  <c r="F10" i="118" s="1"/>
  <c r="E13" i="118"/>
  <c r="D13" i="118"/>
  <c r="C13" i="118"/>
  <c r="AG12" i="118"/>
  <c r="AF12" i="118"/>
  <c r="AE12" i="118"/>
  <c r="AD12" i="118"/>
  <c r="AC12" i="118"/>
  <c r="AB12" i="118"/>
  <c r="AA12" i="118"/>
  <c r="Z12" i="118"/>
  <c r="Y12" i="118"/>
  <c r="X12" i="118"/>
  <c r="W12" i="118"/>
  <c r="V12" i="118"/>
  <c r="U12" i="118"/>
  <c r="T12" i="118"/>
  <c r="S12" i="118"/>
  <c r="R12" i="118"/>
  <c r="Q12" i="118"/>
  <c r="P12" i="118"/>
  <c r="O12" i="118"/>
  <c r="N12" i="118"/>
  <c r="M12" i="118"/>
  <c r="L12" i="118"/>
  <c r="K12" i="118"/>
  <c r="J12" i="118"/>
  <c r="I12" i="118"/>
  <c r="H12" i="118"/>
  <c r="G12" i="118"/>
  <c r="F12" i="118"/>
  <c r="E12" i="118"/>
  <c r="D12" i="118"/>
  <c r="C12" i="118"/>
  <c r="AG11" i="118"/>
  <c r="AG10" i="118" s="1"/>
  <c r="AF11" i="118"/>
  <c r="AE11" i="118"/>
  <c r="AD11" i="118"/>
  <c r="AC11" i="118"/>
  <c r="AB11" i="118"/>
  <c r="AA11" i="118"/>
  <c r="Z11" i="118"/>
  <c r="Z10" i="118" s="1"/>
  <c r="Y11" i="118"/>
  <c r="Y10" i="118" s="1"/>
  <c r="X11" i="118"/>
  <c r="W11" i="118"/>
  <c r="V11" i="118"/>
  <c r="U11" i="118"/>
  <c r="T11" i="118"/>
  <c r="S11" i="118"/>
  <c r="R11" i="118"/>
  <c r="R10" i="118" s="1"/>
  <c r="Q11" i="118"/>
  <c r="Q10" i="118" s="1"/>
  <c r="P11" i="118"/>
  <c r="O11" i="118"/>
  <c r="N11" i="118"/>
  <c r="M11" i="118"/>
  <c r="L11" i="118"/>
  <c r="K11" i="118"/>
  <c r="J11" i="118"/>
  <c r="J10" i="118" s="1"/>
  <c r="I11" i="118"/>
  <c r="I10" i="118" s="1"/>
  <c r="H11" i="118"/>
  <c r="G11" i="118"/>
  <c r="F11" i="118"/>
  <c r="E11" i="118"/>
  <c r="D11" i="118"/>
  <c r="C11" i="118"/>
  <c r="AC10" i="118"/>
  <c r="U10" i="118"/>
  <c r="M10" i="118"/>
  <c r="E10" i="118"/>
  <c r="C174" i="117"/>
  <c r="C167" i="117"/>
  <c r="C166" i="117"/>
  <c r="C165" i="117"/>
  <c r="B164" i="117"/>
  <c r="C164" i="117" s="1"/>
  <c r="C163" i="117"/>
  <c r="B162" i="117"/>
  <c r="C161" i="117"/>
  <c r="C160" i="117"/>
  <c r="B159" i="117"/>
  <c r="C158" i="117"/>
  <c r="C157" i="117"/>
  <c r="C156" i="117"/>
  <c r="C155" i="117"/>
  <c r="C154" i="117"/>
  <c r="H57" i="117"/>
  <c r="G57" i="117"/>
  <c r="F57" i="117"/>
  <c r="E57" i="117"/>
  <c r="D57" i="117"/>
  <c r="C57" i="117"/>
  <c r="H18" i="117" s="1"/>
  <c r="B57" i="117"/>
  <c r="G18" i="117" s="1"/>
  <c r="H41" i="117"/>
  <c r="H37" i="117" s="1"/>
  <c r="G41" i="117"/>
  <c r="G37" i="117" s="1"/>
  <c r="F41" i="117"/>
  <c r="F37" i="117" s="1"/>
  <c r="E41" i="117"/>
  <c r="E37" i="117" s="1"/>
  <c r="D41" i="117"/>
  <c r="D37" i="117" s="1"/>
  <c r="C41" i="117"/>
  <c r="C37" i="117" s="1"/>
  <c r="I23" i="117" s="1"/>
  <c r="B41" i="117"/>
  <c r="B37" i="117" s="1"/>
  <c r="E22" i="117"/>
  <c r="D22" i="117"/>
  <c r="C25" i="117"/>
  <c r="C22" i="117" s="1"/>
  <c r="N22" i="117"/>
  <c r="N25" i="117" s="1"/>
  <c r="M22" i="117"/>
  <c r="M25" i="117" s="1"/>
  <c r="L22" i="117"/>
  <c r="L25" i="117" s="1"/>
  <c r="H22" i="117"/>
  <c r="G22" i="117"/>
  <c r="F22" i="117"/>
  <c r="B15" i="117"/>
  <c r="K8" i="117"/>
  <c r="K6" i="117"/>
  <c r="I60" i="118" l="1"/>
  <c r="M60" i="118"/>
  <c r="Q60" i="118"/>
  <c r="U60" i="118"/>
  <c r="Y60" i="118"/>
  <c r="AC60" i="118"/>
  <c r="AG60" i="118"/>
  <c r="AH159" i="118"/>
  <c r="AH224" i="118"/>
  <c r="C237" i="118"/>
  <c r="C240" i="118" s="1"/>
  <c r="C247" i="118" s="1"/>
  <c r="G237" i="118"/>
  <c r="K237" i="118"/>
  <c r="O237" i="118"/>
  <c r="S237" i="118"/>
  <c r="W237" i="118"/>
  <c r="AA237" i="118"/>
  <c r="AE237" i="118"/>
  <c r="C301" i="118"/>
  <c r="C304" i="118" s="1"/>
  <c r="C311" i="118" s="1"/>
  <c r="G301" i="118"/>
  <c r="K301" i="118"/>
  <c r="O301" i="118"/>
  <c r="S301" i="118"/>
  <c r="W301" i="118"/>
  <c r="AA301" i="118"/>
  <c r="AE301" i="118"/>
  <c r="H60" i="118"/>
  <c r="L60" i="118"/>
  <c r="P60" i="118"/>
  <c r="T60" i="118"/>
  <c r="X60" i="118"/>
  <c r="AB60" i="118"/>
  <c r="AF60" i="118"/>
  <c r="AH43" i="118"/>
  <c r="C10" i="118"/>
  <c r="AH10" i="118" s="1"/>
  <c r="G10" i="118"/>
  <c r="K10" i="118"/>
  <c r="O10" i="118"/>
  <c r="S10" i="118"/>
  <c r="W10" i="118"/>
  <c r="AA10" i="118"/>
  <c r="AE10" i="118"/>
  <c r="D10" i="118"/>
  <c r="H10" i="118"/>
  <c r="L10" i="118"/>
  <c r="P10" i="118"/>
  <c r="T10" i="118"/>
  <c r="X10" i="118"/>
  <c r="AB10" i="118"/>
  <c r="AF10" i="118"/>
  <c r="F60" i="118"/>
  <c r="AH55" i="118"/>
  <c r="G60" i="118"/>
  <c r="O60" i="118"/>
  <c r="S60" i="118"/>
  <c r="W60" i="118"/>
  <c r="AE60" i="118"/>
  <c r="B144" i="118"/>
  <c r="B150" i="118" s="1"/>
  <c r="B156" i="118" s="1"/>
  <c r="F174" i="118"/>
  <c r="J174" i="118"/>
  <c r="N174" i="118"/>
  <c r="R174" i="118"/>
  <c r="V174" i="118"/>
  <c r="Z174" i="118"/>
  <c r="AD174" i="118"/>
  <c r="E237" i="118"/>
  <c r="I237" i="118"/>
  <c r="M237" i="118"/>
  <c r="Q237" i="118"/>
  <c r="U237" i="118"/>
  <c r="Y237" i="118"/>
  <c r="AC237" i="118"/>
  <c r="AG237" i="118"/>
  <c r="E301" i="118"/>
  <c r="I301" i="118"/>
  <c r="M301" i="118"/>
  <c r="Q301" i="118"/>
  <c r="U301" i="118"/>
  <c r="Y301" i="118"/>
  <c r="AC301" i="118"/>
  <c r="AG301" i="118"/>
  <c r="J37" i="117"/>
  <c r="K37" i="117" s="1"/>
  <c r="B22" i="117"/>
  <c r="B51" i="117" s="1"/>
  <c r="B54" i="117" s="1"/>
  <c r="B56" i="117" s="1"/>
  <c r="C17" i="117" s="1"/>
  <c r="L26" i="117"/>
  <c r="D18" i="117"/>
  <c r="F18" i="117"/>
  <c r="F51" i="117"/>
  <c r="K22" i="117"/>
  <c r="K25" i="117" s="1"/>
  <c r="K26" i="117" s="1"/>
  <c r="C18" i="117"/>
  <c r="G51" i="117"/>
  <c r="H51" i="117"/>
  <c r="N23" i="117"/>
  <c r="N26" i="117"/>
  <c r="M26" i="117"/>
  <c r="B171" i="117"/>
  <c r="B172" i="117" s="1"/>
  <c r="B174" i="117" s="1"/>
  <c r="K23" i="117"/>
  <c r="L23" i="117"/>
  <c r="C171" i="117"/>
  <c r="C172" i="117" s="1"/>
  <c r="B170" i="117"/>
  <c r="AH288" i="118"/>
  <c r="AF301" i="118"/>
  <c r="AH45" i="118"/>
  <c r="AI45" i="118" s="1"/>
  <c r="J60" i="118"/>
  <c r="R60" i="118"/>
  <c r="V60" i="118"/>
  <c r="Z60" i="118"/>
  <c r="AD60" i="118"/>
  <c r="C60" i="118"/>
  <c r="AH74" i="118"/>
  <c r="E60" i="118"/>
  <c r="C174" i="118"/>
  <c r="G174" i="118"/>
  <c r="K174" i="118"/>
  <c r="O174" i="118"/>
  <c r="S174" i="118"/>
  <c r="W174" i="118"/>
  <c r="AA174" i="118"/>
  <c r="AE174" i="118"/>
  <c r="N60" i="118"/>
  <c r="AH75" i="118"/>
  <c r="I26" i="117"/>
  <c r="J23" i="117"/>
  <c r="J25" i="117"/>
  <c r="J26" i="117" s="1"/>
  <c r="D51" i="117"/>
  <c r="C51" i="117"/>
  <c r="C170" i="117"/>
  <c r="D170" i="117" s="1"/>
  <c r="M23" i="117"/>
  <c r="E51" i="117"/>
  <c r="C9" i="118" l="1"/>
  <c r="D304" i="118"/>
  <c r="D311" i="118" s="1"/>
  <c r="C8" i="118"/>
  <c r="D240" i="118"/>
  <c r="D247" i="118" s="1"/>
  <c r="D8" i="118" s="1"/>
  <c r="C177" i="118"/>
  <c r="C184" i="118" s="1"/>
  <c r="D171" i="117"/>
  <c r="C15" i="117"/>
  <c r="C54" i="117" s="1"/>
  <c r="C56" i="117" s="1"/>
  <c r="D17" i="117" s="1"/>
  <c r="D15" i="117" s="1"/>
  <c r="D54" i="117" s="1"/>
  <c r="D56" i="117" s="1"/>
  <c r="E17" i="117" s="1"/>
  <c r="E15" i="117" s="1"/>
  <c r="E54" i="117" s="1"/>
  <c r="E56" i="117" s="1"/>
  <c r="F17" i="117" s="1"/>
  <c r="F15" i="117" s="1"/>
  <c r="F54" i="117" s="1"/>
  <c r="F56" i="117" s="1"/>
  <c r="G17" i="117" s="1"/>
  <c r="G15" i="117" s="1"/>
  <c r="G54" i="117" s="1"/>
  <c r="G56" i="117" s="1"/>
  <c r="H17" i="117" s="1"/>
  <c r="H15" i="117" s="1"/>
  <c r="H54" i="117" s="1"/>
  <c r="H56" i="117" s="1"/>
  <c r="O22" i="117"/>
  <c r="O25" i="117"/>
  <c r="K40" i="117" s="1"/>
  <c r="D177" i="118"/>
  <c r="D184" i="118" s="1"/>
  <c r="C7" i="118"/>
  <c r="E240" i="118"/>
  <c r="E247" i="118" s="1"/>
  <c r="E304" i="118"/>
  <c r="E311" i="118" s="1"/>
  <c r="D9" i="118"/>
  <c r="N27" i="117"/>
  <c r="L37" i="117" s="1"/>
  <c r="M37" i="117" s="1"/>
  <c r="G45" i="115"/>
  <c r="G44" i="115"/>
  <c r="H45" i="115"/>
  <c r="S45" i="114"/>
  <c r="F304" i="118" l="1"/>
  <c r="F311" i="118" s="1"/>
  <c r="E9" i="118"/>
  <c r="D7" i="118"/>
  <c r="E177" i="118"/>
  <c r="E184" i="118" s="1"/>
  <c r="E8" i="118"/>
  <c r="F240" i="118"/>
  <c r="F247" i="118" s="1"/>
  <c r="I15" i="57"/>
  <c r="H15" i="57"/>
  <c r="AE32" i="27"/>
  <c r="AD32" i="27"/>
  <c r="G1131" i="41"/>
  <c r="G1015" i="41"/>
  <c r="G1011" i="41"/>
  <c r="F8" i="118" l="1"/>
  <c r="G240" i="118"/>
  <c r="G247" i="118" s="1"/>
  <c r="E7" i="118"/>
  <c r="F177" i="118"/>
  <c r="F184" i="118" s="1"/>
  <c r="G304" i="118"/>
  <c r="G311" i="118" s="1"/>
  <c r="F9" i="118"/>
  <c r="G177" i="118" l="1"/>
  <c r="G184" i="118" s="1"/>
  <c r="F7" i="118"/>
  <c r="H240" i="118"/>
  <c r="H247" i="118" s="1"/>
  <c r="G8" i="118"/>
  <c r="G9" i="118"/>
  <c r="H304" i="118"/>
  <c r="H311" i="118" s="1"/>
  <c r="E45" i="115"/>
  <c r="AG44" i="114"/>
  <c r="I304" i="118" l="1"/>
  <c r="I311" i="118" s="1"/>
  <c r="H9" i="118"/>
  <c r="I240" i="118"/>
  <c r="I247" i="118" s="1"/>
  <c r="H8" i="118"/>
  <c r="H177" i="118"/>
  <c r="H184" i="118" s="1"/>
  <c r="G7" i="118"/>
  <c r="C91" i="114"/>
  <c r="AG45" i="114"/>
  <c r="AF44" i="114"/>
  <c r="Y44" i="114"/>
  <c r="H7" i="118" l="1"/>
  <c r="I177" i="118"/>
  <c r="I184" i="118" s="1"/>
  <c r="J304" i="118"/>
  <c r="J311" i="118" s="1"/>
  <c r="I9" i="118"/>
  <c r="J240" i="118"/>
  <c r="J247" i="118" s="1"/>
  <c r="I8" i="118"/>
  <c r="C90" i="114"/>
  <c r="C110" i="114"/>
  <c r="AC45" i="114"/>
  <c r="AE44" i="114"/>
  <c r="AD45" i="114"/>
  <c r="AB45" i="114"/>
  <c r="AE45" i="114"/>
  <c r="AB44" i="114"/>
  <c r="AD44" i="114"/>
  <c r="I7" i="118" l="1"/>
  <c r="J177" i="118"/>
  <c r="J184" i="118" s="1"/>
  <c r="J8" i="118"/>
  <c r="K240" i="118"/>
  <c r="K247" i="118" s="1"/>
  <c r="J9" i="118"/>
  <c r="K304" i="118"/>
  <c r="K311" i="118" s="1"/>
  <c r="N44" i="114"/>
  <c r="C121" i="114"/>
  <c r="Z45" i="114"/>
  <c r="K9" i="118" l="1"/>
  <c r="L304" i="118"/>
  <c r="L311" i="118" s="1"/>
  <c r="K177" i="118"/>
  <c r="K184" i="118" s="1"/>
  <c r="J7" i="118"/>
  <c r="L240" i="118"/>
  <c r="L247" i="118" s="1"/>
  <c r="K8" i="118"/>
  <c r="Y45" i="114"/>
  <c r="V44" i="114"/>
  <c r="X44" i="114"/>
  <c r="U45" i="114"/>
  <c r="V47" i="114"/>
  <c r="W44" i="114"/>
  <c r="C51" i="114"/>
  <c r="W45" i="114"/>
  <c r="B317" i="115"/>
  <c r="AH314" i="115"/>
  <c r="AG308" i="115"/>
  <c r="AF308" i="115"/>
  <c r="AE308" i="115"/>
  <c r="AD308" i="115"/>
  <c r="AC308" i="115"/>
  <c r="AB308" i="115"/>
  <c r="AA308" i="115"/>
  <c r="Z308" i="115"/>
  <c r="Y308" i="115"/>
  <c r="X308" i="115"/>
  <c r="W308" i="115"/>
  <c r="V308" i="115"/>
  <c r="U308" i="115"/>
  <c r="T308" i="115"/>
  <c r="S308" i="115"/>
  <c r="R308" i="115"/>
  <c r="Q308" i="115"/>
  <c r="P308" i="115"/>
  <c r="O308" i="115"/>
  <c r="N308" i="115"/>
  <c r="M308" i="115"/>
  <c r="L308" i="115"/>
  <c r="K308" i="115"/>
  <c r="J308" i="115"/>
  <c r="I308" i="115"/>
  <c r="H308" i="115"/>
  <c r="G308" i="115"/>
  <c r="F308" i="115"/>
  <c r="E308" i="115"/>
  <c r="D308" i="115"/>
  <c r="C308" i="115"/>
  <c r="AG307" i="115"/>
  <c r="AF307" i="115"/>
  <c r="AE307" i="115"/>
  <c r="AD307" i="115"/>
  <c r="AC307" i="115"/>
  <c r="AB307" i="115"/>
  <c r="AA307" i="115"/>
  <c r="Z307" i="115"/>
  <c r="Y307" i="115"/>
  <c r="X307" i="115"/>
  <c r="W307" i="115"/>
  <c r="V307" i="115"/>
  <c r="U307" i="115"/>
  <c r="T307" i="115"/>
  <c r="S307" i="115"/>
  <c r="R307" i="115"/>
  <c r="Q307" i="115"/>
  <c r="P307" i="115"/>
  <c r="O307" i="115"/>
  <c r="N307" i="115"/>
  <c r="M307" i="115"/>
  <c r="L307" i="115"/>
  <c r="K307" i="115"/>
  <c r="J307" i="115"/>
  <c r="I307" i="115"/>
  <c r="H307" i="115"/>
  <c r="G307" i="115"/>
  <c r="F307" i="115"/>
  <c r="E307" i="115"/>
  <c r="D307" i="115"/>
  <c r="C307" i="115"/>
  <c r="AH298" i="115"/>
  <c r="AG296" i="115"/>
  <c r="AF296" i="115"/>
  <c r="AE296" i="115"/>
  <c r="AD296" i="115"/>
  <c r="AD301" i="115" s="1"/>
  <c r="AC296" i="115"/>
  <c r="AC301" i="115" s="1"/>
  <c r="AB296" i="115"/>
  <c r="AA296" i="115"/>
  <c r="AA301" i="115" s="1"/>
  <c r="Z296" i="115"/>
  <c r="Z301" i="115" s="1"/>
  <c r="Y296" i="115"/>
  <c r="Y301" i="115" s="1"/>
  <c r="X296" i="115"/>
  <c r="W296" i="115"/>
  <c r="W301" i="115" s="1"/>
  <c r="V296" i="115"/>
  <c r="U296" i="115"/>
  <c r="U301" i="115" s="1"/>
  <c r="T296" i="115"/>
  <c r="S296" i="115"/>
  <c r="S301" i="115" s="1"/>
  <c r="R296" i="115"/>
  <c r="R301" i="115" s="1"/>
  <c r="Q296" i="115"/>
  <c r="Q301" i="115" s="1"/>
  <c r="P296" i="115"/>
  <c r="O296" i="115"/>
  <c r="N296" i="115"/>
  <c r="N301" i="115" s="1"/>
  <c r="M296" i="115"/>
  <c r="M301" i="115" s="1"/>
  <c r="L296" i="115"/>
  <c r="K296" i="115"/>
  <c r="K301" i="115" s="1"/>
  <c r="J296" i="115"/>
  <c r="J301" i="115" s="1"/>
  <c r="I296" i="115"/>
  <c r="I301" i="115" s="1"/>
  <c r="H296" i="115"/>
  <c r="G296" i="115"/>
  <c r="G301" i="115" s="1"/>
  <c r="F296" i="115"/>
  <c r="F301" i="115" s="1"/>
  <c r="E296" i="115"/>
  <c r="E301" i="115" s="1"/>
  <c r="D296" i="115"/>
  <c r="C296" i="115"/>
  <c r="C301" i="115" s="1"/>
  <c r="AH292" i="115"/>
  <c r="AH291" i="115"/>
  <c r="AH290" i="115"/>
  <c r="AH289" i="115"/>
  <c r="AG288" i="115"/>
  <c r="AF288" i="115"/>
  <c r="AE288" i="115"/>
  <c r="AD288" i="115"/>
  <c r="AC288" i="115"/>
  <c r="AB288" i="115"/>
  <c r="AA288" i="115"/>
  <c r="Z288" i="115"/>
  <c r="Y288" i="115"/>
  <c r="X288" i="115"/>
  <c r="W288" i="115"/>
  <c r="V288" i="115"/>
  <c r="U288" i="115"/>
  <c r="T288" i="115"/>
  <c r="S288" i="115"/>
  <c r="R288" i="115"/>
  <c r="Q288" i="115"/>
  <c r="P288" i="115"/>
  <c r="O288" i="115"/>
  <c r="N288" i="115"/>
  <c r="M288" i="115"/>
  <c r="L288" i="115"/>
  <c r="K288" i="115"/>
  <c r="J288" i="115"/>
  <c r="I288" i="115"/>
  <c r="H288" i="115"/>
  <c r="G288" i="115"/>
  <c r="F288" i="115"/>
  <c r="E288" i="115"/>
  <c r="D288" i="115"/>
  <c r="C288" i="115"/>
  <c r="B275" i="115"/>
  <c r="B274" i="115"/>
  <c r="B273" i="115" s="1"/>
  <c r="B253" i="115"/>
  <c r="AH252" i="115"/>
  <c r="AH250" i="115"/>
  <c r="AG244" i="115"/>
  <c r="AF244" i="115"/>
  <c r="AE244" i="115"/>
  <c r="AD244" i="115"/>
  <c r="AC244" i="115"/>
  <c r="AB244" i="115"/>
  <c r="AA244" i="115"/>
  <c r="Z244" i="115"/>
  <c r="Y244" i="115"/>
  <c r="X244" i="115"/>
  <c r="W244" i="115"/>
  <c r="V244" i="115"/>
  <c r="U244" i="115"/>
  <c r="T244" i="115"/>
  <c r="S244" i="115"/>
  <c r="R244" i="115"/>
  <c r="Q244" i="115"/>
  <c r="P244" i="115"/>
  <c r="O244" i="115"/>
  <c r="N244" i="115"/>
  <c r="M244" i="115"/>
  <c r="L244" i="115"/>
  <c r="K244" i="115"/>
  <c r="J244" i="115"/>
  <c r="I244" i="115"/>
  <c r="H244" i="115"/>
  <c r="G244" i="115"/>
  <c r="F244" i="115"/>
  <c r="E244" i="115"/>
  <c r="D244" i="115"/>
  <c r="C244" i="115"/>
  <c r="AG243" i="115"/>
  <c r="AF243" i="115"/>
  <c r="AE243" i="115"/>
  <c r="AD243" i="115"/>
  <c r="AC243" i="115"/>
  <c r="AB243" i="115"/>
  <c r="AA243" i="115"/>
  <c r="Z243" i="115"/>
  <c r="Y243" i="115"/>
  <c r="X243" i="115"/>
  <c r="W243" i="115"/>
  <c r="V243" i="115"/>
  <c r="U243" i="115"/>
  <c r="T243" i="115"/>
  <c r="S243" i="115"/>
  <c r="R243" i="115"/>
  <c r="Q243" i="115"/>
  <c r="P243" i="115"/>
  <c r="O243" i="115"/>
  <c r="N243" i="115"/>
  <c r="M243" i="115"/>
  <c r="L243" i="115"/>
  <c r="K243" i="115"/>
  <c r="J243" i="115"/>
  <c r="I243" i="115"/>
  <c r="H243" i="115"/>
  <c r="G243" i="115"/>
  <c r="F243" i="115"/>
  <c r="E243" i="115"/>
  <c r="D243" i="115"/>
  <c r="C243" i="115"/>
  <c r="AH234" i="115"/>
  <c r="AG232" i="115"/>
  <c r="AF232" i="115"/>
  <c r="AE232" i="115"/>
  <c r="AD232" i="115"/>
  <c r="AD237" i="115" s="1"/>
  <c r="AC232" i="115"/>
  <c r="AC237" i="115" s="1"/>
  <c r="AB232" i="115"/>
  <c r="AA232" i="115"/>
  <c r="Z232" i="115"/>
  <c r="Z237" i="115" s="1"/>
  <c r="Y232" i="115"/>
  <c r="Y237" i="115" s="1"/>
  <c r="X232" i="115"/>
  <c r="W232" i="115"/>
  <c r="V232" i="115"/>
  <c r="V237" i="115" s="1"/>
  <c r="U232" i="115"/>
  <c r="U237" i="115" s="1"/>
  <c r="T232" i="115"/>
  <c r="S232" i="115"/>
  <c r="R232" i="115"/>
  <c r="R237" i="115" s="1"/>
  <c r="Q232" i="115"/>
  <c r="Q237" i="115" s="1"/>
  <c r="P232" i="115"/>
  <c r="P237" i="115" s="1"/>
  <c r="O232" i="115"/>
  <c r="N232" i="115"/>
  <c r="M232" i="115"/>
  <c r="M237" i="115" s="1"/>
  <c r="L232" i="115"/>
  <c r="K232" i="115"/>
  <c r="J232" i="115"/>
  <c r="J237" i="115" s="1"/>
  <c r="I232" i="115"/>
  <c r="I237" i="115" s="1"/>
  <c r="H232" i="115"/>
  <c r="H237" i="115" s="1"/>
  <c r="G232" i="115"/>
  <c r="F232" i="115"/>
  <c r="F237" i="115" s="1"/>
  <c r="E232" i="115"/>
  <c r="E237" i="115" s="1"/>
  <c r="D232" i="115"/>
  <c r="C232" i="115"/>
  <c r="AH228" i="115"/>
  <c r="AH227" i="115"/>
  <c r="AH226" i="115"/>
  <c r="AH225" i="115"/>
  <c r="AG224" i="115"/>
  <c r="AF224" i="115"/>
  <c r="AE224" i="115"/>
  <c r="AD224" i="115"/>
  <c r="AC224" i="115"/>
  <c r="AB224" i="115"/>
  <c r="AA224" i="115"/>
  <c r="Z224" i="115"/>
  <c r="Y224" i="115"/>
  <c r="X224" i="115"/>
  <c r="W224" i="115"/>
  <c r="V224" i="115"/>
  <c r="U224" i="115"/>
  <c r="T224" i="115"/>
  <c r="S224" i="115"/>
  <c r="R224" i="115"/>
  <c r="Q224" i="115"/>
  <c r="P224" i="115"/>
  <c r="O224" i="115"/>
  <c r="N224" i="115"/>
  <c r="M224" i="115"/>
  <c r="L224" i="115"/>
  <c r="K224" i="115"/>
  <c r="J224" i="115"/>
  <c r="I224" i="115"/>
  <c r="H224" i="115"/>
  <c r="G224" i="115"/>
  <c r="F224" i="115"/>
  <c r="E224" i="115"/>
  <c r="D224" i="115"/>
  <c r="C224" i="115"/>
  <c r="B211" i="115"/>
  <c r="B210" i="115"/>
  <c r="B209" i="115" s="1"/>
  <c r="B190" i="115"/>
  <c r="AG181" i="115"/>
  <c r="AF181" i="115"/>
  <c r="AE181" i="115"/>
  <c r="AD181" i="115"/>
  <c r="AC181" i="115"/>
  <c r="AB181" i="115"/>
  <c r="AA181" i="115"/>
  <c r="Z181" i="115"/>
  <c r="Y181" i="115"/>
  <c r="X181" i="115"/>
  <c r="W181" i="115"/>
  <c r="V181" i="115"/>
  <c r="U181" i="115"/>
  <c r="T181" i="115"/>
  <c r="S181" i="115"/>
  <c r="R181" i="115"/>
  <c r="Q181" i="115"/>
  <c r="P181" i="115"/>
  <c r="O181" i="115"/>
  <c r="N181" i="115"/>
  <c r="M181" i="115"/>
  <c r="L181" i="115"/>
  <c r="K181" i="115"/>
  <c r="J181" i="115"/>
  <c r="I181" i="115"/>
  <c r="H181" i="115"/>
  <c r="G181" i="115"/>
  <c r="F181" i="115"/>
  <c r="E181" i="115"/>
  <c r="D181" i="115"/>
  <c r="C181" i="115"/>
  <c r="AG180" i="115"/>
  <c r="AF180" i="115"/>
  <c r="AE180" i="115"/>
  <c r="AD180" i="115"/>
  <c r="AC180" i="115"/>
  <c r="AB180" i="115"/>
  <c r="AA180" i="115"/>
  <c r="Z180" i="115"/>
  <c r="Y180" i="115"/>
  <c r="X180" i="115"/>
  <c r="W180" i="115"/>
  <c r="V180" i="115"/>
  <c r="U180" i="115"/>
  <c r="T180" i="115"/>
  <c r="S180" i="115"/>
  <c r="R180" i="115"/>
  <c r="Q180" i="115"/>
  <c r="P180" i="115"/>
  <c r="O180" i="115"/>
  <c r="N180" i="115"/>
  <c r="M180" i="115"/>
  <c r="L180" i="115"/>
  <c r="K180" i="115"/>
  <c r="J180" i="115"/>
  <c r="I180" i="115"/>
  <c r="H180" i="115"/>
  <c r="G180" i="115"/>
  <c r="F180" i="115"/>
  <c r="E180" i="115"/>
  <c r="D180" i="115"/>
  <c r="C180" i="115"/>
  <c r="V174" i="115"/>
  <c r="AG169" i="115"/>
  <c r="AG174" i="115" s="1"/>
  <c r="AF169" i="115"/>
  <c r="AE169" i="115"/>
  <c r="AE174" i="115" s="1"/>
  <c r="AD169" i="115"/>
  <c r="AD174" i="115" s="1"/>
  <c r="AC169" i="115"/>
  <c r="AC174" i="115" s="1"/>
  <c r="AB169" i="115"/>
  <c r="AA169" i="115"/>
  <c r="AA174" i="115" s="1"/>
  <c r="Z169" i="115"/>
  <c r="Z174" i="115" s="1"/>
  <c r="Y169" i="115"/>
  <c r="Y174" i="115" s="1"/>
  <c r="X169" i="115"/>
  <c r="W169" i="115"/>
  <c r="W174" i="115" s="1"/>
  <c r="V169" i="115"/>
  <c r="U169" i="115"/>
  <c r="U174" i="115" s="1"/>
  <c r="T169" i="115"/>
  <c r="S169" i="115"/>
  <c r="S174" i="115" s="1"/>
  <c r="R169" i="115"/>
  <c r="R174" i="115" s="1"/>
  <c r="Q169" i="115"/>
  <c r="Q174" i="115" s="1"/>
  <c r="P169" i="115"/>
  <c r="O169" i="115"/>
  <c r="O174" i="115" s="1"/>
  <c r="N169" i="115"/>
  <c r="N174" i="115" s="1"/>
  <c r="M169" i="115"/>
  <c r="M174" i="115" s="1"/>
  <c r="L169" i="115"/>
  <c r="K169" i="115"/>
  <c r="K174" i="115" s="1"/>
  <c r="J169" i="115"/>
  <c r="I169" i="115"/>
  <c r="H169" i="115"/>
  <c r="G169" i="115"/>
  <c r="F169" i="115"/>
  <c r="F174" i="115" s="1"/>
  <c r="E169" i="115"/>
  <c r="D169" i="115"/>
  <c r="C169" i="115"/>
  <c r="C174" i="115" s="1"/>
  <c r="AH167" i="115"/>
  <c r="AH166" i="115"/>
  <c r="AH165" i="115"/>
  <c r="AH164" i="115"/>
  <c r="AH163" i="115"/>
  <c r="AH162" i="115"/>
  <c r="AH161" i="115"/>
  <c r="AH160" i="115"/>
  <c r="AG159" i="115"/>
  <c r="AF159" i="115"/>
  <c r="AE159" i="115"/>
  <c r="AD159" i="115"/>
  <c r="AC159" i="115"/>
  <c r="AB159" i="115"/>
  <c r="AA159" i="115"/>
  <c r="Z159" i="115"/>
  <c r="Y159" i="115"/>
  <c r="X159" i="115"/>
  <c r="W159" i="115"/>
  <c r="V159" i="115"/>
  <c r="U159" i="115"/>
  <c r="T159" i="115"/>
  <c r="S159" i="115"/>
  <c r="R159" i="115"/>
  <c r="Q159" i="115"/>
  <c r="P159" i="115"/>
  <c r="O159" i="115"/>
  <c r="N159" i="115"/>
  <c r="M159" i="115"/>
  <c r="L159" i="115"/>
  <c r="K159" i="115"/>
  <c r="J159" i="115"/>
  <c r="I159" i="115"/>
  <c r="H159" i="115"/>
  <c r="G159" i="115"/>
  <c r="F159" i="115"/>
  <c r="E159" i="115"/>
  <c r="D159" i="115"/>
  <c r="C159" i="115"/>
  <c r="B146" i="115"/>
  <c r="B145" i="115"/>
  <c r="AN111" i="115"/>
  <c r="AN93" i="115"/>
  <c r="AP93" i="115" s="1"/>
  <c r="C82" i="115"/>
  <c r="B29" i="115" s="1"/>
  <c r="B28" i="115" s="1"/>
  <c r="AH79" i="115"/>
  <c r="AH78" i="115"/>
  <c r="AH77" i="115"/>
  <c r="AG67" i="115"/>
  <c r="AD67" i="115"/>
  <c r="AC67" i="115"/>
  <c r="AA75" i="115"/>
  <c r="Z67" i="115"/>
  <c r="Y67" i="115"/>
  <c r="V67" i="115"/>
  <c r="U67" i="115"/>
  <c r="R67" i="115"/>
  <c r="Q67" i="115"/>
  <c r="O75" i="115"/>
  <c r="N67" i="115"/>
  <c r="M67" i="115"/>
  <c r="J67" i="115"/>
  <c r="I67" i="115"/>
  <c r="AG66" i="115"/>
  <c r="AD66" i="115"/>
  <c r="AC66" i="115"/>
  <c r="Z66" i="115"/>
  <c r="Y66" i="115"/>
  <c r="V66" i="115"/>
  <c r="U66" i="115"/>
  <c r="T66" i="115"/>
  <c r="R66" i="115"/>
  <c r="Q66" i="115"/>
  <c r="N66" i="115"/>
  <c r="M66" i="115"/>
  <c r="J66" i="115"/>
  <c r="I66" i="115"/>
  <c r="AF67" i="115"/>
  <c r="AE67" i="115"/>
  <c r="AB67" i="115"/>
  <c r="AA67" i="115"/>
  <c r="X67" i="115"/>
  <c r="W67" i="115"/>
  <c r="T67" i="115"/>
  <c r="S67" i="115"/>
  <c r="P67" i="115"/>
  <c r="O67" i="115"/>
  <c r="L67" i="115"/>
  <c r="K67" i="115"/>
  <c r="H67" i="115"/>
  <c r="G67" i="115"/>
  <c r="F67" i="115"/>
  <c r="E67" i="115"/>
  <c r="D67" i="115"/>
  <c r="C67" i="115"/>
  <c r="AF66" i="115"/>
  <c r="AE66" i="115"/>
  <c r="AB66" i="115"/>
  <c r="AA66" i="115"/>
  <c r="X66" i="115"/>
  <c r="W66" i="115"/>
  <c r="S66" i="115"/>
  <c r="P66" i="115"/>
  <c r="O66" i="115"/>
  <c r="L66" i="115"/>
  <c r="K66" i="115"/>
  <c r="H66" i="115"/>
  <c r="G66" i="115"/>
  <c r="F66" i="115"/>
  <c r="E66" i="115"/>
  <c r="D66" i="115"/>
  <c r="C66" i="115"/>
  <c r="AH65" i="115"/>
  <c r="AJ59" i="115"/>
  <c r="AJ60" i="115" s="1"/>
  <c r="AH58" i="115"/>
  <c r="AH57" i="115"/>
  <c r="AH56" i="115"/>
  <c r="AG55" i="115"/>
  <c r="AF55" i="115"/>
  <c r="AE55" i="115"/>
  <c r="AD55" i="115"/>
  <c r="AC55" i="115"/>
  <c r="AB55" i="115"/>
  <c r="AA55" i="115"/>
  <c r="Z55" i="115"/>
  <c r="Y55" i="115"/>
  <c r="X55" i="115"/>
  <c r="W55" i="115"/>
  <c r="V55" i="115"/>
  <c r="U55" i="115"/>
  <c r="T55" i="115"/>
  <c r="S55" i="115"/>
  <c r="R55" i="115"/>
  <c r="Q55" i="115"/>
  <c r="P55" i="115"/>
  <c r="O55" i="115"/>
  <c r="N55" i="115"/>
  <c r="M55" i="115"/>
  <c r="L55" i="115"/>
  <c r="K55" i="115"/>
  <c r="J55" i="115"/>
  <c r="I55" i="115"/>
  <c r="H55" i="115"/>
  <c r="G55" i="115"/>
  <c r="F55" i="115"/>
  <c r="E55" i="115"/>
  <c r="D55" i="115"/>
  <c r="C55" i="115"/>
  <c r="AH54" i="115"/>
  <c r="AH53" i="115"/>
  <c r="AH52" i="115"/>
  <c r="AH51" i="115"/>
  <c r="AH50" i="115"/>
  <c r="AH49" i="115"/>
  <c r="AH48" i="115"/>
  <c r="AH47" i="115"/>
  <c r="AH46" i="115"/>
  <c r="AH45" i="115"/>
  <c r="AH44" i="115"/>
  <c r="AG43" i="115"/>
  <c r="AF43" i="115"/>
  <c r="AE43" i="115"/>
  <c r="AD43" i="115"/>
  <c r="AC43" i="115"/>
  <c r="AB43" i="115"/>
  <c r="AA43" i="115"/>
  <c r="Z43" i="115"/>
  <c r="Y43" i="115"/>
  <c r="X43" i="115"/>
  <c r="W43" i="115"/>
  <c r="V43" i="115"/>
  <c r="U43" i="115"/>
  <c r="T43" i="115"/>
  <c r="S43" i="115"/>
  <c r="R43" i="115"/>
  <c r="Q43" i="115"/>
  <c r="P43" i="115"/>
  <c r="O43" i="115"/>
  <c r="N43" i="115"/>
  <c r="M43" i="115"/>
  <c r="L43" i="115"/>
  <c r="K43" i="115"/>
  <c r="J43" i="115"/>
  <c r="I43" i="115"/>
  <c r="H43" i="115"/>
  <c r="G43" i="115"/>
  <c r="F43" i="115"/>
  <c r="E43" i="115"/>
  <c r="D43" i="115"/>
  <c r="C43" i="115"/>
  <c r="AH42" i="115"/>
  <c r="AG13" i="115"/>
  <c r="AF13" i="115"/>
  <c r="AE13" i="115"/>
  <c r="AD13" i="115"/>
  <c r="AC13" i="115"/>
  <c r="AB13" i="115"/>
  <c r="AA13" i="115"/>
  <c r="Z13" i="115"/>
  <c r="Z10" i="115" s="1"/>
  <c r="Y13" i="115"/>
  <c r="X13" i="115"/>
  <c r="W13" i="115"/>
  <c r="V13" i="115"/>
  <c r="U13" i="115"/>
  <c r="T13" i="115"/>
  <c r="S13" i="115"/>
  <c r="R13" i="115"/>
  <c r="Q13" i="115"/>
  <c r="P13" i="115"/>
  <c r="O13" i="115"/>
  <c r="N13" i="115"/>
  <c r="M13" i="115"/>
  <c r="L13" i="115"/>
  <c r="K13" i="115"/>
  <c r="J13" i="115"/>
  <c r="J10" i="115" s="1"/>
  <c r="I13" i="115"/>
  <c r="H13" i="115"/>
  <c r="G13" i="115"/>
  <c r="F13" i="115"/>
  <c r="E13" i="115"/>
  <c r="D13" i="115"/>
  <c r="C13" i="115"/>
  <c r="AG12" i="115"/>
  <c r="AF12" i="115"/>
  <c r="AE12" i="115"/>
  <c r="AD12" i="115"/>
  <c r="AD10" i="115" s="1"/>
  <c r="AC12" i="115"/>
  <c r="AB12" i="115"/>
  <c r="AA12" i="115"/>
  <c r="Z12" i="115"/>
  <c r="Y12" i="115"/>
  <c r="X12" i="115"/>
  <c r="W12" i="115"/>
  <c r="V12" i="115"/>
  <c r="U12" i="115"/>
  <c r="T12" i="115"/>
  <c r="S12" i="115"/>
  <c r="R12" i="115"/>
  <c r="Q12" i="115"/>
  <c r="P12" i="115"/>
  <c r="O12" i="115"/>
  <c r="N12" i="115"/>
  <c r="N10" i="115" s="1"/>
  <c r="M12" i="115"/>
  <c r="L12" i="115"/>
  <c r="K12" i="115"/>
  <c r="J12" i="115"/>
  <c r="I12" i="115"/>
  <c r="H12" i="115"/>
  <c r="G12" i="115"/>
  <c r="F12" i="115"/>
  <c r="E12" i="115"/>
  <c r="D12" i="115"/>
  <c r="C12" i="115"/>
  <c r="AG11" i="115"/>
  <c r="AF11" i="115"/>
  <c r="AE11" i="115"/>
  <c r="AD11" i="115"/>
  <c r="AC11" i="115"/>
  <c r="AB11" i="115"/>
  <c r="AA11" i="115"/>
  <c r="Z11" i="115"/>
  <c r="Y11" i="115"/>
  <c r="X11" i="115"/>
  <c r="W11" i="115"/>
  <c r="V11" i="115"/>
  <c r="U11" i="115"/>
  <c r="T11" i="115"/>
  <c r="S11" i="115"/>
  <c r="R11" i="115"/>
  <c r="R10" i="115" s="1"/>
  <c r="Q11" i="115"/>
  <c r="P11" i="115"/>
  <c r="O11" i="115"/>
  <c r="N11" i="115"/>
  <c r="M11" i="115"/>
  <c r="L11" i="115"/>
  <c r="K11" i="115"/>
  <c r="J11" i="115"/>
  <c r="I11" i="115"/>
  <c r="H11" i="115"/>
  <c r="G11" i="115"/>
  <c r="F11" i="115"/>
  <c r="E11" i="115"/>
  <c r="D11" i="115"/>
  <c r="C11" i="115"/>
  <c r="V10" i="115"/>
  <c r="F10" i="115"/>
  <c r="D237" i="115" l="1"/>
  <c r="L237" i="115"/>
  <c r="B144" i="115"/>
  <c r="J174" i="115"/>
  <c r="C10" i="115"/>
  <c r="G10" i="115"/>
  <c r="K10" i="115"/>
  <c r="O10" i="115"/>
  <c r="S10" i="115"/>
  <c r="W10" i="115"/>
  <c r="AA10" i="115"/>
  <c r="AE10" i="115"/>
  <c r="D10" i="115"/>
  <c r="H10" i="115"/>
  <c r="L10" i="115"/>
  <c r="P10" i="115"/>
  <c r="T10" i="115"/>
  <c r="X10" i="115"/>
  <c r="AB10" i="115"/>
  <c r="AF10" i="115"/>
  <c r="E10" i="115"/>
  <c r="I10" i="115"/>
  <c r="M10" i="115"/>
  <c r="Q10" i="115"/>
  <c r="U10" i="115"/>
  <c r="Y10" i="115"/>
  <c r="AC10" i="115"/>
  <c r="AG10" i="115"/>
  <c r="D174" i="115"/>
  <c r="L174" i="115"/>
  <c r="P174" i="115"/>
  <c r="T174" i="115"/>
  <c r="X174" i="115"/>
  <c r="AF174" i="115"/>
  <c r="C237" i="115"/>
  <c r="S237" i="115"/>
  <c r="W237" i="115"/>
  <c r="AA237" i="115"/>
  <c r="AE237" i="115"/>
  <c r="D301" i="115"/>
  <c r="H301" i="115"/>
  <c r="L301" i="115"/>
  <c r="P301" i="115"/>
  <c r="X301" i="115"/>
  <c r="AB301" i="115"/>
  <c r="I174" i="115"/>
  <c r="Y60" i="115"/>
  <c r="AG60" i="115"/>
  <c r="AG237" i="115"/>
  <c r="AG301" i="115"/>
  <c r="AC60" i="115"/>
  <c r="AD60" i="115"/>
  <c r="H174" i="115"/>
  <c r="AB60" i="115"/>
  <c r="AF60" i="115"/>
  <c r="AE301" i="115"/>
  <c r="AB174" i="115"/>
  <c r="X60" i="115"/>
  <c r="Z60" i="115"/>
  <c r="W60" i="115"/>
  <c r="O60" i="115"/>
  <c r="S60" i="115"/>
  <c r="AA60" i="115"/>
  <c r="AE60" i="115"/>
  <c r="R60" i="115"/>
  <c r="V60" i="115"/>
  <c r="V301" i="115"/>
  <c r="U60" i="115"/>
  <c r="P60" i="115"/>
  <c r="Q60" i="115"/>
  <c r="T60" i="115"/>
  <c r="AF301" i="115"/>
  <c r="O301" i="115"/>
  <c r="E174" i="115"/>
  <c r="N60" i="115"/>
  <c r="N237" i="115"/>
  <c r="O237" i="115"/>
  <c r="G60" i="115"/>
  <c r="D60" i="115"/>
  <c r="L60" i="115"/>
  <c r="M60" i="115"/>
  <c r="AH288" i="115"/>
  <c r="T301" i="115"/>
  <c r="J60" i="115"/>
  <c r="K60" i="115"/>
  <c r="I60" i="115"/>
  <c r="AH159" i="115"/>
  <c r="G174" i="115"/>
  <c r="K237" i="115"/>
  <c r="L177" i="118"/>
  <c r="L184" i="118" s="1"/>
  <c r="K7" i="118"/>
  <c r="M304" i="118"/>
  <c r="M311" i="118" s="1"/>
  <c r="L9" i="118"/>
  <c r="M240" i="118"/>
  <c r="M247" i="118" s="1"/>
  <c r="L8" i="118"/>
  <c r="G237" i="115"/>
  <c r="AI45" i="115"/>
  <c r="H60" i="115"/>
  <c r="E60" i="115"/>
  <c r="AH43" i="115"/>
  <c r="F60" i="115"/>
  <c r="AH55" i="115"/>
  <c r="AH224" i="115"/>
  <c r="T237" i="115"/>
  <c r="X237" i="115"/>
  <c r="AB237" i="115"/>
  <c r="AF237" i="115"/>
  <c r="C60" i="115"/>
  <c r="AH74" i="115"/>
  <c r="AH75" i="115"/>
  <c r="AH10" i="115" l="1"/>
  <c r="N304" i="118"/>
  <c r="N311" i="118" s="1"/>
  <c r="M9" i="118"/>
  <c r="L7" i="118"/>
  <c r="M177" i="118"/>
  <c r="M184" i="118" s="1"/>
  <c r="N240" i="118"/>
  <c r="N247" i="118" s="1"/>
  <c r="M8" i="118"/>
  <c r="Q44" i="114"/>
  <c r="T45" i="114"/>
  <c r="G44" i="114"/>
  <c r="I44" i="114"/>
  <c r="C105" i="114"/>
  <c r="R44" i="114"/>
  <c r="M7" i="118" l="1"/>
  <c r="N177" i="118"/>
  <c r="N184" i="118" s="1"/>
  <c r="N8" i="118"/>
  <c r="O240" i="118"/>
  <c r="O247" i="118" s="1"/>
  <c r="O304" i="118"/>
  <c r="O311" i="118" s="1"/>
  <c r="N9" i="118"/>
  <c r="O44" i="114"/>
  <c r="P44" i="114"/>
  <c r="O177" i="118" l="1"/>
  <c r="O184" i="118" s="1"/>
  <c r="N7" i="118"/>
  <c r="O8" i="118"/>
  <c r="P240" i="118"/>
  <c r="P247" i="118" s="1"/>
  <c r="O9" i="118"/>
  <c r="P304" i="118"/>
  <c r="P311" i="118" s="1"/>
  <c r="G1003" i="41"/>
  <c r="G2235" i="41"/>
  <c r="G2234" i="41"/>
  <c r="G2233" i="41"/>
  <c r="G2232" i="41"/>
  <c r="G2231" i="41"/>
  <c r="G2230" i="41"/>
  <c r="G2229" i="41"/>
  <c r="G2228" i="41"/>
  <c r="G2226" i="41"/>
  <c r="G2225" i="41"/>
  <c r="G2223" i="41"/>
  <c r="G2222" i="41"/>
  <c r="G2221" i="41"/>
  <c r="G2220" i="41"/>
  <c r="G2219" i="41"/>
  <c r="G2218" i="41"/>
  <c r="O45" i="114"/>
  <c r="Q45" i="114"/>
  <c r="C44" i="110"/>
  <c r="I26" i="57"/>
  <c r="AE55" i="27"/>
  <c r="AF44" i="110"/>
  <c r="I315" i="114"/>
  <c r="N45" i="114"/>
  <c r="L44" i="114"/>
  <c r="P45" i="114"/>
  <c r="Q304" i="118" l="1"/>
  <c r="Q311" i="118" s="1"/>
  <c r="P9" i="118"/>
  <c r="P177" i="118"/>
  <c r="P184" i="118" s="1"/>
  <c r="O7" i="118"/>
  <c r="Q240" i="118"/>
  <c r="Q247" i="118" s="1"/>
  <c r="P8" i="118"/>
  <c r="N11" i="113"/>
  <c r="N12" i="113"/>
  <c r="N13" i="113"/>
  <c r="N14" i="113"/>
  <c r="N15" i="113"/>
  <c r="N16" i="113"/>
  <c r="N17" i="113"/>
  <c r="N18" i="113"/>
  <c r="N19" i="113"/>
  <c r="N20" i="113"/>
  <c r="N21" i="113"/>
  <c r="N22" i="113"/>
  <c r="N23" i="113"/>
  <c r="N24" i="113"/>
  <c r="N25" i="113"/>
  <c r="N26" i="113"/>
  <c r="N27" i="113"/>
  <c r="N28" i="113"/>
  <c r="N29" i="113"/>
  <c r="N30" i="113"/>
  <c r="N31" i="113"/>
  <c r="N32" i="113"/>
  <c r="N33" i="113"/>
  <c r="N34" i="113"/>
  <c r="N35" i="113"/>
  <c r="N36" i="113"/>
  <c r="N37" i="113"/>
  <c r="N38" i="113"/>
  <c r="N39" i="113"/>
  <c r="X39" i="113"/>
  <c r="N40" i="113"/>
  <c r="Q8" i="118" l="1"/>
  <c r="R240" i="118"/>
  <c r="R247" i="118" s="1"/>
  <c r="R304" i="118"/>
  <c r="R311" i="118" s="1"/>
  <c r="Q9" i="118"/>
  <c r="P7" i="118"/>
  <c r="Q177" i="118"/>
  <c r="Q184" i="118" s="1"/>
  <c r="N10" i="113"/>
  <c r="Q7" i="118" l="1"/>
  <c r="R177" i="118"/>
  <c r="R184" i="118" s="1"/>
  <c r="R8" i="118"/>
  <c r="S240" i="118"/>
  <c r="S247" i="118" s="1"/>
  <c r="S304" i="118"/>
  <c r="S311" i="118" s="1"/>
  <c r="R9" i="118"/>
  <c r="M45" i="114"/>
  <c r="T240" i="118" l="1"/>
  <c r="T247" i="118" s="1"/>
  <c r="S8" i="118"/>
  <c r="S177" i="118"/>
  <c r="S184" i="118" s="1"/>
  <c r="R7" i="118"/>
  <c r="S9" i="118"/>
  <c r="T304" i="118"/>
  <c r="T311" i="118" s="1"/>
  <c r="Z48" i="110"/>
  <c r="U240" i="118" l="1"/>
  <c r="U247" i="118" s="1"/>
  <c r="T8" i="118"/>
  <c r="U304" i="118"/>
  <c r="U311" i="118" s="1"/>
  <c r="T9" i="118"/>
  <c r="T177" i="118"/>
  <c r="T184" i="118" s="1"/>
  <c r="S7" i="118"/>
  <c r="G1121" i="41"/>
  <c r="H44" i="114"/>
  <c r="T7" i="118" l="1"/>
  <c r="U177" i="118"/>
  <c r="U184" i="118" s="1"/>
  <c r="V304" i="118"/>
  <c r="V311" i="118" s="1"/>
  <c r="U9" i="118"/>
  <c r="V240" i="118"/>
  <c r="V247" i="118" s="1"/>
  <c r="U8" i="118"/>
  <c r="AI36" i="110"/>
  <c r="C102" i="110"/>
  <c r="AF51" i="110"/>
  <c r="V8" i="118" l="1"/>
  <c r="W240" i="118"/>
  <c r="W247" i="118" s="1"/>
  <c r="W304" i="118"/>
  <c r="W311" i="118" s="1"/>
  <c r="V9" i="118"/>
  <c r="U7" i="118"/>
  <c r="V177" i="118"/>
  <c r="V184" i="118" s="1"/>
  <c r="J45" i="114"/>
  <c r="O52" i="114"/>
  <c r="L52" i="114"/>
  <c r="AD44" i="110"/>
  <c r="W9" i="118" l="1"/>
  <c r="X304" i="118"/>
  <c r="X311" i="118" s="1"/>
  <c r="W177" i="118"/>
  <c r="W184" i="118" s="1"/>
  <c r="V7" i="118"/>
  <c r="X240" i="118"/>
  <c r="X247" i="118" s="1"/>
  <c r="W8" i="118"/>
  <c r="V44" i="110"/>
  <c r="Q44" i="110"/>
  <c r="X177" i="118" l="1"/>
  <c r="X184" i="118" s="1"/>
  <c r="W7" i="118"/>
  <c r="Y304" i="118"/>
  <c r="Y311" i="118" s="1"/>
  <c r="X9" i="118"/>
  <c r="Y240" i="118"/>
  <c r="Y247" i="118" s="1"/>
  <c r="X8" i="118"/>
  <c r="G45" i="114"/>
  <c r="H45" i="114"/>
  <c r="I45" i="114"/>
  <c r="E44" i="114"/>
  <c r="E44" i="110"/>
  <c r="D44" i="110"/>
  <c r="X7" i="118" l="1"/>
  <c r="Y177" i="118"/>
  <c r="Y184" i="118" s="1"/>
  <c r="Z304" i="118"/>
  <c r="Z311" i="118" s="1"/>
  <c r="Y9" i="118"/>
  <c r="Y8" i="118"/>
  <c r="Z240" i="118"/>
  <c r="Z247" i="118" s="1"/>
  <c r="Y7" i="118" l="1"/>
  <c r="Z177" i="118"/>
  <c r="Z184" i="118" s="1"/>
  <c r="Z8" i="118"/>
  <c r="AA240" i="118"/>
  <c r="AA247" i="118" s="1"/>
  <c r="AA304" i="118"/>
  <c r="AA311" i="118" s="1"/>
  <c r="Z9" i="118"/>
  <c r="Z44" i="110"/>
  <c r="AA44" i="110"/>
  <c r="AA45" i="110"/>
  <c r="AB48" i="110"/>
  <c r="AB240" i="118" l="1"/>
  <c r="AB247" i="118" s="1"/>
  <c r="AA8" i="118"/>
  <c r="AA177" i="118"/>
  <c r="AA184" i="118" s="1"/>
  <c r="Z7" i="118"/>
  <c r="AA9" i="118"/>
  <c r="AB304" i="118"/>
  <c r="AB311" i="118" s="1"/>
  <c r="V188" i="110"/>
  <c r="AC304" i="118" l="1"/>
  <c r="AC311" i="118" s="1"/>
  <c r="AB9" i="118"/>
  <c r="AB177" i="118"/>
  <c r="AB184" i="118" s="1"/>
  <c r="AA7" i="118"/>
  <c r="AC240" i="118"/>
  <c r="AC247" i="118" s="1"/>
  <c r="AB8" i="118"/>
  <c r="AC44" i="110"/>
  <c r="U44" i="110"/>
  <c r="AF53" i="110"/>
  <c r="AD240" i="118" l="1"/>
  <c r="AD247" i="118" s="1"/>
  <c r="AC8" i="118"/>
  <c r="AB7" i="118"/>
  <c r="AC177" i="118"/>
  <c r="AC184" i="118" s="1"/>
  <c r="AD304" i="118"/>
  <c r="AD311" i="118" s="1"/>
  <c r="AC9" i="118"/>
  <c r="AF45" i="110"/>
  <c r="AC7" i="118" l="1"/>
  <c r="AD177" i="118"/>
  <c r="AD184" i="118" s="1"/>
  <c r="AE304" i="118"/>
  <c r="AE311" i="118" s="1"/>
  <c r="AD9" i="118"/>
  <c r="AD8" i="118"/>
  <c r="AE240" i="118"/>
  <c r="AE247" i="118" s="1"/>
  <c r="AE45" i="110"/>
  <c r="AD45" i="110"/>
  <c r="AE177" i="118" l="1"/>
  <c r="AE184" i="118" s="1"/>
  <c r="AD7" i="118"/>
  <c r="AE9" i="118"/>
  <c r="AF304" i="118"/>
  <c r="AF311" i="118" s="1"/>
  <c r="AF240" i="118"/>
  <c r="AF247" i="118" s="1"/>
  <c r="AE8" i="118"/>
  <c r="AC45" i="110"/>
  <c r="G1060" i="41"/>
  <c r="AG304" i="118" l="1"/>
  <c r="AG311" i="118" s="1"/>
  <c r="AG9" i="118" s="1"/>
  <c r="AF9" i="118"/>
  <c r="AG240" i="118"/>
  <c r="AG247" i="118" s="1"/>
  <c r="AG8" i="118" s="1"/>
  <c r="AF8" i="118"/>
  <c r="AF177" i="118"/>
  <c r="AF184" i="118" s="1"/>
  <c r="AE7" i="118"/>
  <c r="AB45" i="110"/>
  <c r="AA43" i="110"/>
  <c r="AA53" i="110"/>
  <c r="V53" i="110"/>
  <c r="AF43" i="110"/>
  <c r="V43" i="110"/>
  <c r="U43" i="110"/>
  <c r="E43" i="110"/>
  <c r="F43" i="110"/>
  <c r="H43" i="110"/>
  <c r="I43" i="110"/>
  <c r="J43" i="110"/>
  <c r="K43" i="110"/>
  <c r="L43" i="110"/>
  <c r="M43" i="110"/>
  <c r="N43" i="110"/>
  <c r="O43" i="110"/>
  <c r="P43" i="110"/>
  <c r="Q43" i="110"/>
  <c r="R43" i="110"/>
  <c r="S43" i="110"/>
  <c r="T43" i="110"/>
  <c r="X43" i="110"/>
  <c r="AB43" i="110"/>
  <c r="AC43" i="110"/>
  <c r="AD43" i="110"/>
  <c r="AG43" i="110"/>
  <c r="C43" i="110"/>
  <c r="AF52" i="110"/>
  <c r="AB52" i="110"/>
  <c r="AA52" i="110"/>
  <c r="Z45" i="110"/>
  <c r="Z43" i="110" s="1"/>
  <c r="Y45" i="110"/>
  <c r="V52" i="110"/>
  <c r="V45" i="110"/>
  <c r="AE52" i="110"/>
  <c r="AE43" i="110" s="1"/>
  <c r="T45" i="110"/>
  <c r="Q45" i="110"/>
  <c r="Y44" i="110"/>
  <c r="Y43" i="110" s="1"/>
  <c r="W44" i="110"/>
  <c r="W43" i="110" s="1"/>
  <c r="Z50" i="110"/>
  <c r="X45" i="110"/>
  <c r="W45" i="110"/>
  <c r="G979" i="41"/>
  <c r="G1008" i="41"/>
  <c r="AF7" i="118" l="1"/>
  <c r="AG177" i="118"/>
  <c r="AG184" i="118" s="1"/>
  <c r="AG7" i="118" s="1"/>
  <c r="D67" i="114"/>
  <c r="E67" i="114"/>
  <c r="C67" i="114"/>
  <c r="D66" i="114"/>
  <c r="E66" i="114"/>
  <c r="C66" i="114"/>
  <c r="G67" i="114"/>
  <c r="K67" i="114"/>
  <c r="O67" i="114"/>
  <c r="S67" i="114"/>
  <c r="W67" i="114"/>
  <c r="Z67" i="114"/>
  <c r="AA67" i="114"/>
  <c r="AE67" i="114"/>
  <c r="F67" i="114"/>
  <c r="AG66" i="114"/>
  <c r="G66" i="114"/>
  <c r="K66" i="114"/>
  <c r="O66" i="114"/>
  <c r="S66" i="114"/>
  <c r="V66" i="114"/>
  <c r="W66" i="114"/>
  <c r="AA66" i="114"/>
  <c r="AD66" i="114"/>
  <c r="AE66" i="114"/>
  <c r="F66" i="114"/>
  <c r="B317" i="114"/>
  <c r="AH314" i="114"/>
  <c r="AG308" i="114"/>
  <c r="AF308" i="114"/>
  <c r="AE308" i="114"/>
  <c r="AD308" i="114"/>
  <c r="AC308" i="114"/>
  <c r="AB308" i="114"/>
  <c r="AA308" i="114"/>
  <c r="Z308" i="114"/>
  <c r="Y308" i="114"/>
  <c r="X308" i="114"/>
  <c r="W308" i="114"/>
  <c r="V308" i="114"/>
  <c r="U308" i="114"/>
  <c r="T308" i="114"/>
  <c r="S308" i="114"/>
  <c r="R308" i="114"/>
  <c r="Q308" i="114"/>
  <c r="P308" i="114"/>
  <c r="O308" i="114"/>
  <c r="N308" i="114"/>
  <c r="M308" i="114"/>
  <c r="L308" i="114"/>
  <c r="K308" i="114"/>
  <c r="J308" i="114"/>
  <c r="I308" i="114"/>
  <c r="H308" i="114"/>
  <c r="G308" i="114"/>
  <c r="F308" i="114"/>
  <c r="E308" i="114"/>
  <c r="D308" i="114"/>
  <c r="C308" i="114"/>
  <c r="AG307" i="114"/>
  <c r="AF307" i="114"/>
  <c r="AE307" i="114"/>
  <c r="AD307" i="114"/>
  <c r="AC307" i="114"/>
  <c r="AB307" i="114"/>
  <c r="AA307" i="114"/>
  <c r="Z307" i="114"/>
  <c r="Y307" i="114"/>
  <c r="X307" i="114"/>
  <c r="W307" i="114"/>
  <c r="V307" i="114"/>
  <c r="U307" i="114"/>
  <c r="T307" i="114"/>
  <c r="S307" i="114"/>
  <c r="R307" i="114"/>
  <c r="Q307" i="114"/>
  <c r="P307" i="114"/>
  <c r="O307" i="114"/>
  <c r="N307" i="114"/>
  <c r="M307" i="114"/>
  <c r="L307" i="114"/>
  <c r="K307" i="114"/>
  <c r="J307" i="114"/>
  <c r="I307" i="114"/>
  <c r="H307" i="114"/>
  <c r="G307" i="114"/>
  <c r="F307" i="114"/>
  <c r="E307" i="114"/>
  <c r="D307" i="114"/>
  <c r="C307" i="114"/>
  <c r="AH298" i="114"/>
  <c r="AG296" i="114"/>
  <c r="AF296" i="114"/>
  <c r="AE296" i="114"/>
  <c r="AD296" i="114"/>
  <c r="AC296" i="114"/>
  <c r="AB296" i="114"/>
  <c r="AA296" i="114"/>
  <c r="Z296" i="114"/>
  <c r="Y296" i="114"/>
  <c r="X296" i="114"/>
  <c r="W296" i="114"/>
  <c r="V296" i="114"/>
  <c r="U296" i="114"/>
  <c r="T296" i="114"/>
  <c r="S296" i="114"/>
  <c r="R296" i="114"/>
  <c r="Q296" i="114"/>
  <c r="P296" i="114"/>
  <c r="O296" i="114"/>
  <c r="N296" i="114"/>
  <c r="M296" i="114"/>
  <c r="L296" i="114"/>
  <c r="K296" i="114"/>
  <c r="J296" i="114"/>
  <c r="I296" i="114"/>
  <c r="H296" i="114"/>
  <c r="H301" i="114" s="1"/>
  <c r="G296" i="114"/>
  <c r="F296" i="114"/>
  <c r="E296" i="114"/>
  <c r="D296" i="114"/>
  <c r="C296" i="114"/>
  <c r="C293" i="114"/>
  <c r="C288" i="114" s="1"/>
  <c r="AH292" i="114"/>
  <c r="AH291" i="114"/>
  <c r="AH290" i="114"/>
  <c r="AH289" i="114"/>
  <c r="AG288" i="114"/>
  <c r="AF288" i="114"/>
  <c r="AF301" i="114" s="1"/>
  <c r="AE288" i="114"/>
  <c r="AD288" i="114"/>
  <c r="AC288" i="114"/>
  <c r="AB288" i="114"/>
  <c r="AA288" i="114"/>
  <c r="Z288" i="114"/>
  <c r="Y288" i="114"/>
  <c r="X288" i="114"/>
  <c r="X301" i="114" s="1"/>
  <c r="W288" i="114"/>
  <c r="V288" i="114"/>
  <c r="U288" i="114"/>
  <c r="T288" i="114"/>
  <c r="S288" i="114"/>
  <c r="R288" i="114"/>
  <c r="Q288" i="114"/>
  <c r="P288" i="114"/>
  <c r="P301" i="114" s="1"/>
  <c r="O288" i="114"/>
  <c r="N288" i="114"/>
  <c r="M288" i="114"/>
  <c r="L288" i="114"/>
  <c r="K288" i="114"/>
  <c r="J288" i="114"/>
  <c r="I288" i="114"/>
  <c r="H288" i="114"/>
  <c r="G288" i="114"/>
  <c r="F288" i="114"/>
  <c r="E288" i="114"/>
  <c r="D288" i="114"/>
  <c r="B275" i="114"/>
  <c r="B274" i="114"/>
  <c r="B253" i="114"/>
  <c r="AH252" i="114"/>
  <c r="AH250" i="114"/>
  <c r="AG244" i="114"/>
  <c r="AF244" i="114"/>
  <c r="AE244" i="114"/>
  <c r="AD244" i="114"/>
  <c r="AC244" i="114"/>
  <c r="AB244" i="114"/>
  <c r="AA244" i="114"/>
  <c r="Z244" i="114"/>
  <c r="Y244" i="114"/>
  <c r="X244" i="114"/>
  <c r="W244" i="114"/>
  <c r="V244" i="114"/>
  <c r="U244" i="114"/>
  <c r="T244" i="114"/>
  <c r="S244" i="114"/>
  <c r="R244" i="114"/>
  <c r="Q244" i="114"/>
  <c r="P244" i="114"/>
  <c r="O244" i="114"/>
  <c r="N244" i="114"/>
  <c r="M244" i="114"/>
  <c r="L244" i="114"/>
  <c r="K244" i="114"/>
  <c r="J244" i="114"/>
  <c r="I244" i="114"/>
  <c r="H244" i="114"/>
  <c r="G244" i="114"/>
  <c r="F244" i="114"/>
  <c r="E244" i="114"/>
  <c r="D244" i="114"/>
  <c r="C244" i="114"/>
  <c r="AG243" i="114"/>
  <c r="AF243" i="114"/>
  <c r="AE243" i="114"/>
  <c r="AD243" i="114"/>
  <c r="AC243" i="114"/>
  <c r="AB243" i="114"/>
  <c r="AA243" i="114"/>
  <c r="Z243" i="114"/>
  <c r="Y243" i="114"/>
  <c r="X243" i="114"/>
  <c r="W243" i="114"/>
  <c r="V243" i="114"/>
  <c r="U243" i="114"/>
  <c r="T243" i="114"/>
  <c r="S243" i="114"/>
  <c r="R243" i="114"/>
  <c r="Q243" i="114"/>
  <c r="P243" i="114"/>
  <c r="O243" i="114"/>
  <c r="N243" i="114"/>
  <c r="M243" i="114"/>
  <c r="L243" i="114"/>
  <c r="K243" i="114"/>
  <c r="J243" i="114"/>
  <c r="I243" i="114"/>
  <c r="H243" i="114"/>
  <c r="G243" i="114"/>
  <c r="F243" i="114"/>
  <c r="E243" i="114"/>
  <c r="D243" i="114"/>
  <c r="C243" i="114"/>
  <c r="AH234" i="114"/>
  <c r="AG232" i="114"/>
  <c r="AF232" i="114"/>
  <c r="AE232" i="114"/>
  <c r="AD232" i="114"/>
  <c r="AC232" i="114"/>
  <c r="AB232" i="114"/>
  <c r="AA232" i="114"/>
  <c r="Z232" i="114"/>
  <c r="Y232" i="114"/>
  <c r="X232" i="114"/>
  <c r="W232" i="114"/>
  <c r="V232" i="114"/>
  <c r="U232" i="114"/>
  <c r="T232" i="114"/>
  <c r="S232" i="114"/>
  <c r="R232" i="114"/>
  <c r="Q232" i="114"/>
  <c r="P232" i="114"/>
  <c r="O232" i="114"/>
  <c r="N232" i="114"/>
  <c r="M232" i="114"/>
  <c r="L232" i="114"/>
  <c r="K232" i="114"/>
  <c r="J232" i="114"/>
  <c r="I232" i="114"/>
  <c r="H232" i="114"/>
  <c r="G232" i="114"/>
  <c r="F232" i="114"/>
  <c r="E232" i="114"/>
  <c r="D232" i="114"/>
  <c r="C232" i="114"/>
  <c r="AH228" i="114"/>
  <c r="AH227" i="114"/>
  <c r="AH226" i="114"/>
  <c r="AH225" i="114"/>
  <c r="AG224" i="114"/>
  <c r="AF224" i="114"/>
  <c r="AE224" i="114"/>
  <c r="AD224" i="114"/>
  <c r="AC224" i="114"/>
  <c r="AB224" i="114"/>
  <c r="AA224" i="114"/>
  <c r="Z224" i="114"/>
  <c r="Y224" i="114"/>
  <c r="X224" i="114"/>
  <c r="W224" i="114"/>
  <c r="V224" i="114"/>
  <c r="U224" i="114"/>
  <c r="T224" i="114"/>
  <c r="S224" i="114"/>
  <c r="R224" i="114"/>
  <c r="Q224" i="114"/>
  <c r="P224" i="114"/>
  <c r="O224" i="114"/>
  <c r="N224" i="114"/>
  <c r="M224" i="114"/>
  <c r="L224" i="114"/>
  <c r="K224" i="114"/>
  <c r="J224" i="114"/>
  <c r="I224" i="114"/>
  <c r="H224" i="114"/>
  <c r="G224" i="114"/>
  <c r="F224" i="114"/>
  <c r="E224" i="114"/>
  <c r="D224" i="114"/>
  <c r="C224" i="114"/>
  <c r="B211" i="114"/>
  <c r="B209" i="114" s="1"/>
  <c r="B210" i="114"/>
  <c r="B190" i="114"/>
  <c r="AG181" i="114"/>
  <c r="AF181" i="114"/>
  <c r="AE181" i="114"/>
  <c r="AD181" i="114"/>
  <c r="AC181" i="114"/>
  <c r="AB181" i="114"/>
  <c r="AA181" i="114"/>
  <c r="Z181" i="114"/>
  <c r="Y181" i="114"/>
  <c r="X181" i="114"/>
  <c r="W181" i="114"/>
  <c r="V181" i="114"/>
  <c r="U181" i="114"/>
  <c r="T181" i="114"/>
  <c r="S181" i="114"/>
  <c r="R181" i="114"/>
  <c r="Q181" i="114"/>
  <c r="P181" i="114"/>
  <c r="O181" i="114"/>
  <c r="N181" i="114"/>
  <c r="M181" i="114"/>
  <c r="L181" i="114"/>
  <c r="K181" i="114"/>
  <c r="J181" i="114"/>
  <c r="I181" i="114"/>
  <c r="H181" i="114"/>
  <c r="G181" i="114"/>
  <c r="F181" i="114"/>
  <c r="E181" i="114"/>
  <c r="D181" i="114"/>
  <c r="C181" i="114"/>
  <c r="AG180" i="114"/>
  <c r="AF180" i="114"/>
  <c r="AE180" i="114"/>
  <c r="AD180" i="114"/>
  <c r="AC180" i="114"/>
  <c r="AB180" i="114"/>
  <c r="AA180" i="114"/>
  <c r="Z180" i="114"/>
  <c r="Y180" i="114"/>
  <c r="X180" i="114"/>
  <c r="W180" i="114"/>
  <c r="V180" i="114"/>
  <c r="U180" i="114"/>
  <c r="T180" i="114"/>
  <c r="S180" i="114"/>
  <c r="R180" i="114"/>
  <c r="Q180" i="114"/>
  <c r="P180" i="114"/>
  <c r="O180" i="114"/>
  <c r="N180" i="114"/>
  <c r="M180" i="114"/>
  <c r="L180" i="114"/>
  <c r="K180" i="114"/>
  <c r="J180" i="114"/>
  <c r="I180" i="114"/>
  <c r="H180" i="114"/>
  <c r="G180" i="114"/>
  <c r="F180" i="114"/>
  <c r="E180" i="114"/>
  <c r="D180" i="114"/>
  <c r="C180" i="114"/>
  <c r="AG169" i="114"/>
  <c r="AF169" i="114"/>
  <c r="AF174" i="114" s="1"/>
  <c r="AE169" i="114"/>
  <c r="AD169" i="114"/>
  <c r="AC169" i="114"/>
  <c r="AB169" i="114"/>
  <c r="AA169" i="114"/>
  <c r="AA174" i="114" s="1"/>
  <c r="Z169" i="114"/>
  <c r="Y169" i="114"/>
  <c r="X169" i="114"/>
  <c r="X174" i="114" s="1"/>
  <c r="W169" i="114"/>
  <c r="V169" i="114"/>
  <c r="U169" i="114"/>
  <c r="T169" i="114"/>
  <c r="T174" i="114" s="1"/>
  <c r="S169" i="114"/>
  <c r="S174" i="114" s="1"/>
  <c r="R169" i="114"/>
  <c r="R174" i="114" s="1"/>
  <c r="Q169" i="114"/>
  <c r="P169" i="114"/>
  <c r="P174" i="114" s="1"/>
  <c r="O169" i="114"/>
  <c r="N169" i="114"/>
  <c r="M169" i="114"/>
  <c r="L169" i="114"/>
  <c r="L174" i="114" s="1"/>
  <c r="K169" i="114"/>
  <c r="K174" i="114" s="1"/>
  <c r="J169" i="114"/>
  <c r="I169" i="114"/>
  <c r="H169" i="114"/>
  <c r="H174" i="114" s="1"/>
  <c r="G169" i="114"/>
  <c r="F169" i="114"/>
  <c r="E169" i="114"/>
  <c r="D169" i="114"/>
  <c r="D174" i="114" s="1"/>
  <c r="C169" i="114"/>
  <c r="C174" i="114" s="1"/>
  <c r="AH167" i="114"/>
  <c r="AH166" i="114"/>
  <c r="AH165" i="114"/>
  <c r="AH164" i="114"/>
  <c r="AH163" i="114"/>
  <c r="AH162" i="114"/>
  <c r="AH161" i="114"/>
  <c r="AH160" i="114"/>
  <c r="AG159" i="114"/>
  <c r="AF159" i="114"/>
  <c r="AE159" i="114"/>
  <c r="AD159" i="114"/>
  <c r="AC159" i="114"/>
  <c r="AB159" i="114"/>
  <c r="AA159" i="114"/>
  <c r="Z159" i="114"/>
  <c r="Y159" i="114"/>
  <c r="X159" i="114"/>
  <c r="W159" i="114"/>
  <c r="V159" i="114"/>
  <c r="U159" i="114"/>
  <c r="T159" i="114"/>
  <c r="S159" i="114"/>
  <c r="R159" i="114"/>
  <c r="Q159" i="114"/>
  <c r="P159" i="114"/>
  <c r="O159" i="114"/>
  <c r="N159" i="114"/>
  <c r="M159" i="114"/>
  <c r="L159" i="114"/>
  <c r="K159" i="114"/>
  <c r="J159" i="114"/>
  <c r="I159" i="114"/>
  <c r="H159" i="114"/>
  <c r="G159" i="114"/>
  <c r="F159" i="114"/>
  <c r="E159" i="114"/>
  <c r="D159" i="114"/>
  <c r="C159" i="114"/>
  <c r="B146" i="114"/>
  <c r="B145" i="114"/>
  <c r="B144" i="114" s="1"/>
  <c r="AN93" i="114"/>
  <c r="AN111" i="114" s="1"/>
  <c r="C82" i="114"/>
  <c r="B29" i="114" s="1"/>
  <c r="B28" i="114" s="1"/>
  <c r="AH79" i="114"/>
  <c r="AH78" i="114"/>
  <c r="AH77" i="114"/>
  <c r="AD67" i="114"/>
  <c r="V67" i="114"/>
  <c r="Z66" i="114"/>
  <c r="AG67" i="114"/>
  <c r="AF67" i="114"/>
  <c r="AC67" i="114"/>
  <c r="AB67" i="114"/>
  <c r="Y67" i="114"/>
  <c r="X67" i="114"/>
  <c r="U67" i="114"/>
  <c r="T67" i="114"/>
  <c r="R67" i="114"/>
  <c r="Q67" i="114"/>
  <c r="P67" i="114"/>
  <c r="N67" i="114"/>
  <c r="M67" i="114"/>
  <c r="L67" i="114"/>
  <c r="J67" i="114"/>
  <c r="I67" i="114"/>
  <c r="H67" i="114"/>
  <c r="AF66" i="114"/>
  <c r="AC66" i="114"/>
  <c r="AB66" i="114"/>
  <c r="Y66" i="114"/>
  <c r="X66" i="114"/>
  <c r="U66" i="114"/>
  <c r="T66" i="114"/>
  <c r="R66" i="114"/>
  <c r="Q66" i="114"/>
  <c r="P66" i="114"/>
  <c r="N66" i="114"/>
  <c r="M66" i="114"/>
  <c r="L66" i="114"/>
  <c r="J66" i="114"/>
  <c r="I66" i="114"/>
  <c r="H66" i="114"/>
  <c r="AH65" i="114"/>
  <c r="AJ59" i="114"/>
  <c r="AJ60" i="114" s="1"/>
  <c r="AH58" i="114"/>
  <c r="AH57" i="114"/>
  <c r="AH56" i="114"/>
  <c r="AG55" i="114"/>
  <c r="AF55" i="114"/>
  <c r="AE55" i="114"/>
  <c r="AD55" i="114"/>
  <c r="AC55" i="114"/>
  <c r="AB55" i="114"/>
  <c r="AA55" i="114"/>
  <c r="Z55" i="114"/>
  <c r="Y55" i="114"/>
  <c r="X55" i="114"/>
  <c r="W55" i="114"/>
  <c r="V55" i="114"/>
  <c r="U55" i="114"/>
  <c r="T55" i="114"/>
  <c r="S55" i="114"/>
  <c r="R55" i="114"/>
  <c r="Q55" i="114"/>
  <c r="P55" i="114"/>
  <c r="O55" i="114"/>
  <c r="N55" i="114"/>
  <c r="M55" i="114"/>
  <c r="L55" i="114"/>
  <c r="K55" i="114"/>
  <c r="J55" i="114"/>
  <c r="I55" i="114"/>
  <c r="H55" i="114"/>
  <c r="G55" i="114"/>
  <c r="F55" i="114"/>
  <c r="E55" i="114"/>
  <c r="D55" i="114"/>
  <c r="C55" i="114"/>
  <c r="AH54" i="114"/>
  <c r="AH53" i="114"/>
  <c r="AH52" i="114"/>
  <c r="AH51" i="114"/>
  <c r="AH50" i="114"/>
  <c r="AH49" i="114"/>
  <c r="AH48" i="114"/>
  <c r="AH47" i="114"/>
  <c r="AH46" i="114"/>
  <c r="AE43" i="114"/>
  <c r="AA43" i="114"/>
  <c r="Z43" i="114"/>
  <c r="T43" i="114"/>
  <c r="AF43" i="114"/>
  <c r="X43" i="114"/>
  <c r="W43" i="114"/>
  <c r="Q43" i="114"/>
  <c r="AG43" i="114"/>
  <c r="AD43" i="114"/>
  <c r="AC43" i="114"/>
  <c r="AB43" i="114"/>
  <c r="Y43" i="114"/>
  <c r="V43" i="114"/>
  <c r="U43" i="114"/>
  <c r="S43" i="114"/>
  <c r="R43" i="114"/>
  <c r="P43" i="114"/>
  <c r="O43" i="114"/>
  <c r="N43" i="114"/>
  <c r="M43" i="114"/>
  <c r="L43" i="114"/>
  <c r="K43" i="114"/>
  <c r="J43" i="114"/>
  <c r="I43" i="114"/>
  <c r="H43" i="114"/>
  <c r="G43" i="114"/>
  <c r="F43" i="114"/>
  <c r="E43" i="114"/>
  <c r="D43" i="114"/>
  <c r="C43" i="114"/>
  <c r="AH42" i="114"/>
  <c r="AG13" i="114"/>
  <c r="AF13" i="114"/>
  <c r="AE13" i="114"/>
  <c r="AD13" i="114"/>
  <c r="AC13" i="114"/>
  <c r="AB13" i="114"/>
  <c r="AA13" i="114"/>
  <c r="Z13" i="114"/>
  <c r="Y13" i="114"/>
  <c r="X13" i="114"/>
  <c r="W13" i="114"/>
  <c r="V13" i="114"/>
  <c r="U13" i="114"/>
  <c r="T13" i="114"/>
  <c r="S13" i="114"/>
  <c r="R13" i="114"/>
  <c r="Q13" i="114"/>
  <c r="P13" i="114"/>
  <c r="O13" i="114"/>
  <c r="N13" i="114"/>
  <c r="M13" i="114"/>
  <c r="L13" i="114"/>
  <c r="K13" i="114"/>
  <c r="J13" i="114"/>
  <c r="I13" i="114"/>
  <c r="H13" i="114"/>
  <c r="G13" i="114"/>
  <c r="F13" i="114"/>
  <c r="E13" i="114"/>
  <c r="D13" i="114"/>
  <c r="C13" i="114"/>
  <c r="AG12" i="114"/>
  <c r="AF12" i="114"/>
  <c r="AE12" i="114"/>
  <c r="AD12" i="114"/>
  <c r="AC12" i="114"/>
  <c r="AB12" i="114"/>
  <c r="AA12" i="114"/>
  <c r="Z12" i="114"/>
  <c r="Y12" i="114"/>
  <c r="X12" i="114"/>
  <c r="W12" i="114"/>
  <c r="V12" i="114"/>
  <c r="U12" i="114"/>
  <c r="T12" i="114"/>
  <c r="S12" i="114"/>
  <c r="R12" i="114"/>
  <c r="Q12" i="114"/>
  <c r="P12" i="114"/>
  <c r="O12" i="114"/>
  <c r="N12" i="114"/>
  <c r="M12" i="114"/>
  <c r="L12" i="114"/>
  <c r="K12" i="114"/>
  <c r="J12" i="114"/>
  <c r="I12" i="114"/>
  <c r="H12" i="114"/>
  <c r="G12" i="114"/>
  <c r="F12" i="114"/>
  <c r="E12" i="114"/>
  <c r="D12" i="114"/>
  <c r="C12" i="114"/>
  <c r="AG11" i="114"/>
  <c r="AF11" i="114"/>
  <c r="AE11" i="114"/>
  <c r="AD11" i="114"/>
  <c r="AC11" i="114"/>
  <c r="AB11" i="114"/>
  <c r="AA11" i="114"/>
  <c r="Z11" i="114"/>
  <c r="Y11" i="114"/>
  <c r="X11" i="114"/>
  <c r="W11" i="114"/>
  <c r="V11" i="114"/>
  <c r="U11" i="114"/>
  <c r="T11" i="114"/>
  <c r="S11" i="114"/>
  <c r="R11" i="114"/>
  <c r="Q11" i="114"/>
  <c r="P11" i="114"/>
  <c r="O11" i="114"/>
  <c r="N11" i="114"/>
  <c r="M11" i="114"/>
  <c r="L11" i="114"/>
  <c r="K11" i="114"/>
  <c r="J11" i="114"/>
  <c r="I11" i="114"/>
  <c r="H11" i="114"/>
  <c r="G11" i="114"/>
  <c r="F11" i="114"/>
  <c r="E11" i="114"/>
  <c r="D11" i="114"/>
  <c r="C11" i="114"/>
  <c r="N52" i="113"/>
  <c r="I52" i="113"/>
  <c r="W48" i="113"/>
  <c r="N48" i="113"/>
  <c r="I48" i="113"/>
  <c r="N45" i="113"/>
  <c r="W43" i="113"/>
  <c r="S43" i="113"/>
  <c r="R43" i="113"/>
  <c r="Q43" i="113"/>
  <c r="P43" i="113"/>
  <c r="O43" i="113"/>
  <c r="M43" i="113"/>
  <c r="L43" i="113"/>
  <c r="K43" i="113"/>
  <c r="J43" i="113"/>
  <c r="G43" i="113"/>
  <c r="F43" i="113"/>
  <c r="D43" i="113"/>
  <c r="C43" i="113"/>
  <c r="N41" i="113"/>
  <c r="I41" i="113"/>
  <c r="I40" i="113"/>
  <c r="I39" i="113"/>
  <c r="I38" i="113"/>
  <c r="I37" i="113"/>
  <c r="I36" i="113"/>
  <c r="I35" i="113"/>
  <c r="I34" i="113"/>
  <c r="I33" i="113"/>
  <c r="I32" i="113"/>
  <c r="I31" i="113"/>
  <c r="I30" i="113"/>
  <c r="I29" i="113"/>
  <c r="I28" i="113"/>
  <c r="I27" i="113"/>
  <c r="I26" i="113"/>
  <c r="I25" i="113"/>
  <c r="I24" i="113"/>
  <c r="I23" i="113"/>
  <c r="I22" i="113"/>
  <c r="I21" i="113"/>
  <c r="I20" i="113"/>
  <c r="I19" i="113"/>
  <c r="I18" i="113"/>
  <c r="I17" i="113"/>
  <c r="I16" i="113"/>
  <c r="I15" i="113"/>
  <c r="I14" i="113"/>
  <c r="I13" i="113"/>
  <c r="I12" i="113"/>
  <c r="I11" i="113"/>
  <c r="I10" i="113"/>
  <c r="D10" i="114" l="1"/>
  <c r="H10" i="114"/>
  <c r="L10" i="114"/>
  <c r="AP93" i="114"/>
  <c r="D237" i="114"/>
  <c r="H237" i="114"/>
  <c r="L237" i="114"/>
  <c r="P237" i="114"/>
  <c r="T237" i="114"/>
  <c r="X237" i="114"/>
  <c r="AB237" i="114"/>
  <c r="AF237" i="114"/>
  <c r="Q10" i="114"/>
  <c r="AG10" i="114"/>
  <c r="I174" i="114"/>
  <c r="M174" i="114"/>
  <c r="Q174" i="114"/>
  <c r="Y174" i="114"/>
  <c r="AC174" i="114"/>
  <c r="AG174" i="114"/>
  <c r="I237" i="114"/>
  <c r="Q237" i="114"/>
  <c r="Y237" i="114"/>
  <c r="AG237" i="114"/>
  <c r="Z174" i="114"/>
  <c r="U174" i="114"/>
  <c r="W46" i="113"/>
  <c r="X47" i="113" s="1"/>
  <c r="W41" i="113"/>
  <c r="X42" i="113" s="1"/>
  <c r="L60" i="114"/>
  <c r="D60" i="114"/>
  <c r="E174" i="114"/>
  <c r="AH159" i="114"/>
  <c r="N43" i="113"/>
  <c r="I43" i="113"/>
  <c r="J174" i="114"/>
  <c r="C301" i="114"/>
  <c r="S301" i="114"/>
  <c r="AE301" i="114"/>
  <c r="F301" i="114"/>
  <c r="J301" i="114"/>
  <c r="N301" i="114"/>
  <c r="V301" i="114"/>
  <c r="Z301" i="114"/>
  <c r="AD301" i="114"/>
  <c r="G301" i="114"/>
  <c r="O301" i="114"/>
  <c r="W301" i="114"/>
  <c r="AA301" i="114"/>
  <c r="D301" i="114"/>
  <c r="L301" i="114"/>
  <c r="T301" i="114"/>
  <c r="AB301" i="114"/>
  <c r="Y10" i="114"/>
  <c r="I10" i="114"/>
  <c r="F10" i="114"/>
  <c r="N10" i="114"/>
  <c r="V10" i="114"/>
  <c r="AD10" i="114"/>
  <c r="R301" i="114"/>
  <c r="K301" i="114"/>
  <c r="AH288" i="114"/>
  <c r="E10" i="114"/>
  <c r="M10" i="114"/>
  <c r="U10" i="114"/>
  <c r="AC10" i="114"/>
  <c r="C237" i="114"/>
  <c r="G237" i="114"/>
  <c r="K237" i="114"/>
  <c r="O237" i="114"/>
  <c r="S237" i="114"/>
  <c r="W237" i="114"/>
  <c r="AA237" i="114"/>
  <c r="AE237" i="114"/>
  <c r="F237" i="114"/>
  <c r="J237" i="114"/>
  <c r="N237" i="114"/>
  <c r="R237" i="114"/>
  <c r="V237" i="114"/>
  <c r="Z237" i="114"/>
  <c r="AD237" i="114"/>
  <c r="AB174" i="114"/>
  <c r="J10" i="114"/>
  <c r="R10" i="114"/>
  <c r="Z10" i="114"/>
  <c r="P10" i="114"/>
  <c r="T10" i="114"/>
  <c r="X10" i="114"/>
  <c r="AB10" i="114"/>
  <c r="AF10" i="114"/>
  <c r="AB60" i="114"/>
  <c r="T60" i="114"/>
  <c r="S60" i="114"/>
  <c r="AF60" i="114"/>
  <c r="AG60" i="114"/>
  <c r="C60" i="114"/>
  <c r="G60" i="114"/>
  <c r="K60" i="114"/>
  <c r="O60" i="114"/>
  <c r="H60" i="114"/>
  <c r="P60" i="114"/>
  <c r="X60" i="114"/>
  <c r="E60" i="114"/>
  <c r="I60" i="114"/>
  <c r="M60" i="114"/>
  <c r="U60" i="114"/>
  <c r="Y60" i="114"/>
  <c r="AC60" i="114"/>
  <c r="V60" i="114"/>
  <c r="AH43" i="114"/>
  <c r="Q60" i="114"/>
  <c r="N174" i="114"/>
  <c r="V174" i="114"/>
  <c r="J60" i="114"/>
  <c r="R60" i="114"/>
  <c r="AD60" i="114"/>
  <c r="G174" i="114"/>
  <c r="O174" i="114"/>
  <c r="W174" i="114"/>
  <c r="AE174" i="114"/>
  <c r="C10" i="114"/>
  <c r="G10" i="114"/>
  <c r="K10" i="114"/>
  <c r="O10" i="114"/>
  <c r="S10" i="114"/>
  <c r="W10" i="114"/>
  <c r="AA10" i="114"/>
  <c r="AE10" i="114"/>
  <c r="W60" i="114"/>
  <c r="AA60" i="114"/>
  <c r="AE60" i="114"/>
  <c r="F174" i="114"/>
  <c r="AD174" i="114"/>
  <c r="F60" i="114"/>
  <c r="N60" i="114"/>
  <c r="Z60" i="114"/>
  <c r="AH44" i="114"/>
  <c r="AH45" i="114"/>
  <c r="E237" i="114"/>
  <c r="M237" i="114"/>
  <c r="U237" i="114"/>
  <c r="AC237" i="114"/>
  <c r="AH55" i="114"/>
  <c r="AH224" i="114"/>
  <c r="B273" i="114"/>
  <c r="AH74" i="114"/>
  <c r="AH75" i="114"/>
  <c r="E301" i="114"/>
  <c r="I301" i="114"/>
  <c r="M301" i="114"/>
  <c r="Q301" i="114"/>
  <c r="U301" i="114"/>
  <c r="Y301" i="114"/>
  <c r="AC301" i="114"/>
  <c r="AG301" i="114"/>
  <c r="H43" i="113"/>
  <c r="AI45" i="114" l="1"/>
  <c r="AH10" i="114"/>
  <c r="AD44" i="27"/>
  <c r="G1007" i="41"/>
  <c r="H21" i="57" l="1"/>
  <c r="AC45" i="93"/>
  <c r="AC47" i="93"/>
  <c r="AG47" i="93" l="1"/>
  <c r="AG45" i="93"/>
  <c r="J39" i="112" l="1"/>
  <c r="J28" i="112"/>
  <c r="J22" i="112"/>
  <c r="J32" i="112" l="1"/>
  <c r="J30" i="112" s="1"/>
  <c r="J42" i="112"/>
  <c r="J49" i="112" s="1"/>
  <c r="J51" i="112" s="1"/>
  <c r="J53" i="112" s="1"/>
  <c r="J55" i="112" s="1"/>
  <c r="G44" i="110" l="1"/>
  <c r="G43" i="110" s="1"/>
  <c r="Z45" i="93" l="1"/>
  <c r="G1119" i="41" l="1"/>
  <c r="G1931" i="41"/>
  <c r="G1930" i="41"/>
  <c r="G1929" i="41"/>
  <c r="G1919" i="41"/>
  <c r="G1920" i="41" s="1"/>
  <c r="G1909" i="41"/>
  <c r="G1910" i="41" s="1"/>
  <c r="G1889" i="41"/>
  <c r="G1888" i="41"/>
  <c r="G1899" i="41"/>
  <c r="G1900" i="41" s="1"/>
  <c r="G1887" i="41"/>
  <c r="G1890" i="41" l="1"/>
  <c r="G1923" i="41" s="1"/>
  <c r="AF45" i="93" l="1"/>
  <c r="G1001" i="41" l="1"/>
  <c r="G32" i="57" l="1"/>
  <c r="AD62" i="27"/>
  <c r="AC62" i="27"/>
  <c r="H26" i="57"/>
  <c r="S26" i="57" s="1"/>
  <c r="AD55" i="27"/>
  <c r="C293" i="110" l="1"/>
  <c r="U291" i="93"/>
  <c r="I124" i="112" l="1"/>
  <c r="H124" i="112"/>
  <c r="G124" i="112"/>
  <c r="F124" i="112"/>
  <c r="E124" i="112"/>
  <c r="D124" i="112"/>
  <c r="C124" i="112"/>
  <c r="B124" i="112"/>
  <c r="I113" i="112"/>
  <c r="H113" i="112"/>
  <c r="G113" i="112"/>
  <c r="F113" i="112"/>
  <c r="E113" i="112"/>
  <c r="D113" i="112"/>
  <c r="C113" i="112"/>
  <c r="B113" i="112"/>
  <c r="I107" i="112"/>
  <c r="I117" i="112" s="1"/>
  <c r="H107" i="112"/>
  <c r="H117" i="112" s="1"/>
  <c r="G107" i="112"/>
  <c r="G117" i="112" s="1"/>
  <c r="F107" i="112"/>
  <c r="F117" i="112" s="1"/>
  <c r="E107" i="112"/>
  <c r="E117" i="112" s="1"/>
  <c r="D107" i="112"/>
  <c r="D117" i="112" s="1"/>
  <c r="C107" i="112"/>
  <c r="C117" i="112" s="1"/>
  <c r="B107" i="112"/>
  <c r="B117" i="112" s="1"/>
  <c r="I39" i="112"/>
  <c r="H39" i="112"/>
  <c r="G39" i="112"/>
  <c r="F39" i="112"/>
  <c r="E39" i="112"/>
  <c r="D39" i="112"/>
  <c r="C39" i="112"/>
  <c r="B39" i="112"/>
  <c r="I28" i="112"/>
  <c r="H28" i="112"/>
  <c r="G28" i="112"/>
  <c r="F28" i="112"/>
  <c r="E28" i="112"/>
  <c r="D28" i="112"/>
  <c r="C28" i="112"/>
  <c r="B28" i="112"/>
  <c r="I22" i="112"/>
  <c r="H22" i="112"/>
  <c r="H32" i="112" s="1"/>
  <c r="G22" i="112"/>
  <c r="G32" i="112" s="1"/>
  <c r="F22" i="112"/>
  <c r="F32" i="112" s="1"/>
  <c r="E22" i="112"/>
  <c r="E32" i="112" s="1"/>
  <c r="D22" i="112"/>
  <c r="D32" i="112" s="1"/>
  <c r="C22" i="112"/>
  <c r="C32" i="112" s="1"/>
  <c r="B22" i="112"/>
  <c r="B32" i="112" s="1"/>
  <c r="B30" i="112" s="1"/>
  <c r="I32" i="112" l="1"/>
  <c r="I42" i="112" s="1"/>
  <c r="I49" i="112" s="1"/>
  <c r="I51" i="112" s="1"/>
  <c r="C30" i="112"/>
  <c r="C42" i="112"/>
  <c r="C49" i="112" s="1"/>
  <c r="C53" i="112" s="1"/>
  <c r="C55" i="112" s="1"/>
  <c r="G42" i="112"/>
  <c r="G49" i="112" s="1"/>
  <c r="G53" i="112" s="1"/>
  <c r="G55" i="112" s="1"/>
  <c r="G30" i="112"/>
  <c r="C127" i="112"/>
  <c r="C134" i="112" s="1"/>
  <c r="C138" i="112" s="1"/>
  <c r="C115" i="112"/>
  <c r="G127" i="112"/>
  <c r="G134" i="112" s="1"/>
  <c r="G138" i="112" s="1"/>
  <c r="G115" i="112"/>
  <c r="D42" i="112"/>
  <c r="D49" i="112" s="1"/>
  <c r="D53" i="112" s="1"/>
  <c r="D55" i="112" s="1"/>
  <c r="D30" i="112"/>
  <c r="H42" i="112"/>
  <c r="H49" i="112" s="1"/>
  <c r="H53" i="112" s="1"/>
  <c r="H55" i="112" s="1"/>
  <c r="H30" i="112"/>
  <c r="D127" i="112"/>
  <c r="D134" i="112" s="1"/>
  <c r="D138" i="112" s="1"/>
  <c r="D115" i="112"/>
  <c r="H115" i="112"/>
  <c r="H127" i="112"/>
  <c r="H134" i="112" s="1"/>
  <c r="H138" i="112" s="1"/>
  <c r="E42" i="112"/>
  <c r="E49" i="112" s="1"/>
  <c r="E53" i="112" s="1"/>
  <c r="E55" i="112" s="1"/>
  <c r="E30" i="112"/>
  <c r="E127" i="112"/>
  <c r="E134" i="112" s="1"/>
  <c r="E138" i="112" s="1"/>
  <c r="E115" i="112"/>
  <c r="I127" i="112"/>
  <c r="I134" i="112" s="1"/>
  <c r="I115" i="112"/>
  <c r="B42" i="112"/>
  <c r="B49" i="112" s="1"/>
  <c r="B53" i="112" s="1"/>
  <c r="B55" i="112" s="1"/>
  <c r="F42" i="112"/>
  <c r="F49" i="112" s="1"/>
  <c r="F53" i="112" s="1"/>
  <c r="F55" i="112" s="1"/>
  <c r="F30" i="112"/>
  <c r="B127" i="112"/>
  <c r="B134" i="112" s="1"/>
  <c r="B138" i="112" s="1"/>
  <c r="B115" i="112"/>
  <c r="F127" i="112"/>
  <c r="F134" i="112" s="1"/>
  <c r="F138" i="112" s="1"/>
  <c r="F115" i="112"/>
  <c r="I30" i="112" l="1"/>
  <c r="I136" i="112"/>
  <c r="I138" i="112" s="1"/>
  <c r="I53" i="112"/>
  <c r="I55" i="112" s="1"/>
  <c r="AD45" i="93" l="1"/>
  <c r="AF47" i="93" l="1"/>
  <c r="D45" i="110" l="1"/>
  <c r="D43" i="110" s="1"/>
  <c r="J91" i="93" l="1"/>
  <c r="I90" i="93" l="1"/>
  <c r="I91" i="93"/>
  <c r="J96" i="93" l="1"/>
  <c r="J97" i="93" s="1"/>
  <c r="I92" i="93"/>
  <c r="G997" i="41" l="1"/>
  <c r="G999" i="41" l="1"/>
  <c r="AC315" i="90" l="1"/>
  <c r="B41" i="111"/>
  <c r="C24" i="111" l="1"/>
  <c r="C33" i="111" l="1"/>
  <c r="C25" i="111"/>
  <c r="B31" i="111"/>
  <c r="B24" i="111"/>
  <c r="B17" i="111"/>
  <c r="B15" i="111" s="1"/>
  <c r="C207" i="111"/>
  <c r="C200" i="111"/>
  <c r="C199" i="111"/>
  <c r="C198" i="111"/>
  <c r="B197" i="111"/>
  <c r="B203" i="111" s="1"/>
  <c r="C196" i="111"/>
  <c r="B195" i="111"/>
  <c r="C194" i="111"/>
  <c r="C193" i="111"/>
  <c r="B192" i="111"/>
  <c r="C191" i="111"/>
  <c r="C190" i="111"/>
  <c r="C189" i="111"/>
  <c r="C188" i="111"/>
  <c r="C187" i="111"/>
  <c r="H57" i="111"/>
  <c r="G57" i="111"/>
  <c r="F57" i="111"/>
  <c r="E57" i="111"/>
  <c r="D57" i="111"/>
  <c r="C57" i="111"/>
  <c r="H18" i="111" s="1"/>
  <c r="B57" i="111"/>
  <c r="F18" i="111" s="1"/>
  <c r="H41" i="111"/>
  <c r="H37" i="111" s="1"/>
  <c r="G41" i="111"/>
  <c r="G37" i="111" s="1"/>
  <c r="F41" i="111"/>
  <c r="F37" i="111" s="1"/>
  <c r="E41" i="111"/>
  <c r="E37" i="111" s="1"/>
  <c r="D41" i="111"/>
  <c r="D37" i="111" s="1"/>
  <c r="C41" i="111"/>
  <c r="C37" i="111" s="1"/>
  <c r="B37" i="111"/>
  <c r="E22" i="111"/>
  <c r="J22" i="111"/>
  <c r="N22" i="111"/>
  <c r="M22" i="111"/>
  <c r="M25" i="111" s="1"/>
  <c r="L22" i="111"/>
  <c r="L25" i="111" s="1"/>
  <c r="H22" i="111"/>
  <c r="G22" i="111"/>
  <c r="F22" i="111"/>
  <c r="D22" i="111"/>
  <c r="G18" i="111"/>
  <c r="D18" i="111"/>
  <c r="C18" i="111"/>
  <c r="K17" i="111"/>
  <c r="K8" i="111"/>
  <c r="K6" i="111"/>
  <c r="C197" i="111" l="1"/>
  <c r="B204" i="111"/>
  <c r="C203" i="111"/>
  <c r="D203" i="111" s="1"/>
  <c r="N23" i="111"/>
  <c r="C204" i="111"/>
  <c r="H51" i="111"/>
  <c r="M26" i="111"/>
  <c r="G51" i="111"/>
  <c r="M23" i="111"/>
  <c r="L26" i="111"/>
  <c r="F51" i="111"/>
  <c r="E51" i="111"/>
  <c r="J37" i="111"/>
  <c r="K37" i="111" s="1"/>
  <c r="I22" i="111"/>
  <c r="I25" i="111" s="1"/>
  <c r="B22" i="111"/>
  <c r="B51" i="111" s="1"/>
  <c r="B54" i="111" s="1"/>
  <c r="B56" i="111" s="1"/>
  <c r="C17" i="111" s="1"/>
  <c r="C15" i="111" s="1"/>
  <c r="D204" i="111"/>
  <c r="C205" i="111"/>
  <c r="J23" i="111"/>
  <c r="J25" i="111"/>
  <c r="J26" i="111" s="1"/>
  <c r="B205" i="111"/>
  <c r="B207" i="111" s="1"/>
  <c r="C22" i="111"/>
  <c r="C51" i="111" s="1"/>
  <c r="K22" i="111"/>
  <c r="L23" i="111"/>
  <c r="N25" i="111"/>
  <c r="N26" i="111" s="1"/>
  <c r="D51" i="111"/>
  <c r="C54" i="111" l="1"/>
  <c r="C56" i="111" s="1"/>
  <c r="D17" i="111" s="1"/>
  <c r="D15" i="111" s="1"/>
  <c r="D54" i="111" s="1"/>
  <c r="D56" i="111" s="1"/>
  <c r="E17" i="111" s="1"/>
  <c r="E15" i="111" s="1"/>
  <c r="E54" i="111" s="1"/>
  <c r="E56" i="111" s="1"/>
  <c r="F17" i="111" s="1"/>
  <c r="F15" i="111" s="1"/>
  <c r="F54" i="111" s="1"/>
  <c r="F56" i="111" s="1"/>
  <c r="G17" i="111" s="1"/>
  <c r="G15" i="111" s="1"/>
  <c r="G54" i="111" s="1"/>
  <c r="G56" i="111" s="1"/>
  <c r="H17" i="111" s="1"/>
  <c r="H15" i="111" s="1"/>
  <c r="H54" i="111" s="1"/>
  <c r="H56" i="111" s="1"/>
  <c r="I23" i="111"/>
  <c r="K23" i="111"/>
  <c r="K25" i="111"/>
  <c r="K26" i="111" s="1"/>
  <c r="I26" i="111"/>
  <c r="O22" i="111"/>
  <c r="AF74" i="110"/>
  <c r="N27" i="111" l="1"/>
  <c r="L37" i="111" s="1"/>
  <c r="M37" i="111" s="1"/>
  <c r="O25" i="111"/>
  <c r="K40" i="111" s="1"/>
  <c r="B317" i="110"/>
  <c r="AH314" i="110"/>
  <c r="AG308" i="110"/>
  <c r="AF308" i="110"/>
  <c r="AE308" i="110"/>
  <c r="AD308" i="110"/>
  <c r="AC308" i="110"/>
  <c r="AB308" i="110"/>
  <c r="AA308" i="110"/>
  <c r="Z308" i="110"/>
  <c r="Y308" i="110"/>
  <c r="X308" i="110"/>
  <c r="W308" i="110"/>
  <c r="V308" i="110"/>
  <c r="U308" i="110"/>
  <c r="T308" i="110"/>
  <c r="S308" i="110"/>
  <c r="R308" i="110"/>
  <c r="Q308" i="110"/>
  <c r="P308" i="110"/>
  <c r="O308" i="110"/>
  <c r="N308" i="110"/>
  <c r="M308" i="110"/>
  <c r="L308" i="110"/>
  <c r="K308" i="110"/>
  <c r="J308" i="110"/>
  <c r="I308" i="110"/>
  <c r="H308" i="110"/>
  <c r="G308" i="110"/>
  <c r="F308" i="110"/>
  <c r="E308" i="110"/>
  <c r="D308" i="110"/>
  <c r="C308" i="110"/>
  <c r="AG307" i="110"/>
  <c r="AF307" i="110"/>
  <c r="AE307" i="110"/>
  <c r="AD307" i="110"/>
  <c r="AC307" i="110"/>
  <c r="AB307" i="110"/>
  <c r="AA307" i="110"/>
  <c r="Z307" i="110"/>
  <c r="Y307" i="110"/>
  <c r="X307" i="110"/>
  <c r="W307" i="110"/>
  <c r="V307" i="110"/>
  <c r="U307" i="110"/>
  <c r="T307" i="110"/>
  <c r="S307" i="110"/>
  <c r="R307" i="110"/>
  <c r="Q307" i="110"/>
  <c r="P307" i="110"/>
  <c r="O307" i="110"/>
  <c r="N307" i="110"/>
  <c r="M307" i="110"/>
  <c r="L307" i="110"/>
  <c r="K307" i="110"/>
  <c r="J307" i="110"/>
  <c r="I307" i="110"/>
  <c r="H307" i="110"/>
  <c r="G307" i="110"/>
  <c r="F307" i="110"/>
  <c r="E307" i="110"/>
  <c r="D307" i="110"/>
  <c r="C307" i="110"/>
  <c r="AH298" i="110"/>
  <c r="AG296" i="110"/>
  <c r="AF296" i="110"/>
  <c r="AE296" i="110"/>
  <c r="AD296" i="110"/>
  <c r="AC296" i="110"/>
  <c r="AB296" i="110"/>
  <c r="AA296" i="110"/>
  <c r="Z296" i="110"/>
  <c r="Z301" i="110" s="1"/>
  <c r="Y296" i="110"/>
  <c r="X296" i="110"/>
  <c r="W296" i="110"/>
  <c r="V296" i="110"/>
  <c r="U296" i="110"/>
  <c r="T296" i="110"/>
  <c r="S296" i="110"/>
  <c r="R296" i="110"/>
  <c r="Q296" i="110"/>
  <c r="P296" i="110"/>
  <c r="O296" i="110"/>
  <c r="N296" i="110"/>
  <c r="M296" i="110"/>
  <c r="L296" i="110"/>
  <c r="K296" i="110"/>
  <c r="J296" i="110"/>
  <c r="J301" i="110" s="1"/>
  <c r="I296" i="110"/>
  <c r="H296" i="110"/>
  <c r="G296" i="110"/>
  <c r="F296" i="110"/>
  <c r="F301" i="110" s="1"/>
  <c r="E296" i="110"/>
  <c r="D296" i="110"/>
  <c r="C296" i="110"/>
  <c r="AH292" i="110"/>
  <c r="AH291" i="110"/>
  <c r="AH290" i="110"/>
  <c r="AH289" i="110"/>
  <c r="AG288" i="110"/>
  <c r="AF288" i="110"/>
  <c r="AE288" i="110"/>
  <c r="AD288" i="110"/>
  <c r="AC288" i="110"/>
  <c r="AB288" i="110"/>
  <c r="AA288" i="110"/>
  <c r="Z288" i="110"/>
  <c r="Y288" i="110"/>
  <c r="X288" i="110"/>
  <c r="W288" i="110"/>
  <c r="V288" i="110"/>
  <c r="U288" i="110"/>
  <c r="T288" i="110"/>
  <c r="S288" i="110"/>
  <c r="R288" i="110"/>
  <c r="Q288" i="110"/>
  <c r="P288" i="110"/>
  <c r="O288" i="110"/>
  <c r="N288" i="110"/>
  <c r="M288" i="110"/>
  <c r="L288" i="110"/>
  <c r="K288" i="110"/>
  <c r="J288" i="110"/>
  <c r="I288" i="110"/>
  <c r="H288" i="110"/>
  <c r="G288" i="110"/>
  <c r="F288" i="110"/>
  <c r="E288" i="110"/>
  <c r="D288" i="110"/>
  <c r="C288" i="110"/>
  <c r="B275" i="110"/>
  <c r="B274" i="110"/>
  <c r="B273" i="110" s="1"/>
  <c r="B253" i="110"/>
  <c r="AH252" i="110"/>
  <c r="AH250" i="110"/>
  <c r="AG244" i="110"/>
  <c r="AF244" i="110"/>
  <c r="AE244" i="110"/>
  <c r="AD244" i="110"/>
  <c r="AC244" i="110"/>
  <c r="AB244" i="110"/>
  <c r="AA244" i="110"/>
  <c r="Z244" i="110"/>
  <c r="Y244" i="110"/>
  <c r="X244" i="110"/>
  <c r="W244" i="110"/>
  <c r="V244" i="110"/>
  <c r="U244" i="110"/>
  <c r="T244" i="110"/>
  <c r="S244" i="110"/>
  <c r="R244" i="110"/>
  <c r="Q244" i="110"/>
  <c r="P244" i="110"/>
  <c r="O244" i="110"/>
  <c r="N244" i="110"/>
  <c r="M244" i="110"/>
  <c r="L244" i="110"/>
  <c r="K244" i="110"/>
  <c r="J244" i="110"/>
  <c r="I244" i="110"/>
  <c r="H244" i="110"/>
  <c r="G244" i="110"/>
  <c r="F244" i="110"/>
  <c r="E244" i="110"/>
  <c r="D244" i="110"/>
  <c r="C244" i="110"/>
  <c r="AG243" i="110"/>
  <c r="AF243" i="110"/>
  <c r="AE243" i="110"/>
  <c r="AD243" i="110"/>
  <c r="AC243" i="110"/>
  <c r="AB243" i="110"/>
  <c r="AA243" i="110"/>
  <c r="Z243" i="110"/>
  <c r="Y243" i="110"/>
  <c r="X243" i="110"/>
  <c r="W243" i="110"/>
  <c r="V243" i="110"/>
  <c r="U243" i="110"/>
  <c r="T243" i="110"/>
  <c r="S243" i="110"/>
  <c r="R243" i="110"/>
  <c r="Q243" i="110"/>
  <c r="P243" i="110"/>
  <c r="O243" i="110"/>
  <c r="N243" i="110"/>
  <c r="M243" i="110"/>
  <c r="L243" i="110"/>
  <c r="K243" i="110"/>
  <c r="J243" i="110"/>
  <c r="I243" i="110"/>
  <c r="H243" i="110"/>
  <c r="G243" i="110"/>
  <c r="F243" i="110"/>
  <c r="E243" i="110"/>
  <c r="D243" i="110"/>
  <c r="C243" i="110"/>
  <c r="AH234" i="110"/>
  <c r="AG232" i="110"/>
  <c r="AF232" i="110"/>
  <c r="AE232" i="110"/>
  <c r="AD232" i="110"/>
  <c r="AC232" i="110"/>
  <c r="AB232" i="110"/>
  <c r="AA232" i="110"/>
  <c r="Z232" i="110"/>
  <c r="Y232" i="110"/>
  <c r="X232" i="110"/>
  <c r="W232" i="110"/>
  <c r="V232" i="110"/>
  <c r="U232" i="110"/>
  <c r="T232" i="110"/>
  <c r="S232" i="110"/>
  <c r="R232" i="110"/>
  <c r="Q232" i="110"/>
  <c r="P232" i="110"/>
  <c r="O232" i="110"/>
  <c r="N232" i="110"/>
  <c r="M232" i="110"/>
  <c r="L232" i="110"/>
  <c r="K232" i="110"/>
  <c r="J232" i="110"/>
  <c r="I232" i="110"/>
  <c r="H232" i="110"/>
  <c r="G232" i="110"/>
  <c r="F232" i="110"/>
  <c r="E232" i="110"/>
  <c r="D232" i="110"/>
  <c r="C232" i="110"/>
  <c r="AH228" i="110"/>
  <c r="AH226" i="110"/>
  <c r="AH225" i="110"/>
  <c r="AG224" i="110"/>
  <c r="AF224" i="110"/>
  <c r="AE224" i="110"/>
  <c r="AD224" i="110"/>
  <c r="AC224" i="110"/>
  <c r="AB224" i="110"/>
  <c r="AA224" i="110"/>
  <c r="Z224" i="110"/>
  <c r="Y224" i="110"/>
  <c r="X224" i="110"/>
  <c r="W224" i="110"/>
  <c r="V224" i="110"/>
  <c r="U224" i="110"/>
  <c r="T224" i="110"/>
  <c r="S224" i="110"/>
  <c r="R224" i="110"/>
  <c r="Q224" i="110"/>
  <c r="P224" i="110"/>
  <c r="N224" i="110"/>
  <c r="M224" i="110"/>
  <c r="L224" i="110"/>
  <c r="K224" i="110"/>
  <c r="J224" i="110"/>
  <c r="I224" i="110"/>
  <c r="H224" i="110"/>
  <c r="G224" i="110"/>
  <c r="F224" i="110"/>
  <c r="E224" i="110"/>
  <c r="D224" i="110"/>
  <c r="C224" i="110"/>
  <c r="B211" i="110"/>
  <c r="B210" i="110"/>
  <c r="B209" i="110"/>
  <c r="B190" i="110"/>
  <c r="AG181" i="110"/>
  <c r="AF181" i="110"/>
  <c r="AE181" i="110"/>
  <c r="AD181" i="110"/>
  <c r="AC181" i="110"/>
  <c r="AB181" i="110"/>
  <c r="AA181" i="110"/>
  <c r="Z181" i="110"/>
  <c r="Y181" i="110"/>
  <c r="X181" i="110"/>
  <c r="W181" i="110"/>
  <c r="V181" i="110"/>
  <c r="U181" i="110"/>
  <c r="T181" i="110"/>
  <c r="S181" i="110"/>
  <c r="R181" i="110"/>
  <c r="Q181" i="110"/>
  <c r="P181" i="110"/>
  <c r="O181" i="110"/>
  <c r="N181" i="110"/>
  <c r="M181" i="110"/>
  <c r="L181" i="110"/>
  <c r="K181" i="110"/>
  <c r="J181" i="110"/>
  <c r="I181" i="110"/>
  <c r="H181" i="110"/>
  <c r="G181" i="110"/>
  <c r="F181" i="110"/>
  <c r="E181" i="110"/>
  <c r="D181" i="110"/>
  <c r="C181" i="110"/>
  <c r="AG180" i="110"/>
  <c r="AF180" i="110"/>
  <c r="AE180" i="110"/>
  <c r="AD180" i="110"/>
  <c r="AC180" i="110"/>
  <c r="AB180" i="110"/>
  <c r="AA180" i="110"/>
  <c r="Z180" i="110"/>
  <c r="Y180" i="110"/>
  <c r="X180" i="110"/>
  <c r="W180" i="110"/>
  <c r="V180" i="110"/>
  <c r="U180" i="110"/>
  <c r="T180" i="110"/>
  <c r="S180" i="110"/>
  <c r="R180" i="110"/>
  <c r="Q180" i="110"/>
  <c r="P180" i="110"/>
  <c r="O180" i="110"/>
  <c r="N180" i="110"/>
  <c r="M180" i="110"/>
  <c r="L180" i="110"/>
  <c r="K180" i="110"/>
  <c r="J180" i="110"/>
  <c r="I180" i="110"/>
  <c r="H180" i="110"/>
  <c r="G180" i="110"/>
  <c r="F180" i="110"/>
  <c r="E180" i="110"/>
  <c r="D180" i="110"/>
  <c r="C180" i="110"/>
  <c r="AH171" i="110"/>
  <c r="AG169" i="110"/>
  <c r="AF169" i="110"/>
  <c r="AE169" i="110"/>
  <c r="AD169" i="110"/>
  <c r="AC169" i="110"/>
  <c r="AB169" i="110"/>
  <c r="AA169" i="110"/>
  <c r="Z169" i="110"/>
  <c r="Y169" i="110"/>
  <c r="X169" i="110"/>
  <c r="W169" i="110"/>
  <c r="V169" i="110"/>
  <c r="U169" i="110"/>
  <c r="T169" i="110"/>
  <c r="S169" i="110"/>
  <c r="R169" i="110"/>
  <c r="Q169" i="110"/>
  <c r="P169" i="110"/>
  <c r="O169" i="110"/>
  <c r="N169" i="110"/>
  <c r="M169" i="110"/>
  <c r="L169" i="110"/>
  <c r="K169" i="110"/>
  <c r="J169" i="110"/>
  <c r="I169" i="110"/>
  <c r="H169" i="110"/>
  <c r="G169" i="110"/>
  <c r="F169" i="110"/>
  <c r="E169" i="110"/>
  <c r="D169" i="110"/>
  <c r="C169" i="110"/>
  <c r="AH167" i="110"/>
  <c r="AH166" i="110"/>
  <c r="AH165" i="110"/>
  <c r="AH164" i="110"/>
  <c r="AH163" i="110"/>
  <c r="AH162" i="110"/>
  <c r="AH161" i="110"/>
  <c r="AH160" i="110"/>
  <c r="AG159" i="110"/>
  <c r="AF159" i="110"/>
  <c r="AE159" i="110"/>
  <c r="AD159" i="110"/>
  <c r="AC159" i="110"/>
  <c r="AB159" i="110"/>
  <c r="AA159" i="110"/>
  <c r="Z159" i="110"/>
  <c r="Y159" i="110"/>
  <c r="X159" i="110"/>
  <c r="W159" i="110"/>
  <c r="V159" i="110"/>
  <c r="U159" i="110"/>
  <c r="T159" i="110"/>
  <c r="S159" i="110"/>
  <c r="R159" i="110"/>
  <c r="Q159" i="110"/>
  <c r="P159" i="110"/>
  <c r="O159" i="110"/>
  <c r="N159" i="110"/>
  <c r="M159" i="110"/>
  <c r="L159" i="110"/>
  <c r="K159" i="110"/>
  <c r="J159" i="110"/>
  <c r="I159" i="110"/>
  <c r="H159" i="110"/>
  <c r="G159" i="110"/>
  <c r="F159" i="110"/>
  <c r="E159" i="110"/>
  <c r="D159" i="110"/>
  <c r="C159" i="110"/>
  <c r="B146" i="110"/>
  <c r="B145" i="110"/>
  <c r="AN93" i="110"/>
  <c r="AN111" i="110" s="1"/>
  <c r="C82" i="110"/>
  <c r="B29" i="110" s="1"/>
  <c r="B28" i="110" s="1"/>
  <c r="AH79" i="110"/>
  <c r="AH78" i="110"/>
  <c r="AH77" i="110"/>
  <c r="AG67" i="110"/>
  <c r="AF67" i="110"/>
  <c r="AE67" i="110"/>
  <c r="AD67" i="110"/>
  <c r="AG66" i="110"/>
  <c r="AE66" i="110"/>
  <c r="AD66" i="110"/>
  <c r="AC66" i="110"/>
  <c r="Z66" i="110"/>
  <c r="AC67" i="110"/>
  <c r="AB67" i="110"/>
  <c r="AA67" i="110"/>
  <c r="Z67" i="110"/>
  <c r="Y67" i="110"/>
  <c r="X67" i="110"/>
  <c r="W67" i="110"/>
  <c r="V67" i="110"/>
  <c r="U67" i="110"/>
  <c r="T67" i="110"/>
  <c r="S67" i="110"/>
  <c r="R67" i="110"/>
  <c r="Q67" i="110"/>
  <c r="P67" i="110"/>
  <c r="O67" i="110"/>
  <c r="N67" i="110"/>
  <c r="M67" i="110"/>
  <c r="L67" i="110"/>
  <c r="K67" i="110"/>
  <c r="J67" i="110"/>
  <c r="I67" i="110"/>
  <c r="H67" i="110"/>
  <c r="G67" i="110"/>
  <c r="F67" i="110"/>
  <c r="E67" i="110"/>
  <c r="D67" i="110"/>
  <c r="C67" i="110"/>
  <c r="AF66" i="110"/>
  <c r="AB66" i="110"/>
  <c r="AA66" i="110"/>
  <c r="X66" i="110"/>
  <c r="W66" i="110"/>
  <c r="V66" i="110"/>
  <c r="U66" i="110"/>
  <c r="T66" i="110"/>
  <c r="S66" i="110"/>
  <c r="R66" i="110"/>
  <c r="Q66" i="110"/>
  <c r="P66" i="110"/>
  <c r="O66" i="110"/>
  <c r="N66" i="110"/>
  <c r="M66" i="110"/>
  <c r="L66" i="110"/>
  <c r="K66" i="110"/>
  <c r="J66" i="110"/>
  <c r="I66" i="110"/>
  <c r="H66" i="110"/>
  <c r="G66" i="110"/>
  <c r="F66" i="110"/>
  <c r="E66" i="110"/>
  <c r="D66" i="110"/>
  <c r="C66" i="110"/>
  <c r="AH65" i="110"/>
  <c r="AJ59" i="110"/>
  <c r="AJ60" i="110" s="1"/>
  <c r="AH58" i="110"/>
  <c r="AH57" i="110"/>
  <c r="AH56" i="110"/>
  <c r="AG55" i="110"/>
  <c r="AF55" i="110"/>
  <c r="AE55" i="110"/>
  <c r="AD55" i="110"/>
  <c r="AC55" i="110"/>
  <c r="AB55" i="110"/>
  <c r="AA55" i="110"/>
  <c r="Z55" i="110"/>
  <c r="Y55" i="110"/>
  <c r="X55" i="110"/>
  <c r="W55" i="110"/>
  <c r="V55" i="110"/>
  <c r="U55" i="110"/>
  <c r="T55" i="110"/>
  <c r="S55" i="110"/>
  <c r="R55" i="110"/>
  <c r="Q55" i="110"/>
  <c r="P55" i="110"/>
  <c r="O55" i="110"/>
  <c r="N55" i="110"/>
  <c r="M55" i="110"/>
  <c r="L55" i="110"/>
  <c r="K55" i="110"/>
  <c r="J55" i="110"/>
  <c r="I55" i="110"/>
  <c r="H55" i="110"/>
  <c r="G55" i="110"/>
  <c r="F55" i="110"/>
  <c r="E55" i="110"/>
  <c r="D55" i="110"/>
  <c r="C55" i="110"/>
  <c r="AH54" i="110"/>
  <c r="AH53" i="110"/>
  <c r="AH52" i="110"/>
  <c r="AH51" i="110"/>
  <c r="AH50" i="110"/>
  <c r="AH49" i="110"/>
  <c r="AH48" i="110"/>
  <c r="AH47" i="110"/>
  <c r="AH46" i="110"/>
  <c r="AH45" i="110"/>
  <c r="AH44" i="110"/>
  <c r="AH42" i="110"/>
  <c r="AG13" i="110"/>
  <c r="AF13" i="110"/>
  <c r="AE13" i="110"/>
  <c r="AD13" i="110"/>
  <c r="AC13" i="110"/>
  <c r="AB13" i="110"/>
  <c r="AA13" i="110"/>
  <c r="Z13" i="110"/>
  <c r="Y13" i="110"/>
  <c r="X13" i="110"/>
  <c r="W13" i="110"/>
  <c r="V13" i="110"/>
  <c r="U13" i="110"/>
  <c r="T13" i="110"/>
  <c r="S13" i="110"/>
  <c r="R13" i="110"/>
  <c r="Q13" i="110"/>
  <c r="P13" i="110"/>
  <c r="O13" i="110"/>
  <c r="N13" i="110"/>
  <c r="M13" i="110"/>
  <c r="L13" i="110"/>
  <c r="K13" i="110"/>
  <c r="J13" i="110"/>
  <c r="I13" i="110"/>
  <c r="H13" i="110"/>
  <c r="G13" i="110"/>
  <c r="F13" i="110"/>
  <c r="E13" i="110"/>
  <c r="D13" i="110"/>
  <c r="C13" i="110"/>
  <c r="AG12" i="110"/>
  <c r="AF12" i="110"/>
  <c r="AE12" i="110"/>
  <c r="AD12" i="110"/>
  <c r="AC12" i="110"/>
  <c r="AB12" i="110"/>
  <c r="AA12" i="110"/>
  <c r="Z12" i="110"/>
  <c r="Y12" i="110"/>
  <c r="X12" i="110"/>
  <c r="W12" i="110"/>
  <c r="V12" i="110"/>
  <c r="U12" i="110"/>
  <c r="T12" i="110"/>
  <c r="S12" i="110"/>
  <c r="R12" i="110"/>
  <c r="Q12" i="110"/>
  <c r="P12" i="110"/>
  <c r="O12" i="110"/>
  <c r="N12" i="110"/>
  <c r="M12" i="110"/>
  <c r="L12" i="110"/>
  <c r="K12" i="110"/>
  <c r="J12" i="110"/>
  <c r="I12" i="110"/>
  <c r="H12" i="110"/>
  <c r="G12" i="110"/>
  <c r="F12" i="110"/>
  <c r="E12" i="110"/>
  <c r="D12" i="110"/>
  <c r="C12" i="110"/>
  <c r="AG11" i="110"/>
  <c r="AF11" i="110"/>
  <c r="AE11" i="110"/>
  <c r="AD11" i="110"/>
  <c r="AC11" i="110"/>
  <c r="AB11" i="110"/>
  <c r="AA11" i="110"/>
  <c r="Z11" i="110"/>
  <c r="Y11" i="110"/>
  <c r="X11" i="110"/>
  <c r="W11" i="110"/>
  <c r="V11" i="110"/>
  <c r="U11" i="110"/>
  <c r="T11" i="110"/>
  <c r="S11" i="110"/>
  <c r="R11" i="110"/>
  <c r="Q11" i="110"/>
  <c r="P11" i="110"/>
  <c r="O11" i="110"/>
  <c r="N11" i="110"/>
  <c r="M11" i="110"/>
  <c r="L11" i="110"/>
  <c r="K11" i="110"/>
  <c r="J11" i="110"/>
  <c r="I11" i="110"/>
  <c r="H11" i="110"/>
  <c r="G11" i="110"/>
  <c r="F11" i="110"/>
  <c r="E11" i="110"/>
  <c r="D11" i="110"/>
  <c r="C11" i="110"/>
  <c r="C10" i="110"/>
  <c r="G10" i="110" l="1"/>
  <c r="S10" i="110"/>
  <c r="W10" i="110"/>
  <c r="AE10" i="110"/>
  <c r="D10" i="110"/>
  <c r="H10" i="110"/>
  <c r="L10" i="110"/>
  <c r="P10" i="110"/>
  <c r="T10" i="110"/>
  <c r="B144" i="110"/>
  <c r="F174" i="110"/>
  <c r="J174" i="110"/>
  <c r="V174" i="110"/>
  <c r="L237" i="110"/>
  <c r="X10" i="110"/>
  <c r="P301" i="110"/>
  <c r="Z174" i="110"/>
  <c r="AF301" i="110"/>
  <c r="AB237" i="110"/>
  <c r="N301" i="110"/>
  <c r="AP93" i="110"/>
  <c r="D174" i="110"/>
  <c r="H174" i="110"/>
  <c r="L174" i="110"/>
  <c r="P174" i="110"/>
  <c r="T174" i="110"/>
  <c r="X174" i="110"/>
  <c r="AB174" i="110"/>
  <c r="AF174" i="110"/>
  <c r="C237" i="110"/>
  <c r="G237" i="110"/>
  <c r="K237" i="110"/>
  <c r="S237" i="110"/>
  <c r="W237" i="110"/>
  <c r="AA237" i="110"/>
  <c r="AE237" i="110"/>
  <c r="G301" i="110"/>
  <c r="O301" i="110"/>
  <c r="S301" i="110"/>
  <c r="AA301" i="110"/>
  <c r="AE301" i="110"/>
  <c r="AA10" i="110"/>
  <c r="N60" i="110"/>
  <c r="E174" i="110"/>
  <c r="I174" i="110"/>
  <c r="M174" i="110"/>
  <c r="Y174" i="110"/>
  <c r="AG174" i="110"/>
  <c r="D237" i="110"/>
  <c r="H237" i="110"/>
  <c r="P237" i="110"/>
  <c r="T237" i="110"/>
  <c r="X237" i="110"/>
  <c r="D301" i="110"/>
  <c r="H301" i="110"/>
  <c r="L301" i="110"/>
  <c r="T301" i="110"/>
  <c r="X301" i="110"/>
  <c r="AB301" i="110"/>
  <c r="K60" i="110"/>
  <c r="O60" i="110"/>
  <c r="S60" i="110"/>
  <c r="W60" i="110"/>
  <c r="N174" i="110"/>
  <c r="R174" i="110"/>
  <c r="AD174" i="110"/>
  <c r="E237" i="110"/>
  <c r="I237" i="110"/>
  <c r="M237" i="110"/>
  <c r="Q237" i="110"/>
  <c r="U237" i="110"/>
  <c r="Y237" i="110"/>
  <c r="AC237" i="110"/>
  <c r="E301" i="110"/>
  <c r="I301" i="110"/>
  <c r="M301" i="110"/>
  <c r="U301" i="110"/>
  <c r="Y301" i="110"/>
  <c r="AC301" i="110"/>
  <c r="AG301" i="110"/>
  <c r="AB10" i="110"/>
  <c r="E10" i="110"/>
  <c r="I10" i="110"/>
  <c r="M10" i="110"/>
  <c r="Q10" i="110"/>
  <c r="U10" i="110"/>
  <c r="Y10" i="110"/>
  <c r="AC10" i="110"/>
  <c r="AG10" i="110"/>
  <c r="C174" i="110"/>
  <c r="G174" i="110"/>
  <c r="K174" i="110"/>
  <c r="O174" i="110"/>
  <c r="S174" i="110"/>
  <c r="W174" i="110"/>
  <c r="AA174" i="110"/>
  <c r="AE174" i="110"/>
  <c r="F237" i="110"/>
  <c r="J237" i="110"/>
  <c r="N237" i="110"/>
  <c r="R237" i="110"/>
  <c r="V237" i="110"/>
  <c r="Z237" i="110"/>
  <c r="AD237" i="110"/>
  <c r="AF237" i="110"/>
  <c r="Z60" i="110"/>
  <c r="AA60" i="110"/>
  <c r="C301" i="110"/>
  <c r="AG237" i="110"/>
  <c r="Q301" i="110"/>
  <c r="R301" i="110"/>
  <c r="K301" i="110"/>
  <c r="O10" i="110"/>
  <c r="AF10" i="110"/>
  <c r="K10" i="110"/>
  <c r="T60" i="110"/>
  <c r="V60" i="110"/>
  <c r="P60" i="110"/>
  <c r="J60" i="110"/>
  <c r="X60" i="110"/>
  <c r="R60" i="110"/>
  <c r="Q60" i="110"/>
  <c r="M60" i="110"/>
  <c r="L60" i="110"/>
  <c r="I60" i="110"/>
  <c r="H60" i="110"/>
  <c r="AD301" i="110"/>
  <c r="W301" i="110"/>
  <c r="V301" i="110"/>
  <c r="AH288" i="110"/>
  <c r="F10" i="110"/>
  <c r="J10" i="110"/>
  <c r="N10" i="110"/>
  <c r="R10" i="110"/>
  <c r="V10" i="110"/>
  <c r="AC174" i="110"/>
  <c r="U174" i="110"/>
  <c r="Q174" i="110"/>
  <c r="AH55" i="110"/>
  <c r="AH75" i="110"/>
  <c r="AE60" i="110"/>
  <c r="AF60" i="110"/>
  <c r="U60" i="110"/>
  <c r="Y60" i="110"/>
  <c r="AC60" i="110"/>
  <c r="AG60" i="110"/>
  <c r="AD60" i="110"/>
  <c r="E60" i="110"/>
  <c r="F60" i="110"/>
  <c r="AH43" i="110"/>
  <c r="G60" i="110"/>
  <c r="D60" i="110"/>
  <c r="AI45" i="110"/>
  <c r="AB60" i="110"/>
  <c r="Z10" i="110"/>
  <c r="AD10" i="110"/>
  <c r="AH74" i="110"/>
  <c r="Y66" i="110"/>
  <c r="C60" i="110"/>
  <c r="O224" i="110"/>
  <c r="AH224" i="110" s="1"/>
  <c r="AH227" i="110"/>
  <c r="AH159" i="110"/>
  <c r="H48" i="109"/>
  <c r="AB62" i="27"/>
  <c r="G21" i="57"/>
  <c r="S21" i="57" s="1"/>
  <c r="AC44" i="27"/>
  <c r="AH10" i="110" l="1"/>
  <c r="O237" i="110"/>
  <c r="C44" i="90" l="1"/>
  <c r="S43" i="93" l="1"/>
  <c r="R43" i="93"/>
  <c r="T55" i="93"/>
  <c r="S55" i="93"/>
  <c r="S60" i="93" s="1"/>
  <c r="N82" i="109" l="1"/>
  <c r="I82" i="109"/>
  <c r="W78" i="109"/>
  <c r="X77" i="109" s="1"/>
  <c r="N78" i="109"/>
  <c r="I78" i="109"/>
  <c r="W76" i="109"/>
  <c r="N75" i="109"/>
  <c r="W73" i="109"/>
  <c r="S73" i="109"/>
  <c r="R73" i="109"/>
  <c r="Q73" i="109"/>
  <c r="P73" i="109"/>
  <c r="O73" i="109"/>
  <c r="M73" i="109"/>
  <c r="L73" i="109"/>
  <c r="K73" i="109"/>
  <c r="J73" i="109"/>
  <c r="H73" i="109"/>
  <c r="G73" i="109"/>
  <c r="F73" i="109"/>
  <c r="D73" i="109"/>
  <c r="C73" i="109"/>
  <c r="N71" i="109"/>
  <c r="I71" i="109"/>
  <c r="N70" i="109"/>
  <c r="I70" i="109"/>
  <c r="N69" i="109"/>
  <c r="I69" i="109"/>
  <c r="N68" i="109"/>
  <c r="I68" i="109"/>
  <c r="N67" i="109"/>
  <c r="I67" i="109"/>
  <c r="N66" i="109"/>
  <c r="I66" i="109"/>
  <c r="N65" i="109"/>
  <c r="I65" i="109"/>
  <c r="N64" i="109"/>
  <c r="I64" i="109"/>
  <c r="N63" i="109"/>
  <c r="I63" i="109"/>
  <c r="N62" i="109"/>
  <c r="I62" i="109"/>
  <c r="N61" i="109"/>
  <c r="I61" i="109"/>
  <c r="N60" i="109"/>
  <c r="I60" i="109"/>
  <c r="N59" i="109"/>
  <c r="I59" i="109"/>
  <c r="N58" i="109"/>
  <c r="I58" i="109"/>
  <c r="N57" i="109"/>
  <c r="I57" i="109"/>
  <c r="N56" i="109"/>
  <c r="I56" i="109"/>
  <c r="N55" i="109"/>
  <c r="I55" i="109"/>
  <c r="N54" i="109"/>
  <c r="I54" i="109"/>
  <c r="N53" i="109"/>
  <c r="I53" i="109"/>
  <c r="N52" i="109"/>
  <c r="I52" i="109"/>
  <c r="N51" i="109"/>
  <c r="I51" i="109"/>
  <c r="N50" i="109"/>
  <c r="I50" i="109"/>
  <c r="N49" i="109"/>
  <c r="I49" i="109"/>
  <c r="N48" i="109"/>
  <c r="I48" i="109"/>
  <c r="N47" i="109"/>
  <c r="I47" i="109"/>
  <c r="N46" i="109"/>
  <c r="I46" i="109"/>
  <c r="N45" i="109"/>
  <c r="I45" i="109"/>
  <c r="N44" i="109"/>
  <c r="I44" i="109"/>
  <c r="N43" i="109"/>
  <c r="N42" i="109"/>
  <c r="I42" i="109"/>
  <c r="N41" i="109"/>
  <c r="I41" i="109"/>
  <c r="N40" i="109"/>
  <c r="I40" i="109"/>
  <c r="N39" i="109"/>
  <c r="I39" i="109"/>
  <c r="N38" i="109"/>
  <c r="I38" i="109"/>
  <c r="N37" i="109"/>
  <c r="I37" i="109"/>
  <c r="N36" i="109"/>
  <c r="I36" i="109"/>
  <c r="N35" i="109"/>
  <c r="I35" i="109"/>
  <c r="N34" i="109"/>
  <c r="I34" i="109"/>
  <c r="N33" i="109"/>
  <c r="I33" i="109"/>
  <c r="N32" i="109"/>
  <c r="I32" i="109"/>
  <c r="N31" i="109"/>
  <c r="I31" i="109"/>
  <c r="N30" i="109"/>
  <c r="I30" i="109"/>
  <c r="N29" i="109"/>
  <c r="I29" i="109"/>
  <c r="N28" i="109"/>
  <c r="I28" i="109"/>
  <c r="N27" i="109"/>
  <c r="I27" i="109"/>
  <c r="N26" i="109"/>
  <c r="I26" i="109"/>
  <c r="N25" i="109"/>
  <c r="I25" i="109"/>
  <c r="N24" i="109"/>
  <c r="I24" i="109"/>
  <c r="N23" i="109"/>
  <c r="I23" i="109"/>
  <c r="N22" i="109"/>
  <c r="I22" i="109"/>
  <c r="N21" i="109"/>
  <c r="I21" i="109"/>
  <c r="N20" i="109"/>
  <c r="I20" i="109"/>
  <c r="N19" i="109"/>
  <c r="I19" i="109"/>
  <c r="N18" i="109"/>
  <c r="I18" i="109"/>
  <c r="N17" i="109"/>
  <c r="I17" i="109"/>
  <c r="N16" i="109"/>
  <c r="I16" i="109"/>
  <c r="N15" i="109"/>
  <c r="I15" i="109"/>
  <c r="N14" i="109"/>
  <c r="I14" i="109"/>
  <c r="N13" i="109"/>
  <c r="N12" i="109"/>
  <c r="I12" i="109"/>
  <c r="N11" i="109"/>
  <c r="N10" i="109"/>
  <c r="I10" i="109"/>
  <c r="G15" i="57"/>
  <c r="S15" i="57" s="1"/>
  <c r="AC32" i="27"/>
  <c r="W71" i="109" l="1"/>
  <c r="X72" i="109" s="1"/>
  <c r="W69" i="109"/>
  <c r="N73" i="109"/>
  <c r="I73" i="109"/>
  <c r="AF46" i="90"/>
  <c r="AF45" i="90"/>
  <c r="W67" i="109" l="1"/>
  <c r="X68" i="109" s="1"/>
  <c r="AF51" i="90" l="1"/>
  <c r="G972" i="41" l="1"/>
  <c r="C82" i="93" l="1"/>
  <c r="G1002" i="41" l="1"/>
  <c r="C55" i="93" l="1"/>
  <c r="C66" i="93"/>
  <c r="G1014" i="41"/>
  <c r="Z62" i="27" l="1"/>
  <c r="AA62" i="27"/>
  <c r="G995" i="41" l="1"/>
  <c r="G996" i="41" l="1"/>
  <c r="AF44" i="90"/>
  <c r="G905" i="41"/>
  <c r="G973" i="41"/>
  <c r="G991" i="41" l="1"/>
  <c r="G992" i="41" l="1"/>
  <c r="C55" i="90" l="1"/>
  <c r="D28" i="101" l="1"/>
  <c r="E28" i="101" l="1"/>
  <c r="K22" i="101" s="1"/>
  <c r="C24" i="101"/>
  <c r="M55" i="93"/>
  <c r="N55" i="93"/>
  <c r="O55" i="93"/>
  <c r="B29" i="103"/>
  <c r="B32" i="103"/>
  <c r="B48" i="103" s="1"/>
  <c r="G38" i="103"/>
  <c r="H38" i="103" s="1"/>
  <c r="G37" i="103"/>
  <c r="H37" i="103" s="1"/>
  <c r="G36" i="103"/>
  <c r="H36" i="103" s="1"/>
  <c r="G35" i="103"/>
  <c r="H35" i="103" s="1"/>
  <c r="F32" i="103"/>
  <c r="F40" i="103" s="1"/>
  <c r="E32" i="103"/>
  <c r="D32" i="103"/>
  <c r="D40" i="103" s="1"/>
  <c r="C32" i="103"/>
  <c r="F29" i="103"/>
  <c r="E29" i="103"/>
  <c r="D29" i="103"/>
  <c r="D48" i="103" s="1"/>
  <c r="D52" i="103" s="1"/>
  <c r="H27" i="103"/>
  <c r="H26" i="103"/>
  <c r="H25" i="103"/>
  <c r="H24" i="103"/>
  <c r="H23" i="103"/>
  <c r="H22" i="103"/>
  <c r="H21" i="103"/>
  <c r="H20" i="103"/>
  <c r="H19" i="103"/>
  <c r="H18" i="103"/>
  <c r="G18" i="95"/>
  <c r="G19" i="95"/>
  <c r="G20" i="95"/>
  <c r="G21" i="95"/>
  <c r="G22" i="95"/>
  <c r="G23" i="95"/>
  <c r="G24" i="95"/>
  <c r="G25" i="95"/>
  <c r="G26" i="95"/>
  <c r="G27" i="95"/>
  <c r="B46" i="95"/>
  <c r="G36" i="95"/>
  <c r="G37" i="95"/>
  <c r="G38" i="95"/>
  <c r="G35" i="95"/>
  <c r="H36" i="95"/>
  <c r="H37" i="95"/>
  <c r="H38" i="95"/>
  <c r="B17" i="95"/>
  <c r="B24" i="101"/>
  <c r="C32" i="95"/>
  <c r="H22" i="95"/>
  <c r="C17" i="95"/>
  <c r="G17" i="95" s="1"/>
  <c r="B33" i="101"/>
  <c r="B28" i="101"/>
  <c r="B17" i="101"/>
  <c r="B15" i="101" s="1"/>
  <c r="C207" i="101"/>
  <c r="C200" i="101"/>
  <c r="C199" i="101"/>
  <c r="C198" i="101"/>
  <c r="B197" i="101"/>
  <c r="C197" i="101" s="1"/>
  <c r="C196" i="101"/>
  <c r="B195" i="101"/>
  <c r="C194" i="101"/>
  <c r="C193" i="101"/>
  <c r="B192" i="101"/>
  <c r="C191" i="101"/>
  <c r="C190" i="101"/>
  <c r="C189" i="101"/>
  <c r="C188" i="101"/>
  <c r="C187" i="101"/>
  <c r="H57" i="101"/>
  <c r="G57" i="101"/>
  <c r="F57" i="101"/>
  <c r="E57" i="101"/>
  <c r="D57" i="101"/>
  <c r="C57" i="101"/>
  <c r="H18" i="101" s="1"/>
  <c r="B57" i="101"/>
  <c r="G18" i="101" s="1"/>
  <c r="H41" i="101"/>
  <c r="H37" i="101" s="1"/>
  <c r="G41" i="101"/>
  <c r="G37" i="101" s="1"/>
  <c r="F41" i="101"/>
  <c r="F37" i="101" s="1"/>
  <c r="E41" i="101"/>
  <c r="E37" i="101" s="1"/>
  <c r="D41" i="101"/>
  <c r="D37" i="101" s="1"/>
  <c r="C41" i="101"/>
  <c r="C37" i="101" s="1"/>
  <c r="B41" i="101"/>
  <c r="B37" i="101" s="1"/>
  <c r="C31" i="101"/>
  <c r="B31" i="101"/>
  <c r="C28" i="101"/>
  <c r="D27" i="101"/>
  <c r="C27" i="101"/>
  <c r="B27" i="101"/>
  <c r="C25" i="101"/>
  <c r="D24" i="101"/>
  <c r="N22" i="101"/>
  <c r="N25" i="101" s="1"/>
  <c r="M22" i="101"/>
  <c r="L22" i="101"/>
  <c r="L25" i="101" s="1"/>
  <c r="H22" i="101"/>
  <c r="G22" i="101"/>
  <c r="F22" i="101"/>
  <c r="K17" i="101"/>
  <c r="K8" i="101"/>
  <c r="K6" i="101"/>
  <c r="G29" i="95" l="1"/>
  <c r="B40" i="103"/>
  <c r="G32" i="95"/>
  <c r="C29" i="95"/>
  <c r="C48" i="95" s="1"/>
  <c r="C52" i="95" s="1"/>
  <c r="F48" i="103"/>
  <c r="F52" i="103" s="1"/>
  <c r="C22" i="101"/>
  <c r="C51" i="101" s="1"/>
  <c r="C18" i="101"/>
  <c r="B22" i="101"/>
  <c r="B51" i="101" s="1"/>
  <c r="B54" i="101" s="1"/>
  <c r="E22" i="101"/>
  <c r="E51" i="101" s="1"/>
  <c r="I22" i="101"/>
  <c r="I25" i="101" s="1"/>
  <c r="G51" i="101"/>
  <c r="M23" i="101"/>
  <c r="B203" i="101"/>
  <c r="D22" i="101"/>
  <c r="D51" i="101" s="1"/>
  <c r="F51" i="101"/>
  <c r="N23" i="101"/>
  <c r="H51" i="101"/>
  <c r="N26" i="101"/>
  <c r="L26" i="101"/>
  <c r="L23" i="101"/>
  <c r="J37" i="101"/>
  <c r="K37" i="101" s="1"/>
  <c r="K25" i="101"/>
  <c r="K26" i="101" s="1"/>
  <c r="K23" i="101"/>
  <c r="E48" i="103"/>
  <c r="E52" i="103" s="1"/>
  <c r="H17" i="103"/>
  <c r="H29" i="103" s="1"/>
  <c r="G29" i="103"/>
  <c r="B30" i="103" s="1"/>
  <c r="H32" i="103"/>
  <c r="H40" i="103" s="1"/>
  <c r="C29" i="103"/>
  <c r="C48" i="103" s="1"/>
  <c r="C52" i="103" s="1"/>
  <c r="G32" i="103"/>
  <c r="G40" i="103" s="1"/>
  <c r="E40" i="103"/>
  <c r="C203" i="101"/>
  <c r="D203" i="101" s="1"/>
  <c r="D18" i="101"/>
  <c r="J22" i="101"/>
  <c r="M25" i="101"/>
  <c r="M26" i="101" s="1"/>
  <c r="B204" i="101"/>
  <c r="F18" i="101"/>
  <c r="C204" i="101"/>
  <c r="H35" i="95"/>
  <c r="H32" i="95" s="1"/>
  <c r="H40" i="95" s="1"/>
  <c r="F32" i="95"/>
  <c r="E32" i="95"/>
  <c r="D32" i="95"/>
  <c r="B32" i="95"/>
  <c r="F29" i="95"/>
  <c r="E29" i="95"/>
  <c r="D29" i="95"/>
  <c r="H27" i="95"/>
  <c r="H26" i="95"/>
  <c r="H25" i="95"/>
  <c r="H24" i="95"/>
  <c r="H23" i="95"/>
  <c r="H19" i="95"/>
  <c r="G36" i="94"/>
  <c r="H36" i="94" s="1"/>
  <c r="C31" i="94"/>
  <c r="D31" i="94"/>
  <c r="D38" i="94" s="1"/>
  <c r="E31" i="94"/>
  <c r="E38" i="94" s="1"/>
  <c r="F31" i="94"/>
  <c r="F38" i="94" s="1"/>
  <c r="B31" i="94"/>
  <c r="B38" i="94" s="1"/>
  <c r="G35" i="94"/>
  <c r="H35" i="94" s="1"/>
  <c r="G34" i="94"/>
  <c r="H34" i="94" s="1"/>
  <c r="C28" i="94"/>
  <c r="D28" i="94"/>
  <c r="E28" i="94"/>
  <c r="F28" i="94"/>
  <c r="G22" i="94"/>
  <c r="H22" i="94" s="1"/>
  <c r="G18" i="94"/>
  <c r="G19" i="94"/>
  <c r="H19" i="94" s="1"/>
  <c r="G20" i="94"/>
  <c r="G21" i="94"/>
  <c r="G23" i="94"/>
  <c r="H23" i="94" s="1"/>
  <c r="G24" i="94"/>
  <c r="G25" i="94"/>
  <c r="H25" i="94" s="1"/>
  <c r="G26" i="94"/>
  <c r="G17" i="94"/>
  <c r="H17" i="94" s="1"/>
  <c r="B26" i="94"/>
  <c r="B24" i="94"/>
  <c r="B21" i="94"/>
  <c r="B20" i="94"/>
  <c r="B18" i="94"/>
  <c r="B41" i="103" l="1"/>
  <c r="E48" i="95"/>
  <c r="B40" i="95"/>
  <c r="D40" i="95"/>
  <c r="D48" i="95"/>
  <c r="D52" i="95" s="1"/>
  <c r="E40" i="95"/>
  <c r="E52" i="95"/>
  <c r="F40" i="95"/>
  <c r="F48" i="95"/>
  <c r="F52" i="95" s="1"/>
  <c r="O22" i="101"/>
  <c r="I23" i="101"/>
  <c r="B56" i="101"/>
  <c r="B205" i="101"/>
  <c r="B207" i="101" s="1"/>
  <c r="D204" i="101"/>
  <c r="C205" i="101"/>
  <c r="I26" i="101"/>
  <c r="J25" i="101"/>
  <c r="J26" i="101" s="1"/>
  <c r="J23" i="101"/>
  <c r="H18" i="95"/>
  <c r="H21" i="95"/>
  <c r="B29" i="95"/>
  <c r="B30" i="95" s="1"/>
  <c r="G31" i="94"/>
  <c r="G38" i="94" s="1"/>
  <c r="B40" i="94" s="1"/>
  <c r="H17" i="95"/>
  <c r="G40" i="95"/>
  <c r="B41" i="95" s="1"/>
  <c r="H20" i="95"/>
  <c r="H18" i="94"/>
  <c r="G28" i="94"/>
  <c r="H20" i="94"/>
  <c r="H24" i="94"/>
  <c r="H26" i="94"/>
  <c r="H21" i="94"/>
  <c r="B28" i="94"/>
  <c r="D24" i="91"/>
  <c r="C24" i="91"/>
  <c r="B48" i="95" l="1"/>
  <c r="O25" i="101"/>
  <c r="K40" i="101" s="1"/>
  <c r="C17" i="101"/>
  <c r="C15" i="101" s="1"/>
  <c r="C54" i="101" s="1"/>
  <c r="C56" i="101" s="1"/>
  <c r="B50" i="103" s="1"/>
  <c r="B50" i="95"/>
  <c r="H29" i="95"/>
  <c r="N27" i="101"/>
  <c r="L37" i="101" s="1"/>
  <c r="M37" i="101" s="1"/>
  <c r="H31" i="94"/>
  <c r="H38" i="94" s="1"/>
  <c r="B29" i="94"/>
  <c r="H28" i="94"/>
  <c r="D27" i="91"/>
  <c r="D28" i="91"/>
  <c r="C27" i="91"/>
  <c r="D17" i="101" l="1"/>
  <c r="D15" i="101" s="1"/>
  <c r="D54" i="101" s="1"/>
  <c r="D56" i="101" s="1"/>
  <c r="E17" i="101" s="1"/>
  <c r="E15" i="101" s="1"/>
  <c r="E54" i="101" s="1"/>
  <c r="E56" i="101" s="1"/>
  <c r="F17" i="101" s="1"/>
  <c r="F15" i="101" s="1"/>
  <c r="F54" i="101" s="1"/>
  <c r="F56" i="101" s="1"/>
  <c r="G17" i="101" s="1"/>
  <c r="G15" i="101" s="1"/>
  <c r="G54" i="101" s="1"/>
  <c r="G56" i="101" s="1"/>
  <c r="H17" i="101" s="1"/>
  <c r="H15" i="101" s="1"/>
  <c r="H54" i="101" s="1"/>
  <c r="H56" i="101" s="1"/>
  <c r="K17" i="91"/>
  <c r="J22" i="91"/>
  <c r="K22" i="91"/>
  <c r="L22" i="91"/>
  <c r="M22" i="91"/>
  <c r="M25" i="91" s="1"/>
  <c r="N22" i="91"/>
  <c r="N25" i="91"/>
  <c r="L25" i="91"/>
  <c r="C28" i="91"/>
  <c r="I22" i="91" s="1"/>
  <c r="K8" i="91"/>
  <c r="K6" i="91"/>
  <c r="C102" i="91"/>
  <c r="C103" i="91"/>
  <c r="C104" i="91"/>
  <c r="C111" i="91"/>
  <c r="C92" i="91"/>
  <c r="C93" i="91"/>
  <c r="C94" i="91"/>
  <c r="C95" i="91"/>
  <c r="C97" i="91"/>
  <c r="C98" i="91"/>
  <c r="C100" i="91"/>
  <c r="C91" i="91"/>
  <c r="B99" i="91"/>
  <c r="B96" i="91"/>
  <c r="B101" i="91"/>
  <c r="C101" i="91" s="1"/>
  <c r="B108" i="91" l="1"/>
  <c r="C108" i="91"/>
  <c r="C107" i="91"/>
  <c r="D107" i="91" s="1"/>
  <c r="K25" i="91"/>
  <c r="I25" i="91"/>
  <c r="J25" i="91"/>
  <c r="O22" i="91"/>
  <c r="B109" i="91"/>
  <c r="B111" i="91" s="1"/>
  <c r="B107" i="91"/>
  <c r="G67" i="93"/>
  <c r="K67" i="93"/>
  <c r="M67" i="93"/>
  <c r="N67" i="93"/>
  <c r="O67" i="93"/>
  <c r="P67" i="93"/>
  <c r="Q67" i="93"/>
  <c r="S67" i="93"/>
  <c r="U67" i="93"/>
  <c r="V67" i="93"/>
  <c r="W67" i="93"/>
  <c r="X67" i="93"/>
  <c r="AA67" i="93"/>
  <c r="AB67" i="93"/>
  <c r="AC67" i="93"/>
  <c r="AD67" i="93"/>
  <c r="AE67" i="93"/>
  <c r="AF67" i="93"/>
  <c r="G66" i="93"/>
  <c r="K66" i="93"/>
  <c r="M66" i="93"/>
  <c r="N66" i="93"/>
  <c r="O66" i="93"/>
  <c r="Q66" i="93"/>
  <c r="S66" i="93"/>
  <c r="T66" i="93"/>
  <c r="U66" i="93"/>
  <c r="V66" i="93"/>
  <c r="W66" i="93"/>
  <c r="X66" i="93"/>
  <c r="Y66" i="93"/>
  <c r="Z66" i="93"/>
  <c r="AA66" i="93"/>
  <c r="AB66" i="93"/>
  <c r="AE66" i="93"/>
  <c r="AF66" i="93"/>
  <c r="AG66" i="93"/>
  <c r="F66" i="93"/>
  <c r="B317" i="93"/>
  <c r="AH314" i="93"/>
  <c r="AG308" i="93"/>
  <c r="AF308" i="93"/>
  <c r="AE308" i="93"/>
  <c r="AD308" i="93"/>
  <c r="AC308" i="93"/>
  <c r="AB308" i="93"/>
  <c r="AA308" i="93"/>
  <c r="Z308" i="93"/>
  <c r="Y308" i="93"/>
  <c r="X308" i="93"/>
  <c r="W308" i="93"/>
  <c r="V308" i="93"/>
  <c r="U308" i="93"/>
  <c r="T308" i="93"/>
  <c r="S308" i="93"/>
  <c r="R308" i="93"/>
  <c r="Q308" i="93"/>
  <c r="P308" i="93"/>
  <c r="O308" i="93"/>
  <c r="N308" i="93"/>
  <c r="M308" i="93"/>
  <c r="L308" i="93"/>
  <c r="K308" i="93"/>
  <c r="J308" i="93"/>
  <c r="I308" i="93"/>
  <c r="H308" i="93"/>
  <c r="G308" i="93"/>
  <c r="F308" i="93"/>
  <c r="E308" i="93"/>
  <c r="D308" i="93"/>
  <c r="C308" i="93"/>
  <c r="AG307" i="93"/>
  <c r="AF307" i="93"/>
  <c r="AE307" i="93"/>
  <c r="AD307" i="93"/>
  <c r="AC307" i="93"/>
  <c r="AB307" i="93"/>
  <c r="AA307" i="93"/>
  <c r="Z307" i="93"/>
  <c r="Y307" i="93"/>
  <c r="X307" i="93"/>
  <c r="W307" i="93"/>
  <c r="V307" i="93"/>
  <c r="U307" i="93"/>
  <c r="T307" i="93"/>
  <c r="S307" i="93"/>
  <c r="R307" i="93"/>
  <c r="Q307" i="93"/>
  <c r="P307" i="93"/>
  <c r="O307" i="93"/>
  <c r="N307" i="93"/>
  <c r="M307" i="93"/>
  <c r="L307" i="93"/>
  <c r="K307" i="93"/>
  <c r="J307" i="93"/>
  <c r="I307" i="93"/>
  <c r="H307" i="93"/>
  <c r="G307" i="93"/>
  <c r="F307" i="93"/>
  <c r="E307" i="93"/>
  <c r="D307" i="93"/>
  <c r="C307" i="93"/>
  <c r="AH298" i="93"/>
  <c r="AG296" i="93"/>
  <c r="AF296" i="93"/>
  <c r="AE296" i="93"/>
  <c r="AD296" i="93"/>
  <c r="AC296" i="93"/>
  <c r="AB296" i="93"/>
  <c r="AA296" i="93"/>
  <c r="Z296" i="93"/>
  <c r="Y296" i="93"/>
  <c r="X296" i="93"/>
  <c r="W296" i="93"/>
  <c r="V296" i="93"/>
  <c r="U296" i="93"/>
  <c r="T296" i="93"/>
  <c r="S296" i="93"/>
  <c r="R296" i="93"/>
  <c r="Q296" i="93"/>
  <c r="P296" i="93"/>
  <c r="O296" i="93"/>
  <c r="N296" i="93"/>
  <c r="M296" i="93"/>
  <c r="L296" i="93"/>
  <c r="K296" i="93"/>
  <c r="J296" i="93"/>
  <c r="I296" i="93"/>
  <c r="H296" i="93"/>
  <c r="G296" i="93"/>
  <c r="F296" i="93"/>
  <c r="E296" i="93"/>
  <c r="D296" i="93"/>
  <c r="C296" i="93"/>
  <c r="AH292" i="93"/>
  <c r="AH291" i="93"/>
  <c r="AH290" i="93"/>
  <c r="AH289" i="93"/>
  <c r="AG288" i="93"/>
  <c r="AF288" i="93"/>
  <c r="AE288" i="93"/>
  <c r="AD288" i="93"/>
  <c r="AC288" i="93"/>
  <c r="AB288" i="93"/>
  <c r="AA288" i="93"/>
  <c r="Z288" i="93"/>
  <c r="Y288" i="93"/>
  <c r="X288" i="93"/>
  <c r="W288" i="93"/>
  <c r="V288" i="93"/>
  <c r="U288" i="93"/>
  <c r="T288" i="93"/>
  <c r="S288" i="93"/>
  <c r="R288" i="93"/>
  <c r="Q288" i="93"/>
  <c r="P288" i="93"/>
  <c r="O288" i="93"/>
  <c r="N288" i="93"/>
  <c r="M288" i="93"/>
  <c r="L288" i="93"/>
  <c r="K288" i="93"/>
  <c r="J288" i="93"/>
  <c r="I288" i="93"/>
  <c r="H288" i="93"/>
  <c r="G288" i="93"/>
  <c r="F288" i="93"/>
  <c r="E288" i="93"/>
  <c r="D288" i="93"/>
  <c r="C288" i="93"/>
  <c r="B275" i="93"/>
  <c r="B274" i="93"/>
  <c r="B273" i="93" s="1"/>
  <c r="B253" i="93"/>
  <c r="AH252" i="93"/>
  <c r="AH250" i="93"/>
  <c r="AG244" i="93"/>
  <c r="AF244" i="93"/>
  <c r="AE244" i="93"/>
  <c r="AD244" i="93"/>
  <c r="AC244" i="93"/>
  <c r="AB244" i="93"/>
  <c r="AA244" i="93"/>
  <c r="Z244" i="93"/>
  <c r="Y244" i="93"/>
  <c r="X244" i="93"/>
  <c r="W244" i="93"/>
  <c r="V244" i="93"/>
  <c r="U244" i="93"/>
  <c r="T244" i="93"/>
  <c r="S244" i="93"/>
  <c r="R244" i="93"/>
  <c r="Q244" i="93"/>
  <c r="P244" i="93"/>
  <c r="O244" i="93"/>
  <c r="N244" i="93"/>
  <c r="M244" i="93"/>
  <c r="L244" i="93"/>
  <c r="K244" i="93"/>
  <c r="J244" i="93"/>
  <c r="I244" i="93"/>
  <c r="H244" i="93"/>
  <c r="G244" i="93"/>
  <c r="F244" i="93"/>
  <c r="E244" i="93"/>
  <c r="D244" i="93"/>
  <c r="C244" i="93"/>
  <c r="AG243" i="93"/>
  <c r="AF243" i="93"/>
  <c r="AE243" i="93"/>
  <c r="AD243" i="93"/>
  <c r="AC243" i="93"/>
  <c r="AB243" i="93"/>
  <c r="AA243" i="93"/>
  <c r="Z243" i="93"/>
  <c r="Y243" i="93"/>
  <c r="X243" i="93"/>
  <c r="W243" i="93"/>
  <c r="V243" i="93"/>
  <c r="U243" i="93"/>
  <c r="T243" i="93"/>
  <c r="S243" i="93"/>
  <c r="R243" i="93"/>
  <c r="Q243" i="93"/>
  <c r="P243" i="93"/>
  <c r="O243" i="93"/>
  <c r="N243" i="93"/>
  <c r="M243" i="93"/>
  <c r="L243" i="93"/>
  <c r="K243" i="93"/>
  <c r="J243" i="93"/>
  <c r="I243" i="93"/>
  <c r="H243" i="93"/>
  <c r="G243" i="93"/>
  <c r="F243" i="93"/>
  <c r="E243" i="93"/>
  <c r="D243" i="93"/>
  <c r="C243" i="93"/>
  <c r="AH234" i="93"/>
  <c r="AG232" i="93"/>
  <c r="AF232" i="93"/>
  <c r="AE232" i="93"/>
  <c r="AD232" i="93"/>
  <c r="AC232" i="93"/>
  <c r="AB232" i="93"/>
  <c r="AA232" i="93"/>
  <c r="Z232" i="93"/>
  <c r="Y232" i="93"/>
  <c r="X232" i="93"/>
  <c r="W232" i="93"/>
  <c r="V232" i="93"/>
  <c r="U232" i="93"/>
  <c r="T232" i="93"/>
  <c r="S232" i="93"/>
  <c r="R232" i="93"/>
  <c r="Q232" i="93"/>
  <c r="P232" i="93"/>
  <c r="O232" i="93"/>
  <c r="N232" i="93"/>
  <c r="M232" i="93"/>
  <c r="L232" i="93"/>
  <c r="K232" i="93"/>
  <c r="J232" i="93"/>
  <c r="I232" i="93"/>
  <c r="H232" i="93"/>
  <c r="G232" i="93"/>
  <c r="F232" i="93"/>
  <c r="E232" i="93"/>
  <c r="D232" i="93"/>
  <c r="C232" i="93"/>
  <c r="AH228" i="93"/>
  <c r="AH227" i="93"/>
  <c r="AH226" i="93"/>
  <c r="AH225" i="93"/>
  <c r="AG224" i="93"/>
  <c r="AF224" i="93"/>
  <c r="AE224" i="93"/>
  <c r="AD224" i="93"/>
  <c r="AC224" i="93"/>
  <c r="AB224" i="93"/>
  <c r="AA224" i="93"/>
  <c r="Z224" i="93"/>
  <c r="Y224" i="93"/>
  <c r="X224" i="93"/>
  <c r="W224" i="93"/>
  <c r="V224" i="93"/>
  <c r="U224" i="93"/>
  <c r="T224" i="93"/>
  <c r="S224" i="93"/>
  <c r="R224" i="93"/>
  <c r="Q224" i="93"/>
  <c r="P224" i="93"/>
  <c r="O224" i="93"/>
  <c r="N224" i="93"/>
  <c r="M224" i="93"/>
  <c r="L224" i="93"/>
  <c r="K224" i="93"/>
  <c r="J224" i="93"/>
  <c r="I224" i="93"/>
  <c r="H224" i="93"/>
  <c r="G224" i="93"/>
  <c r="F224" i="93"/>
  <c r="E224" i="93"/>
  <c r="D224" i="93"/>
  <c r="C224" i="93"/>
  <c r="B211" i="93"/>
  <c r="B210" i="93"/>
  <c r="B190" i="93"/>
  <c r="AG181" i="93"/>
  <c r="AF181" i="93"/>
  <c r="AE181" i="93"/>
  <c r="AD181" i="93"/>
  <c r="AC181" i="93"/>
  <c r="AB181" i="93"/>
  <c r="AA181" i="93"/>
  <c r="Z181" i="93"/>
  <c r="Y181" i="93"/>
  <c r="X181" i="93"/>
  <c r="W181" i="93"/>
  <c r="V181" i="93"/>
  <c r="U181" i="93"/>
  <c r="T181" i="93"/>
  <c r="S181" i="93"/>
  <c r="R181" i="93"/>
  <c r="Q181" i="93"/>
  <c r="P181" i="93"/>
  <c r="O181" i="93"/>
  <c r="N181" i="93"/>
  <c r="M181" i="93"/>
  <c r="L181" i="93"/>
  <c r="K181" i="93"/>
  <c r="J181" i="93"/>
  <c r="I181" i="93"/>
  <c r="H181" i="93"/>
  <c r="G181" i="93"/>
  <c r="F181" i="93"/>
  <c r="E181" i="93"/>
  <c r="D181" i="93"/>
  <c r="C181" i="93"/>
  <c r="AG180" i="93"/>
  <c r="AF180" i="93"/>
  <c r="AE180" i="93"/>
  <c r="AD180" i="93"/>
  <c r="AC180" i="93"/>
  <c r="AB180" i="93"/>
  <c r="AA180" i="93"/>
  <c r="Z180" i="93"/>
  <c r="Y180" i="93"/>
  <c r="X180" i="93"/>
  <c r="W180" i="93"/>
  <c r="V180" i="93"/>
  <c r="U180" i="93"/>
  <c r="T180" i="93"/>
  <c r="S180" i="93"/>
  <c r="R180" i="93"/>
  <c r="Q180" i="93"/>
  <c r="P180" i="93"/>
  <c r="O180" i="93"/>
  <c r="N180" i="93"/>
  <c r="M180" i="93"/>
  <c r="L180" i="93"/>
  <c r="K180" i="93"/>
  <c r="J180" i="93"/>
  <c r="I180" i="93"/>
  <c r="H180" i="93"/>
  <c r="G180" i="93"/>
  <c r="F180" i="93"/>
  <c r="E180" i="93"/>
  <c r="D180" i="93"/>
  <c r="C180" i="93"/>
  <c r="AH171" i="93"/>
  <c r="AG169" i="93"/>
  <c r="AF169" i="93"/>
  <c r="AE169" i="93"/>
  <c r="AD169" i="93"/>
  <c r="AC169" i="93"/>
  <c r="AB169" i="93"/>
  <c r="AA169" i="93"/>
  <c r="Z169" i="93"/>
  <c r="Y169" i="93"/>
  <c r="X169" i="93"/>
  <c r="W169" i="93"/>
  <c r="V169" i="93"/>
  <c r="U169" i="93"/>
  <c r="T169" i="93"/>
  <c r="S169" i="93"/>
  <c r="R169" i="93"/>
  <c r="Q169" i="93"/>
  <c r="P169" i="93"/>
  <c r="O169" i="93"/>
  <c r="N169" i="93"/>
  <c r="M169" i="93"/>
  <c r="L169" i="93"/>
  <c r="K169" i="93"/>
  <c r="J169" i="93"/>
  <c r="I169" i="93"/>
  <c r="H169" i="93"/>
  <c r="G169" i="93"/>
  <c r="F169" i="93"/>
  <c r="E169" i="93"/>
  <c r="D169" i="93"/>
  <c r="C169" i="93"/>
  <c r="AH167" i="93"/>
  <c r="AH166" i="93"/>
  <c r="AH165" i="93"/>
  <c r="AH164" i="93"/>
  <c r="AH163" i="93"/>
  <c r="AH162" i="93"/>
  <c r="AH161" i="93"/>
  <c r="AH160" i="93"/>
  <c r="AG159" i="93"/>
  <c r="AF159" i="93"/>
  <c r="AE159" i="93"/>
  <c r="AD159" i="93"/>
  <c r="AC159" i="93"/>
  <c r="AB159" i="93"/>
  <c r="AA159" i="93"/>
  <c r="Z159" i="93"/>
  <c r="Y159" i="93"/>
  <c r="X159" i="93"/>
  <c r="W159" i="93"/>
  <c r="V159" i="93"/>
  <c r="U159" i="93"/>
  <c r="T159" i="93"/>
  <c r="S159" i="93"/>
  <c r="R159" i="93"/>
  <c r="Q159" i="93"/>
  <c r="P159" i="93"/>
  <c r="O159" i="93"/>
  <c r="N159" i="93"/>
  <c r="M159" i="93"/>
  <c r="L159" i="93"/>
  <c r="K159" i="93"/>
  <c r="J159" i="93"/>
  <c r="I159" i="93"/>
  <c r="H159" i="93"/>
  <c r="G159" i="93"/>
  <c r="F159" i="93"/>
  <c r="E159" i="93"/>
  <c r="D159" i="93"/>
  <c r="C159" i="93"/>
  <c r="B146" i="93"/>
  <c r="B145" i="93"/>
  <c r="B29" i="93"/>
  <c r="B28" i="93" s="1"/>
  <c r="AN93" i="93"/>
  <c r="AN111" i="93" s="1"/>
  <c r="AH79" i="93"/>
  <c r="AH78" i="93"/>
  <c r="AH77" i="93"/>
  <c r="H66" i="93"/>
  <c r="AG67" i="93"/>
  <c r="Z67" i="93"/>
  <c r="Y67" i="93"/>
  <c r="T67" i="93"/>
  <c r="R67" i="93"/>
  <c r="L67" i="93"/>
  <c r="J67" i="93"/>
  <c r="I67" i="93"/>
  <c r="H67" i="93"/>
  <c r="F67" i="93"/>
  <c r="E67" i="93"/>
  <c r="D67" i="93"/>
  <c r="C67" i="93"/>
  <c r="AD66" i="93"/>
  <c r="AC66" i="93"/>
  <c r="R66" i="93"/>
  <c r="P66" i="93"/>
  <c r="L66" i="93"/>
  <c r="J66" i="93"/>
  <c r="I66" i="93"/>
  <c r="E66" i="93"/>
  <c r="D66" i="93"/>
  <c r="AH65" i="93"/>
  <c r="AJ59" i="93"/>
  <c r="AJ60" i="93" s="1"/>
  <c r="AH58" i="93"/>
  <c r="AH57" i="93"/>
  <c r="AH56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R55" i="93"/>
  <c r="R60" i="93" s="1"/>
  <c r="Q55" i="93"/>
  <c r="P55" i="93"/>
  <c r="L55" i="93"/>
  <c r="K55" i="93"/>
  <c r="J55" i="93"/>
  <c r="I55" i="93"/>
  <c r="H55" i="93"/>
  <c r="G55" i="93"/>
  <c r="F55" i="93"/>
  <c r="E55" i="93"/>
  <c r="D55" i="93"/>
  <c r="AH54" i="93"/>
  <c r="AH53" i="93"/>
  <c r="AH52" i="93"/>
  <c r="AH51" i="93"/>
  <c r="AH50" i="93"/>
  <c r="AH49" i="93"/>
  <c r="AH48" i="93"/>
  <c r="AH47" i="93"/>
  <c r="AH46" i="93"/>
  <c r="AH45" i="93"/>
  <c r="AH44" i="93"/>
  <c r="AF43" i="93"/>
  <c r="P43" i="93"/>
  <c r="AG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Q43" i="93"/>
  <c r="O43" i="93"/>
  <c r="O60" i="93" s="1"/>
  <c r="N43" i="93"/>
  <c r="N60" i="93" s="1"/>
  <c r="M43" i="93"/>
  <c r="M60" i="93" s="1"/>
  <c r="L43" i="93"/>
  <c r="K43" i="93"/>
  <c r="J43" i="93"/>
  <c r="I43" i="93"/>
  <c r="H43" i="93"/>
  <c r="G43" i="93"/>
  <c r="F43" i="93"/>
  <c r="E43" i="93"/>
  <c r="D43" i="93"/>
  <c r="C43" i="93"/>
  <c r="AH42" i="93"/>
  <c r="AG13" i="93"/>
  <c r="AF13" i="93"/>
  <c r="AE13" i="93"/>
  <c r="AD13" i="93"/>
  <c r="AC13" i="93"/>
  <c r="AB13" i="93"/>
  <c r="AA13" i="93"/>
  <c r="Z13" i="93"/>
  <c r="Y13" i="93"/>
  <c r="X13" i="93"/>
  <c r="W13" i="93"/>
  <c r="V13" i="93"/>
  <c r="U13" i="93"/>
  <c r="T13" i="93"/>
  <c r="S13" i="93"/>
  <c r="R13" i="93"/>
  <c r="Q13" i="93"/>
  <c r="P13" i="93"/>
  <c r="O13" i="93"/>
  <c r="N13" i="93"/>
  <c r="M13" i="93"/>
  <c r="L13" i="93"/>
  <c r="K13" i="93"/>
  <c r="J13" i="93"/>
  <c r="I13" i="93"/>
  <c r="H13" i="93"/>
  <c r="G13" i="93"/>
  <c r="F13" i="93"/>
  <c r="E13" i="93"/>
  <c r="D13" i="93"/>
  <c r="C13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C73" i="92"/>
  <c r="N82" i="92"/>
  <c r="I82" i="92"/>
  <c r="W78" i="92"/>
  <c r="N78" i="92"/>
  <c r="I78" i="92"/>
  <c r="N75" i="92"/>
  <c r="W73" i="92"/>
  <c r="S73" i="92"/>
  <c r="R73" i="92"/>
  <c r="Q73" i="92"/>
  <c r="P73" i="92"/>
  <c r="O73" i="92"/>
  <c r="M73" i="92"/>
  <c r="L73" i="92"/>
  <c r="K73" i="92"/>
  <c r="J73" i="92"/>
  <c r="G73" i="92"/>
  <c r="F73" i="92"/>
  <c r="D73" i="92"/>
  <c r="N71" i="92"/>
  <c r="I71" i="92"/>
  <c r="N70" i="92"/>
  <c r="I70" i="92"/>
  <c r="N69" i="92"/>
  <c r="I69" i="92"/>
  <c r="N68" i="92"/>
  <c r="I68" i="92"/>
  <c r="N67" i="92"/>
  <c r="I67" i="92"/>
  <c r="N66" i="92"/>
  <c r="I66" i="92"/>
  <c r="N65" i="92"/>
  <c r="I65" i="92"/>
  <c r="N64" i="92"/>
  <c r="I64" i="92"/>
  <c r="N63" i="92"/>
  <c r="I63" i="92"/>
  <c r="N62" i="92"/>
  <c r="I62" i="92"/>
  <c r="N61" i="92"/>
  <c r="I61" i="92"/>
  <c r="N60" i="92"/>
  <c r="I60" i="92"/>
  <c r="N59" i="92"/>
  <c r="I59" i="92"/>
  <c r="N58" i="92"/>
  <c r="I58" i="92"/>
  <c r="N57" i="92"/>
  <c r="I57" i="92"/>
  <c r="N56" i="92"/>
  <c r="I56" i="92"/>
  <c r="N55" i="92"/>
  <c r="I55" i="92"/>
  <c r="N54" i="92"/>
  <c r="I54" i="92"/>
  <c r="N53" i="92"/>
  <c r="I53" i="92"/>
  <c r="N52" i="92"/>
  <c r="I52" i="92"/>
  <c r="N51" i="92"/>
  <c r="I51" i="92"/>
  <c r="N50" i="92"/>
  <c r="I50" i="92"/>
  <c r="N49" i="92"/>
  <c r="I49" i="92"/>
  <c r="N48" i="92"/>
  <c r="I48" i="92"/>
  <c r="H73" i="92"/>
  <c r="N47" i="92"/>
  <c r="I47" i="92"/>
  <c r="N46" i="92"/>
  <c r="I46" i="92"/>
  <c r="N45" i="92"/>
  <c r="I45" i="92"/>
  <c r="N44" i="92"/>
  <c r="I44" i="92"/>
  <c r="N43" i="92"/>
  <c r="N42" i="92"/>
  <c r="I42" i="92"/>
  <c r="N41" i="92"/>
  <c r="I41" i="92"/>
  <c r="N40" i="92"/>
  <c r="I40" i="92"/>
  <c r="N39" i="92"/>
  <c r="I39" i="92"/>
  <c r="N38" i="92"/>
  <c r="I38" i="92"/>
  <c r="N37" i="92"/>
  <c r="I37" i="92"/>
  <c r="N36" i="92"/>
  <c r="I36" i="92"/>
  <c r="N35" i="92"/>
  <c r="I35" i="92"/>
  <c r="N34" i="92"/>
  <c r="I34" i="92"/>
  <c r="N33" i="92"/>
  <c r="I33" i="92"/>
  <c r="N32" i="92"/>
  <c r="I32" i="92"/>
  <c r="N31" i="92"/>
  <c r="I31" i="92"/>
  <c r="N30" i="92"/>
  <c r="I30" i="92"/>
  <c r="N29" i="92"/>
  <c r="I29" i="92"/>
  <c r="N28" i="92"/>
  <c r="I28" i="92"/>
  <c r="N27" i="92"/>
  <c r="I27" i="92"/>
  <c r="N26" i="92"/>
  <c r="I26" i="92"/>
  <c r="N25" i="92"/>
  <c r="I25" i="92"/>
  <c r="N24" i="92"/>
  <c r="I24" i="92"/>
  <c r="N23" i="92"/>
  <c r="I23" i="92"/>
  <c r="N22" i="92"/>
  <c r="I22" i="92"/>
  <c r="N21" i="92"/>
  <c r="I21" i="92"/>
  <c r="N20" i="92"/>
  <c r="I20" i="92"/>
  <c r="N19" i="92"/>
  <c r="I19" i="92"/>
  <c r="N18" i="92"/>
  <c r="I18" i="92"/>
  <c r="N17" i="92"/>
  <c r="I17" i="92"/>
  <c r="N16" i="92"/>
  <c r="I16" i="92"/>
  <c r="N15" i="92"/>
  <c r="I15" i="92"/>
  <c r="N14" i="92"/>
  <c r="I14" i="92"/>
  <c r="N13" i="92"/>
  <c r="N12" i="92"/>
  <c r="I12" i="92"/>
  <c r="N11" i="92"/>
  <c r="N10" i="92"/>
  <c r="I10" i="92"/>
  <c r="G2206" i="41"/>
  <c r="G2205" i="41"/>
  <c r="G2204" i="41"/>
  <c r="G2185" i="41"/>
  <c r="G2184" i="41"/>
  <c r="G2183" i="41"/>
  <c r="G2132" i="41"/>
  <c r="G2147" i="41"/>
  <c r="G2125" i="41"/>
  <c r="G2124" i="41"/>
  <c r="G2123" i="41"/>
  <c r="G2122" i="41"/>
  <c r="G2126" i="41"/>
  <c r="G2102" i="41"/>
  <c r="G2101" i="41"/>
  <c r="G2100" i="41"/>
  <c r="G2099" i="41"/>
  <c r="G2098" i="41"/>
  <c r="G2097" i="41"/>
  <c r="G2069" i="41"/>
  <c r="G1971" i="41"/>
  <c r="G1980" i="41"/>
  <c r="G1983" i="41" s="1"/>
  <c r="G2024" i="41"/>
  <c r="G2023" i="41"/>
  <c r="G2078" i="41"/>
  <c r="G2068" i="41"/>
  <c r="G2051" i="41"/>
  <c r="G2067" i="41"/>
  <c r="G2050" i="41"/>
  <c r="G2165" i="41"/>
  <c r="G2167" i="41" s="1"/>
  <c r="G2077" i="41"/>
  <c r="G2035" i="41"/>
  <c r="G2034" i="41"/>
  <c r="G2014" i="41"/>
  <c r="G2017" i="41" s="1"/>
  <c r="G1970" i="41"/>
  <c r="G1959" i="41"/>
  <c r="G1962" i="41" s="1"/>
  <c r="B33" i="91"/>
  <c r="B28" i="91"/>
  <c r="B27" i="91"/>
  <c r="B17" i="91"/>
  <c r="G22" i="91"/>
  <c r="H22" i="91"/>
  <c r="F22" i="91"/>
  <c r="E22" i="91"/>
  <c r="C41" i="91"/>
  <c r="AA44" i="27"/>
  <c r="Z44" i="27"/>
  <c r="AP55" i="27"/>
  <c r="AA55" i="27"/>
  <c r="AJ59" i="90"/>
  <c r="AJ60" i="90" s="1"/>
  <c r="D174" i="93" l="1"/>
  <c r="H174" i="93"/>
  <c r="L174" i="93"/>
  <c r="P174" i="93"/>
  <c r="T174" i="93"/>
  <c r="X174" i="93"/>
  <c r="AB174" i="93"/>
  <c r="AF174" i="93"/>
  <c r="J10" i="93"/>
  <c r="B209" i="93"/>
  <c r="AD10" i="93"/>
  <c r="C60" i="93"/>
  <c r="D301" i="93"/>
  <c r="H301" i="93"/>
  <c r="L301" i="93"/>
  <c r="P301" i="93"/>
  <c r="T301" i="93"/>
  <c r="AB301" i="93"/>
  <c r="D108" i="91"/>
  <c r="C109" i="91"/>
  <c r="H60" i="93"/>
  <c r="C237" i="93"/>
  <c r="G237" i="93"/>
  <c r="K237" i="93"/>
  <c r="O237" i="93"/>
  <c r="S237" i="93"/>
  <c r="W237" i="93"/>
  <c r="AA237" i="93"/>
  <c r="AE237" i="93"/>
  <c r="N27" i="91"/>
  <c r="O25" i="91"/>
  <c r="D22" i="91"/>
  <c r="G2134" i="41"/>
  <c r="G2173" i="41"/>
  <c r="W71" i="92"/>
  <c r="X72" i="92" s="1"/>
  <c r="AP93" i="93"/>
  <c r="C174" i="93"/>
  <c r="K174" i="93"/>
  <c r="O174" i="93"/>
  <c r="S174" i="93"/>
  <c r="W174" i="93"/>
  <c r="AA174" i="93"/>
  <c r="AE174" i="93"/>
  <c r="F237" i="93"/>
  <c r="J237" i="93"/>
  <c r="N237" i="93"/>
  <c r="R237" i="93"/>
  <c r="V237" i="93"/>
  <c r="Z237" i="93"/>
  <c r="AD237" i="93"/>
  <c r="C301" i="93"/>
  <c r="K301" i="93"/>
  <c r="O301" i="93"/>
  <c r="S301" i="93"/>
  <c r="AA301" i="93"/>
  <c r="AE301" i="93"/>
  <c r="W76" i="92"/>
  <c r="X77" i="92" s="1"/>
  <c r="F10" i="93"/>
  <c r="N10" i="93"/>
  <c r="R10" i="93"/>
  <c r="V10" i="93"/>
  <c r="Z10" i="93"/>
  <c r="K10" i="93"/>
  <c r="I60" i="93"/>
  <c r="E174" i="93"/>
  <c r="I174" i="93"/>
  <c r="M174" i="93"/>
  <c r="Q174" i="93"/>
  <c r="U174" i="93"/>
  <c r="Y174" i="93"/>
  <c r="AG174" i="93"/>
  <c r="D237" i="93"/>
  <c r="L237" i="93"/>
  <c r="P237" i="93"/>
  <c r="X237" i="93"/>
  <c r="AB237" i="93"/>
  <c r="E301" i="93"/>
  <c r="I301" i="93"/>
  <c r="M301" i="93"/>
  <c r="U301" i="93"/>
  <c r="Y301" i="93"/>
  <c r="E10" i="93"/>
  <c r="M10" i="93"/>
  <c r="U10" i="93"/>
  <c r="AC10" i="93"/>
  <c r="F174" i="93"/>
  <c r="J174" i="93"/>
  <c r="N174" i="93"/>
  <c r="R174" i="93"/>
  <c r="V174" i="93"/>
  <c r="Z174" i="93"/>
  <c r="AD174" i="93"/>
  <c r="E237" i="93"/>
  <c r="I237" i="93"/>
  <c r="M237" i="93"/>
  <c r="Q237" i="93"/>
  <c r="U237" i="93"/>
  <c r="Y237" i="93"/>
  <c r="AC237" i="93"/>
  <c r="J301" i="93"/>
  <c r="R301" i="93"/>
  <c r="Z301" i="93"/>
  <c r="AD301" i="93"/>
  <c r="AC174" i="93"/>
  <c r="AH159" i="93"/>
  <c r="G2208" i="41"/>
  <c r="G301" i="93"/>
  <c r="AG301" i="93"/>
  <c r="AG237" i="93"/>
  <c r="Y10" i="93"/>
  <c r="AG10" i="93"/>
  <c r="Q10" i="93"/>
  <c r="I10" i="93"/>
  <c r="C10" i="93"/>
  <c r="G10" i="93"/>
  <c r="O10" i="93"/>
  <c r="S10" i="93"/>
  <c r="W10" i="93"/>
  <c r="AA10" i="93"/>
  <c r="AE10" i="93"/>
  <c r="D10" i="93"/>
  <c r="H10" i="93"/>
  <c r="L10" i="93"/>
  <c r="P10" i="93"/>
  <c r="T10" i="93"/>
  <c r="X10" i="93"/>
  <c r="AB10" i="93"/>
  <c r="AF10" i="93"/>
  <c r="E60" i="93"/>
  <c r="J60" i="93"/>
  <c r="AG60" i="93"/>
  <c r="F60" i="93"/>
  <c r="D60" i="93"/>
  <c r="Z60" i="93"/>
  <c r="L60" i="93"/>
  <c r="AF301" i="93"/>
  <c r="AC301" i="93"/>
  <c r="V301" i="93"/>
  <c r="W301" i="93"/>
  <c r="X301" i="93"/>
  <c r="Q301" i="93"/>
  <c r="AH288" i="93"/>
  <c r="N301" i="93"/>
  <c r="F301" i="93"/>
  <c r="AH224" i="93"/>
  <c r="AF237" i="93"/>
  <c r="T237" i="93"/>
  <c r="H237" i="93"/>
  <c r="G174" i="93"/>
  <c r="Q60" i="93"/>
  <c r="Y60" i="93"/>
  <c r="X60" i="93"/>
  <c r="W60" i="93"/>
  <c r="AA60" i="93"/>
  <c r="AE60" i="93"/>
  <c r="U60" i="93"/>
  <c r="AC60" i="93"/>
  <c r="T60" i="93"/>
  <c r="AB60" i="93"/>
  <c r="V60" i="93"/>
  <c r="AD60" i="93"/>
  <c r="AH43" i="93"/>
  <c r="G60" i="93"/>
  <c r="K60" i="93"/>
  <c r="AH55" i="93"/>
  <c r="B144" i="93"/>
  <c r="AH74" i="93"/>
  <c r="AH75" i="93"/>
  <c r="AI45" i="93"/>
  <c r="P60" i="93"/>
  <c r="AF60" i="93"/>
  <c r="N73" i="92"/>
  <c r="W69" i="92"/>
  <c r="I73" i="92"/>
  <c r="G2128" i="41"/>
  <c r="G2149" i="41"/>
  <c r="H1987" i="41"/>
  <c r="G2071" i="41"/>
  <c r="H1988" i="41"/>
  <c r="G2080" i="41"/>
  <c r="G2087" i="41" s="1"/>
  <c r="G2026" i="41"/>
  <c r="G2053" i="41"/>
  <c r="G2038" i="41"/>
  <c r="G1974" i="41"/>
  <c r="C31" i="91"/>
  <c r="G978" i="41"/>
  <c r="G1000" i="41"/>
  <c r="C25" i="91"/>
  <c r="C22" i="91" s="1"/>
  <c r="B41" i="91"/>
  <c r="B37" i="91" s="1"/>
  <c r="B31" i="91"/>
  <c r="B25" i="91"/>
  <c r="H57" i="91"/>
  <c r="G57" i="91"/>
  <c r="F57" i="91"/>
  <c r="E57" i="91"/>
  <c r="D57" i="91"/>
  <c r="C57" i="91"/>
  <c r="B57" i="91"/>
  <c r="F18" i="91" s="1"/>
  <c r="H41" i="91"/>
  <c r="H37" i="91" s="1"/>
  <c r="G41" i="91"/>
  <c r="G37" i="91" s="1"/>
  <c r="F41" i="91"/>
  <c r="F37" i="91" s="1"/>
  <c r="E41" i="91"/>
  <c r="E37" i="91" s="1"/>
  <c r="K23" i="91" s="1"/>
  <c r="D41" i="91"/>
  <c r="D37" i="91" s="1"/>
  <c r="J23" i="91" s="1"/>
  <c r="C37" i="91"/>
  <c r="H18" i="91"/>
  <c r="B15" i="91"/>
  <c r="G1075" i="41"/>
  <c r="G994" i="41"/>
  <c r="G986" i="41"/>
  <c r="G990" i="41"/>
  <c r="G1151" i="41"/>
  <c r="AF45" i="71"/>
  <c r="G1006" i="41"/>
  <c r="G1012" i="41"/>
  <c r="J37" i="91" l="1"/>
  <c r="K37" i="91" s="1"/>
  <c r="I23" i="91"/>
  <c r="I26" i="91"/>
  <c r="K26" i="91"/>
  <c r="L23" i="91"/>
  <c r="L26" i="91"/>
  <c r="M23" i="91"/>
  <c r="M26" i="91"/>
  <c r="K40" i="91"/>
  <c r="N23" i="91"/>
  <c r="N26" i="91"/>
  <c r="L37" i="91"/>
  <c r="M37" i="91" s="1"/>
  <c r="J26" i="91"/>
  <c r="B22" i="91"/>
  <c r="B51" i="91" s="1"/>
  <c r="B54" i="91" s="1"/>
  <c r="B56" i="91" s="1"/>
  <c r="C17" i="91" s="1"/>
  <c r="AH10" i="93"/>
  <c r="W67" i="92"/>
  <c r="X68" i="92" s="1"/>
  <c r="G2172" i="41"/>
  <c r="G2086" i="41"/>
  <c r="C18" i="91"/>
  <c r="D18" i="91"/>
  <c r="G18" i="91"/>
  <c r="H51" i="91"/>
  <c r="G51" i="91"/>
  <c r="F51" i="91"/>
  <c r="E51" i="91"/>
  <c r="D51" i="91"/>
  <c r="C51" i="91"/>
  <c r="I78" i="89"/>
  <c r="W71" i="89" s="1"/>
  <c r="N78" i="89"/>
  <c r="G1821" i="41"/>
  <c r="G1819" i="41"/>
  <c r="G1833" i="41"/>
  <c r="G1809" i="41"/>
  <c r="G1811" i="41" s="1"/>
  <c r="G1820" i="41"/>
  <c r="G1832" i="41"/>
  <c r="G1831" i="41"/>
  <c r="G1830" i="41"/>
  <c r="G1859" i="41"/>
  <c r="G1861" i="41" s="1"/>
  <c r="G1844" i="41"/>
  <c r="G1846" i="41" s="1"/>
  <c r="G965" i="41"/>
  <c r="V67" i="90"/>
  <c r="Z67" i="90"/>
  <c r="AC67" i="90"/>
  <c r="AD67" i="90"/>
  <c r="AF67" i="90"/>
  <c r="H74" i="90"/>
  <c r="H66" i="90" s="1"/>
  <c r="X66" i="90"/>
  <c r="Z66" i="90"/>
  <c r="AA66" i="90"/>
  <c r="AB66" i="90"/>
  <c r="AD66" i="90"/>
  <c r="AE66" i="90"/>
  <c r="AF66" i="90"/>
  <c r="G74" i="90"/>
  <c r="B317" i="90"/>
  <c r="AH314" i="90"/>
  <c r="AG308" i="90"/>
  <c r="AF308" i="90"/>
  <c r="AE308" i="90"/>
  <c r="AD308" i="90"/>
  <c r="AC308" i="90"/>
  <c r="AB308" i="90"/>
  <c r="AA308" i="90"/>
  <c r="Z308" i="90"/>
  <c r="Y308" i="90"/>
  <c r="X308" i="90"/>
  <c r="W308" i="90"/>
  <c r="V308" i="90"/>
  <c r="U308" i="90"/>
  <c r="T308" i="90"/>
  <c r="S308" i="90"/>
  <c r="R308" i="90"/>
  <c r="Q308" i="90"/>
  <c r="P308" i="90"/>
  <c r="O308" i="90"/>
  <c r="N308" i="90"/>
  <c r="M308" i="90"/>
  <c r="L308" i="90"/>
  <c r="K308" i="90"/>
  <c r="J308" i="90"/>
  <c r="I308" i="90"/>
  <c r="H308" i="90"/>
  <c r="G308" i="90"/>
  <c r="F308" i="90"/>
  <c r="E308" i="90"/>
  <c r="D308" i="90"/>
  <c r="C308" i="90"/>
  <c r="AG307" i="90"/>
  <c r="AF307" i="90"/>
  <c r="AE307" i="90"/>
  <c r="AD307" i="90"/>
  <c r="AC307" i="90"/>
  <c r="AB307" i="90"/>
  <c r="AA307" i="90"/>
  <c r="Z307" i="90"/>
  <c r="Y307" i="90"/>
  <c r="X307" i="90"/>
  <c r="W307" i="90"/>
  <c r="V307" i="90"/>
  <c r="U307" i="90"/>
  <c r="T307" i="90"/>
  <c r="S307" i="90"/>
  <c r="R307" i="90"/>
  <c r="Q307" i="90"/>
  <c r="P307" i="90"/>
  <c r="O307" i="90"/>
  <c r="N307" i="90"/>
  <c r="M307" i="90"/>
  <c r="L307" i="90"/>
  <c r="K307" i="90"/>
  <c r="J307" i="90"/>
  <c r="I307" i="90"/>
  <c r="H307" i="90"/>
  <c r="G307" i="90"/>
  <c r="F307" i="90"/>
  <c r="E307" i="90"/>
  <c r="D307" i="90"/>
  <c r="C307" i="90"/>
  <c r="AH298" i="90"/>
  <c r="AG296" i="90"/>
  <c r="AF296" i="90"/>
  <c r="AE296" i="90"/>
  <c r="AD296" i="90"/>
  <c r="AC296" i="90"/>
  <c r="AB296" i="90"/>
  <c r="AA296" i="90"/>
  <c r="Z296" i="90"/>
  <c r="Y296" i="90"/>
  <c r="X296" i="90"/>
  <c r="W296" i="90"/>
  <c r="V296" i="90"/>
  <c r="U296" i="90"/>
  <c r="T296" i="90"/>
  <c r="S296" i="90"/>
  <c r="R296" i="90"/>
  <c r="Q296" i="90"/>
  <c r="P296" i="90"/>
  <c r="O296" i="90"/>
  <c r="N296" i="90"/>
  <c r="M296" i="90"/>
  <c r="L296" i="90"/>
  <c r="K296" i="90"/>
  <c r="J296" i="90"/>
  <c r="I296" i="90"/>
  <c r="H296" i="90"/>
  <c r="G296" i="90"/>
  <c r="F296" i="90"/>
  <c r="E296" i="90"/>
  <c r="D296" i="90"/>
  <c r="C296" i="90"/>
  <c r="AH292" i="90"/>
  <c r="AH291" i="90"/>
  <c r="AH290" i="90"/>
  <c r="AH289" i="90"/>
  <c r="AG288" i="90"/>
  <c r="AF288" i="90"/>
  <c r="AE288" i="90"/>
  <c r="AD288" i="90"/>
  <c r="AC288" i="90"/>
  <c r="AB288" i="90"/>
  <c r="AA288" i="90"/>
  <c r="Z288" i="90"/>
  <c r="Y288" i="90"/>
  <c r="X288" i="90"/>
  <c r="W288" i="90"/>
  <c r="V288" i="90"/>
  <c r="U288" i="90"/>
  <c r="T288" i="90"/>
  <c r="S288" i="90"/>
  <c r="R288" i="90"/>
  <c r="Q288" i="90"/>
  <c r="P288" i="90"/>
  <c r="O288" i="90"/>
  <c r="N288" i="90"/>
  <c r="M288" i="90"/>
  <c r="L288" i="90"/>
  <c r="K288" i="90"/>
  <c r="J288" i="90"/>
  <c r="I288" i="90"/>
  <c r="H288" i="90"/>
  <c r="G288" i="90"/>
  <c r="F288" i="90"/>
  <c r="E288" i="90"/>
  <c r="D288" i="90"/>
  <c r="C288" i="90"/>
  <c r="B275" i="90"/>
  <c r="B274" i="90"/>
  <c r="B273" i="90" s="1"/>
  <c r="B253" i="90"/>
  <c r="AH252" i="90"/>
  <c r="AH250" i="90"/>
  <c r="AG244" i="90"/>
  <c r="AF244" i="90"/>
  <c r="AE244" i="90"/>
  <c r="AD244" i="90"/>
  <c r="AC244" i="90"/>
  <c r="AB244" i="90"/>
  <c r="AA244" i="90"/>
  <c r="Z244" i="90"/>
  <c r="Y244" i="90"/>
  <c r="X244" i="90"/>
  <c r="W244" i="90"/>
  <c r="V244" i="90"/>
  <c r="U244" i="90"/>
  <c r="T244" i="90"/>
  <c r="S244" i="90"/>
  <c r="R244" i="90"/>
  <c r="Q244" i="90"/>
  <c r="P244" i="90"/>
  <c r="O244" i="90"/>
  <c r="N244" i="90"/>
  <c r="M244" i="90"/>
  <c r="L244" i="90"/>
  <c r="K244" i="90"/>
  <c r="J244" i="90"/>
  <c r="I244" i="90"/>
  <c r="H244" i="90"/>
  <c r="G244" i="90"/>
  <c r="F244" i="90"/>
  <c r="E244" i="90"/>
  <c r="D244" i="90"/>
  <c r="C244" i="90"/>
  <c r="AG243" i="90"/>
  <c r="AF243" i="90"/>
  <c r="AE243" i="90"/>
  <c r="AD243" i="90"/>
  <c r="AC243" i="90"/>
  <c r="AB243" i="90"/>
  <c r="AA243" i="90"/>
  <c r="Z243" i="90"/>
  <c r="Y243" i="90"/>
  <c r="X243" i="90"/>
  <c r="W243" i="90"/>
  <c r="V243" i="90"/>
  <c r="U243" i="90"/>
  <c r="T243" i="90"/>
  <c r="S243" i="90"/>
  <c r="R243" i="90"/>
  <c r="Q243" i="90"/>
  <c r="P243" i="90"/>
  <c r="O243" i="90"/>
  <c r="N243" i="90"/>
  <c r="M243" i="90"/>
  <c r="L243" i="90"/>
  <c r="K243" i="90"/>
  <c r="J243" i="90"/>
  <c r="I243" i="90"/>
  <c r="H243" i="90"/>
  <c r="G243" i="90"/>
  <c r="F243" i="90"/>
  <c r="E243" i="90"/>
  <c r="D243" i="90"/>
  <c r="C243" i="90"/>
  <c r="AH234" i="90"/>
  <c r="AG232" i="90"/>
  <c r="AF232" i="90"/>
  <c r="AE232" i="90"/>
  <c r="AD232" i="90"/>
  <c r="AC232" i="90"/>
  <c r="AB232" i="90"/>
  <c r="AA232" i="90"/>
  <c r="Z232" i="90"/>
  <c r="Y232" i="90"/>
  <c r="X232" i="90"/>
  <c r="W232" i="90"/>
  <c r="V232" i="90"/>
  <c r="U232" i="90"/>
  <c r="T232" i="90"/>
  <c r="S232" i="90"/>
  <c r="R232" i="90"/>
  <c r="Q232" i="90"/>
  <c r="P232" i="90"/>
  <c r="O232" i="90"/>
  <c r="N232" i="90"/>
  <c r="M232" i="90"/>
  <c r="L232" i="90"/>
  <c r="K232" i="90"/>
  <c r="J232" i="90"/>
  <c r="I232" i="90"/>
  <c r="H232" i="90"/>
  <c r="G232" i="90"/>
  <c r="F232" i="90"/>
  <c r="E232" i="90"/>
  <c r="D232" i="90"/>
  <c r="C232" i="90"/>
  <c r="AH228" i="90"/>
  <c r="AH227" i="90"/>
  <c r="AH226" i="90"/>
  <c r="AH225" i="90"/>
  <c r="AG224" i="90"/>
  <c r="AF224" i="90"/>
  <c r="AE224" i="90"/>
  <c r="AD224" i="90"/>
  <c r="AC224" i="90"/>
  <c r="AB224" i="90"/>
  <c r="AA224" i="90"/>
  <c r="Z224" i="90"/>
  <c r="Y224" i="90"/>
  <c r="X224" i="90"/>
  <c r="W224" i="90"/>
  <c r="V224" i="90"/>
  <c r="U224" i="90"/>
  <c r="T224" i="90"/>
  <c r="S224" i="90"/>
  <c r="R224" i="90"/>
  <c r="Q224" i="90"/>
  <c r="P224" i="90"/>
  <c r="O224" i="90"/>
  <c r="N224" i="90"/>
  <c r="M224" i="90"/>
  <c r="L224" i="90"/>
  <c r="K224" i="90"/>
  <c r="J224" i="90"/>
  <c r="I224" i="90"/>
  <c r="H224" i="90"/>
  <c r="G224" i="90"/>
  <c r="F224" i="90"/>
  <c r="E224" i="90"/>
  <c r="D224" i="90"/>
  <c r="C224" i="90"/>
  <c r="B211" i="90"/>
  <c r="B210" i="90"/>
  <c r="B190" i="90"/>
  <c r="AG181" i="90"/>
  <c r="AF181" i="90"/>
  <c r="AE181" i="90"/>
  <c r="AD181" i="90"/>
  <c r="AC181" i="90"/>
  <c r="AB181" i="90"/>
  <c r="AA181" i="90"/>
  <c r="Z181" i="90"/>
  <c r="Y181" i="90"/>
  <c r="X181" i="90"/>
  <c r="W181" i="90"/>
  <c r="V181" i="90"/>
  <c r="U181" i="90"/>
  <c r="T181" i="90"/>
  <c r="S181" i="90"/>
  <c r="R181" i="90"/>
  <c r="Q181" i="90"/>
  <c r="P181" i="90"/>
  <c r="O181" i="90"/>
  <c r="N181" i="90"/>
  <c r="M181" i="90"/>
  <c r="L181" i="90"/>
  <c r="K181" i="90"/>
  <c r="J181" i="90"/>
  <c r="I181" i="90"/>
  <c r="H181" i="90"/>
  <c r="G181" i="90"/>
  <c r="F181" i="90"/>
  <c r="E181" i="90"/>
  <c r="D181" i="90"/>
  <c r="C181" i="90"/>
  <c r="AG180" i="90"/>
  <c r="AF180" i="90"/>
  <c r="AE180" i="90"/>
  <c r="AD180" i="90"/>
  <c r="AC180" i="90"/>
  <c r="AB180" i="90"/>
  <c r="AA180" i="90"/>
  <c r="Z180" i="90"/>
  <c r="Y180" i="90"/>
  <c r="X180" i="90"/>
  <c r="W180" i="90"/>
  <c r="V180" i="90"/>
  <c r="U180" i="90"/>
  <c r="T180" i="90"/>
  <c r="S180" i="90"/>
  <c r="R180" i="90"/>
  <c r="Q180" i="90"/>
  <c r="P180" i="90"/>
  <c r="O180" i="90"/>
  <c r="N180" i="90"/>
  <c r="M180" i="90"/>
  <c r="L180" i="90"/>
  <c r="K180" i="90"/>
  <c r="J180" i="90"/>
  <c r="I180" i="90"/>
  <c r="H180" i="90"/>
  <c r="G180" i="90"/>
  <c r="F180" i="90"/>
  <c r="E180" i="90"/>
  <c r="D180" i="90"/>
  <c r="C180" i="90"/>
  <c r="AH171" i="90"/>
  <c r="AG169" i="90"/>
  <c r="AF169" i="90"/>
  <c r="AE169" i="90"/>
  <c r="AD169" i="90"/>
  <c r="AC169" i="90"/>
  <c r="AB169" i="90"/>
  <c r="AA169" i="90"/>
  <c r="Z169" i="90"/>
  <c r="Y169" i="90"/>
  <c r="X169" i="90"/>
  <c r="W169" i="90"/>
  <c r="V169" i="90"/>
  <c r="U169" i="90"/>
  <c r="T169" i="90"/>
  <c r="S169" i="90"/>
  <c r="R169" i="90"/>
  <c r="Q169" i="90"/>
  <c r="P169" i="90"/>
  <c r="O169" i="90"/>
  <c r="N169" i="90"/>
  <c r="M169" i="90"/>
  <c r="L169" i="90"/>
  <c r="K169" i="90"/>
  <c r="J169" i="90"/>
  <c r="I169" i="90"/>
  <c r="H169" i="90"/>
  <c r="G169" i="90"/>
  <c r="F169" i="90"/>
  <c r="E169" i="90"/>
  <c r="D169" i="90"/>
  <c r="C169" i="90"/>
  <c r="AH167" i="90"/>
  <c r="AH166" i="90"/>
  <c r="AH165" i="90"/>
  <c r="AH164" i="90"/>
  <c r="AH163" i="90"/>
  <c r="AH162" i="90"/>
  <c r="AH161" i="90"/>
  <c r="AH160" i="90"/>
  <c r="AG159" i="90"/>
  <c r="AF159" i="90"/>
  <c r="AE159" i="90"/>
  <c r="AD159" i="90"/>
  <c r="AC159" i="90"/>
  <c r="AB159" i="90"/>
  <c r="AA159" i="90"/>
  <c r="Z159" i="90"/>
  <c r="Y159" i="90"/>
  <c r="X159" i="90"/>
  <c r="W159" i="90"/>
  <c r="V159" i="90"/>
  <c r="U159" i="90"/>
  <c r="T159" i="90"/>
  <c r="S159" i="90"/>
  <c r="R159" i="90"/>
  <c r="Q159" i="90"/>
  <c r="P159" i="90"/>
  <c r="O159" i="90"/>
  <c r="N159" i="90"/>
  <c r="M159" i="90"/>
  <c r="L159" i="90"/>
  <c r="K159" i="90"/>
  <c r="J159" i="90"/>
  <c r="I159" i="90"/>
  <c r="H159" i="90"/>
  <c r="G159" i="90"/>
  <c r="F159" i="90"/>
  <c r="E159" i="90"/>
  <c r="D159" i="90"/>
  <c r="C159" i="90"/>
  <c r="B146" i="90"/>
  <c r="B145" i="90"/>
  <c r="AN93" i="90"/>
  <c r="AN111" i="90" s="1"/>
  <c r="C82" i="90"/>
  <c r="B29" i="90" s="1"/>
  <c r="B28" i="90" s="1"/>
  <c r="AH79" i="90"/>
  <c r="AH78" i="90"/>
  <c r="AH77" i="90"/>
  <c r="AG67" i="90"/>
  <c r="AE67" i="90"/>
  <c r="AB67" i="90"/>
  <c r="AA67" i="90"/>
  <c r="Y67" i="90"/>
  <c r="X67" i="90"/>
  <c r="W67" i="90"/>
  <c r="U67" i="90"/>
  <c r="T67" i="90"/>
  <c r="S67" i="90"/>
  <c r="R67" i="90"/>
  <c r="Q67" i="90"/>
  <c r="P67" i="90"/>
  <c r="O67" i="90"/>
  <c r="N67" i="90"/>
  <c r="M67" i="90"/>
  <c r="L67" i="90"/>
  <c r="K67" i="90"/>
  <c r="J67" i="90"/>
  <c r="I67" i="90"/>
  <c r="H67" i="90"/>
  <c r="G67" i="90"/>
  <c r="F67" i="90"/>
  <c r="E67" i="90"/>
  <c r="D67" i="90"/>
  <c r="C67" i="90"/>
  <c r="AG66" i="90"/>
  <c r="AC66" i="90"/>
  <c r="Y66" i="90"/>
  <c r="W66" i="90"/>
  <c r="V66" i="90"/>
  <c r="U66" i="90"/>
  <c r="S66" i="90"/>
  <c r="R66" i="90"/>
  <c r="Q66" i="90"/>
  <c r="P66" i="90"/>
  <c r="O66" i="90"/>
  <c r="N66" i="90"/>
  <c r="M66" i="90"/>
  <c r="L66" i="90"/>
  <c r="K66" i="90"/>
  <c r="J66" i="90"/>
  <c r="I66" i="90"/>
  <c r="G66" i="90"/>
  <c r="F66" i="90"/>
  <c r="E66" i="90"/>
  <c r="D66" i="90"/>
  <c r="C66" i="90"/>
  <c r="AH65" i="90"/>
  <c r="AH58" i="90"/>
  <c r="AH57" i="90"/>
  <c r="AH56" i="90"/>
  <c r="AG55" i="90"/>
  <c r="AF55" i="90"/>
  <c r="AE55" i="90"/>
  <c r="AD55" i="90"/>
  <c r="AC55" i="90"/>
  <c r="AB55" i="90"/>
  <c r="AA55" i="90"/>
  <c r="Z55" i="90"/>
  <c r="Y55" i="90"/>
  <c r="X55" i="90"/>
  <c r="W55" i="90"/>
  <c r="V55" i="90"/>
  <c r="U55" i="90"/>
  <c r="T55" i="90"/>
  <c r="S55" i="90"/>
  <c r="R55" i="90"/>
  <c r="Q55" i="90"/>
  <c r="P55" i="90"/>
  <c r="L55" i="90"/>
  <c r="K55" i="90"/>
  <c r="J55" i="90"/>
  <c r="I55" i="90"/>
  <c r="H55" i="90"/>
  <c r="G55" i="90"/>
  <c r="F55" i="90"/>
  <c r="E55" i="90"/>
  <c r="D55" i="90"/>
  <c r="AH54" i="90"/>
  <c r="AH53" i="90"/>
  <c r="AH52" i="90"/>
  <c r="AH51" i="90"/>
  <c r="AH50" i="90"/>
  <c r="AH49" i="90"/>
  <c r="AH48" i="90"/>
  <c r="AH47" i="90"/>
  <c r="AH46" i="90"/>
  <c r="AH45" i="90"/>
  <c r="AH44" i="90"/>
  <c r="AG43" i="90"/>
  <c r="AF43" i="90"/>
  <c r="AE43" i="90"/>
  <c r="AD43" i="90"/>
  <c r="AC43" i="90"/>
  <c r="AB43" i="90"/>
  <c r="AA43" i="90"/>
  <c r="Z43" i="90"/>
  <c r="Y43" i="90"/>
  <c r="X43" i="90"/>
  <c r="W43" i="90"/>
  <c r="V43" i="90"/>
  <c r="U43" i="90"/>
  <c r="T43" i="90"/>
  <c r="S43" i="90"/>
  <c r="R43" i="90"/>
  <c r="Q43" i="90"/>
  <c r="P43" i="90"/>
  <c r="O43" i="90"/>
  <c r="O60" i="90" s="1"/>
  <c r="N43" i="90"/>
  <c r="N60" i="90" s="1"/>
  <c r="M43" i="90"/>
  <c r="M60" i="90" s="1"/>
  <c r="L43" i="90"/>
  <c r="K43" i="90"/>
  <c r="J43" i="90"/>
  <c r="I43" i="90"/>
  <c r="H43" i="90"/>
  <c r="G43" i="90"/>
  <c r="F43" i="90"/>
  <c r="E43" i="90"/>
  <c r="D43" i="90"/>
  <c r="C43" i="90"/>
  <c r="AH42" i="90"/>
  <c r="AG13" i="90"/>
  <c r="AF13" i="90"/>
  <c r="AE13" i="90"/>
  <c r="AD13" i="90"/>
  <c r="AC13" i="90"/>
  <c r="AB13" i="90"/>
  <c r="AA13" i="90"/>
  <c r="Z13" i="90"/>
  <c r="Y13" i="90"/>
  <c r="X13" i="90"/>
  <c r="W13" i="90"/>
  <c r="V13" i="90"/>
  <c r="U13" i="90"/>
  <c r="T13" i="90"/>
  <c r="S13" i="90"/>
  <c r="R13" i="90"/>
  <c r="Q13" i="90"/>
  <c r="P13" i="90"/>
  <c r="O13" i="90"/>
  <c r="N13" i="90"/>
  <c r="M13" i="90"/>
  <c r="L13" i="90"/>
  <c r="K13" i="90"/>
  <c r="J13" i="90"/>
  <c r="I13" i="90"/>
  <c r="H13" i="90"/>
  <c r="G13" i="90"/>
  <c r="F13" i="90"/>
  <c r="E13" i="90"/>
  <c r="D13" i="90"/>
  <c r="C13" i="90"/>
  <c r="AG12" i="90"/>
  <c r="AF12" i="90"/>
  <c r="AE12" i="90"/>
  <c r="AD12" i="90"/>
  <c r="AC12" i="90"/>
  <c r="AB12" i="90"/>
  <c r="AA12" i="90"/>
  <c r="Z12" i="90"/>
  <c r="Y12" i="90"/>
  <c r="X12" i="90"/>
  <c r="W12" i="90"/>
  <c r="V12" i="90"/>
  <c r="V10" i="90" s="1"/>
  <c r="U12" i="90"/>
  <c r="T12" i="90"/>
  <c r="S12" i="90"/>
  <c r="R12" i="90"/>
  <c r="Q12" i="90"/>
  <c r="P12" i="90"/>
  <c r="O12" i="90"/>
  <c r="N12" i="90"/>
  <c r="M12" i="90"/>
  <c r="L12" i="90"/>
  <c r="K12" i="90"/>
  <c r="J12" i="90"/>
  <c r="I12" i="90"/>
  <c r="H12" i="90"/>
  <c r="G12" i="90"/>
  <c r="F12" i="90"/>
  <c r="E12" i="90"/>
  <c r="D12" i="90"/>
  <c r="C12" i="90"/>
  <c r="AG11" i="90"/>
  <c r="AF11" i="90"/>
  <c r="AE11" i="90"/>
  <c r="AD11" i="90"/>
  <c r="AC11" i="90"/>
  <c r="AB11" i="90"/>
  <c r="AA11" i="90"/>
  <c r="Z11" i="90"/>
  <c r="Y11" i="90"/>
  <c r="X11" i="90"/>
  <c r="W11" i="90"/>
  <c r="V11" i="90"/>
  <c r="U11" i="90"/>
  <c r="T11" i="90"/>
  <c r="S11" i="90"/>
  <c r="R11" i="90"/>
  <c r="Q11" i="90"/>
  <c r="P11" i="90"/>
  <c r="O11" i="90"/>
  <c r="N11" i="90"/>
  <c r="M11" i="90"/>
  <c r="L11" i="90"/>
  <c r="K11" i="90"/>
  <c r="J11" i="90"/>
  <c r="I11" i="90"/>
  <c r="H11" i="90"/>
  <c r="G11" i="90"/>
  <c r="F11" i="90"/>
  <c r="E11" i="90"/>
  <c r="D11" i="90"/>
  <c r="C11" i="90"/>
  <c r="H48" i="89"/>
  <c r="H68" i="89"/>
  <c r="I68" i="89" s="1"/>
  <c r="N82" i="89"/>
  <c r="I82" i="89"/>
  <c r="W78" i="89"/>
  <c r="N75" i="89"/>
  <c r="W73" i="89"/>
  <c r="S73" i="89"/>
  <c r="R73" i="89"/>
  <c r="Q73" i="89"/>
  <c r="P73" i="89"/>
  <c r="O73" i="89"/>
  <c r="M73" i="89"/>
  <c r="L73" i="89"/>
  <c r="K73" i="89"/>
  <c r="J73" i="89"/>
  <c r="G73" i="89"/>
  <c r="F73" i="89"/>
  <c r="D73" i="89"/>
  <c r="C73" i="89"/>
  <c r="N71" i="89"/>
  <c r="I71" i="89"/>
  <c r="N70" i="89"/>
  <c r="I70" i="89"/>
  <c r="N69" i="89"/>
  <c r="I69" i="89"/>
  <c r="N68" i="89"/>
  <c r="N67" i="89"/>
  <c r="I67" i="89"/>
  <c r="N66" i="89"/>
  <c r="I66" i="89"/>
  <c r="N65" i="89"/>
  <c r="I65" i="89"/>
  <c r="N64" i="89"/>
  <c r="I64" i="89"/>
  <c r="N63" i="89"/>
  <c r="I63" i="89"/>
  <c r="N62" i="89"/>
  <c r="I62" i="89"/>
  <c r="N61" i="89"/>
  <c r="I61" i="89"/>
  <c r="N60" i="89"/>
  <c r="I60" i="89"/>
  <c r="N59" i="89"/>
  <c r="I59" i="89"/>
  <c r="N58" i="89"/>
  <c r="I58" i="89"/>
  <c r="N57" i="89"/>
  <c r="I57" i="89"/>
  <c r="N56" i="89"/>
  <c r="I56" i="89"/>
  <c r="N55" i="89"/>
  <c r="I55" i="89"/>
  <c r="N54" i="89"/>
  <c r="I54" i="89"/>
  <c r="N53" i="89"/>
  <c r="I53" i="89"/>
  <c r="N52" i="89"/>
  <c r="I52" i="89"/>
  <c r="N51" i="89"/>
  <c r="I51" i="89"/>
  <c r="N50" i="89"/>
  <c r="I50" i="89"/>
  <c r="N49" i="89"/>
  <c r="I49" i="89"/>
  <c r="N48" i="89"/>
  <c r="N47" i="89"/>
  <c r="I47" i="89"/>
  <c r="N46" i="89"/>
  <c r="I46" i="89"/>
  <c r="N45" i="89"/>
  <c r="I45" i="89"/>
  <c r="N44" i="89"/>
  <c r="I44" i="89"/>
  <c r="N43" i="89"/>
  <c r="N42" i="89"/>
  <c r="I42" i="89"/>
  <c r="N41" i="89"/>
  <c r="I41" i="89"/>
  <c r="N40" i="89"/>
  <c r="I40" i="89"/>
  <c r="N39" i="89"/>
  <c r="I39" i="89"/>
  <c r="N38" i="89"/>
  <c r="I38" i="89"/>
  <c r="N37" i="89"/>
  <c r="I37" i="89"/>
  <c r="N36" i="89"/>
  <c r="I36" i="89"/>
  <c r="N35" i="89"/>
  <c r="I35" i="89"/>
  <c r="N34" i="89"/>
  <c r="I34" i="89"/>
  <c r="N33" i="89"/>
  <c r="I33" i="89"/>
  <c r="N32" i="89"/>
  <c r="I32" i="89"/>
  <c r="N31" i="89"/>
  <c r="I31" i="89"/>
  <c r="N30" i="89"/>
  <c r="I30" i="89"/>
  <c r="N29" i="89"/>
  <c r="I29" i="89"/>
  <c r="N28" i="89"/>
  <c r="I28" i="89"/>
  <c r="N27" i="89"/>
  <c r="I27" i="89"/>
  <c r="N26" i="89"/>
  <c r="I26" i="89"/>
  <c r="N25" i="89"/>
  <c r="I25" i="89"/>
  <c r="N24" i="89"/>
  <c r="I24" i="89"/>
  <c r="N23" i="89"/>
  <c r="I23" i="89"/>
  <c r="N22" i="89"/>
  <c r="I22" i="89"/>
  <c r="N21" i="89"/>
  <c r="I21" i="89"/>
  <c r="N20" i="89"/>
  <c r="I20" i="89"/>
  <c r="N19" i="89"/>
  <c r="I19" i="89"/>
  <c r="N18" i="89"/>
  <c r="I18" i="89"/>
  <c r="N17" i="89"/>
  <c r="I17" i="89"/>
  <c r="N16" i="89"/>
  <c r="I16" i="89"/>
  <c r="N15" i="89"/>
  <c r="I15" i="89"/>
  <c r="N14" i="89"/>
  <c r="I14" i="89"/>
  <c r="N13" i="89"/>
  <c r="N12" i="89"/>
  <c r="I12" i="89"/>
  <c r="N11" i="89"/>
  <c r="N10" i="89"/>
  <c r="I10" i="89"/>
  <c r="G1010" i="41"/>
  <c r="F10" i="90" l="1"/>
  <c r="R10" i="90"/>
  <c r="H73" i="89"/>
  <c r="J10" i="90"/>
  <c r="Z10" i="90"/>
  <c r="C15" i="91"/>
  <c r="B144" i="90"/>
  <c r="W76" i="89"/>
  <c r="X77" i="89" s="1"/>
  <c r="N10" i="90"/>
  <c r="AD10" i="90"/>
  <c r="AH74" i="90"/>
  <c r="C10" i="90"/>
  <c r="G10" i="90"/>
  <c r="K10" i="90"/>
  <c r="O10" i="90"/>
  <c r="S10" i="90"/>
  <c r="W10" i="90"/>
  <c r="AA10" i="90"/>
  <c r="AE10" i="90"/>
  <c r="E10" i="90"/>
  <c r="I10" i="90"/>
  <c r="M10" i="90"/>
  <c r="Q10" i="90"/>
  <c r="U10" i="90"/>
  <c r="Y10" i="90"/>
  <c r="AC10" i="90"/>
  <c r="AG10" i="90"/>
  <c r="D10" i="90"/>
  <c r="H10" i="90"/>
  <c r="L10" i="90"/>
  <c r="P10" i="90"/>
  <c r="T10" i="90"/>
  <c r="X10" i="90"/>
  <c r="AB10" i="90"/>
  <c r="AF10" i="90"/>
  <c r="B209" i="90"/>
  <c r="G237" i="90"/>
  <c r="K237" i="90"/>
  <c r="O237" i="90"/>
  <c r="S237" i="90"/>
  <c r="W237" i="90"/>
  <c r="AA237" i="90"/>
  <c r="AH288" i="90"/>
  <c r="W69" i="89"/>
  <c r="AH159" i="90"/>
  <c r="D174" i="90"/>
  <c r="H174" i="90"/>
  <c r="L174" i="90"/>
  <c r="P174" i="90"/>
  <c r="T174" i="90"/>
  <c r="X174" i="90"/>
  <c r="C54" i="91"/>
  <c r="C56" i="91" s="1"/>
  <c r="D17" i="91" s="1"/>
  <c r="D15" i="91" s="1"/>
  <c r="D54" i="91" s="1"/>
  <c r="D56" i="91" s="1"/>
  <c r="E17" i="91" s="1"/>
  <c r="E15" i="91" s="1"/>
  <c r="E54" i="91" s="1"/>
  <c r="E56" i="91" s="1"/>
  <c r="F17" i="91" s="1"/>
  <c r="F15" i="91" s="1"/>
  <c r="F54" i="91" s="1"/>
  <c r="F56" i="91" s="1"/>
  <c r="G17" i="91" s="1"/>
  <c r="G15" i="91" s="1"/>
  <c r="G54" i="91" s="1"/>
  <c r="G56" i="91" s="1"/>
  <c r="H17" i="91" s="1"/>
  <c r="H15" i="91" s="1"/>
  <c r="H54" i="91" s="1"/>
  <c r="H56" i="91" s="1"/>
  <c r="N73" i="89"/>
  <c r="I48" i="89"/>
  <c r="I73" i="89" s="1"/>
  <c r="T66" i="90"/>
  <c r="E174" i="90"/>
  <c r="I174" i="90"/>
  <c r="M174" i="90"/>
  <c r="U174" i="90"/>
  <c r="Y174" i="90"/>
  <c r="AC174" i="90"/>
  <c r="AH224" i="90"/>
  <c r="L237" i="90"/>
  <c r="P237" i="90"/>
  <c r="X237" i="90"/>
  <c r="AB237" i="90"/>
  <c r="AH75" i="90"/>
  <c r="C174" i="90"/>
  <c r="G174" i="90"/>
  <c r="K174" i="90"/>
  <c r="O174" i="90"/>
  <c r="S174" i="90"/>
  <c r="W174" i="90"/>
  <c r="AA174" i="90"/>
  <c r="AE174" i="90"/>
  <c r="J237" i="90"/>
  <c r="N237" i="90"/>
  <c r="R237" i="90"/>
  <c r="V237" i="90"/>
  <c r="Z237" i="90"/>
  <c r="AD237" i="90"/>
  <c r="X72" i="89"/>
  <c r="J174" i="90"/>
  <c r="N174" i="90"/>
  <c r="R174" i="90"/>
  <c r="V174" i="90"/>
  <c r="Z174" i="90"/>
  <c r="AD174" i="90"/>
  <c r="E237" i="90"/>
  <c r="I237" i="90"/>
  <c r="M237" i="90"/>
  <c r="Q237" i="90"/>
  <c r="U237" i="90"/>
  <c r="Y237" i="90"/>
  <c r="AC237" i="90"/>
  <c r="G1836" i="41"/>
  <c r="AH43" i="90"/>
  <c r="T237" i="90"/>
  <c r="G1824" i="41"/>
  <c r="H237" i="90"/>
  <c r="F174" i="90"/>
  <c r="F237" i="90"/>
  <c r="D237" i="90"/>
  <c r="AG237" i="90"/>
  <c r="J60" i="90"/>
  <c r="D60" i="90"/>
  <c r="L60" i="90"/>
  <c r="K60" i="90"/>
  <c r="I60" i="90"/>
  <c r="H60" i="90"/>
  <c r="C301" i="90"/>
  <c r="D301" i="90"/>
  <c r="E301" i="90"/>
  <c r="F301" i="90"/>
  <c r="G301" i="90"/>
  <c r="H301" i="90"/>
  <c r="I301" i="90"/>
  <c r="J301" i="90"/>
  <c r="K301" i="90"/>
  <c r="L301" i="90"/>
  <c r="M301" i="90"/>
  <c r="N301" i="90"/>
  <c r="O301" i="90"/>
  <c r="P301" i="90"/>
  <c r="Q301" i="90"/>
  <c r="R301" i="90"/>
  <c r="S301" i="90"/>
  <c r="T301" i="90"/>
  <c r="U301" i="90"/>
  <c r="V301" i="90"/>
  <c r="W301" i="90"/>
  <c r="X301" i="90"/>
  <c r="Y301" i="90"/>
  <c r="Z301" i="90"/>
  <c r="AA301" i="90"/>
  <c r="AB301" i="90"/>
  <c r="AC301" i="90"/>
  <c r="AD301" i="90"/>
  <c r="AE301" i="90"/>
  <c r="AF301" i="90"/>
  <c r="AG301" i="90"/>
  <c r="AF237" i="90"/>
  <c r="AE237" i="90"/>
  <c r="C237" i="90"/>
  <c r="AB174" i="90"/>
  <c r="Q174" i="90"/>
  <c r="P60" i="90"/>
  <c r="Q60" i="90"/>
  <c r="R60" i="90"/>
  <c r="S60" i="90"/>
  <c r="T60" i="90"/>
  <c r="U60" i="90"/>
  <c r="V60" i="90"/>
  <c r="W60" i="90"/>
  <c r="X60" i="90"/>
  <c r="Y60" i="90"/>
  <c r="Z60" i="90"/>
  <c r="AA60" i="90"/>
  <c r="AB60" i="90"/>
  <c r="AC60" i="90"/>
  <c r="AD60" i="90"/>
  <c r="AE60" i="90"/>
  <c r="AF60" i="90"/>
  <c r="AG60" i="90"/>
  <c r="F60" i="90"/>
  <c r="G60" i="90"/>
  <c r="E60" i="90"/>
  <c r="AI45" i="90"/>
  <c r="C60" i="90"/>
  <c r="AH55" i="90"/>
  <c r="AP93" i="90"/>
  <c r="AF174" i="90"/>
  <c r="AG174" i="90"/>
  <c r="P45" i="88"/>
  <c r="G984" i="41"/>
  <c r="C107" i="84"/>
  <c r="AH10" i="90" l="1"/>
  <c r="W67" i="89"/>
  <c r="X68" i="89" s="1"/>
  <c r="G988" i="41"/>
  <c r="G45" i="88" l="1"/>
  <c r="G985" i="41" l="1"/>
  <c r="G977" i="41"/>
  <c r="I28" i="86" l="1"/>
  <c r="I20" i="86"/>
  <c r="AH45" i="88"/>
  <c r="I22" i="86"/>
  <c r="I24" i="86"/>
  <c r="I32" i="86"/>
  <c r="I36" i="86"/>
  <c r="I38" i="86"/>
  <c r="I42" i="86"/>
  <c r="I48" i="86"/>
  <c r="I56" i="86"/>
  <c r="I58" i="86"/>
  <c r="I60" i="86"/>
  <c r="I70" i="86"/>
  <c r="G969" i="41"/>
  <c r="G1780" i="41"/>
  <c r="G1782" i="41" s="1"/>
  <c r="G1772" i="41"/>
  <c r="G1785" i="41"/>
  <c r="G1787" i="41" s="1"/>
  <c r="G1744" i="41"/>
  <c r="G1756" i="41"/>
  <c r="G1755" i="41"/>
  <c r="G1754" i="41"/>
  <c r="G1753" i="41"/>
  <c r="G1752" i="41"/>
  <c r="G1743" i="41"/>
  <c r="G1742" i="41"/>
  <c r="G1741" i="41"/>
  <c r="G1731" i="41"/>
  <c r="G1734" i="41" s="1"/>
  <c r="I78" i="86"/>
  <c r="G948" i="41"/>
  <c r="H74" i="88"/>
  <c r="H66" i="88" s="1"/>
  <c r="O74" i="88"/>
  <c r="O66" i="88" s="1"/>
  <c r="AF74" i="88"/>
  <c r="B318" i="88"/>
  <c r="AH315" i="88"/>
  <c r="AG309" i="88"/>
  <c r="AF309" i="88"/>
  <c r="AE309" i="88"/>
  <c r="AD309" i="88"/>
  <c r="AC309" i="88"/>
  <c r="AB309" i="88"/>
  <c r="AA309" i="88"/>
  <c r="Z309" i="88"/>
  <c r="Y309" i="88"/>
  <c r="X309" i="88"/>
  <c r="W309" i="88"/>
  <c r="V309" i="88"/>
  <c r="U309" i="88"/>
  <c r="T309" i="88"/>
  <c r="S309" i="88"/>
  <c r="R309" i="88"/>
  <c r="Q309" i="88"/>
  <c r="P309" i="88"/>
  <c r="O309" i="88"/>
  <c r="N309" i="88"/>
  <c r="M309" i="88"/>
  <c r="L309" i="88"/>
  <c r="K309" i="88"/>
  <c r="J309" i="88"/>
  <c r="I309" i="88"/>
  <c r="H309" i="88"/>
  <c r="G309" i="88"/>
  <c r="F309" i="88"/>
  <c r="E309" i="88"/>
  <c r="D309" i="88"/>
  <c r="C309" i="88"/>
  <c r="AG308" i="88"/>
  <c r="AF308" i="88"/>
  <c r="AE308" i="88"/>
  <c r="AD308" i="88"/>
  <c r="AC308" i="88"/>
  <c r="AB308" i="88"/>
  <c r="AA308" i="88"/>
  <c r="Z308" i="88"/>
  <c r="Y308" i="88"/>
  <c r="X308" i="88"/>
  <c r="W308" i="88"/>
  <c r="V308" i="88"/>
  <c r="U308" i="88"/>
  <c r="T308" i="88"/>
  <c r="S308" i="88"/>
  <c r="R308" i="88"/>
  <c r="Q308" i="88"/>
  <c r="P308" i="88"/>
  <c r="O308" i="88"/>
  <c r="N308" i="88"/>
  <c r="M308" i="88"/>
  <c r="L308" i="88"/>
  <c r="K308" i="88"/>
  <c r="J308" i="88"/>
  <c r="I308" i="88"/>
  <c r="H308" i="88"/>
  <c r="G308" i="88"/>
  <c r="F308" i="88"/>
  <c r="E308" i="88"/>
  <c r="D308" i="88"/>
  <c r="C308" i="88"/>
  <c r="AH299" i="88"/>
  <c r="AG297" i="88"/>
  <c r="AF297" i="88"/>
  <c r="AE297" i="88"/>
  <c r="AD297" i="88"/>
  <c r="AC297" i="88"/>
  <c r="AB297" i="88"/>
  <c r="AA297" i="88"/>
  <c r="Z297" i="88"/>
  <c r="Y297" i="88"/>
  <c r="X297" i="88"/>
  <c r="W297" i="88"/>
  <c r="V297" i="88"/>
  <c r="U297" i="88"/>
  <c r="T297" i="88"/>
  <c r="S297" i="88"/>
  <c r="R297" i="88"/>
  <c r="Q297" i="88"/>
  <c r="P297" i="88"/>
  <c r="O297" i="88"/>
  <c r="N297" i="88"/>
  <c r="M297" i="88"/>
  <c r="L297" i="88"/>
  <c r="K297" i="88"/>
  <c r="J297" i="88"/>
  <c r="I297" i="88"/>
  <c r="H297" i="88"/>
  <c r="G297" i="88"/>
  <c r="F297" i="88"/>
  <c r="E297" i="88"/>
  <c r="D297" i="88"/>
  <c r="C297" i="88"/>
  <c r="AH293" i="88"/>
  <c r="AH292" i="88"/>
  <c r="AH291" i="88"/>
  <c r="AH290" i="88"/>
  <c r="AG289" i="88"/>
  <c r="AF289" i="88"/>
  <c r="AE289" i="88"/>
  <c r="AD289" i="88"/>
  <c r="AC289" i="88"/>
  <c r="AB289" i="88"/>
  <c r="AA289" i="88"/>
  <c r="Z289" i="88"/>
  <c r="Y289" i="88"/>
  <c r="X289" i="88"/>
  <c r="W289" i="88"/>
  <c r="V289" i="88"/>
  <c r="U289" i="88"/>
  <c r="T289" i="88"/>
  <c r="S289" i="88"/>
  <c r="R289" i="88"/>
  <c r="Q289" i="88"/>
  <c r="P289" i="88"/>
  <c r="O289" i="88"/>
  <c r="N289" i="88"/>
  <c r="M289" i="88"/>
  <c r="L289" i="88"/>
  <c r="K289" i="88"/>
  <c r="J289" i="88"/>
  <c r="I289" i="88"/>
  <c r="H289" i="88"/>
  <c r="G289" i="88"/>
  <c r="F289" i="88"/>
  <c r="E289" i="88"/>
  <c r="D289" i="88"/>
  <c r="C289" i="88"/>
  <c r="B276" i="88"/>
  <c r="B275" i="88"/>
  <c r="B274" i="88"/>
  <c r="B254" i="88"/>
  <c r="AH253" i="88"/>
  <c r="AH251" i="88"/>
  <c r="AG245" i="88"/>
  <c r="AF245" i="88"/>
  <c r="AE245" i="88"/>
  <c r="AD245" i="88"/>
  <c r="AC245" i="88"/>
  <c r="AB245" i="88"/>
  <c r="AA245" i="88"/>
  <c r="Z245" i="88"/>
  <c r="Y245" i="88"/>
  <c r="X245" i="88"/>
  <c r="W245" i="88"/>
  <c r="V245" i="88"/>
  <c r="U245" i="88"/>
  <c r="T245" i="88"/>
  <c r="S245" i="88"/>
  <c r="R245" i="88"/>
  <c r="Q245" i="88"/>
  <c r="P245" i="88"/>
  <c r="O245" i="88"/>
  <c r="N245" i="88"/>
  <c r="M245" i="88"/>
  <c r="L245" i="88"/>
  <c r="K245" i="88"/>
  <c r="J245" i="88"/>
  <c r="I245" i="88"/>
  <c r="H245" i="88"/>
  <c r="G245" i="88"/>
  <c r="F245" i="88"/>
  <c r="E245" i="88"/>
  <c r="D245" i="88"/>
  <c r="C245" i="88"/>
  <c r="AG244" i="88"/>
  <c r="AF244" i="88"/>
  <c r="AE244" i="88"/>
  <c r="AD244" i="88"/>
  <c r="AC244" i="88"/>
  <c r="AB244" i="88"/>
  <c r="AA244" i="88"/>
  <c r="Z244" i="88"/>
  <c r="Y244" i="88"/>
  <c r="X244" i="88"/>
  <c r="W244" i="88"/>
  <c r="V244" i="88"/>
  <c r="U244" i="88"/>
  <c r="T244" i="88"/>
  <c r="S244" i="88"/>
  <c r="R244" i="88"/>
  <c r="Q244" i="88"/>
  <c r="P244" i="88"/>
  <c r="O244" i="88"/>
  <c r="N244" i="88"/>
  <c r="M244" i="88"/>
  <c r="L244" i="88"/>
  <c r="K244" i="88"/>
  <c r="J244" i="88"/>
  <c r="I244" i="88"/>
  <c r="H244" i="88"/>
  <c r="G244" i="88"/>
  <c r="F244" i="88"/>
  <c r="E244" i="88"/>
  <c r="D244" i="88"/>
  <c r="C244" i="88"/>
  <c r="AH235" i="88"/>
  <c r="AG233" i="88"/>
  <c r="AF233" i="88"/>
  <c r="AE233" i="88"/>
  <c r="AD233" i="88"/>
  <c r="AC233" i="88"/>
  <c r="AB233" i="88"/>
  <c r="AA233" i="88"/>
  <c r="Z233" i="88"/>
  <c r="Y233" i="88"/>
  <c r="X233" i="88"/>
  <c r="W233" i="88"/>
  <c r="V233" i="88"/>
  <c r="U233" i="88"/>
  <c r="T233" i="88"/>
  <c r="S233" i="88"/>
  <c r="R233" i="88"/>
  <c r="Q233" i="88"/>
  <c r="P233" i="88"/>
  <c r="O233" i="88"/>
  <c r="N233" i="88"/>
  <c r="M233" i="88"/>
  <c r="L233" i="88"/>
  <c r="K233" i="88"/>
  <c r="J233" i="88"/>
  <c r="I233" i="88"/>
  <c r="H233" i="88"/>
  <c r="G233" i="88"/>
  <c r="F233" i="88"/>
  <c r="E233" i="88"/>
  <c r="D233" i="88"/>
  <c r="C233" i="88"/>
  <c r="AH229" i="88"/>
  <c r="AH228" i="88"/>
  <c r="AH227" i="88"/>
  <c r="AH226" i="88"/>
  <c r="AG225" i="88"/>
  <c r="AF225" i="88"/>
  <c r="AE225" i="88"/>
  <c r="AD225" i="88"/>
  <c r="AC225" i="88"/>
  <c r="AB225" i="88"/>
  <c r="AA225" i="88"/>
  <c r="Z225" i="88"/>
  <c r="Y225" i="88"/>
  <c r="X225" i="88"/>
  <c r="W225" i="88"/>
  <c r="V225" i="88"/>
  <c r="U225" i="88"/>
  <c r="T225" i="88"/>
  <c r="S225" i="88"/>
  <c r="R225" i="88"/>
  <c r="Q225" i="88"/>
  <c r="P225" i="88"/>
  <c r="O225" i="88"/>
  <c r="N225" i="88"/>
  <c r="M225" i="88"/>
  <c r="L225" i="88"/>
  <c r="K225" i="88"/>
  <c r="J225" i="88"/>
  <c r="I225" i="88"/>
  <c r="H225" i="88"/>
  <c r="G225" i="88"/>
  <c r="F225" i="88"/>
  <c r="E225" i="88"/>
  <c r="D225" i="88"/>
  <c r="C225" i="88"/>
  <c r="B212" i="88"/>
  <c r="B211" i="88"/>
  <c r="B191" i="88"/>
  <c r="AG182" i="88"/>
  <c r="AF182" i="88"/>
  <c r="AE182" i="88"/>
  <c r="AD182" i="88"/>
  <c r="AC182" i="88"/>
  <c r="AB182" i="88"/>
  <c r="AA182" i="88"/>
  <c r="Z182" i="88"/>
  <c r="Y182" i="88"/>
  <c r="X182" i="88"/>
  <c r="W182" i="88"/>
  <c r="V182" i="88"/>
  <c r="U182" i="88"/>
  <c r="T182" i="88"/>
  <c r="S182" i="88"/>
  <c r="R182" i="88"/>
  <c r="Q182" i="88"/>
  <c r="P182" i="88"/>
  <c r="O182" i="88"/>
  <c r="N182" i="88"/>
  <c r="M182" i="88"/>
  <c r="L182" i="88"/>
  <c r="K182" i="88"/>
  <c r="J182" i="88"/>
  <c r="I182" i="88"/>
  <c r="H182" i="88"/>
  <c r="G182" i="88"/>
  <c r="F182" i="88"/>
  <c r="E182" i="88"/>
  <c r="D182" i="88"/>
  <c r="C182" i="88"/>
  <c r="AG181" i="88"/>
  <c r="AF181" i="88"/>
  <c r="AE181" i="88"/>
  <c r="AD181" i="88"/>
  <c r="AC181" i="88"/>
  <c r="AB181" i="88"/>
  <c r="AA181" i="88"/>
  <c r="Z181" i="88"/>
  <c r="Y181" i="88"/>
  <c r="X181" i="88"/>
  <c r="W181" i="88"/>
  <c r="V181" i="88"/>
  <c r="U181" i="88"/>
  <c r="T181" i="88"/>
  <c r="S181" i="88"/>
  <c r="R181" i="88"/>
  <c r="Q181" i="88"/>
  <c r="P181" i="88"/>
  <c r="O181" i="88"/>
  <c r="N181" i="88"/>
  <c r="M181" i="88"/>
  <c r="L181" i="88"/>
  <c r="K181" i="88"/>
  <c r="J181" i="88"/>
  <c r="I181" i="88"/>
  <c r="H181" i="88"/>
  <c r="G181" i="88"/>
  <c r="F181" i="88"/>
  <c r="E181" i="88"/>
  <c r="D181" i="88"/>
  <c r="C181" i="88"/>
  <c r="AH172" i="88"/>
  <c r="AG170" i="88"/>
  <c r="AF170" i="88"/>
  <c r="AE170" i="88"/>
  <c r="AD170" i="88"/>
  <c r="AC170" i="88"/>
  <c r="AB170" i="88"/>
  <c r="AA170" i="88"/>
  <c r="Z170" i="88"/>
  <c r="Y170" i="88"/>
  <c r="X170" i="88"/>
  <c r="W170" i="88"/>
  <c r="V170" i="88"/>
  <c r="U170" i="88"/>
  <c r="T170" i="88"/>
  <c r="S170" i="88"/>
  <c r="R170" i="88"/>
  <c r="Q170" i="88"/>
  <c r="P170" i="88"/>
  <c r="O170" i="88"/>
  <c r="N170" i="88"/>
  <c r="M170" i="88"/>
  <c r="L170" i="88"/>
  <c r="K170" i="88"/>
  <c r="J170" i="88"/>
  <c r="I170" i="88"/>
  <c r="H170" i="88"/>
  <c r="G170" i="88"/>
  <c r="F170" i="88"/>
  <c r="E170" i="88"/>
  <c r="D170" i="88"/>
  <c r="C170" i="88"/>
  <c r="AH168" i="88"/>
  <c r="AH167" i="88"/>
  <c r="AH166" i="88"/>
  <c r="AH165" i="88"/>
  <c r="AH164" i="88"/>
  <c r="AH163" i="88"/>
  <c r="AH162" i="88"/>
  <c r="AH161" i="88"/>
  <c r="AG160" i="88"/>
  <c r="AF160" i="88"/>
  <c r="AE160" i="88"/>
  <c r="AD160" i="88"/>
  <c r="AC160" i="88"/>
  <c r="AB160" i="88"/>
  <c r="AA160" i="88"/>
  <c r="Z160" i="88"/>
  <c r="Y160" i="88"/>
  <c r="X160" i="88"/>
  <c r="W160" i="88"/>
  <c r="V160" i="88"/>
  <c r="U160" i="88"/>
  <c r="T160" i="88"/>
  <c r="S160" i="88"/>
  <c r="R160" i="88"/>
  <c r="Q160" i="88"/>
  <c r="P160" i="88"/>
  <c r="O160" i="88"/>
  <c r="N160" i="88"/>
  <c r="M160" i="88"/>
  <c r="L160" i="88"/>
  <c r="K160" i="88"/>
  <c r="J160" i="88"/>
  <c r="I160" i="88"/>
  <c r="H160" i="88"/>
  <c r="G160" i="88"/>
  <c r="F160" i="88"/>
  <c r="E160" i="88"/>
  <c r="D160" i="88"/>
  <c r="C160" i="88"/>
  <c r="B147" i="88"/>
  <c r="B145" i="88" s="1"/>
  <c r="B146" i="88"/>
  <c r="AN93" i="88"/>
  <c r="AN112" i="88" s="1"/>
  <c r="C82" i="88"/>
  <c r="B29" i="88" s="1"/>
  <c r="B28" i="88" s="1"/>
  <c r="AH79" i="88"/>
  <c r="AH78" i="88"/>
  <c r="AH77" i="88"/>
  <c r="AH75" i="88"/>
  <c r="AG67" i="88"/>
  <c r="AF67" i="88"/>
  <c r="AE67" i="88"/>
  <c r="AD67" i="88"/>
  <c r="AC67" i="88"/>
  <c r="AB67" i="88"/>
  <c r="AA67" i="88"/>
  <c r="Z67" i="88"/>
  <c r="Y67" i="88"/>
  <c r="X67" i="88"/>
  <c r="W67" i="88"/>
  <c r="V67" i="88"/>
  <c r="U67" i="88"/>
  <c r="T67" i="88"/>
  <c r="S67" i="88"/>
  <c r="R67" i="88"/>
  <c r="Q67" i="88"/>
  <c r="P67" i="88"/>
  <c r="O67" i="88"/>
  <c r="N67" i="88"/>
  <c r="M67" i="88"/>
  <c r="L67" i="88"/>
  <c r="K67" i="88"/>
  <c r="J67" i="88"/>
  <c r="I67" i="88"/>
  <c r="H67" i="88"/>
  <c r="G67" i="88"/>
  <c r="F67" i="88"/>
  <c r="E67" i="88"/>
  <c r="D67" i="88"/>
  <c r="C67" i="88"/>
  <c r="AG66" i="88"/>
  <c r="AF66" i="88"/>
  <c r="AE66" i="88"/>
  <c r="AD66" i="88"/>
  <c r="AC66" i="88"/>
  <c r="AB66" i="88"/>
  <c r="AA66" i="88"/>
  <c r="Z66" i="88"/>
  <c r="Y66" i="88"/>
  <c r="X66" i="88"/>
  <c r="W66" i="88"/>
  <c r="V66" i="88"/>
  <c r="U66" i="88"/>
  <c r="T66" i="88"/>
  <c r="S66" i="88"/>
  <c r="R66" i="88"/>
  <c r="Q66" i="88"/>
  <c r="P66" i="88"/>
  <c r="N66" i="88"/>
  <c r="M66" i="88"/>
  <c r="L66" i="88"/>
  <c r="K66" i="88"/>
  <c r="J66" i="88"/>
  <c r="I66" i="88"/>
  <c r="G66" i="88"/>
  <c r="F66" i="88"/>
  <c r="E66" i="88"/>
  <c r="D66" i="88"/>
  <c r="C66" i="88"/>
  <c r="AH65" i="88"/>
  <c r="AH58" i="88"/>
  <c r="AH57" i="88"/>
  <c r="AH56" i="88"/>
  <c r="AG55" i="88"/>
  <c r="AF55" i="88"/>
  <c r="AE55" i="88"/>
  <c r="AD55" i="88"/>
  <c r="AC55" i="88"/>
  <c r="AB55" i="88"/>
  <c r="AA55" i="88"/>
  <c r="Z55" i="88"/>
  <c r="Y55" i="88"/>
  <c r="X55" i="88"/>
  <c r="W55" i="88"/>
  <c r="V55" i="88"/>
  <c r="U55" i="88"/>
  <c r="T55" i="88"/>
  <c r="S55" i="88"/>
  <c r="R55" i="88"/>
  <c r="Q55" i="88"/>
  <c r="P55" i="88"/>
  <c r="L55" i="88"/>
  <c r="K55" i="88"/>
  <c r="J55" i="88"/>
  <c r="I55" i="88"/>
  <c r="H55" i="88"/>
  <c r="G55" i="88"/>
  <c r="F55" i="88"/>
  <c r="E55" i="88"/>
  <c r="D55" i="88"/>
  <c r="C55" i="88"/>
  <c r="AH54" i="88"/>
  <c r="AH53" i="88"/>
  <c r="AH52" i="88"/>
  <c r="AH51" i="88"/>
  <c r="AH50" i="88"/>
  <c r="AH49" i="88"/>
  <c r="AH48" i="88"/>
  <c r="AH47" i="88"/>
  <c r="AH46" i="88"/>
  <c r="AH44" i="88"/>
  <c r="AG43" i="88"/>
  <c r="AF43" i="88"/>
  <c r="AE43" i="88"/>
  <c r="AD43" i="88"/>
  <c r="AC43" i="88"/>
  <c r="AB43" i="88"/>
  <c r="AA43" i="88"/>
  <c r="Z43" i="88"/>
  <c r="Y43" i="88"/>
  <c r="X43" i="88"/>
  <c r="W43" i="88"/>
  <c r="V43" i="88"/>
  <c r="U43" i="88"/>
  <c r="T43" i="88"/>
  <c r="S43" i="88"/>
  <c r="R43" i="88"/>
  <c r="Q43" i="88"/>
  <c r="P43" i="88"/>
  <c r="O43" i="88"/>
  <c r="O60" i="88" s="1"/>
  <c r="N43" i="88"/>
  <c r="N60" i="88" s="1"/>
  <c r="M43" i="88"/>
  <c r="M60" i="88" s="1"/>
  <c r="L43" i="88"/>
  <c r="K43" i="88"/>
  <c r="J43" i="88"/>
  <c r="I43" i="88"/>
  <c r="H43" i="88"/>
  <c r="G43" i="88"/>
  <c r="F43" i="88"/>
  <c r="E43" i="88"/>
  <c r="D43" i="88"/>
  <c r="C43" i="88"/>
  <c r="AH42" i="88"/>
  <c r="AG13" i="88"/>
  <c r="AF13" i="88"/>
  <c r="AE13" i="88"/>
  <c r="AD13" i="88"/>
  <c r="AC13" i="88"/>
  <c r="AB13" i="88"/>
  <c r="AA13" i="88"/>
  <c r="Z13" i="88"/>
  <c r="Y13" i="88"/>
  <c r="X13" i="88"/>
  <c r="W13" i="88"/>
  <c r="V13" i="88"/>
  <c r="U13" i="88"/>
  <c r="T13" i="88"/>
  <c r="S13" i="88"/>
  <c r="R13" i="88"/>
  <c r="Q13" i="88"/>
  <c r="P13" i="88"/>
  <c r="O13" i="88"/>
  <c r="N13" i="88"/>
  <c r="M13" i="88"/>
  <c r="L13" i="88"/>
  <c r="K13" i="88"/>
  <c r="J13" i="88"/>
  <c r="I13" i="88"/>
  <c r="H13" i="88"/>
  <c r="G13" i="88"/>
  <c r="F13" i="88"/>
  <c r="E13" i="88"/>
  <c r="D13" i="88"/>
  <c r="C13" i="88"/>
  <c r="AG12" i="88"/>
  <c r="AF12" i="88"/>
  <c r="AE12" i="88"/>
  <c r="AD12" i="88"/>
  <c r="AC12" i="88"/>
  <c r="AB12" i="88"/>
  <c r="AA12" i="88"/>
  <c r="Z12" i="88"/>
  <c r="Y12" i="88"/>
  <c r="X12" i="88"/>
  <c r="W12" i="88"/>
  <c r="V12" i="88"/>
  <c r="U12" i="88"/>
  <c r="T12" i="88"/>
  <c r="S12" i="88"/>
  <c r="R12" i="88"/>
  <c r="Q12" i="88"/>
  <c r="P12" i="88"/>
  <c r="O12" i="88"/>
  <c r="N12" i="88"/>
  <c r="M12" i="88"/>
  <c r="L12" i="88"/>
  <c r="K12" i="88"/>
  <c r="J12" i="88"/>
  <c r="I12" i="88"/>
  <c r="H12" i="88"/>
  <c r="G12" i="88"/>
  <c r="F12" i="88"/>
  <c r="E12" i="88"/>
  <c r="D12" i="88"/>
  <c r="C12" i="88"/>
  <c r="AG11" i="88"/>
  <c r="AF11" i="88"/>
  <c r="AE11" i="88"/>
  <c r="AD11" i="88"/>
  <c r="AC11" i="88"/>
  <c r="AB11" i="88"/>
  <c r="AA11" i="88"/>
  <c r="Z11" i="88"/>
  <c r="Y11" i="88"/>
  <c r="X11" i="88"/>
  <c r="W11" i="88"/>
  <c r="V11" i="88"/>
  <c r="U11" i="88"/>
  <c r="T11" i="88"/>
  <c r="S11" i="88"/>
  <c r="R11" i="88"/>
  <c r="Q11" i="88"/>
  <c r="P11" i="88"/>
  <c r="O11" i="88"/>
  <c r="N11" i="88"/>
  <c r="M11" i="88"/>
  <c r="L11" i="88"/>
  <c r="K11" i="88"/>
  <c r="J11" i="88"/>
  <c r="I11" i="88"/>
  <c r="H11" i="88"/>
  <c r="G11" i="88"/>
  <c r="F11" i="88"/>
  <c r="E11" i="88"/>
  <c r="D11" i="88"/>
  <c r="C11" i="88"/>
  <c r="C73" i="86"/>
  <c r="N82" i="86"/>
  <c r="I82" i="86"/>
  <c r="W76" i="86" s="1"/>
  <c r="W78" i="86"/>
  <c r="N78" i="86"/>
  <c r="W71" i="86" s="1"/>
  <c r="N75" i="86"/>
  <c r="W73" i="86"/>
  <c r="S73" i="86"/>
  <c r="R73" i="86"/>
  <c r="Q73" i="86"/>
  <c r="P73" i="86"/>
  <c r="O73" i="86"/>
  <c r="M73" i="86"/>
  <c r="L73" i="86"/>
  <c r="K73" i="86"/>
  <c r="J73" i="86"/>
  <c r="G73" i="86"/>
  <c r="F73" i="86"/>
  <c r="D73" i="86"/>
  <c r="N71" i="86"/>
  <c r="I71" i="86"/>
  <c r="N70" i="86"/>
  <c r="N69" i="86"/>
  <c r="I69" i="86"/>
  <c r="N68" i="86"/>
  <c r="I68" i="86"/>
  <c r="N67" i="86"/>
  <c r="I67" i="86"/>
  <c r="N66" i="86"/>
  <c r="I66" i="86"/>
  <c r="N65" i="86"/>
  <c r="I65" i="86"/>
  <c r="N64" i="86"/>
  <c r="I64" i="86"/>
  <c r="N63" i="86"/>
  <c r="I63" i="86"/>
  <c r="N62" i="86"/>
  <c r="I62" i="86"/>
  <c r="N61" i="86"/>
  <c r="I61" i="86"/>
  <c r="N60" i="86"/>
  <c r="N59" i="86"/>
  <c r="I59" i="86"/>
  <c r="N58" i="86"/>
  <c r="N57" i="86"/>
  <c r="I57" i="86"/>
  <c r="N56" i="86"/>
  <c r="N55" i="86"/>
  <c r="I55" i="86"/>
  <c r="N54" i="86"/>
  <c r="I54" i="86"/>
  <c r="N53" i="86"/>
  <c r="I53" i="86"/>
  <c r="N52" i="86"/>
  <c r="I52" i="86"/>
  <c r="N51" i="86"/>
  <c r="I51" i="86"/>
  <c r="N50" i="86"/>
  <c r="I50" i="86"/>
  <c r="N49" i="86"/>
  <c r="I49" i="86"/>
  <c r="N48" i="86"/>
  <c r="H73" i="86"/>
  <c r="N47" i="86"/>
  <c r="I47" i="86"/>
  <c r="N46" i="86"/>
  <c r="I46" i="86"/>
  <c r="N45" i="86"/>
  <c r="I45" i="86"/>
  <c r="N44" i="86"/>
  <c r="I44" i="86"/>
  <c r="N43" i="86"/>
  <c r="N42" i="86"/>
  <c r="N41" i="86"/>
  <c r="I41" i="86"/>
  <c r="N40" i="86"/>
  <c r="I40" i="86"/>
  <c r="N39" i="86"/>
  <c r="I39" i="86"/>
  <c r="N38" i="86"/>
  <c r="N37" i="86"/>
  <c r="I37" i="86"/>
  <c r="N36" i="86"/>
  <c r="N35" i="86"/>
  <c r="I35" i="86"/>
  <c r="N34" i="86"/>
  <c r="I34" i="86"/>
  <c r="N33" i="86"/>
  <c r="I33" i="86"/>
  <c r="N32" i="86"/>
  <c r="N31" i="86"/>
  <c r="I31" i="86"/>
  <c r="N30" i="86"/>
  <c r="I30" i="86"/>
  <c r="N29" i="86"/>
  <c r="I29" i="86"/>
  <c r="N28" i="86"/>
  <c r="N27" i="86"/>
  <c r="I27" i="86"/>
  <c r="N26" i="86"/>
  <c r="I26" i="86"/>
  <c r="N25" i="86"/>
  <c r="I25" i="86"/>
  <c r="N24" i="86"/>
  <c r="N23" i="86"/>
  <c r="I23" i="86"/>
  <c r="N22" i="86"/>
  <c r="N21" i="86"/>
  <c r="I21" i="86"/>
  <c r="N20" i="86"/>
  <c r="N19" i="86"/>
  <c r="I19" i="86"/>
  <c r="N18" i="86"/>
  <c r="I18" i="86"/>
  <c r="N17" i="86"/>
  <c r="I17" i="86"/>
  <c r="N16" i="86"/>
  <c r="I16" i="86"/>
  <c r="N15" i="86"/>
  <c r="I15" i="86"/>
  <c r="N14" i="86"/>
  <c r="I14" i="86"/>
  <c r="N13" i="86"/>
  <c r="N12" i="86"/>
  <c r="I12" i="86"/>
  <c r="N11" i="86"/>
  <c r="N10" i="86"/>
  <c r="I10" i="86"/>
  <c r="D44" i="84"/>
  <c r="X77" i="86" l="1"/>
  <c r="X72" i="86"/>
  <c r="D175" i="88"/>
  <c r="P175" i="88"/>
  <c r="X175" i="88"/>
  <c r="N10" i="88"/>
  <c r="AD10" i="88"/>
  <c r="F10" i="88"/>
  <c r="J10" i="88"/>
  <c r="R10" i="88"/>
  <c r="V10" i="88"/>
  <c r="Z10" i="88"/>
  <c r="AH160" i="88"/>
  <c r="W69" i="86"/>
  <c r="E10" i="88"/>
  <c r="I10" i="88"/>
  <c r="C10" i="88"/>
  <c r="G10" i="88"/>
  <c r="K10" i="88"/>
  <c r="O10" i="88"/>
  <c r="S10" i="88"/>
  <c r="W10" i="88"/>
  <c r="AA10" i="88"/>
  <c r="AE10" i="88"/>
  <c r="M10" i="88"/>
  <c r="Q10" i="88"/>
  <c r="U10" i="88"/>
  <c r="Y10" i="88"/>
  <c r="AC10" i="88"/>
  <c r="AG10" i="88"/>
  <c r="I73" i="86"/>
  <c r="D10" i="88"/>
  <c r="H10" i="88"/>
  <c r="L10" i="88"/>
  <c r="P10" i="88"/>
  <c r="T10" i="88"/>
  <c r="X10" i="88"/>
  <c r="AB10" i="88"/>
  <c r="AF10" i="88"/>
  <c r="B210" i="88"/>
  <c r="AI45" i="88"/>
  <c r="G238" i="88"/>
  <c r="K238" i="88"/>
  <c r="O238" i="88"/>
  <c r="S238" i="88"/>
  <c r="W238" i="88"/>
  <c r="AA238" i="88"/>
  <c r="AH289" i="88"/>
  <c r="L302" i="88"/>
  <c r="T302" i="88"/>
  <c r="X302" i="88"/>
  <c r="AB302" i="88"/>
  <c r="AH74" i="88"/>
  <c r="G1746" i="41"/>
  <c r="G1760" i="41"/>
  <c r="E175" i="88"/>
  <c r="I175" i="88"/>
  <c r="U175" i="88"/>
  <c r="Y175" i="88"/>
  <c r="AC175" i="88"/>
  <c r="AH225" i="88"/>
  <c r="D238" i="88"/>
  <c r="L238" i="88"/>
  <c r="P238" i="88"/>
  <c r="T238" i="88"/>
  <c r="X238" i="88"/>
  <c r="AB238" i="88"/>
  <c r="E302" i="88"/>
  <c r="I302" i="88"/>
  <c r="AC302" i="88"/>
  <c r="AH43" i="88"/>
  <c r="C175" i="88"/>
  <c r="G175" i="88"/>
  <c r="O175" i="88"/>
  <c r="S175" i="88"/>
  <c r="W175" i="88"/>
  <c r="AA175" i="88"/>
  <c r="AE175" i="88"/>
  <c r="F238" i="88"/>
  <c r="J238" i="88"/>
  <c r="N238" i="88"/>
  <c r="R238" i="88"/>
  <c r="V238" i="88"/>
  <c r="Z238" i="88"/>
  <c r="AD238" i="88"/>
  <c r="C302" i="88"/>
  <c r="G302" i="88"/>
  <c r="O302" i="88"/>
  <c r="N73" i="86"/>
  <c r="F175" i="88"/>
  <c r="J175" i="88"/>
  <c r="N175" i="88"/>
  <c r="R175" i="88"/>
  <c r="V175" i="88"/>
  <c r="Z175" i="88"/>
  <c r="AD175" i="88"/>
  <c r="E238" i="88"/>
  <c r="I238" i="88"/>
  <c r="M238" i="88"/>
  <c r="U238" i="88"/>
  <c r="Y238" i="88"/>
  <c r="AC238" i="88"/>
  <c r="F302" i="88"/>
  <c r="J302" i="88"/>
  <c r="N302" i="88"/>
  <c r="R302" i="88"/>
  <c r="AD302" i="88"/>
  <c r="AE302" i="88"/>
  <c r="AF302" i="88"/>
  <c r="Q175" i="88"/>
  <c r="U302" i="88"/>
  <c r="W302" i="88"/>
  <c r="M175" i="88"/>
  <c r="L175" i="88"/>
  <c r="D302" i="88"/>
  <c r="Q302" i="88"/>
  <c r="K175" i="88"/>
  <c r="M302" i="88"/>
  <c r="H302" i="88"/>
  <c r="V302" i="88"/>
  <c r="AE238" i="88"/>
  <c r="AG302" i="88"/>
  <c r="AA302" i="88"/>
  <c r="Z302" i="88"/>
  <c r="S302" i="88"/>
  <c r="P302" i="88"/>
  <c r="H238" i="88"/>
  <c r="AB175" i="88"/>
  <c r="Y302" i="88"/>
  <c r="K302" i="88"/>
  <c r="T60" i="88"/>
  <c r="P60" i="88"/>
  <c r="J60" i="88"/>
  <c r="I60" i="88"/>
  <c r="G60" i="88"/>
  <c r="F60" i="88"/>
  <c r="S60" i="88"/>
  <c r="R60" i="88"/>
  <c r="Q60" i="88"/>
  <c r="L60" i="88"/>
  <c r="K60" i="88"/>
  <c r="H60" i="88"/>
  <c r="E60" i="88"/>
  <c r="AG238" i="88"/>
  <c r="AF238" i="88"/>
  <c r="Q238" i="88"/>
  <c r="C238" i="88"/>
  <c r="T175" i="88"/>
  <c r="H175" i="88"/>
  <c r="U60" i="88"/>
  <c r="V60" i="88"/>
  <c r="W60" i="88"/>
  <c r="X60" i="88"/>
  <c r="Y60" i="88"/>
  <c r="Z60" i="88"/>
  <c r="AA60" i="88"/>
  <c r="AB60" i="88"/>
  <c r="AC60" i="88"/>
  <c r="AD60" i="88"/>
  <c r="AE60" i="88"/>
  <c r="AF60" i="88"/>
  <c r="AG60" i="88"/>
  <c r="C60" i="88"/>
  <c r="D60" i="88"/>
  <c r="AH55" i="88"/>
  <c r="AP93" i="88"/>
  <c r="AF175" i="88"/>
  <c r="AG175" i="88"/>
  <c r="Z32" i="27"/>
  <c r="Y44" i="27"/>
  <c r="AD45" i="81"/>
  <c r="G998" i="41"/>
  <c r="AA45" i="81"/>
  <c r="G967" i="41"/>
  <c r="Q45" i="71"/>
  <c r="G1363" i="41"/>
  <c r="G1375" i="41"/>
  <c r="G1364" i="41"/>
  <c r="G1356" i="41"/>
  <c r="G1358" i="41" s="1"/>
  <c r="G1349" i="41"/>
  <c r="G1348" i="41"/>
  <c r="G1342" i="41"/>
  <c r="G1344" i="41" s="1"/>
  <c r="G1336" i="41"/>
  <c r="G964" i="41"/>
  <c r="G957" i="41"/>
  <c r="G963" i="41"/>
  <c r="G1204" i="41"/>
  <c r="H48" i="85"/>
  <c r="H73" i="85" s="1"/>
  <c r="N82" i="85"/>
  <c r="I82" i="85"/>
  <c r="W78" i="85"/>
  <c r="N78" i="85"/>
  <c r="I78" i="85"/>
  <c r="N75" i="85"/>
  <c r="W73" i="85"/>
  <c r="S73" i="85"/>
  <c r="R73" i="85"/>
  <c r="Q73" i="85"/>
  <c r="P73" i="85"/>
  <c r="O73" i="85"/>
  <c r="M73" i="85"/>
  <c r="L73" i="85"/>
  <c r="K73" i="85"/>
  <c r="J73" i="85"/>
  <c r="G73" i="85"/>
  <c r="F73" i="85"/>
  <c r="D73" i="85"/>
  <c r="C73" i="85"/>
  <c r="N71" i="85"/>
  <c r="I71" i="85"/>
  <c r="N70" i="85"/>
  <c r="I70" i="85"/>
  <c r="N69" i="85"/>
  <c r="I69" i="85"/>
  <c r="N68" i="85"/>
  <c r="I68" i="85"/>
  <c r="N67" i="85"/>
  <c r="I67" i="85"/>
  <c r="N66" i="85"/>
  <c r="I66" i="85"/>
  <c r="N65" i="85"/>
  <c r="I65" i="85"/>
  <c r="N64" i="85"/>
  <c r="I64" i="85"/>
  <c r="N63" i="85"/>
  <c r="I63" i="85"/>
  <c r="N62" i="85"/>
  <c r="I62" i="85"/>
  <c r="N61" i="85"/>
  <c r="I61" i="85"/>
  <c r="N60" i="85"/>
  <c r="I60" i="85"/>
  <c r="N59" i="85"/>
  <c r="I59" i="85"/>
  <c r="N58" i="85"/>
  <c r="I58" i="85"/>
  <c r="N57" i="85"/>
  <c r="I57" i="85"/>
  <c r="N56" i="85"/>
  <c r="I56" i="85"/>
  <c r="N55" i="85"/>
  <c r="I55" i="85"/>
  <c r="N54" i="85"/>
  <c r="I54" i="85"/>
  <c r="N53" i="85"/>
  <c r="I53" i="85"/>
  <c r="N52" i="85"/>
  <c r="I52" i="85"/>
  <c r="N51" i="85"/>
  <c r="I51" i="85"/>
  <c r="N50" i="85"/>
  <c r="I50" i="85"/>
  <c r="N49" i="85"/>
  <c r="I49" i="85"/>
  <c r="N48" i="85"/>
  <c r="I48" i="85"/>
  <c r="N47" i="85"/>
  <c r="I47" i="85"/>
  <c r="N46" i="85"/>
  <c r="I46" i="85"/>
  <c r="N45" i="85"/>
  <c r="I45" i="85"/>
  <c r="N44" i="85"/>
  <c r="I44" i="85"/>
  <c r="N43" i="85"/>
  <c r="N42" i="85"/>
  <c r="I42" i="85"/>
  <c r="N41" i="85"/>
  <c r="I41" i="85"/>
  <c r="N40" i="85"/>
  <c r="I40" i="85"/>
  <c r="N39" i="85"/>
  <c r="I39" i="85"/>
  <c r="N38" i="85"/>
  <c r="I38" i="85"/>
  <c r="N37" i="85"/>
  <c r="I37" i="85"/>
  <c r="N36" i="85"/>
  <c r="I36" i="85"/>
  <c r="N35" i="85"/>
  <c r="I35" i="85"/>
  <c r="N34" i="85"/>
  <c r="I34" i="85"/>
  <c r="N33" i="85"/>
  <c r="I33" i="85"/>
  <c r="N32" i="85"/>
  <c r="I32" i="85"/>
  <c r="N31" i="85"/>
  <c r="I31" i="85"/>
  <c r="N30" i="85"/>
  <c r="I30" i="85"/>
  <c r="N29" i="85"/>
  <c r="I29" i="85"/>
  <c r="N28" i="85"/>
  <c r="I28" i="85"/>
  <c r="N27" i="85"/>
  <c r="I27" i="85"/>
  <c r="N26" i="85"/>
  <c r="I26" i="85"/>
  <c r="N25" i="85"/>
  <c r="I25" i="85"/>
  <c r="N24" i="85"/>
  <c r="I24" i="85"/>
  <c r="N23" i="85"/>
  <c r="I23" i="85"/>
  <c r="N22" i="85"/>
  <c r="I22" i="85"/>
  <c r="N21" i="85"/>
  <c r="I21" i="85"/>
  <c r="N20" i="85"/>
  <c r="I20" i="85"/>
  <c r="N19" i="85"/>
  <c r="I19" i="85"/>
  <c r="N18" i="85"/>
  <c r="I18" i="85"/>
  <c r="N17" i="85"/>
  <c r="I17" i="85"/>
  <c r="N16" i="85"/>
  <c r="I16" i="85"/>
  <c r="N15" i="85"/>
  <c r="I15" i="85"/>
  <c r="N14" i="85"/>
  <c r="I14" i="85"/>
  <c r="N13" i="85"/>
  <c r="N12" i="85"/>
  <c r="I12" i="85"/>
  <c r="N11" i="85"/>
  <c r="N10" i="85"/>
  <c r="I10" i="85"/>
  <c r="X62" i="27"/>
  <c r="L44" i="81"/>
  <c r="G975" i="41"/>
  <c r="G1004" i="41"/>
  <c r="G970" i="41"/>
  <c r="G980" i="41"/>
  <c r="W76" i="85" l="1"/>
  <c r="X77" i="85"/>
  <c r="W67" i="86"/>
  <c r="X68" i="86" s="1"/>
  <c r="W69" i="85"/>
  <c r="W71" i="85"/>
  <c r="X72" i="85" s="1"/>
  <c r="N73" i="85"/>
  <c r="AH10" i="88"/>
  <c r="I73" i="85"/>
  <c r="Y62" i="27"/>
  <c r="X55" i="27"/>
  <c r="G950" i="41"/>
  <c r="G958" i="41"/>
  <c r="W67" i="85" l="1"/>
  <c r="AO62" i="27"/>
  <c r="E32" i="57" s="1"/>
  <c r="X68" i="85"/>
  <c r="Z45" i="71"/>
  <c r="B318" i="84" l="1"/>
  <c r="AH315" i="84"/>
  <c r="AG309" i="84"/>
  <c r="AF309" i="84"/>
  <c r="AE309" i="84"/>
  <c r="AD309" i="84"/>
  <c r="AC309" i="84"/>
  <c r="AB309" i="84"/>
  <c r="AA309" i="84"/>
  <c r="Z309" i="84"/>
  <c r="Y309" i="84"/>
  <c r="X309" i="84"/>
  <c r="W309" i="84"/>
  <c r="V309" i="84"/>
  <c r="U309" i="84"/>
  <c r="T309" i="84"/>
  <c r="S309" i="84"/>
  <c r="R309" i="84"/>
  <c r="Q309" i="84"/>
  <c r="P309" i="84"/>
  <c r="O309" i="84"/>
  <c r="N309" i="84"/>
  <c r="M309" i="84"/>
  <c r="L309" i="84"/>
  <c r="K309" i="84"/>
  <c r="J309" i="84"/>
  <c r="I309" i="84"/>
  <c r="H309" i="84"/>
  <c r="G309" i="84"/>
  <c r="F309" i="84"/>
  <c r="E309" i="84"/>
  <c r="D309" i="84"/>
  <c r="C309" i="84"/>
  <c r="AG308" i="84"/>
  <c r="AF308" i="84"/>
  <c r="AE308" i="84"/>
  <c r="AD308" i="84"/>
  <c r="AC308" i="84"/>
  <c r="AB308" i="84"/>
  <c r="AA308" i="84"/>
  <c r="Z308" i="84"/>
  <c r="Y308" i="84"/>
  <c r="X308" i="84"/>
  <c r="W308" i="84"/>
  <c r="V308" i="84"/>
  <c r="U308" i="84"/>
  <c r="T308" i="84"/>
  <c r="S308" i="84"/>
  <c r="R308" i="84"/>
  <c r="Q308" i="84"/>
  <c r="P308" i="84"/>
  <c r="O308" i="84"/>
  <c r="N308" i="84"/>
  <c r="M308" i="84"/>
  <c r="L308" i="84"/>
  <c r="K308" i="84"/>
  <c r="J308" i="84"/>
  <c r="I308" i="84"/>
  <c r="H308" i="84"/>
  <c r="G308" i="84"/>
  <c r="F308" i="84"/>
  <c r="E308" i="84"/>
  <c r="D308" i="84"/>
  <c r="C308" i="84"/>
  <c r="AH299" i="84"/>
  <c r="AG297" i="84"/>
  <c r="AF297" i="84"/>
  <c r="AE297" i="84"/>
  <c r="AD297" i="84"/>
  <c r="AC297" i="84"/>
  <c r="AB297" i="84"/>
  <c r="AA297" i="84"/>
  <c r="Z297" i="84"/>
  <c r="Y297" i="84"/>
  <c r="X297" i="84"/>
  <c r="W297" i="84"/>
  <c r="V297" i="84"/>
  <c r="U297" i="84"/>
  <c r="T297" i="84"/>
  <c r="S297" i="84"/>
  <c r="R297" i="84"/>
  <c r="Q297" i="84"/>
  <c r="P297" i="84"/>
  <c r="O297" i="84"/>
  <c r="N297" i="84"/>
  <c r="M297" i="84"/>
  <c r="L297" i="84"/>
  <c r="K297" i="84"/>
  <c r="J297" i="84"/>
  <c r="I297" i="84"/>
  <c r="H297" i="84"/>
  <c r="G297" i="84"/>
  <c r="F297" i="84"/>
  <c r="E297" i="84"/>
  <c r="D297" i="84"/>
  <c r="C297" i="84"/>
  <c r="AH293" i="84"/>
  <c r="AH292" i="84"/>
  <c r="AH291" i="84"/>
  <c r="AH290" i="84"/>
  <c r="AG289" i="84"/>
  <c r="AF289" i="84"/>
  <c r="AE289" i="84"/>
  <c r="AD289" i="84"/>
  <c r="AC289" i="84"/>
  <c r="AB289" i="84"/>
  <c r="AA289" i="84"/>
  <c r="Z289" i="84"/>
  <c r="Y289" i="84"/>
  <c r="X289" i="84"/>
  <c r="W289" i="84"/>
  <c r="V289" i="84"/>
  <c r="U289" i="84"/>
  <c r="T289" i="84"/>
  <c r="S289" i="84"/>
  <c r="R289" i="84"/>
  <c r="Q289" i="84"/>
  <c r="P289" i="84"/>
  <c r="O289" i="84"/>
  <c r="N289" i="84"/>
  <c r="M289" i="84"/>
  <c r="L289" i="84"/>
  <c r="K289" i="84"/>
  <c r="J289" i="84"/>
  <c r="I289" i="84"/>
  <c r="H289" i="84"/>
  <c r="G289" i="84"/>
  <c r="F289" i="84"/>
  <c r="E289" i="84"/>
  <c r="D289" i="84"/>
  <c r="C289" i="84"/>
  <c r="B276" i="84"/>
  <c r="B274" i="84" s="1"/>
  <c r="B275" i="84"/>
  <c r="B254" i="84"/>
  <c r="AH253" i="84"/>
  <c r="AH251" i="84"/>
  <c r="AG245" i="84"/>
  <c r="AF245" i="84"/>
  <c r="AE245" i="84"/>
  <c r="AD245" i="84"/>
  <c r="AC245" i="84"/>
  <c r="AB245" i="84"/>
  <c r="AA245" i="84"/>
  <c r="Z245" i="84"/>
  <c r="Y245" i="84"/>
  <c r="X245" i="84"/>
  <c r="W245" i="84"/>
  <c r="V245" i="84"/>
  <c r="U245" i="84"/>
  <c r="T245" i="84"/>
  <c r="S245" i="84"/>
  <c r="R245" i="84"/>
  <c r="Q245" i="84"/>
  <c r="P245" i="84"/>
  <c r="O245" i="84"/>
  <c r="N245" i="84"/>
  <c r="M245" i="84"/>
  <c r="L245" i="84"/>
  <c r="K245" i="84"/>
  <c r="J245" i="84"/>
  <c r="I245" i="84"/>
  <c r="H245" i="84"/>
  <c r="G245" i="84"/>
  <c r="F245" i="84"/>
  <c r="E245" i="84"/>
  <c r="D245" i="84"/>
  <c r="C245" i="84"/>
  <c r="AG244" i="84"/>
  <c r="AF244" i="84"/>
  <c r="AE244" i="84"/>
  <c r="AD244" i="84"/>
  <c r="AC244" i="84"/>
  <c r="AB244" i="84"/>
  <c r="AA244" i="84"/>
  <c r="Z244" i="84"/>
  <c r="Y244" i="84"/>
  <c r="X244" i="84"/>
  <c r="W244" i="84"/>
  <c r="V244" i="84"/>
  <c r="U244" i="84"/>
  <c r="T244" i="84"/>
  <c r="S244" i="84"/>
  <c r="R244" i="84"/>
  <c r="Q244" i="84"/>
  <c r="P244" i="84"/>
  <c r="O244" i="84"/>
  <c r="N244" i="84"/>
  <c r="M244" i="84"/>
  <c r="L244" i="84"/>
  <c r="K244" i="84"/>
  <c r="J244" i="84"/>
  <c r="I244" i="84"/>
  <c r="H244" i="84"/>
  <c r="G244" i="84"/>
  <c r="F244" i="84"/>
  <c r="E244" i="84"/>
  <c r="D244" i="84"/>
  <c r="C244" i="84"/>
  <c r="AH235" i="84"/>
  <c r="AG233" i="84"/>
  <c r="AF233" i="84"/>
  <c r="AE233" i="84"/>
  <c r="AD233" i="84"/>
  <c r="AC233" i="84"/>
  <c r="AB233" i="84"/>
  <c r="AA233" i="84"/>
  <c r="Z233" i="84"/>
  <c r="Y233" i="84"/>
  <c r="X233" i="84"/>
  <c r="W233" i="84"/>
  <c r="V233" i="84"/>
  <c r="U233" i="84"/>
  <c r="T233" i="84"/>
  <c r="S233" i="84"/>
  <c r="R233" i="84"/>
  <c r="Q233" i="84"/>
  <c r="P233" i="84"/>
  <c r="O233" i="84"/>
  <c r="N233" i="84"/>
  <c r="M233" i="84"/>
  <c r="L233" i="84"/>
  <c r="K233" i="84"/>
  <c r="J233" i="84"/>
  <c r="I233" i="84"/>
  <c r="H233" i="84"/>
  <c r="G233" i="84"/>
  <c r="F233" i="84"/>
  <c r="E233" i="84"/>
  <c r="D233" i="84"/>
  <c r="C233" i="84"/>
  <c r="AH229" i="84"/>
  <c r="AH228" i="84"/>
  <c r="AH227" i="84"/>
  <c r="AH226" i="84"/>
  <c r="AG225" i="84"/>
  <c r="AF225" i="84"/>
  <c r="AE225" i="84"/>
  <c r="AD225" i="84"/>
  <c r="AC225" i="84"/>
  <c r="AB225" i="84"/>
  <c r="AA225" i="84"/>
  <c r="Z225" i="84"/>
  <c r="Y225" i="84"/>
  <c r="X225" i="84"/>
  <c r="W225" i="84"/>
  <c r="V225" i="84"/>
  <c r="U225" i="84"/>
  <c r="T225" i="84"/>
  <c r="S225" i="84"/>
  <c r="R225" i="84"/>
  <c r="Q225" i="84"/>
  <c r="P225" i="84"/>
  <c r="O225" i="84"/>
  <c r="N225" i="84"/>
  <c r="M225" i="84"/>
  <c r="L225" i="84"/>
  <c r="K225" i="84"/>
  <c r="J225" i="84"/>
  <c r="I225" i="84"/>
  <c r="H225" i="84"/>
  <c r="G225" i="84"/>
  <c r="F225" i="84"/>
  <c r="E225" i="84"/>
  <c r="D225" i="84"/>
  <c r="C225" i="84"/>
  <c r="B212" i="84"/>
  <c r="B211" i="84"/>
  <c r="B191" i="84"/>
  <c r="AG182" i="84"/>
  <c r="AF182" i="84"/>
  <c r="AE182" i="84"/>
  <c r="AD182" i="84"/>
  <c r="AC182" i="84"/>
  <c r="AB182" i="84"/>
  <c r="AA182" i="84"/>
  <c r="Z182" i="84"/>
  <c r="Y182" i="84"/>
  <c r="X182" i="84"/>
  <c r="W182" i="84"/>
  <c r="V182" i="84"/>
  <c r="U182" i="84"/>
  <c r="T182" i="84"/>
  <c r="S182" i="84"/>
  <c r="R182" i="84"/>
  <c r="Q182" i="84"/>
  <c r="P182" i="84"/>
  <c r="O182" i="84"/>
  <c r="N182" i="84"/>
  <c r="M182" i="84"/>
  <c r="L182" i="84"/>
  <c r="K182" i="84"/>
  <c r="J182" i="84"/>
  <c r="I182" i="84"/>
  <c r="H182" i="84"/>
  <c r="G182" i="84"/>
  <c r="F182" i="84"/>
  <c r="E182" i="84"/>
  <c r="D182" i="84"/>
  <c r="C182" i="84"/>
  <c r="AG181" i="84"/>
  <c r="AF181" i="84"/>
  <c r="AE181" i="84"/>
  <c r="AD181" i="84"/>
  <c r="AC181" i="84"/>
  <c r="AB181" i="84"/>
  <c r="AA181" i="84"/>
  <c r="Z181" i="84"/>
  <c r="Y181" i="84"/>
  <c r="X181" i="84"/>
  <c r="W181" i="84"/>
  <c r="V181" i="84"/>
  <c r="U181" i="84"/>
  <c r="T181" i="84"/>
  <c r="S181" i="84"/>
  <c r="R181" i="84"/>
  <c r="Q181" i="84"/>
  <c r="P181" i="84"/>
  <c r="O181" i="84"/>
  <c r="N181" i="84"/>
  <c r="M181" i="84"/>
  <c r="L181" i="84"/>
  <c r="K181" i="84"/>
  <c r="J181" i="84"/>
  <c r="I181" i="84"/>
  <c r="H181" i="84"/>
  <c r="G181" i="84"/>
  <c r="F181" i="84"/>
  <c r="E181" i="84"/>
  <c r="D181" i="84"/>
  <c r="C181" i="84"/>
  <c r="AH172" i="84"/>
  <c r="AG170" i="84"/>
  <c r="AF170" i="84"/>
  <c r="AE170" i="84"/>
  <c r="AD170" i="84"/>
  <c r="AC170" i="84"/>
  <c r="AB170" i="84"/>
  <c r="AA170" i="84"/>
  <c r="Z170" i="84"/>
  <c r="Y170" i="84"/>
  <c r="X170" i="84"/>
  <c r="W170" i="84"/>
  <c r="V170" i="84"/>
  <c r="U170" i="84"/>
  <c r="T170" i="84"/>
  <c r="S170" i="84"/>
  <c r="R170" i="84"/>
  <c r="Q170" i="84"/>
  <c r="P170" i="84"/>
  <c r="O170" i="84"/>
  <c r="N170" i="84"/>
  <c r="M170" i="84"/>
  <c r="L170" i="84"/>
  <c r="K170" i="84"/>
  <c r="J170" i="84"/>
  <c r="I170" i="84"/>
  <c r="H170" i="84"/>
  <c r="G170" i="84"/>
  <c r="F170" i="84"/>
  <c r="E170" i="84"/>
  <c r="D170" i="84"/>
  <c r="C170" i="84"/>
  <c r="AH168" i="84"/>
  <c r="AH167" i="84"/>
  <c r="AH166" i="84"/>
  <c r="AH165" i="84"/>
  <c r="AH164" i="84"/>
  <c r="AH163" i="84"/>
  <c r="AH162" i="84"/>
  <c r="AH161" i="84"/>
  <c r="AG160" i="84"/>
  <c r="AF160" i="84"/>
  <c r="AE160" i="84"/>
  <c r="AD160" i="84"/>
  <c r="AC160" i="84"/>
  <c r="AB160" i="84"/>
  <c r="AA160" i="84"/>
  <c r="Z160" i="84"/>
  <c r="Y160" i="84"/>
  <c r="X160" i="84"/>
  <c r="W160" i="84"/>
  <c r="V160" i="84"/>
  <c r="U160" i="84"/>
  <c r="T160" i="84"/>
  <c r="S160" i="84"/>
  <c r="R160" i="84"/>
  <c r="Q160" i="84"/>
  <c r="P160" i="84"/>
  <c r="O160" i="84"/>
  <c r="N160" i="84"/>
  <c r="M160" i="84"/>
  <c r="L160" i="84"/>
  <c r="K160" i="84"/>
  <c r="J160" i="84"/>
  <c r="I160" i="84"/>
  <c r="H160" i="84"/>
  <c r="G160" i="84"/>
  <c r="F160" i="84"/>
  <c r="E160" i="84"/>
  <c r="D160" i="84"/>
  <c r="C160" i="84"/>
  <c r="B147" i="84"/>
  <c r="B146" i="84"/>
  <c r="B145" i="84" s="1"/>
  <c r="AN93" i="84"/>
  <c r="AN112" i="84" s="1"/>
  <c r="C82" i="84"/>
  <c r="AH79" i="84"/>
  <c r="AH78" i="84"/>
  <c r="AH77" i="84"/>
  <c r="AG75" i="84"/>
  <c r="AH75" i="84" s="1"/>
  <c r="S74" i="84"/>
  <c r="AH74" i="84" s="1"/>
  <c r="AF67" i="84"/>
  <c r="AE67" i="84"/>
  <c r="AD67" i="84"/>
  <c r="AC67" i="84"/>
  <c r="AB67" i="84"/>
  <c r="AA67" i="84"/>
  <c r="Z67" i="84"/>
  <c r="Y67" i="84"/>
  <c r="X67" i="84"/>
  <c r="W67" i="84"/>
  <c r="V67" i="84"/>
  <c r="U67" i="84"/>
  <c r="T67" i="84"/>
  <c r="S67" i="84"/>
  <c r="R67" i="84"/>
  <c r="Q67" i="84"/>
  <c r="P67" i="84"/>
  <c r="O67" i="84"/>
  <c r="N67" i="84"/>
  <c r="M67" i="84"/>
  <c r="L67" i="84"/>
  <c r="K67" i="84"/>
  <c r="J67" i="84"/>
  <c r="I67" i="84"/>
  <c r="H67" i="84"/>
  <c r="G67" i="84"/>
  <c r="F67" i="84"/>
  <c r="E67" i="84"/>
  <c r="D67" i="84"/>
  <c r="C67" i="84"/>
  <c r="AG66" i="84"/>
  <c r="AF66" i="84"/>
  <c r="AE66" i="84"/>
  <c r="AD66" i="84"/>
  <c r="AC66" i="84"/>
  <c r="AB66" i="84"/>
  <c r="AA66" i="84"/>
  <c r="Z66" i="84"/>
  <c r="Y66" i="84"/>
  <c r="X66" i="84"/>
  <c r="W66" i="84"/>
  <c r="V66" i="84"/>
  <c r="U66" i="84"/>
  <c r="T66" i="84"/>
  <c r="R66" i="84"/>
  <c r="Q66" i="84"/>
  <c r="P66" i="84"/>
  <c r="O66" i="84"/>
  <c r="N66" i="84"/>
  <c r="M66" i="84"/>
  <c r="L66" i="84"/>
  <c r="K66" i="84"/>
  <c r="J66" i="84"/>
  <c r="I66" i="84"/>
  <c r="H66" i="84"/>
  <c r="G66" i="84"/>
  <c r="F66" i="84"/>
  <c r="E66" i="84"/>
  <c r="D66" i="84"/>
  <c r="C66" i="84"/>
  <c r="AH65" i="84"/>
  <c r="AH58" i="84"/>
  <c r="AH57" i="84"/>
  <c r="AH56" i="84"/>
  <c r="AG55" i="84"/>
  <c r="AF55" i="84"/>
  <c r="AE55" i="84"/>
  <c r="AD55" i="84"/>
  <c r="AC55" i="84"/>
  <c r="AB55" i="84"/>
  <c r="AA55" i="84"/>
  <c r="Z55" i="84"/>
  <c r="Y55" i="84"/>
  <c r="X55" i="84"/>
  <c r="W55" i="84"/>
  <c r="V55" i="84"/>
  <c r="U55" i="84"/>
  <c r="T55" i="84"/>
  <c r="S55" i="84"/>
  <c r="R55" i="84"/>
  <c r="Q55" i="84"/>
  <c r="P55" i="84"/>
  <c r="L55" i="84"/>
  <c r="K55" i="84"/>
  <c r="J55" i="84"/>
  <c r="I55" i="84"/>
  <c r="H55" i="84"/>
  <c r="G55" i="84"/>
  <c r="F55" i="84"/>
  <c r="E55" i="84"/>
  <c r="D55" i="84"/>
  <c r="C55" i="84"/>
  <c r="AH54" i="84"/>
  <c r="AH53" i="84"/>
  <c r="AH52" i="84"/>
  <c r="AH51" i="84"/>
  <c r="AH50" i="84"/>
  <c r="AH49" i="84"/>
  <c r="AH48" i="84"/>
  <c r="AH47" i="84"/>
  <c r="AH46" i="84"/>
  <c r="AH45" i="84"/>
  <c r="AH44" i="84"/>
  <c r="AG43" i="84"/>
  <c r="AF43" i="84"/>
  <c r="AE43" i="84"/>
  <c r="AD43" i="84"/>
  <c r="AC43" i="84"/>
  <c r="AB43" i="84"/>
  <c r="AA43" i="84"/>
  <c r="Z43" i="84"/>
  <c r="Y43" i="84"/>
  <c r="X43" i="84"/>
  <c r="W43" i="84"/>
  <c r="V43" i="84"/>
  <c r="U43" i="84"/>
  <c r="T43" i="84"/>
  <c r="S43" i="84"/>
  <c r="R43" i="84"/>
  <c r="Q43" i="84"/>
  <c r="P43" i="84"/>
  <c r="O43" i="84"/>
  <c r="O60" i="84" s="1"/>
  <c r="N43" i="84"/>
  <c r="N60" i="84" s="1"/>
  <c r="M43" i="84"/>
  <c r="M60" i="84" s="1"/>
  <c r="L43" i="84"/>
  <c r="K43" i="84"/>
  <c r="J43" i="84"/>
  <c r="I43" i="84"/>
  <c r="H43" i="84"/>
  <c r="G43" i="84"/>
  <c r="F43" i="84"/>
  <c r="E43" i="84"/>
  <c r="D43" i="84"/>
  <c r="C43" i="84"/>
  <c r="AH42" i="84"/>
  <c r="B37" i="84"/>
  <c r="B29" i="84"/>
  <c r="B28" i="84" s="1"/>
  <c r="AG13" i="84"/>
  <c r="AF13" i="84"/>
  <c r="AE13" i="84"/>
  <c r="AD13" i="84"/>
  <c r="AC13" i="84"/>
  <c r="AB13" i="84"/>
  <c r="AA13" i="84"/>
  <c r="Z13" i="84"/>
  <c r="Y13" i="84"/>
  <c r="X13" i="84"/>
  <c r="W13" i="84"/>
  <c r="V13" i="84"/>
  <c r="U13" i="84"/>
  <c r="T13" i="84"/>
  <c r="S13" i="84"/>
  <c r="R13" i="84"/>
  <c r="Q13" i="84"/>
  <c r="P13" i="84"/>
  <c r="O13" i="84"/>
  <c r="N13" i="84"/>
  <c r="M13" i="84"/>
  <c r="L13" i="84"/>
  <c r="K13" i="84"/>
  <c r="J13" i="84"/>
  <c r="I13" i="84"/>
  <c r="H13" i="84"/>
  <c r="G13" i="84"/>
  <c r="F13" i="84"/>
  <c r="E13" i="84"/>
  <c r="D13" i="84"/>
  <c r="C13" i="84"/>
  <c r="AG12" i="84"/>
  <c r="AF12" i="84"/>
  <c r="AE12" i="84"/>
  <c r="AD12" i="84"/>
  <c r="AC12" i="84"/>
  <c r="AB12" i="84"/>
  <c r="AA12" i="84"/>
  <c r="Z12" i="84"/>
  <c r="Y12" i="84"/>
  <c r="X12" i="84"/>
  <c r="W12" i="84"/>
  <c r="V12" i="84"/>
  <c r="U12" i="84"/>
  <c r="T12" i="84"/>
  <c r="S12" i="84"/>
  <c r="R12" i="84"/>
  <c r="Q12" i="84"/>
  <c r="P12" i="84"/>
  <c r="O12" i="84"/>
  <c r="N12" i="84"/>
  <c r="M12" i="84"/>
  <c r="L12" i="84"/>
  <c r="K12" i="84"/>
  <c r="J12" i="84"/>
  <c r="I12" i="84"/>
  <c r="H12" i="84"/>
  <c r="G12" i="84"/>
  <c r="F12" i="84"/>
  <c r="E12" i="84"/>
  <c r="D12" i="84"/>
  <c r="C12" i="84"/>
  <c r="AG11" i="84"/>
  <c r="AF11" i="84"/>
  <c r="AF10" i="84" s="1"/>
  <c r="AE11" i="84"/>
  <c r="AD11" i="84"/>
  <c r="AC11" i="84"/>
  <c r="AB11" i="84"/>
  <c r="AB10" i="84" s="1"/>
  <c r="AA11" i="84"/>
  <c r="Z11" i="84"/>
  <c r="Y11" i="84"/>
  <c r="X11" i="84"/>
  <c r="W11" i="84"/>
  <c r="V11" i="84"/>
  <c r="U11" i="84"/>
  <c r="T11" i="84"/>
  <c r="S11" i="84"/>
  <c r="R11" i="84"/>
  <c r="Q11" i="84"/>
  <c r="P11" i="84"/>
  <c r="P10" i="84" s="1"/>
  <c r="O11" i="84"/>
  <c r="N11" i="84"/>
  <c r="M11" i="84"/>
  <c r="L11" i="84"/>
  <c r="L10" i="84" s="1"/>
  <c r="K11" i="84"/>
  <c r="J11" i="84"/>
  <c r="I11" i="84"/>
  <c r="H11" i="84"/>
  <c r="G11" i="84"/>
  <c r="F11" i="84"/>
  <c r="E11" i="84"/>
  <c r="D11" i="84"/>
  <c r="C11" i="84"/>
  <c r="Y32" i="27"/>
  <c r="G971" i="41"/>
  <c r="AG67" i="84" l="1"/>
  <c r="D10" i="84"/>
  <c r="H10" i="84"/>
  <c r="T10" i="84"/>
  <c r="X10" i="84"/>
  <c r="B210" i="84"/>
  <c r="E10" i="84"/>
  <c r="I10" i="84"/>
  <c r="M10" i="84"/>
  <c r="Q10" i="84"/>
  <c r="U10" i="84"/>
  <c r="Y10" i="84"/>
  <c r="AC10" i="84"/>
  <c r="AG10" i="84"/>
  <c r="C10" i="84"/>
  <c r="G10" i="84"/>
  <c r="K10" i="84"/>
  <c r="O10" i="84"/>
  <c r="S10" i="84"/>
  <c r="W10" i="84"/>
  <c r="AA10" i="84"/>
  <c r="AE10" i="84"/>
  <c r="Q175" i="84"/>
  <c r="U175" i="84"/>
  <c r="Y175" i="84"/>
  <c r="AC175" i="84"/>
  <c r="F10" i="84"/>
  <c r="Z10" i="84"/>
  <c r="E175" i="84"/>
  <c r="M175" i="84"/>
  <c r="AH225" i="84"/>
  <c r="L238" i="84"/>
  <c r="P238" i="84"/>
  <c r="T238" i="84"/>
  <c r="X238" i="84"/>
  <c r="AB238" i="84"/>
  <c r="E302" i="84"/>
  <c r="I302" i="84"/>
  <c r="U302" i="84"/>
  <c r="AC302" i="84"/>
  <c r="J10" i="84"/>
  <c r="R10" i="84"/>
  <c r="AD10" i="84"/>
  <c r="N10" i="84"/>
  <c r="V10" i="84"/>
  <c r="S66" i="84"/>
  <c r="F175" i="84"/>
  <c r="J175" i="84"/>
  <c r="N175" i="84"/>
  <c r="R175" i="84"/>
  <c r="V175" i="84"/>
  <c r="Z175" i="84"/>
  <c r="AD175" i="84"/>
  <c r="I238" i="84"/>
  <c r="U238" i="84"/>
  <c r="Y238" i="84"/>
  <c r="AC238" i="84"/>
  <c r="F302" i="84"/>
  <c r="J302" i="84"/>
  <c r="R302" i="84"/>
  <c r="Z302" i="84"/>
  <c r="AD302" i="84"/>
  <c r="AH43" i="84"/>
  <c r="AH160" i="84"/>
  <c r="D175" i="84"/>
  <c r="L175" i="84"/>
  <c r="P175" i="84"/>
  <c r="X175" i="84"/>
  <c r="AB175" i="84"/>
  <c r="K238" i="84"/>
  <c r="O238" i="84"/>
  <c r="S238" i="84"/>
  <c r="W238" i="84"/>
  <c r="AA238" i="84"/>
  <c r="AE238" i="84"/>
  <c r="AH289" i="84"/>
  <c r="D302" i="84"/>
  <c r="L302" i="84"/>
  <c r="T302" i="84"/>
  <c r="X302" i="84"/>
  <c r="AB302" i="84"/>
  <c r="C175" i="84"/>
  <c r="K175" i="84"/>
  <c r="O175" i="84"/>
  <c r="W175" i="84"/>
  <c r="AA175" i="84"/>
  <c r="AE175" i="84"/>
  <c r="J238" i="84"/>
  <c r="R238" i="84"/>
  <c r="V238" i="84"/>
  <c r="Z238" i="84"/>
  <c r="AD238" i="84"/>
  <c r="C302" i="84"/>
  <c r="G302" i="84"/>
  <c r="K302" i="84"/>
  <c r="O302" i="84"/>
  <c r="S302" i="84"/>
  <c r="W302" i="84"/>
  <c r="AA302" i="84"/>
  <c r="AE302" i="84"/>
  <c r="T175" i="84"/>
  <c r="N238" i="84"/>
  <c r="M238" i="84"/>
  <c r="AF238" i="84"/>
  <c r="M302" i="84"/>
  <c r="H302" i="84"/>
  <c r="S175" i="84"/>
  <c r="S60" i="84"/>
  <c r="W60" i="84"/>
  <c r="D60" i="84"/>
  <c r="P302" i="84"/>
  <c r="I175" i="84"/>
  <c r="Q238" i="84"/>
  <c r="Q302" i="84"/>
  <c r="K60" i="84"/>
  <c r="G238" i="84"/>
  <c r="F238" i="84"/>
  <c r="I60" i="84"/>
  <c r="H60" i="84"/>
  <c r="F60" i="84"/>
  <c r="D238" i="84"/>
  <c r="N302" i="84"/>
  <c r="AF302" i="84"/>
  <c r="C238" i="84"/>
  <c r="V302" i="84"/>
  <c r="H175" i="84"/>
  <c r="Y302" i="84"/>
  <c r="AG302" i="84"/>
  <c r="C60" i="84"/>
  <c r="H238" i="84"/>
  <c r="E238" i="84"/>
  <c r="G175" i="84"/>
  <c r="AG238" i="84"/>
  <c r="AD60" i="84"/>
  <c r="AC60" i="84"/>
  <c r="X60" i="84"/>
  <c r="J60" i="84"/>
  <c r="G60" i="84"/>
  <c r="E60" i="84"/>
  <c r="AF60" i="84"/>
  <c r="AE60" i="84"/>
  <c r="AB60" i="84"/>
  <c r="AA60" i="84"/>
  <c r="Z60" i="84"/>
  <c r="U60" i="84"/>
  <c r="R60" i="84"/>
  <c r="P60" i="84"/>
  <c r="L60" i="84"/>
  <c r="AG60" i="84"/>
  <c r="Y60" i="84"/>
  <c r="V60" i="84"/>
  <c r="T60" i="84"/>
  <c r="Q60" i="84"/>
  <c r="AI45" i="84"/>
  <c r="AH55" i="84"/>
  <c r="AP93" i="84"/>
  <c r="AF175" i="84"/>
  <c r="AG175" i="84"/>
  <c r="G1013" i="41"/>
  <c r="G959" i="41"/>
  <c r="Y55" i="27"/>
  <c r="G983" i="41"/>
  <c r="AA45" i="71"/>
  <c r="G968" i="41"/>
  <c r="U44" i="71"/>
  <c r="Y45" i="71"/>
  <c r="AH10" i="84" l="1"/>
  <c r="G1332" i="41"/>
  <c r="G1373" i="41"/>
  <c r="G1333" i="41"/>
  <c r="G901" i="41"/>
  <c r="G966" i="41"/>
  <c r="G954" i="41"/>
  <c r="G956" i="41"/>
  <c r="G1374" i="41"/>
  <c r="G1335" i="41"/>
  <c r="G1334" i="41"/>
  <c r="G952" i="41"/>
  <c r="G1009" i="41"/>
  <c r="G946" i="41"/>
  <c r="G962" i="41"/>
  <c r="G924" i="41"/>
  <c r="G941" i="41"/>
  <c r="G951" i="41"/>
  <c r="I68" i="83"/>
  <c r="I10" i="83"/>
  <c r="N10" i="83"/>
  <c r="X44" i="27"/>
  <c r="N82" i="83"/>
  <c r="N78" i="83"/>
  <c r="I82" i="83"/>
  <c r="W78" i="83"/>
  <c r="I78" i="83"/>
  <c r="N75" i="83"/>
  <c r="W73" i="83"/>
  <c r="S73" i="83"/>
  <c r="R73" i="83"/>
  <c r="Q73" i="83"/>
  <c r="P73" i="83"/>
  <c r="O73" i="83"/>
  <c r="M73" i="83"/>
  <c r="L73" i="83"/>
  <c r="K73" i="83"/>
  <c r="J73" i="83"/>
  <c r="H73" i="83"/>
  <c r="G73" i="83"/>
  <c r="F73" i="83"/>
  <c r="D73" i="83"/>
  <c r="C73" i="83"/>
  <c r="N71" i="83"/>
  <c r="I71" i="83"/>
  <c r="N70" i="83"/>
  <c r="I70" i="83"/>
  <c r="N69" i="83"/>
  <c r="I69" i="83"/>
  <c r="N68" i="83"/>
  <c r="N67" i="83"/>
  <c r="I67" i="83"/>
  <c r="N66" i="83"/>
  <c r="I66" i="83"/>
  <c r="N65" i="83"/>
  <c r="I65" i="83"/>
  <c r="N64" i="83"/>
  <c r="I64" i="83"/>
  <c r="N63" i="83"/>
  <c r="I63" i="83"/>
  <c r="N62" i="83"/>
  <c r="I62" i="83"/>
  <c r="N61" i="83"/>
  <c r="I61" i="83"/>
  <c r="N60" i="83"/>
  <c r="I60" i="83"/>
  <c r="N59" i="83"/>
  <c r="I59" i="83"/>
  <c r="N58" i="83"/>
  <c r="I58" i="83"/>
  <c r="N57" i="83"/>
  <c r="I57" i="83"/>
  <c r="N56" i="83"/>
  <c r="I56" i="83"/>
  <c r="N55" i="83"/>
  <c r="I55" i="83"/>
  <c r="N54" i="83"/>
  <c r="I54" i="83"/>
  <c r="N53" i="83"/>
  <c r="I53" i="83"/>
  <c r="N52" i="83"/>
  <c r="I52" i="83"/>
  <c r="N51" i="83"/>
  <c r="I51" i="83"/>
  <c r="N50" i="83"/>
  <c r="I50" i="83"/>
  <c r="N49" i="83"/>
  <c r="I49" i="83"/>
  <c r="N48" i="83"/>
  <c r="I48" i="83"/>
  <c r="N47" i="83"/>
  <c r="I47" i="83"/>
  <c r="N46" i="83"/>
  <c r="I46" i="83"/>
  <c r="N45" i="83"/>
  <c r="I45" i="83"/>
  <c r="N44" i="83"/>
  <c r="I44" i="83"/>
  <c r="N43" i="83"/>
  <c r="N42" i="83"/>
  <c r="I42" i="83"/>
  <c r="N41" i="83"/>
  <c r="I41" i="83"/>
  <c r="N40" i="83"/>
  <c r="I40" i="83"/>
  <c r="N39" i="83"/>
  <c r="I39" i="83"/>
  <c r="N38" i="83"/>
  <c r="I38" i="83"/>
  <c r="N37" i="83"/>
  <c r="I37" i="83"/>
  <c r="N36" i="83"/>
  <c r="I36" i="83"/>
  <c r="N35" i="83"/>
  <c r="I35" i="83"/>
  <c r="N34" i="83"/>
  <c r="I34" i="83"/>
  <c r="N33" i="83"/>
  <c r="I33" i="83"/>
  <c r="N32" i="83"/>
  <c r="I32" i="83"/>
  <c r="N31" i="83"/>
  <c r="I31" i="83"/>
  <c r="N30" i="83"/>
  <c r="I30" i="83"/>
  <c r="N29" i="83"/>
  <c r="I29" i="83"/>
  <c r="N28" i="83"/>
  <c r="I28" i="83"/>
  <c r="N27" i="83"/>
  <c r="I27" i="83"/>
  <c r="N26" i="83"/>
  <c r="I26" i="83"/>
  <c r="N25" i="83"/>
  <c r="I25" i="83"/>
  <c r="N24" i="83"/>
  <c r="I24" i="83"/>
  <c r="N23" i="83"/>
  <c r="I23" i="83"/>
  <c r="N22" i="83"/>
  <c r="I22" i="83"/>
  <c r="N21" i="83"/>
  <c r="I21" i="83"/>
  <c r="N20" i="83"/>
  <c r="I20" i="83"/>
  <c r="N19" i="83"/>
  <c r="I19" i="83"/>
  <c r="N18" i="83"/>
  <c r="I18" i="83"/>
  <c r="N17" i="83"/>
  <c r="I17" i="83"/>
  <c r="N16" i="83"/>
  <c r="I16" i="83"/>
  <c r="N15" i="83"/>
  <c r="I15" i="83"/>
  <c r="N14" i="83"/>
  <c r="I14" i="83"/>
  <c r="N13" i="83"/>
  <c r="N12" i="83"/>
  <c r="I12" i="83"/>
  <c r="N11" i="83"/>
  <c r="W71" i="83" l="1"/>
  <c r="X72" i="83"/>
  <c r="I73" i="83"/>
  <c r="W69" i="83"/>
  <c r="W76" i="83"/>
  <c r="X77" i="83" s="1"/>
  <c r="N73" i="83"/>
  <c r="G1338" i="41"/>
  <c r="G931" i="41"/>
  <c r="G929" i="41"/>
  <c r="G926" i="41"/>
  <c r="G927" i="41"/>
  <c r="W67" i="83" l="1"/>
  <c r="X68" i="83" s="1"/>
  <c r="B318" i="81"/>
  <c r="AH315" i="81"/>
  <c r="AG309" i="81"/>
  <c r="AF309" i="81"/>
  <c r="AE309" i="81"/>
  <c r="AD309" i="81"/>
  <c r="AC309" i="81"/>
  <c r="AB309" i="81"/>
  <c r="AA309" i="81"/>
  <c r="Z309" i="81"/>
  <c r="Y309" i="81"/>
  <c r="X309" i="81"/>
  <c r="W309" i="81"/>
  <c r="V309" i="81"/>
  <c r="U309" i="81"/>
  <c r="T309" i="81"/>
  <c r="S309" i="81"/>
  <c r="R309" i="81"/>
  <c r="Q309" i="81"/>
  <c r="P309" i="81"/>
  <c r="O309" i="81"/>
  <c r="N309" i="81"/>
  <c r="M309" i="81"/>
  <c r="L309" i="81"/>
  <c r="K309" i="81"/>
  <c r="J309" i="81"/>
  <c r="I309" i="81"/>
  <c r="H309" i="81"/>
  <c r="G309" i="81"/>
  <c r="F309" i="81"/>
  <c r="E309" i="81"/>
  <c r="D309" i="81"/>
  <c r="C309" i="81"/>
  <c r="AG308" i="81"/>
  <c r="AF308" i="81"/>
  <c r="AE308" i="81"/>
  <c r="AD308" i="81"/>
  <c r="AC308" i="81"/>
  <c r="AB308" i="81"/>
  <c r="AA308" i="81"/>
  <c r="Z308" i="81"/>
  <c r="Y308" i="81"/>
  <c r="X308" i="81"/>
  <c r="W308" i="81"/>
  <c r="V308" i="81"/>
  <c r="U308" i="81"/>
  <c r="T308" i="81"/>
  <c r="S308" i="81"/>
  <c r="R308" i="81"/>
  <c r="Q308" i="81"/>
  <c r="P308" i="81"/>
  <c r="O308" i="81"/>
  <c r="N308" i="81"/>
  <c r="M308" i="81"/>
  <c r="L308" i="81"/>
  <c r="K308" i="81"/>
  <c r="J308" i="81"/>
  <c r="I308" i="81"/>
  <c r="H308" i="81"/>
  <c r="G308" i="81"/>
  <c r="F308" i="81"/>
  <c r="E308" i="81"/>
  <c r="D308" i="81"/>
  <c r="C308" i="81"/>
  <c r="AH299" i="81"/>
  <c r="AG297" i="81"/>
  <c r="AF297" i="81"/>
  <c r="AE297" i="81"/>
  <c r="AD297" i="81"/>
  <c r="AC297" i="81"/>
  <c r="AB297" i="81"/>
  <c r="AA297" i="81"/>
  <c r="Z297" i="81"/>
  <c r="Y297" i="81"/>
  <c r="X297" i="81"/>
  <c r="W297" i="81"/>
  <c r="V297" i="81"/>
  <c r="U297" i="81"/>
  <c r="T297" i="81"/>
  <c r="S297" i="81"/>
  <c r="R297" i="81"/>
  <c r="Q297" i="81"/>
  <c r="P297" i="81"/>
  <c r="O297" i="81"/>
  <c r="N297" i="81"/>
  <c r="M297" i="81"/>
  <c r="L297" i="81"/>
  <c r="K297" i="81"/>
  <c r="J297" i="81"/>
  <c r="I297" i="81"/>
  <c r="H297" i="81"/>
  <c r="G297" i="81"/>
  <c r="F297" i="81"/>
  <c r="E297" i="81"/>
  <c r="D297" i="81"/>
  <c r="C297" i="81"/>
  <c r="AH293" i="81"/>
  <c r="AH292" i="81"/>
  <c r="AH291" i="81"/>
  <c r="AH290" i="81"/>
  <c r="AG289" i="81"/>
  <c r="AF289" i="81"/>
  <c r="AE289" i="81"/>
  <c r="AD289" i="81"/>
  <c r="AC289" i="81"/>
  <c r="AB289" i="81"/>
  <c r="AA289" i="81"/>
  <c r="Z289" i="81"/>
  <c r="Y289" i="81"/>
  <c r="X289" i="81"/>
  <c r="W289" i="81"/>
  <c r="V289" i="81"/>
  <c r="U289" i="81"/>
  <c r="T289" i="81"/>
  <c r="S289" i="81"/>
  <c r="R289" i="81"/>
  <c r="Q289" i="81"/>
  <c r="P289" i="81"/>
  <c r="O289" i="81"/>
  <c r="N289" i="81"/>
  <c r="M289" i="81"/>
  <c r="L289" i="81"/>
  <c r="K289" i="81"/>
  <c r="J289" i="81"/>
  <c r="I289" i="81"/>
  <c r="H289" i="81"/>
  <c r="G289" i="81"/>
  <c r="F289" i="81"/>
  <c r="E289" i="81"/>
  <c r="D289" i="81"/>
  <c r="C289" i="81"/>
  <c r="B276" i="81"/>
  <c r="B275" i="81"/>
  <c r="B274" i="81" s="1"/>
  <c r="B254" i="81"/>
  <c r="AH253" i="81"/>
  <c r="AH251" i="81"/>
  <c r="AG245" i="81"/>
  <c r="AF245" i="81"/>
  <c r="AE245" i="81"/>
  <c r="AD245" i="81"/>
  <c r="AC245" i="81"/>
  <c r="AB245" i="81"/>
  <c r="AA245" i="81"/>
  <c r="Z245" i="81"/>
  <c r="Y245" i="81"/>
  <c r="X245" i="81"/>
  <c r="W245" i="81"/>
  <c r="V245" i="81"/>
  <c r="U245" i="81"/>
  <c r="T245" i="81"/>
  <c r="S245" i="81"/>
  <c r="R245" i="81"/>
  <c r="Q245" i="81"/>
  <c r="P245" i="81"/>
  <c r="O245" i="81"/>
  <c r="N245" i="81"/>
  <c r="M245" i="81"/>
  <c r="L245" i="81"/>
  <c r="K245" i="81"/>
  <c r="J245" i="81"/>
  <c r="I245" i="81"/>
  <c r="H245" i="81"/>
  <c r="G245" i="81"/>
  <c r="F245" i="81"/>
  <c r="E245" i="81"/>
  <c r="D245" i="81"/>
  <c r="C245" i="81"/>
  <c r="AG244" i="81"/>
  <c r="AF244" i="81"/>
  <c r="AE244" i="81"/>
  <c r="AD244" i="81"/>
  <c r="AC244" i="81"/>
  <c r="AB244" i="81"/>
  <c r="AA244" i="81"/>
  <c r="Z244" i="81"/>
  <c r="Y244" i="81"/>
  <c r="X244" i="81"/>
  <c r="W244" i="81"/>
  <c r="V244" i="81"/>
  <c r="U244" i="81"/>
  <c r="T244" i="81"/>
  <c r="S244" i="81"/>
  <c r="R244" i="81"/>
  <c r="Q244" i="81"/>
  <c r="P244" i="81"/>
  <c r="O244" i="81"/>
  <c r="N244" i="81"/>
  <c r="M244" i="81"/>
  <c r="L244" i="81"/>
  <c r="K244" i="81"/>
  <c r="J244" i="81"/>
  <c r="I244" i="81"/>
  <c r="H244" i="81"/>
  <c r="G244" i="81"/>
  <c r="F244" i="81"/>
  <c r="E244" i="81"/>
  <c r="D244" i="81"/>
  <c r="C244" i="81"/>
  <c r="AH235" i="81"/>
  <c r="AG233" i="81"/>
  <c r="AF233" i="81"/>
  <c r="AE233" i="81"/>
  <c r="AD233" i="81"/>
  <c r="AC233" i="81"/>
  <c r="AB233" i="81"/>
  <c r="AA233" i="81"/>
  <c r="Z233" i="81"/>
  <c r="Y233" i="81"/>
  <c r="X233" i="81"/>
  <c r="W233" i="81"/>
  <c r="V233" i="81"/>
  <c r="U233" i="81"/>
  <c r="T233" i="81"/>
  <c r="S233" i="81"/>
  <c r="R233" i="81"/>
  <c r="Q233" i="81"/>
  <c r="P233" i="81"/>
  <c r="O233" i="81"/>
  <c r="N233" i="81"/>
  <c r="M233" i="81"/>
  <c r="L233" i="81"/>
  <c r="K233" i="81"/>
  <c r="J233" i="81"/>
  <c r="I233" i="81"/>
  <c r="H233" i="81"/>
  <c r="G233" i="81"/>
  <c r="F233" i="81"/>
  <c r="E233" i="81"/>
  <c r="D233" i="81"/>
  <c r="C233" i="81"/>
  <c r="AH229" i="81"/>
  <c r="AH228" i="81"/>
  <c r="AH227" i="81"/>
  <c r="AH226" i="81"/>
  <c r="AG225" i="81"/>
  <c r="AF225" i="81"/>
  <c r="AE225" i="81"/>
  <c r="AD225" i="81"/>
  <c r="AC225" i="81"/>
  <c r="AB225" i="81"/>
  <c r="AA225" i="81"/>
  <c r="Z225" i="81"/>
  <c r="Y225" i="81"/>
  <c r="X225" i="81"/>
  <c r="W225" i="81"/>
  <c r="V225" i="81"/>
  <c r="U225" i="81"/>
  <c r="T225" i="81"/>
  <c r="S225" i="81"/>
  <c r="R225" i="81"/>
  <c r="Q225" i="81"/>
  <c r="P225" i="81"/>
  <c r="O225" i="81"/>
  <c r="N225" i="81"/>
  <c r="M225" i="81"/>
  <c r="L225" i="81"/>
  <c r="K225" i="81"/>
  <c r="J225" i="81"/>
  <c r="I225" i="81"/>
  <c r="H225" i="81"/>
  <c r="G225" i="81"/>
  <c r="F225" i="81"/>
  <c r="E225" i="81"/>
  <c r="D225" i="81"/>
  <c r="C225" i="81"/>
  <c r="B212" i="81"/>
  <c r="B211" i="81"/>
  <c r="B191" i="81"/>
  <c r="AG182" i="81"/>
  <c r="AF182" i="81"/>
  <c r="AE182" i="81"/>
  <c r="AD182" i="81"/>
  <c r="AC182" i="81"/>
  <c r="AB182" i="81"/>
  <c r="AA182" i="81"/>
  <c r="Z182" i="81"/>
  <c r="Y182" i="81"/>
  <c r="X182" i="81"/>
  <c r="W182" i="81"/>
  <c r="V182" i="81"/>
  <c r="U182" i="81"/>
  <c r="T182" i="81"/>
  <c r="S182" i="81"/>
  <c r="R182" i="81"/>
  <c r="Q182" i="81"/>
  <c r="P182" i="81"/>
  <c r="O182" i="81"/>
  <c r="N182" i="81"/>
  <c r="M182" i="81"/>
  <c r="L182" i="81"/>
  <c r="K182" i="81"/>
  <c r="J182" i="81"/>
  <c r="I182" i="81"/>
  <c r="H182" i="81"/>
  <c r="G182" i="81"/>
  <c r="F182" i="81"/>
  <c r="E182" i="81"/>
  <c r="D182" i="81"/>
  <c r="C182" i="81"/>
  <c r="AG181" i="81"/>
  <c r="AF181" i="81"/>
  <c r="AE181" i="81"/>
  <c r="AD181" i="81"/>
  <c r="AC181" i="81"/>
  <c r="AB181" i="81"/>
  <c r="AA181" i="81"/>
  <c r="Z181" i="81"/>
  <c r="Y181" i="81"/>
  <c r="X181" i="81"/>
  <c r="W181" i="81"/>
  <c r="V181" i="81"/>
  <c r="U181" i="81"/>
  <c r="T181" i="81"/>
  <c r="S181" i="81"/>
  <c r="R181" i="81"/>
  <c r="Q181" i="81"/>
  <c r="P181" i="81"/>
  <c r="O181" i="81"/>
  <c r="N181" i="81"/>
  <c r="M181" i="81"/>
  <c r="L181" i="81"/>
  <c r="K181" i="81"/>
  <c r="J181" i="81"/>
  <c r="I181" i="81"/>
  <c r="H181" i="81"/>
  <c r="G181" i="81"/>
  <c r="F181" i="81"/>
  <c r="E181" i="81"/>
  <c r="D181" i="81"/>
  <c r="C181" i="81"/>
  <c r="AH172" i="81"/>
  <c r="AG170" i="81"/>
  <c r="AF170" i="81"/>
  <c r="AE170" i="81"/>
  <c r="AD170" i="81"/>
  <c r="AC170" i="81"/>
  <c r="AB170" i="81"/>
  <c r="AA170" i="81"/>
  <c r="Z170" i="81"/>
  <c r="Y170" i="81"/>
  <c r="X170" i="81"/>
  <c r="W170" i="81"/>
  <c r="V170" i="81"/>
  <c r="U170" i="81"/>
  <c r="T170" i="81"/>
  <c r="S170" i="81"/>
  <c r="R170" i="81"/>
  <c r="Q170" i="81"/>
  <c r="P170" i="81"/>
  <c r="O170" i="81"/>
  <c r="N170" i="81"/>
  <c r="M170" i="81"/>
  <c r="L170" i="81"/>
  <c r="K170" i="81"/>
  <c r="J170" i="81"/>
  <c r="I170" i="81"/>
  <c r="H170" i="81"/>
  <c r="G170" i="81"/>
  <c r="F170" i="81"/>
  <c r="E170" i="81"/>
  <c r="D170" i="81"/>
  <c r="C170" i="81"/>
  <c r="AH168" i="81"/>
  <c r="AH167" i="81"/>
  <c r="AH166" i="81"/>
  <c r="AH165" i="81"/>
  <c r="AH164" i="81"/>
  <c r="AH163" i="81"/>
  <c r="AH162" i="81"/>
  <c r="AH161" i="81"/>
  <c r="AG160" i="81"/>
  <c r="AF160" i="81"/>
  <c r="AE160" i="81"/>
  <c r="AD160" i="81"/>
  <c r="AC160" i="81"/>
  <c r="AB160" i="81"/>
  <c r="AA160" i="81"/>
  <c r="Z160" i="81"/>
  <c r="Y160" i="81"/>
  <c r="X160" i="81"/>
  <c r="W160" i="81"/>
  <c r="V160" i="81"/>
  <c r="U160" i="81"/>
  <c r="T160" i="81"/>
  <c r="S160" i="81"/>
  <c r="R160" i="81"/>
  <c r="Q160" i="81"/>
  <c r="P160" i="81"/>
  <c r="O160" i="81"/>
  <c r="N160" i="81"/>
  <c r="M160" i="81"/>
  <c r="L160" i="81"/>
  <c r="K160" i="81"/>
  <c r="J160" i="81"/>
  <c r="I160" i="81"/>
  <c r="H160" i="81"/>
  <c r="G160" i="81"/>
  <c r="F160" i="81"/>
  <c r="E160" i="81"/>
  <c r="D160" i="81"/>
  <c r="C160" i="81"/>
  <c r="B147" i="81"/>
  <c r="B146" i="81"/>
  <c r="B145" i="81" s="1"/>
  <c r="AN93" i="81"/>
  <c r="AN112" i="81" s="1"/>
  <c r="C82" i="81"/>
  <c r="B29" i="81" s="1"/>
  <c r="B28" i="81" s="1"/>
  <c r="AH79" i="81"/>
  <c r="AH78" i="81"/>
  <c r="AH77" i="81"/>
  <c r="AG75" i="81"/>
  <c r="AH75" i="81" s="1"/>
  <c r="O74" i="81"/>
  <c r="O66" i="81" s="1"/>
  <c r="N74" i="81"/>
  <c r="AH74" i="81" s="1"/>
  <c r="AF67" i="81"/>
  <c r="AE67" i="81"/>
  <c r="AD67" i="81"/>
  <c r="AC67" i="81"/>
  <c r="AB67" i="81"/>
  <c r="AA67" i="81"/>
  <c r="Z67" i="81"/>
  <c r="Y67" i="81"/>
  <c r="X67" i="81"/>
  <c r="W67" i="81"/>
  <c r="V67" i="81"/>
  <c r="U67" i="81"/>
  <c r="T67" i="81"/>
  <c r="S67" i="81"/>
  <c r="R67" i="81"/>
  <c r="Q67" i="81"/>
  <c r="P67" i="81"/>
  <c r="O67" i="81"/>
  <c r="N67" i="81"/>
  <c r="M67" i="81"/>
  <c r="L67" i="81"/>
  <c r="K67" i="81"/>
  <c r="J67" i="81"/>
  <c r="I67" i="81"/>
  <c r="H67" i="81"/>
  <c r="G67" i="81"/>
  <c r="F67" i="81"/>
  <c r="E67" i="81"/>
  <c r="D67" i="81"/>
  <c r="C67" i="81"/>
  <c r="AG66" i="81"/>
  <c r="AF66" i="81"/>
  <c r="AE66" i="81"/>
  <c r="AD66" i="81"/>
  <c r="AC66" i="81"/>
  <c r="AB66" i="81"/>
  <c r="AA66" i="81"/>
  <c r="Z66" i="81"/>
  <c r="Y66" i="81"/>
  <c r="X66" i="81"/>
  <c r="W66" i="81"/>
  <c r="V66" i="81"/>
  <c r="U66" i="81"/>
  <c r="T66" i="81"/>
  <c r="S66" i="81"/>
  <c r="R66" i="81"/>
  <c r="Q66" i="81"/>
  <c r="P66" i="81"/>
  <c r="M66" i="81"/>
  <c r="L66" i="81"/>
  <c r="K66" i="81"/>
  <c r="J66" i="81"/>
  <c r="I66" i="81"/>
  <c r="H66" i="81"/>
  <c r="G66" i="81"/>
  <c r="F66" i="81"/>
  <c r="E66" i="81"/>
  <c r="D66" i="81"/>
  <c r="C66" i="81"/>
  <c r="AH65" i="81"/>
  <c r="AH58" i="81"/>
  <c r="AH57" i="81"/>
  <c r="AH56" i="81"/>
  <c r="AG55" i="81"/>
  <c r="AF55" i="81"/>
  <c r="AE55" i="81"/>
  <c r="AD55" i="81"/>
  <c r="AC55" i="81"/>
  <c r="AB55" i="81"/>
  <c r="AA55" i="81"/>
  <c r="Z55" i="81"/>
  <c r="Y55" i="81"/>
  <c r="X55" i="81"/>
  <c r="W55" i="81"/>
  <c r="V55" i="81"/>
  <c r="U55" i="81"/>
  <c r="T55" i="81"/>
  <c r="S55" i="81"/>
  <c r="R55" i="81"/>
  <c r="Q55" i="81"/>
  <c r="P55" i="81"/>
  <c r="L55" i="81"/>
  <c r="K55" i="81"/>
  <c r="J55" i="81"/>
  <c r="I55" i="81"/>
  <c r="H55" i="81"/>
  <c r="G55" i="81"/>
  <c r="F55" i="81"/>
  <c r="E55" i="81"/>
  <c r="D55" i="81"/>
  <c r="C55" i="81"/>
  <c r="AH54" i="81"/>
  <c r="AH53" i="81"/>
  <c r="AH52" i="81"/>
  <c r="AH51" i="81"/>
  <c r="AH50" i="81"/>
  <c r="AH49" i="81"/>
  <c r="AH48" i="81"/>
  <c r="AH47" i="81"/>
  <c r="AH46" i="81"/>
  <c r="AH45" i="81"/>
  <c r="AH44" i="81"/>
  <c r="AG43" i="81"/>
  <c r="AF43" i="81"/>
  <c r="AE43" i="81"/>
  <c r="AD43" i="81"/>
  <c r="AC43" i="81"/>
  <c r="AB43" i="81"/>
  <c r="AA43" i="81"/>
  <c r="Z43" i="81"/>
  <c r="Y43" i="81"/>
  <c r="X43" i="81"/>
  <c r="W43" i="81"/>
  <c r="V43" i="81"/>
  <c r="U43" i="81"/>
  <c r="T43" i="81"/>
  <c r="S43" i="81"/>
  <c r="R43" i="81"/>
  <c r="Q43" i="81"/>
  <c r="P43" i="81"/>
  <c r="O43" i="81"/>
  <c r="O60" i="81" s="1"/>
  <c r="N43" i="81"/>
  <c r="N60" i="81" s="1"/>
  <c r="M43" i="81"/>
  <c r="M60" i="81" s="1"/>
  <c r="L43" i="81"/>
  <c r="K43" i="81"/>
  <c r="J43" i="81"/>
  <c r="I43" i="81"/>
  <c r="H43" i="81"/>
  <c r="G43" i="81"/>
  <c r="F43" i="81"/>
  <c r="E43" i="81"/>
  <c r="D43" i="81"/>
  <c r="C43" i="81"/>
  <c r="AH42" i="81"/>
  <c r="B37" i="81"/>
  <c r="AG13" i="81"/>
  <c r="AF13" i="81"/>
  <c r="AE13" i="81"/>
  <c r="AD13" i="81"/>
  <c r="AC13" i="81"/>
  <c r="AB13" i="81"/>
  <c r="AA13" i="81"/>
  <c r="Z13" i="81"/>
  <c r="Y13" i="81"/>
  <c r="X13" i="81"/>
  <c r="W13" i="81"/>
  <c r="V13" i="81"/>
  <c r="U13" i="81"/>
  <c r="T13" i="81"/>
  <c r="S13" i="81"/>
  <c r="R13" i="81"/>
  <c r="Q13" i="81"/>
  <c r="P13" i="81"/>
  <c r="O13" i="81"/>
  <c r="N13" i="81"/>
  <c r="M13" i="81"/>
  <c r="L13" i="81"/>
  <c r="K13" i="81"/>
  <c r="J13" i="81"/>
  <c r="I13" i="81"/>
  <c r="H13" i="81"/>
  <c r="G13" i="81"/>
  <c r="F13" i="81"/>
  <c r="E13" i="81"/>
  <c r="D13" i="81"/>
  <c r="C13" i="81"/>
  <c r="AG12" i="81"/>
  <c r="AF12" i="81"/>
  <c r="AE12" i="81"/>
  <c r="AD12" i="81"/>
  <c r="AC12" i="81"/>
  <c r="AB12" i="81"/>
  <c r="AA12" i="81"/>
  <c r="Z12" i="81"/>
  <c r="Z10" i="81" s="1"/>
  <c r="Y12" i="81"/>
  <c r="X12" i="81"/>
  <c r="W12" i="81"/>
  <c r="V12" i="81"/>
  <c r="U12" i="81"/>
  <c r="T12" i="81"/>
  <c r="S12" i="81"/>
  <c r="R12" i="81"/>
  <c r="Q12" i="81"/>
  <c r="P12" i="81"/>
  <c r="O12" i="81"/>
  <c r="N12" i="81"/>
  <c r="M12" i="81"/>
  <c r="L12" i="81"/>
  <c r="K12" i="81"/>
  <c r="J12" i="81"/>
  <c r="I12" i="81"/>
  <c r="H12" i="81"/>
  <c r="G12" i="81"/>
  <c r="F12" i="81"/>
  <c r="E12" i="81"/>
  <c r="D12" i="81"/>
  <c r="C12" i="81"/>
  <c r="AG11" i="81"/>
  <c r="AF11" i="81"/>
  <c r="AE11" i="81"/>
  <c r="AD11" i="81"/>
  <c r="AC11" i="81"/>
  <c r="AB11" i="81"/>
  <c r="AA11" i="81"/>
  <c r="Z11" i="81"/>
  <c r="Y11" i="81"/>
  <c r="X11" i="81"/>
  <c r="W11" i="81"/>
  <c r="V11" i="81"/>
  <c r="U11" i="81"/>
  <c r="T11" i="81"/>
  <c r="S11" i="81"/>
  <c r="R11" i="81"/>
  <c r="Q11" i="81"/>
  <c r="P11" i="81"/>
  <c r="O11" i="81"/>
  <c r="N11" i="81"/>
  <c r="M11" i="81"/>
  <c r="L11" i="81"/>
  <c r="K11" i="81"/>
  <c r="J11" i="81"/>
  <c r="I11" i="81"/>
  <c r="H11" i="81"/>
  <c r="G11" i="81"/>
  <c r="F11" i="81"/>
  <c r="E11" i="81"/>
  <c r="D11" i="81"/>
  <c r="C11" i="81"/>
  <c r="G974" i="41"/>
  <c r="AF162" i="68"/>
  <c r="AA45" i="68"/>
  <c r="C45" i="61"/>
  <c r="G45" i="71"/>
  <c r="C52" i="66"/>
  <c r="R10" i="81" l="1"/>
  <c r="J10" i="81"/>
  <c r="C10" i="81"/>
  <c r="K10" i="81"/>
  <c r="N66" i="81"/>
  <c r="D10" i="81"/>
  <c r="H10" i="81"/>
  <c r="L10" i="81"/>
  <c r="P10" i="81"/>
  <c r="T10" i="81"/>
  <c r="X10" i="81"/>
  <c r="AB10" i="81"/>
  <c r="AF10" i="81"/>
  <c r="E10" i="81"/>
  <c r="M10" i="81"/>
  <c r="Q10" i="81"/>
  <c r="U10" i="81"/>
  <c r="Y10" i="81"/>
  <c r="AC10" i="81"/>
  <c r="G10" i="81"/>
  <c r="O10" i="81"/>
  <c r="B210" i="81"/>
  <c r="I10" i="81"/>
  <c r="F10" i="81"/>
  <c r="N10" i="81"/>
  <c r="V10" i="81"/>
  <c r="AD10" i="81"/>
  <c r="F302" i="81"/>
  <c r="N302" i="81"/>
  <c r="R302" i="81"/>
  <c r="V302" i="81"/>
  <c r="F175" i="81"/>
  <c r="N175" i="81"/>
  <c r="V175" i="81"/>
  <c r="Z175" i="81"/>
  <c r="AD175" i="81"/>
  <c r="I238" i="81"/>
  <c r="Q238" i="81"/>
  <c r="Y238" i="81"/>
  <c r="AC238" i="81"/>
  <c r="AG238" i="81"/>
  <c r="S10" i="81"/>
  <c r="W10" i="81"/>
  <c r="AA10" i="81"/>
  <c r="AE10" i="81"/>
  <c r="AG67" i="81"/>
  <c r="AH43" i="81"/>
  <c r="C175" i="81"/>
  <c r="G175" i="81"/>
  <c r="O175" i="81"/>
  <c r="W175" i="81"/>
  <c r="AA175" i="81"/>
  <c r="AE175" i="81"/>
  <c r="F238" i="81"/>
  <c r="J238" i="81"/>
  <c r="N238" i="81"/>
  <c r="R238" i="81"/>
  <c r="Z238" i="81"/>
  <c r="G302" i="81"/>
  <c r="K302" i="81"/>
  <c r="O302" i="81"/>
  <c r="S302" i="81"/>
  <c r="W302" i="81"/>
  <c r="AA302" i="81"/>
  <c r="AE302" i="81"/>
  <c r="E175" i="81"/>
  <c r="I175" i="81"/>
  <c r="M175" i="81"/>
  <c r="Q175" i="81"/>
  <c r="U175" i="81"/>
  <c r="Y175" i="81"/>
  <c r="AC175" i="81"/>
  <c r="AH225" i="81"/>
  <c r="D238" i="81"/>
  <c r="H238" i="81"/>
  <c r="T238" i="81"/>
  <c r="X238" i="81"/>
  <c r="E302" i="81"/>
  <c r="I302" i="81"/>
  <c r="M302" i="81"/>
  <c r="Q302" i="81"/>
  <c r="U302" i="81"/>
  <c r="AC302" i="81"/>
  <c r="AG302" i="81"/>
  <c r="AG10" i="81"/>
  <c r="J60" i="81"/>
  <c r="AG60" i="81"/>
  <c r="AH160" i="81"/>
  <c r="D175" i="81"/>
  <c r="H175" i="81"/>
  <c r="L175" i="81"/>
  <c r="P175" i="81"/>
  <c r="X175" i="81"/>
  <c r="AB175" i="81"/>
  <c r="C238" i="81"/>
  <c r="S238" i="81"/>
  <c r="AA238" i="81"/>
  <c r="AH289" i="81"/>
  <c r="D302" i="81"/>
  <c r="H302" i="81"/>
  <c r="L302" i="81"/>
  <c r="P302" i="81"/>
  <c r="AD238" i="81"/>
  <c r="W238" i="81"/>
  <c r="AF302" i="81"/>
  <c r="Y302" i="81"/>
  <c r="AD60" i="81"/>
  <c r="AC60" i="81"/>
  <c r="V238" i="81"/>
  <c r="AB60" i="81"/>
  <c r="U238" i="81"/>
  <c r="AE238" i="81"/>
  <c r="M238" i="81"/>
  <c r="AA60" i="81"/>
  <c r="Y60" i="81"/>
  <c r="Z60" i="81"/>
  <c r="L238" i="81"/>
  <c r="T175" i="81"/>
  <c r="S175" i="81"/>
  <c r="R175" i="81"/>
  <c r="U60" i="81"/>
  <c r="K238" i="81"/>
  <c r="T60" i="81"/>
  <c r="S60" i="81"/>
  <c r="T302" i="81"/>
  <c r="R60" i="81"/>
  <c r="AD302" i="81"/>
  <c r="P60" i="81"/>
  <c r="Q60" i="81"/>
  <c r="G238" i="81"/>
  <c r="L60" i="81"/>
  <c r="K175" i="81"/>
  <c r="K60" i="81"/>
  <c r="H60" i="81"/>
  <c r="I60" i="81"/>
  <c r="J175" i="81"/>
  <c r="F60" i="81"/>
  <c r="O238" i="81"/>
  <c r="G60" i="81"/>
  <c r="E60" i="81"/>
  <c r="D60" i="81"/>
  <c r="C60" i="81"/>
  <c r="P238" i="81"/>
  <c r="J302" i="81"/>
  <c r="V60" i="81"/>
  <c r="C302" i="81"/>
  <c r="X60" i="81"/>
  <c r="Z302" i="81"/>
  <c r="X302" i="81"/>
  <c r="AF238" i="81"/>
  <c r="E238" i="81"/>
  <c r="W60" i="81"/>
  <c r="AB302" i="81"/>
  <c r="AB238" i="81"/>
  <c r="AF60" i="81"/>
  <c r="AE60" i="81"/>
  <c r="AI45" i="81"/>
  <c r="AH55" i="81"/>
  <c r="AP93" i="81"/>
  <c r="AF175" i="81"/>
  <c r="AG175" i="81"/>
  <c r="X32" i="27"/>
  <c r="AH10" i="81" l="1"/>
  <c r="W14" i="27"/>
  <c r="G987" i="41"/>
  <c r="G930" i="41"/>
  <c r="G937" i="41" l="1"/>
  <c r="G989" i="41"/>
  <c r="G982" i="41"/>
  <c r="G942" i="41"/>
  <c r="AF52" i="71"/>
  <c r="G960" i="41" l="1"/>
  <c r="I124" i="78"/>
  <c r="H124" i="78"/>
  <c r="G124" i="78"/>
  <c r="F124" i="78"/>
  <c r="E124" i="78"/>
  <c r="D124" i="78"/>
  <c r="C124" i="78"/>
  <c r="B124" i="78"/>
  <c r="I113" i="78"/>
  <c r="H113" i="78"/>
  <c r="G113" i="78"/>
  <c r="F113" i="78"/>
  <c r="E113" i="78"/>
  <c r="D113" i="78"/>
  <c r="C113" i="78"/>
  <c r="B113" i="78"/>
  <c r="I107" i="78"/>
  <c r="I117" i="78" s="1"/>
  <c r="H107" i="78"/>
  <c r="H117" i="78" s="1"/>
  <c r="G107" i="78"/>
  <c r="G117" i="78" s="1"/>
  <c r="F107" i="78"/>
  <c r="F117" i="78" s="1"/>
  <c r="E107" i="78"/>
  <c r="E117" i="78" s="1"/>
  <c r="D107" i="78"/>
  <c r="D117" i="78" s="1"/>
  <c r="C107" i="78"/>
  <c r="C117" i="78" s="1"/>
  <c r="B107" i="78"/>
  <c r="B117" i="78" s="1"/>
  <c r="B127" i="78" l="1"/>
  <c r="B134" i="78" s="1"/>
  <c r="B138" i="78" s="1"/>
  <c r="B115" i="78"/>
  <c r="C127" i="78"/>
  <c r="C134" i="78" s="1"/>
  <c r="C138" i="78" s="1"/>
  <c r="C115" i="78"/>
  <c r="D127" i="78"/>
  <c r="D134" i="78" s="1"/>
  <c r="D138" i="78" s="1"/>
  <c r="D115" i="78"/>
  <c r="E127" i="78"/>
  <c r="E134" i="78" s="1"/>
  <c r="E138" i="78" s="1"/>
  <c r="E115" i="78"/>
  <c r="F127" i="78"/>
  <c r="F134" i="78" s="1"/>
  <c r="F138" i="78" s="1"/>
  <c r="F115" i="78"/>
  <c r="G127" i="78"/>
  <c r="G134" i="78" s="1"/>
  <c r="G138" i="78" s="1"/>
  <c r="G115" i="78"/>
  <c r="H127" i="78"/>
  <c r="H134" i="78" s="1"/>
  <c r="H138" i="78" s="1"/>
  <c r="H115" i="78"/>
  <c r="I127" i="78"/>
  <c r="I134" i="78" s="1"/>
  <c r="I115" i="78"/>
  <c r="I39" i="78"/>
  <c r="H39" i="78"/>
  <c r="I28" i="78"/>
  <c r="H28" i="78"/>
  <c r="I22" i="78"/>
  <c r="H22" i="78"/>
  <c r="G39" i="78"/>
  <c r="F39" i="78"/>
  <c r="E39" i="78"/>
  <c r="D39" i="78"/>
  <c r="C39" i="78"/>
  <c r="B39" i="78"/>
  <c r="G28" i="78"/>
  <c r="E28" i="78"/>
  <c r="D28" i="78"/>
  <c r="C28" i="78"/>
  <c r="B28" i="78"/>
  <c r="F28" i="78"/>
  <c r="G22" i="78"/>
  <c r="F22" i="78"/>
  <c r="E22" i="78"/>
  <c r="D22" i="78"/>
  <c r="C22" i="78"/>
  <c r="B22" i="78"/>
  <c r="H531" i="9"/>
  <c r="F531" i="9"/>
  <c r="E531" i="9"/>
  <c r="D531" i="9"/>
  <c r="C531" i="9"/>
  <c r="B531" i="9"/>
  <c r="H520" i="9"/>
  <c r="E520" i="9"/>
  <c r="D520" i="9"/>
  <c r="C520" i="9"/>
  <c r="B520" i="9"/>
  <c r="F518" i="9"/>
  <c r="F520" i="9" s="1"/>
  <c r="H514" i="9"/>
  <c r="F514" i="9"/>
  <c r="E514" i="9"/>
  <c r="D514" i="9"/>
  <c r="C514" i="9"/>
  <c r="B514" i="9"/>
  <c r="G993" i="41"/>
  <c r="V9" i="27"/>
  <c r="U9" i="27"/>
  <c r="V55" i="27"/>
  <c r="U55" i="27"/>
  <c r="B524" i="9" l="1"/>
  <c r="B534" i="9" s="1"/>
  <c r="B541" i="9" s="1"/>
  <c r="B545" i="9" s="1"/>
  <c r="B547" i="9" s="1"/>
  <c r="F524" i="9"/>
  <c r="F522" i="9" s="1"/>
  <c r="D32" i="78"/>
  <c r="D30" i="78" s="1"/>
  <c r="H32" i="78"/>
  <c r="H30" i="78" s="1"/>
  <c r="E524" i="9"/>
  <c r="E534" i="9" s="1"/>
  <c r="E541" i="9" s="1"/>
  <c r="E545" i="9" s="1"/>
  <c r="E547" i="9" s="1"/>
  <c r="C32" i="78"/>
  <c r="C42" i="78" s="1"/>
  <c r="C49" i="78" s="1"/>
  <c r="C53" i="78" s="1"/>
  <c r="C55" i="78" s="1"/>
  <c r="H524" i="9"/>
  <c r="H534" i="9" s="1"/>
  <c r="H541" i="9" s="1"/>
  <c r="I32" i="78"/>
  <c r="I42" i="78" s="1"/>
  <c r="I49" i="78" s="1"/>
  <c r="I51" i="78" s="1"/>
  <c r="G32" i="78"/>
  <c r="G30" i="78" s="1"/>
  <c r="C524" i="9"/>
  <c r="C522" i="9" s="1"/>
  <c r="E32" i="78"/>
  <c r="E42" i="78" s="1"/>
  <c r="E49" i="78" s="1"/>
  <c r="E53" i="78" s="1"/>
  <c r="E55" i="78" s="1"/>
  <c r="D524" i="9"/>
  <c r="D522" i="9" s="1"/>
  <c r="B32" i="78"/>
  <c r="F32" i="78"/>
  <c r="F30" i="78" s="1"/>
  <c r="I136" i="78"/>
  <c r="I138" i="78" s="1"/>
  <c r="H42" i="78"/>
  <c r="B42" i="78"/>
  <c r="B49" i="78" s="1"/>
  <c r="B53" i="78" s="1"/>
  <c r="B55" i="78" s="1"/>
  <c r="B30" i="78"/>
  <c r="D42" i="78"/>
  <c r="D49" i="78" s="1"/>
  <c r="D53" i="78" s="1"/>
  <c r="D55" i="78" s="1"/>
  <c r="G42" i="78"/>
  <c r="G49" i="78" s="1"/>
  <c r="B522" i="9"/>
  <c r="C534" i="9"/>
  <c r="C541" i="9" s="1"/>
  <c r="C545" i="9" s="1"/>
  <c r="C547" i="9" s="1"/>
  <c r="E522" i="9"/>
  <c r="F534" i="9"/>
  <c r="F541" i="9" s="1"/>
  <c r="F545" i="9" s="1"/>
  <c r="F547" i="9" s="1"/>
  <c r="H522" i="9"/>
  <c r="C50" i="77"/>
  <c r="C30" i="78" l="1"/>
  <c r="D534" i="9"/>
  <c r="D541" i="9" s="1"/>
  <c r="D545" i="9" s="1"/>
  <c r="D547" i="9" s="1"/>
  <c r="I30" i="78"/>
  <c r="E30" i="78"/>
  <c r="F42" i="78"/>
  <c r="F49" i="78" s="1"/>
  <c r="F53" i="78" s="1"/>
  <c r="F55" i="78" s="1"/>
  <c r="H49" i="78"/>
  <c r="H53" i="78" s="1"/>
  <c r="H55" i="78" s="1"/>
  <c r="I53" i="78"/>
  <c r="I55" i="78" s="1"/>
  <c r="G53" i="78"/>
  <c r="G55" i="78" s="1"/>
  <c r="H543" i="9"/>
  <c r="H545" i="9" s="1"/>
  <c r="H547" i="9" s="1"/>
  <c r="S73" i="76"/>
  <c r="I82" i="76"/>
  <c r="H73" i="76"/>
  <c r="I54" i="76"/>
  <c r="Q73" i="76" l="1"/>
  <c r="W73" i="76"/>
  <c r="I78" i="76"/>
  <c r="N10" i="76"/>
  <c r="I10" i="76"/>
  <c r="N82" i="76"/>
  <c r="W76" i="76" s="1"/>
  <c r="W78" i="76"/>
  <c r="N78" i="76"/>
  <c r="N75" i="76"/>
  <c r="R73" i="76"/>
  <c r="P73" i="76"/>
  <c r="O73" i="76"/>
  <c r="M73" i="76"/>
  <c r="L73" i="76"/>
  <c r="K73" i="76"/>
  <c r="J73" i="76"/>
  <c r="G73" i="76"/>
  <c r="F73" i="76"/>
  <c r="D73" i="76"/>
  <c r="C73" i="76"/>
  <c r="N71" i="76"/>
  <c r="I71" i="76"/>
  <c r="N70" i="76"/>
  <c r="I70" i="76"/>
  <c r="N69" i="76"/>
  <c r="I69" i="76"/>
  <c r="N68" i="76"/>
  <c r="I68" i="76"/>
  <c r="N67" i="76"/>
  <c r="I67" i="76"/>
  <c r="N66" i="76"/>
  <c r="I66" i="76"/>
  <c r="N65" i="76"/>
  <c r="I65" i="76"/>
  <c r="N64" i="76"/>
  <c r="I64" i="76"/>
  <c r="N63" i="76"/>
  <c r="I63" i="76"/>
  <c r="N62" i="76"/>
  <c r="I62" i="76"/>
  <c r="N61" i="76"/>
  <c r="I61" i="76"/>
  <c r="N60" i="76"/>
  <c r="I60" i="76"/>
  <c r="N59" i="76"/>
  <c r="I59" i="76"/>
  <c r="N58" i="76"/>
  <c r="I58" i="76"/>
  <c r="N57" i="76"/>
  <c r="I57" i="76"/>
  <c r="N56" i="76"/>
  <c r="I56" i="76"/>
  <c r="N55" i="76"/>
  <c r="I55" i="76"/>
  <c r="N54" i="76"/>
  <c r="N53" i="76"/>
  <c r="I53" i="76"/>
  <c r="N52" i="76"/>
  <c r="I52" i="76"/>
  <c r="N51" i="76"/>
  <c r="I51" i="76"/>
  <c r="N50" i="76"/>
  <c r="I50" i="76"/>
  <c r="N49" i="76"/>
  <c r="I49" i="76"/>
  <c r="N48" i="76"/>
  <c r="I48" i="76"/>
  <c r="N47" i="76"/>
  <c r="I47" i="76"/>
  <c r="N46" i="76"/>
  <c r="I46" i="76"/>
  <c r="N45" i="76"/>
  <c r="I45" i="76"/>
  <c r="N44" i="76"/>
  <c r="I44" i="76"/>
  <c r="N43" i="76"/>
  <c r="N42" i="76"/>
  <c r="I42" i="76"/>
  <c r="N41" i="76"/>
  <c r="I41" i="76"/>
  <c r="N40" i="76"/>
  <c r="I40" i="76"/>
  <c r="N39" i="76"/>
  <c r="I39" i="76"/>
  <c r="N38" i="76"/>
  <c r="I38" i="76"/>
  <c r="N37" i="76"/>
  <c r="I37" i="76"/>
  <c r="N36" i="76"/>
  <c r="I36" i="76"/>
  <c r="N35" i="76"/>
  <c r="I35" i="76"/>
  <c r="N34" i="76"/>
  <c r="I34" i="76"/>
  <c r="N33" i="76"/>
  <c r="I33" i="76"/>
  <c r="N32" i="76"/>
  <c r="I32" i="76"/>
  <c r="N31" i="76"/>
  <c r="I31" i="76"/>
  <c r="N30" i="76"/>
  <c r="I30" i="76"/>
  <c r="N29" i="76"/>
  <c r="I29" i="76"/>
  <c r="N28" i="76"/>
  <c r="I28" i="76"/>
  <c r="N27" i="76"/>
  <c r="I27" i="76"/>
  <c r="N26" i="76"/>
  <c r="I26" i="76"/>
  <c r="N25" i="76"/>
  <c r="I25" i="76"/>
  <c r="N24" i="76"/>
  <c r="I24" i="76"/>
  <c r="N23" i="76"/>
  <c r="I23" i="76"/>
  <c r="N22" i="76"/>
  <c r="I22" i="76"/>
  <c r="N21" i="76"/>
  <c r="I21" i="76"/>
  <c r="N20" i="76"/>
  <c r="I20" i="76"/>
  <c r="N19" i="76"/>
  <c r="I19" i="76"/>
  <c r="N18" i="76"/>
  <c r="I18" i="76"/>
  <c r="N17" i="76"/>
  <c r="I17" i="76"/>
  <c r="N16" i="76"/>
  <c r="I16" i="76"/>
  <c r="N15" i="76"/>
  <c r="I15" i="76"/>
  <c r="N14" i="76"/>
  <c r="I14" i="76"/>
  <c r="N13" i="76"/>
  <c r="N12" i="76"/>
  <c r="I12" i="76"/>
  <c r="N11" i="76"/>
  <c r="B318" i="71"/>
  <c r="AH315" i="71"/>
  <c r="AG309" i="71"/>
  <c r="AF309" i="71"/>
  <c r="AE309" i="71"/>
  <c r="AD309" i="71"/>
  <c r="AC309" i="71"/>
  <c r="AB309" i="71"/>
  <c r="AA309" i="71"/>
  <c r="Z309" i="71"/>
  <c r="Y309" i="71"/>
  <c r="X309" i="71"/>
  <c r="W309" i="71"/>
  <c r="V309" i="71"/>
  <c r="U309" i="71"/>
  <c r="T309" i="71"/>
  <c r="S309" i="71"/>
  <c r="R309" i="71"/>
  <c r="Q309" i="71"/>
  <c r="P309" i="71"/>
  <c r="O309" i="71"/>
  <c r="N309" i="71"/>
  <c r="M309" i="71"/>
  <c r="L309" i="71"/>
  <c r="K309" i="71"/>
  <c r="J309" i="71"/>
  <c r="I309" i="71"/>
  <c r="H309" i="71"/>
  <c r="G309" i="71"/>
  <c r="F309" i="71"/>
  <c r="E309" i="71"/>
  <c r="D309" i="71"/>
  <c r="C309" i="71"/>
  <c r="AG308" i="71"/>
  <c r="AF308" i="71"/>
  <c r="AE308" i="71"/>
  <c r="AD308" i="71"/>
  <c r="AC308" i="71"/>
  <c r="AB308" i="71"/>
  <c r="AA308" i="71"/>
  <c r="Z308" i="71"/>
  <c r="Y308" i="71"/>
  <c r="X308" i="71"/>
  <c r="W308" i="71"/>
  <c r="V308" i="71"/>
  <c r="U308" i="71"/>
  <c r="T308" i="71"/>
  <c r="S308" i="71"/>
  <c r="R308" i="71"/>
  <c r="Q308" i="71"/>
  <c r="P308" i="71"/>
  <c r="O308" i="71"/>
  <c r="N308" i="71"/>
  <c r="M308" i="71"/>
  <c r="L308" i="71"/>
  <c r="K308" i="71"/>
  <c r="J308" i="71"/>
  <c r="I308" i="71"/>
  <c r="H308" i="71"/>
  <c r="G308" i="71"/>
  <c r="F308" i="71"/>
  <c r="E308" i="71"/>
  <c r="D308" i="71"/>
  <c r="C308" i="71"/>
  <c r="AH299" i="71"/>
  <c r="AG297" i="71"/>
  <c r="AF297" i="71"/>
  <c r="AE297" i="71"/>
  <c r="AD297" i="71"/>
  <c r="AC297" i="71"/>
  <c r="AB297" i="71"/>
  <c r="AA297" i="71"/>
  <c r="Z297" i="71"/>
  <c r="Y297" i="71"/>
  <c r="X297" i="71"/>
  <c r="W297" i="71"/>
  <c r="V297" i="71"/>
  <c r="U297" i="71"/>
  <c r="T297" i="71"/>
  <c r="S297" i="71"/>
  <c r="R297" i="71"/>
  <c r="Q297" i="71"/>
  <c r="P297" i="71"/>
  <c r="O297" i="71"/>
  <c r="N297" i="71"/>
  <c r="M297" i="71"/>
  <c r="L297" i="71"/>
  <c r="K297" i="71"/>
  <c r="J297" i="71"/>
  <c r="I297" i="71"/>
  <c r="H297" i="71"/>
  <c r="G297" i="71"/>
  <c r="F297" i="71"/>
  <c r="E297" i="71"/>
  <c r="D297" i="71"/>
  <c r="C297" i="71"/>
  <c r="AH293" i="71"/>
  <c r="AH292" i="71"/>
  <c r="AH291" i="71"/>
  <c r="AH290" i="71"/>
  <c r="AG289" i="71"/>
  <c r="AF289" i="71"/>
  <c r="AE289" i="71"/>
  <c r="AD289" i="71"/>
  <c r="AC289" i="71"/>
  <c r="AB289" i="71"/>
  <c r="AA289" i="71"/>
  <c r="Z289" i="71"/>
  <c r="Y289" i="71"/>
  <c r="X289" i="71"/>
  <c r="W289" i="71"/>
  <c r="V289" i="71"/>
  <c r="U289" i="71"/>
  <c r="T289" i="71"/>
  <c r="S289" i="71"/>
  <c r="R289" i="71"/>
  <c r="Q289" i="71"/>
  <c r="P289" i="71"/>
  <c r="O289" i="71"/>
  <c r="N289" i="71"/>
  <c r="M289" i="71"/>
  <c r="L289" i="71"/>
  <c r="K289" i="71"/>
  <c r="J289" i="71"/>
  <c r="I289" i="71"/>
  <c r="H289" i="71"/>
  <c r="G289" i="71"/>
  <c r="F289" i="71"/>
  <c r="E289" i="71"/>
  <c r="D289" i="71"/>
  <c r="C289" i="71"/>
  <c r="B276" i="71"/>
  <c r="B275" i="71"/>
  <c r="B254" i="71"/>
  <c r="AH253" i="71"/>
  <c r="AH251" i="71"/>
  <c r="AG245" i="71"/>
  <c r="AF245" i="71"/>
  <c r="AE245" i="71"/>
  <c r="AD245" i="71"/>
  <c r="AC245" i="71"/>
  <c r="AB245" i="71"/>
  <c r="AA245" i="71"/>
  <c r="Z245" i="71"/>
  <c r="Y245" i="71"/>
  <c r="X245" i="71"/>
  <c r="W245" i="71"/>
  <c r="V245" i="71"/>
  <c r="U245" i="71"/>
  <c r="T245" i="71"/>
  <c r="S245" i="71"/>
  <c r="R245" i="71"/>
  <c r="Q245" i="71"/>
  <c r="P245" i="71"/>
  <c r="O245" i="71"/>
  <c r="N245" i="71"/>
  <c r="M245" i="71"/>
  <c r="L245" i="71"/>
  <c r="K245" i="71"/>
  <c r="J245" i="71"/>
  <c r="I245" i="71"/>
  <c r="H245" i="71"/>
  <c r="G245" i="71"/>
  <c r="F245" i="71"/>
  <c r="E245" i="71"/>
  <c r="D245" i="71"/>
  <c r="C245" i="71"/>
  <c r="AG244" i="71"/>
  <c r="AF244" i="71"/>
  <c r="AE244" i="71"/>
  <c r="AD244" i="71"/>
  <c r="AC244" i="71"/>
  <c r="AB244" i="71"/>
  <c r="AA244" i="71"/>
  <c r="Z244" i="71"/>
  <c r="Y244" i="71"/>
  <c r="X244" i="71"/>
  <c r="W244" i="71"/>
  <c r="V244" i="71"/>
  <c r="U244" i="71"/>
  <c r="T244" i="71"/>
  <c r="S244" i="71"/>
  <c r="R244" i="71"/>
  <c r="Q244" i="71"/>
  <c r="P244" i="71"/>
  <c r="O244" i="71"/>
  <c r="N244" i="71"/>
  <c r="M244" i="71"/>
  <c r="L244" i="71"/>
  <c r="K244" i="71"/>
  <c r="J244" i="71"/>
  <c r="I244" i="71"/>
  <c r="H244" i="71"/>
  <c r="G244" i="71"/>
  <c r="F244" i="71"/>
  <c r="E244" i="71"/>
  <c r="D244" i="71"/>
  <c r="C244" i="71"/>
  <c r="AH235" i="71"/>
  <c r="AG233" i="71"/>
  <c r="AF233" i="71"/>
  <c r="AE233" i="71"/>
  <c r="AD233" i="71"/>
  <c r="AC233" i="71"/>
  <c r="AB233" i="71"/>
  <c r="AA233" i="71"/>
  <c r="Z233" i="71"/>
  <c r="Y233" i="71"/>
  <c r="X233" i="71"/>
  <c r="W233" i="71"/>
  <c r="V233" i="71"/>
  <c r="U233" i="71"/>
  <c r="T233" i="71"/>
  <c r="S233" i="71"/>
  <c r="R233" i="71"/>
  <c r="Q233" i="71"/>
  <c r="P233" i="71"/>
  <c r="O233" i="71"/>
  <c r="N233" i="71"/>
  <c r="M233" i="71"/>
  <c r="L233" i="71"/>
  <c r="K233" i="71"/>
  <c r="J233" i="71"/>
  <c r="I233" i="71"/>
  <c r="H233" i="71"/>
  <c r="G233" i="71"/>
  <c r="F233" i="71"/>
  <c r="E233" i="71"/>
  <c r="D233" i="71"/>
  <c r="C233" i="71"/>
  <c r="AH229" i="71"/>
  <c r="AH228" i="71"/>
  <c r="AH227" i="71"/>
  <c r="AH226" i="71"/>
  <c r="AG225" i="71"/>
  <c r="AF225" i="71"/>
  <c r="AE225" i="71"/>
  <c r="AD225" i="71"/>
  <c r="AC225" i="71"/>
  <c r="AB225" i="71"/>
  <c r="AA225" i="71"/>
  <c r="Z225" i="71"/>
  <c r="Y225" i="71"/>
  <c r="X225" i="71"/>
  <c r="W225" i="71"/>
  <c r="V225" i="71"/>
  <c r="U225" i="71"/>
  <c r="T225" i="71"/>
  <c r="S225" i="71"/>
  <c r="R225" i="71"/>
  <c r="Q225" i="71"/>
  <c r="P225" i="71"/>
  <c r="O225" i="71"/>
  <c r="N225" i="71"/>
  <c r="M225" i="71"/>
  <c r="L225" i="71"/>
  <c r="K225" i="71"/>
  <c r="J225" i="71"/>
  <c r="I225" i="71"/>
  <c r="H225" i="71"/>
  <c r="G225" i="71"/>
  <c r="F225" i="71"/>
  <c r="E225" i="71"/>
  <c r="D225" i="71"/>
  <c r="C225" i="71"/>
  <c r="B212" i="71"/>
  <c r="B211" i="71"/>
  <c r="B191" i="71"/>
  <c r="AG182" i="71"/>
  <c r="AF182" i="71"/>
  <c r="AE182" i="71"/>
  <c r="AD182" i="71"/>
  <c r="AC182" i="71"/>
  <c r="AB182" i="71"/>
  <c r="AA182" i="71"/>
  <c r="Z182" i="71"/>
  <c r="Y182" i="71"/>
  <c r="X182" i="71"/>
  <c r="W182" i="71"/>
  <c r="V182" i="71"/>
  <c r="U182" i="71"/>
  <c r="T182" i="71"/>
  <c r="S182" i="71"/>
  <c r="R182" i="71"/>
  <c r="Q182" i="71"/>
  <c r="P182" i="71"/>
  <c r="O182" i="71"/>
  <c r="N182" i="71"/>
  <c r="M182" i="71"/>
  <c r="L182" i="71"/>
  <c r="K182" i="71"/>
  <c r="J182" i="71"/>
  <c r="I182" i="71"/>
  <c r="H182" i="71"/>
  <c r="G182" i="71"/>
  <c r="F182" i="71"/>
  <c r="E182" i="71"/>
  <c r="D182" i="71"/>
  <c r="C182" i="71"/>
  <c r="AG181" i="71"/>
  <c r="AF181" i="71"/>
  <c r="AE181" i="71"/>
  <c r="AD181" i="71"/>
  <c r="AC181" i="71"/>
  <c r="AB181" i="71"/>
  <c r="AA181" i="71"/>
  <c r="Z181" i="71"/>
  <c r="Y181" i="71"/>
  <c r="X181" i="71"/>
  <c r="W181" i="71"/>
  <c r="V181" i="71"/>
  <c r="U181" i="71"/>
  <c r="T181" i="71"/>
  <c r="S181" i="71"/>
  <c r="R181" i="71"/>
  <c r="Q181" i="71"/>
  <c r="P181" i="71"/>
  <c r="O181" i="71"/>
  <c r="N181" i="71"/>
  <c r="M181" i="71"/>
  <c r="L181" i="71"/>
  <c r="K181" i="71"/>
  <c r="J181" i="71"/>
  <c r="I181" i="71"/>
  <c r="H181" i="71"/>
  <c r="G181" i="71"/>
  <c r="F181" i="71"/>
  <c r="E181" i="71"/>
  <c r="D181" i="71"/>
  <c r="C181" i="71"/>
  <c r="AH172" i="71"/>
  <c r="AG170" i="71"/>
  <c r="AF170" i="71"/>
  <c r="AE170" i="71"/>
  <c r="AD170" i="71"/>
  <c r="AC170" i="71"/>
  <c r="AB170" i="71"/>
  <c r="AA170" i="71"/>
  <c r="Z170" i="71"/>
  <c r="Y170" i="71"/>
  <c r="X170" i="71"/>
  <c r="W170" i="71"/>
  <c r="V170" i="71"/>
  <c r="U170" i="71"/>
  <c r="T170" i="71"/>
  <c r="S170" i="71"/>
  <c r="R170" i="71"/>
  <c r="Q170" i="71"/>
  <c r="P170" i="71"/>
  <c r="O170" i="71"/>
  <c r="N170" i="71"/>
  <c r="M170" i="71"/>
  <c r="L170" i="71"/>
  <c r="K170" i="71"/>
  <c r="J170" i="71"/>
  <c r="I170" i="71"/>
  <c r="H170" i="71"/>
  <c r="G170" i="71"/>
  <c r="F170" i="71"/>
  <c r="E170" i="71"/>
  <c r="D170" i="71"/>
  <c r="C170" i="71"/>
  <c r="AH168" i="71"/>
  <c r="AH167" i="71"/>
  <c r="AH166" i="71"/>
  <c r="AH165" i="71"/>
  <c r="AH164" i="71"/>
  <c r="AH163" i="71"/>
  <c r="AH162" i="71"/>
  <c r="AH161" i="71"/>
  <c r="AG160" i="71"/>
  <c r="AF160" i="71"/>
  <c r="AE160" i="71"/>
  <c r="AD160" i="71"/>
  <c r="AC160" i="71"/>
  <c r="AB160" i="71"/>
  <c r="AA160" i="71"/>
  <c r="Z160" i="71"/>
  <c r="Y160" i="71"/>
  <c r="X160" i="71"/>
  <c r="W160" i="71"/>
  <c r="V160" i="71"/>
  <c r="U160" i="71"/>
  <c r="T160" i="71"/>
  <c r="S160" i="71"/>
  <c r="R160" i="71"/>
  <c r="Q160" i="71"/>
  <c r="P160" i="71"/>
  <c r="O160" i="71"/>
  <c r="N160" i="71"/>
  <c r="M160" i="71"/>
  <c r="L160" i="71"/>
  <c r="K160" i="71"/>
  <c r="J160" i="71"/>
  <c r="I160" i="71"/>
  <c r="H160" i="71"/>
  <c r="G160" i="71"/>
  <c r="F160" i="71"/>
  <c r="E160" i="71"/>
  <c r="D160" i="71"/>
  <c r="C160" i="71"/>
  <c r="B147" i="71"/>
  <c r="B146" i="71"/>
  <c r="AN93" i="71"/>
  <c r="AN112" i="71" s="1"/>
  <c r="C82" i="71"/>
  <c r="AH79" i="71"/>
  <c r="AH78" i="71"/>
  <c r="AH77" i="71"/>
  <c r="AH75" i="71"/>
  <c r="AH74" i="71"/>
  <c r="AG67" i="71"/>
  <c r="AF67" i="71"/>
  <c r="AE67" i="71"/>
  <c r="AD67" i="71"/>
  <c r="AC67" i="71"/>
  <c r="AB67" i="71"/>
  <c r="AA67" i="71"/>
  <c r="Z67" i="71"/>
  <c r="Y67" i="71"/>
  <c r="X67" i="71"/>
  <c r="W67" i="71"/>
  <c r="V67" i="71"/>
  <c r="U67" i="71"/>
  <c r="T67" i="71"/>
  <c r="S67" i="71"/>
  <c r="R67" i="71"/>
  <c r="Q67" i="71"/>
  <c r="P67" i="71"/>
  <c r="O67" i="71"/>
  <c r="N67" i="71"/>
  <c r="M67" i="71"/>
  <c r="L67" i="71"/>
  <c r="K67" i="71"/>
  <c r="J67" i="71"/>
  <c r="I67" i="71"/>
  <c r="H67" i="71"/>
  <c r="G67" i="71"/>
  <c r="F67" i="71"/>
  <c r="E67" i="71"/>
  <c r="D67" i="71"/>
  <c r="C67" i="71"/>
  <c r="AG66" i="71"/>
  <c r="AF66" i="71"/>
  <c r="AE66" i="71"/>
  <c r="AD66" i="71"/>
  <c r="AC66" i="71"/>
  <c r="AB66" i="71"/>
  <c r="AA66" i="71"/>
  <c r="Z66" i="71"/>
  <c r="Y66" i="71"/>
  <c r="X66" i="71"/>
  <c r="W66" i="71"/>
  <c r="V66" i="71"/>
  <c r="U66" i="71"/>
  <c r="T66" i="71"/>
  <c r="S66" i="71"/>
  <c r="R66" i="71"/>
  <c r="Q66" i="71"/>
  <c r="P66" i="71"/>
  <c r="O66" i="71"/>
  <c r="N66" i="71"/>
  <c r="M66" i="71"/>
  <c r="L66" i="71"/>
  <c r="K66" i="71"/>
  <c r="J66" i="71"/>
  <c r="I66" i="71"/>
  <c r="H66" i="71"/>
  <c r="G66" i="71"/>
  <c r="F66" i="71"/>
  <c r="E66" i="71"/>
  <c r="D66" i="71"/>
  <c r="C66" i="71"/>
  <c r="AH65" i="71"/>
  <c r="AH58" i="71"/>
  <c r="AH57" i="71"/>
  <c r="AH56" i="71"/>
  <c r="AG55" i="71"/>
  <c r="AF55" i="71"/>
  <c r="AE55" i="71"/>
  <c r="AD55" i="71"/>
  <c r="AC55" i="71"/>
  <c r="AB55" i="71"/>
  <c r="AA55" i="71"/>
  <c r="Z55" i="71"/>
  <c r="Y55" i="71"/>
  <c r="X55" i="71"/>
  <c r="W55" i="71"/>
  <c r="V55" i="71"/>
  <c r="U55" i="71"/>
  <c r="T55" i="71"/>
  <c r="S55" i="71"/>
  <c r="R55" i="71"/>
  <c r="Q55" i="71"/>
  <c r="P55" i="71"/>
  <c r="L55" i="71"/>
  <c r="K55" i="71"/>
  <c r="J55" i="71"/>
  <c r="I55" i="71"/>
  <c r="H55" i="71"/>
  <c r="G55" i="71"/>
  <c r="F55" i="71"/>
  <c r="E55" i="71"/>
  <c r="D55" i="71"/>
  <c r="C55" i="71"/>
  <c r="AH54" i="71"/>
  <c r="AH53" i="71"/>
  <c r="AH52" i="71"/>
  <c r="AH51" i="71"/>
  <c r="AH50" i="71"/>
  <c r="AH49" i="71"/>
  <c r="AH48" i="71"/>
  <c r="AH47" i="71"/>
  <c r="AH46" i="71"/>
  <c r="AH45" i="71"/>
  <c r="AH44" i="71"/>
  <c r="AG43" i="71"/>
  <c r="AF43" i="71"/>
  <c r="AE43" i="71"/>
  <c r="AD43" i="71"/>
  <c r="AC43" i="71"/>
  <c r="AB43" i="71"/>
  <c r="AA43" i="71"/>
  <c r="Z43" i="71"/>
  <c r="Y43" i="71"/>
  <c r="X43" i="71"/>
  <c r="W43" i="71"/>
  <c r="V43" i="71"/>
  <c r="U43" i="71"/>
  <c r="T43" i="71"/>
  <c r="S43" i="71"/>
  <c r="R43" i="71"/>
  <c r="Q43" i="71"/>
  <c r="P43" i="71"/>
  <c r="O43" i="71"/>
  <c r="O60" i="71" s="1"/>
  <c r="N43" i="71"/>
  <c r="N60" i="71" s="1"/>
  <c r="M43" i="71"/>
  <c r="M60" i="71" s="1"/>
  <c r="L43" i="71"/>
  <c r="K43" i="71"/>
  <c r="J43" i="71"/>
  <c r="I43" i="71"/>
  <c r="H43" i="71"/>
  <c r="G43" i="71"/>
  <c r="F43" i="71"/>
  <c r="E43" i="71"/>
  <c r="D43" i="71"/>
  <c r="C43" i="71"/>
  <c r="AH42" i="71"/>
  <c r="B37" i="71"/>
  <c r="B29" i="71"/>
  <c r="B28" i="71" s="1"/>
  <c r="AG13" i="71"/>
  <c r="AF13" i="71"/>
  <c r="AE13" i="71"/>
  <c r="AE10" i="71" s="1"/>
  <c r="AD13" i="71"/>
  <c r="AC13" i="71"/>
  <c r="AB13" i="71"/>
  <c r="AA13" i="71"/>
  <c r="Z13" i="71"/>
  <c r="Y13" i="71"/>
  <c r="X13" i="71"/>
  <c r="W13" i="71"/>
  <c r="V13" i="71"/>
  <c r="U13" i="71"/>
  <c r="T13" i="71"/>
  <c r="S13" i="71"/>
  <c r="R13" i="71"/>
  <c r="Q13" i="71"/>
  <c r="P13" i="71"/>
  <c r="O13" i="71"/>
  <c r="N13" i="71"/>
  <c r="M13" i="71"/>
  <c r="L13" i="71"/>
  <c r="K13" i="71"/>
  <c r="J13" i="71"/>
  <c r="I13" i="71"/>
  <c r="H13" i="71"/>
  <c r="G13" i="71"/>
  <c r="F13" i="71"/>
  <c r="E13" i="71"/>
  <c r="D13" i="71"/>
  <c r="C13" i="71"/>
  <c r="AG12" i="71"/>
  <c r="AF12" i="71"/>
  <c r="AE12" i="71"/>
  <c r="AD12" i="71"/>
  <c r="AC12" i="71"/>
  <c r="AB12" i="71"/>
  <c r="AA12" i="71"/>
  <c r="Z12" i="71"/>
  <c r="Y12" i="71"/>
  <c r="X12" i="71"/>
  <c r="W12" i="71"/>
  <c r="V12" i="71"/>
  <c r="U12" i="71"/>
  <c r="T12" i="71"/>
  <c r="S12" i="71"/>
  <c r="R12" i="71"/>
  <c r="Q12" i="71"/>
  <c r="P12" i="71"/>
  <c r="O12" i="71"/>
  <c r="N12" i="71"/>
  <c r="M12" i="71"/>
  <c r="L12" i="71"/>
  <c r="K12" i="71"/>
  <c r="J12" i="71"/>
  <c r="I12" i="71"/>
  <c r="H12" i="71"/>
  <c r="G12" i="71"/>
  <c r="F12" i="71"/>
  <c r="E12" i="71"/>
  <c r="D12" i="71"/>
  <c r="C12" i="71"/>
  <c r="AG11" i="71"/>
  <c r="AF11" i="71"/>
  <c r="AE11" i="71"/>
  <c r="AD11" i="71"/>
  <c r="AC11" i="71"/>
  <c r="AB11" i="71"/>
  <c r="AA11" i="71"/>
  <c r="Z11" i="71"/>
  <c r="Y11" i="71"/>
  <c r="X11" i="71"/>
  <c r="W11" i="71"/>
  <c r="V11" i="71"/>
  <c r="U11" i="71"/>
  <c r="T11" i="71"/>
  <c r="S11" i="71"/>
  <c r="R11" i="71"/>
  <c r="Q11" i="71"/>
  <c r="P11" i="71"/>
  <c r="O11" i="71"/>
  <c r="O10" i="71" s="1"/>
  <c r="N11" i="71"/>
  <c r="M11" i="71"/>
  <c r="L11" i="71"/>
  <c r="K11" i="71"/>
  <c r="J11" i="71"/>
  <c r="I11" i="71"/>
  <c r="H11" i="71"/>
  <c r="G11" i="71"/>
  <c r="F11" i="71"/>
  <c r="E11" i="71"/>
  <c r="D11" i="71"/>
  <c r="C11" i="71"/>
  <c r="W10" i="71"/>
  <c r="C10" i="71" l="1"/>
  <c r="G10" i="71"/>
  <c r="K10" i="71"/>
  <c r="S10" i="71"/>
  <c r="AA10" i="71"/>
  <c r="D10" i="71"/>
  <c r="H10" i="71"/>
  <c r="L10" i="71"/>
  <c r="P10" i="71"/>
  <c r="T10" i="71"/>
  <c r="X10" i="71"/>
  <c r="AB10" i="71"/>
  <c r="AF10" i="71"/>
  <c r="AH43" i="71"/>
  <c r="B274" i="71"/>
  <c r="W69" i="76"/>
  <c r="W71" i="76"/>
  <c r="B210" i="71"/>
  <c r="I10" i="71"/>
  <c r="AG10" i="71"/>
  <c r="J10" i="71"/>
  <c r="R10" i="71"/>
  <c r="V10" i="71"/>
  <c r="Z10" i="71"/>
  <c r="AD10" i="71"/>
  <c r="X77" i="76"/>
  <c r="M10" i="71"/>
  <c r="U10" i="71"/>
  <c r="AC10" i="71"/>
  <c r="N10" i="71"/>
  <c r="E10" i="71"/>
  <c r="Q10" i="71"/>
  <c r="Y10" i="71"/>
  <c r="F10" i="71"/>
  <c r="B145" i="71"/>
  <c r="I73" i="76"/>
  <c r="X72" i="76"/>
  <c r="AH225" i="71"/>
  <c r="AH160" i="71"/>
  <c r="AH289" i="71"/>
  <c r="N73" i="76"/>
  <c r="C175" i="71"/>
  <c r="D175" i="71"/>
  <c r="F175" i="71"/>
  <c r="G175" i="71"/>
  <c r="I175" i="71"/>
  <c r="J175" i="71"/>
  <c r="K175" i="71"/>
  <c r="M175" i="71"/>
  <c r="N175" i="71"/>
  <c r="O175" i="71"/>
  <c r="P175" i="71"/>
  <c r="Q175" i="71"/>
  <c r="R175" i="71"/>
  <c r="S175" i="71"/>
  <c r="T175" i="71"/>
  <c r="U175" i="71"/>
  <c r="V175" i="71"/>
  <c r="W175" i="71"/>
  <c r="X175" i="71"/>
  <c r="Y175" i="71"/>
  <c r="Z175" i="71"/>
  <c r="AA175" i="71"/>
  <c r="AB175" i="71"/>
  <c r="AC175" i="71"/>
  <c r="AD175" i="71"/>
  <c r="AE175" i="71"/>
  <c r="C238" i="71"/>
  <c r="D238" i="71"/>
  <c r="E238" i="71"/>
  <c r="G238" i="71"/>
  <c r="H238" i="71"/>
  <c r="I238" i="71"/>
  <c r="J238" i="71"/>
  <c r="K238" i="71"/>
  <c r="L238" i="71"/>
  <c r="M238" i="71"/>
  <c r="N238" i="71"/>
  <c r="O238" i="71"/>
  <c r="P238" i="71"/>
  <c r="Q238" i="71"/>
  <c r="R238" i="71"/>
  <c r="S238" i="71"/>
  <c r="T238" i="71"/>
  <c r="V238" i="71"/>
  <c r="W238" i="71"/>
  <c r="X238" i="71"/>
  <c r="Y238" i="71"/>
  <c r="Z238" i="71"/>
  <c r="AA238" i="71"/>
  <c r="AB238" i="71"/>
  <c r="AE238" i="71"/>
  <c r="D302" i="71"/>
  <c r="F302" i="71"/>
  <c r="G302" i="71"/>
  <c r="J302" i="71"/>
  <c r="K302" i="71"/>
  <c r="L302" i="71"/>
  <c r="N302" i="71"/>
  <c r="O302" i="71"/>
  <c r="P302" i="71"/>
  <c r="R302" i="71"/>
  <c r="S302" i="71"/>
  <c r="T302" i="71"/>
  <c r="U302" i="71"/>
  <c r="W302" i="71"/>
  <c r="X302" i="71"/>
  <c r="Y302" i="71"/>
  <c r="AD302" i="71"/>
  <c r="AF302" i="71"/>
  <c r="AG302" i="71"/>
  <c r="F238" i="71"/>
  <c r="H302" i="71"/>
  <c r="L175" i="71"/>
  <c r="AC238" i="71"/>
  <c r="AA302" i="71"/>
  <c r="AB302" i="71"/>
  <c r="Z302" i="71"/>
  <c r="M302" i="71"/>
  <c r="I302" i="71"/>
  <c r="U238" i="71"/>
  <c r="Q302" i="71"/>
  <c r="AG238" i="71"/>
  <c r="E60" i="71"/>
  <c r="K60" i="71"/>
  <c r="AG60" i="71"/>
  <c r="P60" i="71"/>
  <c r="L60" i="71"/>
  <c r="J60" i="71"/>
  <c r="I60" i="71"/>
  <c r="G60" i="71"/>
  <c r="AE302" i="71"/>
  <c r="AC302" i="71"/>
  <c r="V302" i="71"/>
  <c r="E302" i="71"/>
  <c r="C302" i="71"/>
  <c r="AF238" i="71"/>
  <c r="AD238" i="71"/>
  <c r="H175" i="71"/>
  <c r="E175" i="71"/>
  <c r="Q60" i="71"/>
  <c r="R60" i="71"/>
  <c r="S60" i="71"/>
  <c r="T60" i="71"/>
  <c r="U60" i="71"/>
  <c r="V60" i="71"/>
  <c r="W60" i="71"/>
  <c r="X60" i="71"/>
  <c r="Y60" i="71"/>
  <c r="Z60" i="71"/>
  <c r="AA60" i="71"/>
  <c r="AB60" i="71"/>
  <c r="AC60" i="71"/>
  <c r="AD60" i="71"/>
  <c r="AE60" i="71"/>
  <c r="AF60" i="71"/>
  <c r="H60" i="71"/>
  <c r="F60" i="71"/>
  <c r="C60" i="71"/>
  <c r="D60" i="71"/>
  <c r="AI45" i="71"/>
  <c r="AH55" i="71"/>
  <c r="AP93" i="71"/>
  <c r="AF175" i="71"/>
  <c r="AG175" i="71"/>
  <c r="G1686" i="41"/>
  <c r="G1677" i="41"/>
  <c r="G1685" i="41"/>
  <c r="G1676" i="41"/>
  <c r="G1696" i="41"/>
  <c r="G1697" i="41" s="1"/>
  <c r="G1684" i="41"/>
  <c r="G1659" i="41"/>
  <c r="G1660" i="41" s="1"/>
  <c r="G1665" i="41"/>
  <c r="G1675" i="41"/>
  <c r="G1683" i="41"/>
  <c r="G1674" i="41"/>
  <c r="G1664" i="41"/>
  <c r="W67" i="76" l="1"/>
  <c r="X68" i="76" s="1"/>
  <c r="AH10" i="71"/>
  <c r="G1666" i="41"/>
  <c r="G1687" i="41"/>
  <c r="G1678" i="41"/>
  <c r="G922" i="41"/>
  <c r="G940" i="41"/>
  <c r="G939" i="41"/>
  <c r="P43" i="68" l="1"/>
  <c r="G351" i="27" l="1"/>
  <c r="F332" i="27"/>
  <c r="F323" i="27"/>
  <c r="F314" i="27"/>
  <c r="H303" i="27"/>
  <c r="H351" i="27" s="1"/>
  <c r="G290" i="27"/>
  <c r="F274" i="27"/>
  <c r="F265" i="27"/>
  <c r="F256" i="27"/>
  <c r="H245" i="27"/>
  <c r="H290" i="27" s="1"/>
  <c r="F245" i="27"/>
  <c r="F290" i="27" l="1"/>
  <c r="F351" i="27"/>
  <c r="G949" i="41"/>
  <c r="G895" i="41" l="1"/>
  <c r="W55" i="27"/>
  <c r="G916" i="41"/>
  <c r="G921" i="41"/>
  <c r="F73" i="67" l="1"/>
  <c r="U62" i="27"/>
  <c r="AD44" i="61"/>
  <c r="W44" i="27"/>
  <c r="H73" i="67"/>
  <c r="G1629" i="41"/>
  <c r="G1630" i="41" s="1"/>
  <c r="G1620" i="41"/>
  <c r="G1619" i="41"/>
  <c r="G1607" i="41"/>
  <c r="G1608" i="41" s="1"/>
  <c r="G1618" i="41"/>
  <c r="G1587" i="41"/>
  <c r="G1588" i="41" s="1"/>
  <c r="T55" i="27"/>
  <c r="G1621" i="41" l="1"/>
  <c r="I78" i="67"/>
  <c r="G904" i="41" l="1"/>
  <c r="W32" i="27"/>
  <c r="T75" i="68" l="1"/>
  <c r="B316" i="68"/>
  <c r="AH313" i="68"/>
  <c r="AG307" i="68"/>
  <c r="AF307" i="68"/>
  <c r="AE307" i="68"/>
  <c r="AD307" i="68"/>
  <c r="AC307" i="68"/>
  <c r="AB307" i="68"/>
  <c r="AA307" i="68"/>
  <c r="Z307" i="68"/>
  <c r="Y307" i="68"/>
  <c r="X307" i="68"/>
  <c r="W307" i="68"/>
  <c r="V307" i="68"/>
  <c r="U307" i="68"/>
  <c r="T307" i="68"/>
  <c r="S307" i="68"/>
  <c r="R307" i="68"/>
  <c r="Q307" i="68"/>
  <c r="P307" i="68"/>
  <c r="O307" i="68"/>
  <c r="N307" i="68"/>
  <c r="M307" i="68"/>
  <c r="L307" i="68"/>
  <c r="K307" i="68"/>
  <c r="J307" i="68"/>
  <c r="I307" i="68"/>
  <c r="H307" i="68"/>
  <c r="G307" i="68"/>
  <c r="F307" i="68"/>
  <c r="E307" i="68"/>
  <c r="D307" i="68"/>
  <c r="C307" i="68"/>
  <c r="AG306" i="68"/>
  <c r="AF306" i="68"/>
  <c r="AE306" i="68"/>
  <c r="AD306" i="68"/>
  <c r="AC306" i="68"/>
  <c r="AB306" i="68"/>
  <c r="AA306" i="68"/>
  <c r="Z306" i="68"/>
  <c r="Y306" i="68"/>
  <c r="X306" i="68"/>
  <c r="W306" i="68"/>
  <c r="V306" i="68"/>
  <c r="U306" i="68"/>
  <c r="T306" i="68"/>
  <c r="S306" i="68"/>
  <c r="R306" i="68"/>
  <c r="Q306" i="68"/>
  <c r="P306" i="68"/>
  <c r="O306" i="68"/>
  <c r="N306" i="68"/>
  <c r="M306" i="68"/>
  <c r="L306" i="68"/>
  <c r="K306" i="68"/>
  <c r="J306" i="68"/>
  <c r="I306" i="68"/>
  <c r="H306" i="68"/>
  <c r="G306" i="68"/>
  <c r="F306" i="68"/>
  <c r="E306" i="68"/>
  <c r="D306" i="68"/>
  <c r="C306" i="68"/>
  <c r="AH297" i="68"/>
  <c r="AG295" i="68"/>
  <c r="AF295" i="68"/>
  <c r="AE295" i="68"/>
  <c r="AD295" i="68"/>
  <c r="AC295" i="68"/>
  <c r="AB295" i="68"/>
  <c r="AA295" i="68"/>
  <c r="Z295" i="68"/>
  <c r="Y295" i="68"/>
  <c r="X295" i="68"/>
  <c r="W295" i="68"/>
  <c r="V295" i="68"/>
  <c r="U295" i="68"/>
  <c r="T295" i="68"/>
  <c r="S295" i="68"/>
  <c r="R295" i="68"/>
  <c r="Q295" i="68"/>
  <c r="P295" i="68"/>
  <c r="O295" i="68"/>
  <c r="N295" i="68"/>
  <c r="M295" i="68"/>
  <c r="L295" i="68"/>
  <c r="K295" i="68"/>
  <c r="J295" i="68"/>
  <c r="I295" i="68"/>
  <c r="H295" i="68"/>
  <c r="G295" i="68"/>
  <c r="F295" i="68"/>
  <c r="E295" i="68"/>
  <c r="D295" i="68"/>
  <c r="C295" i="68"/>
  <c r="AH291" i="68"/>
  <c r="AH290" i="68"/>
  <c r="AH289" i="68"/>
  <c r="AH288" i="68"/>
  <c r="AG287" i="68"/>
  <c r="AF287" i="68"/>
  <c r="AE287" i="68"/>
  <c r="AD287" i="68"/>
  <c r="AC287" i="68"/>
  <c r="AB287" i="68"/>
  <c r="AA287" i="68"/>
  <c r="Z287" i="68"/>
  <c r="Y287" i="68"/>
  <c r="X287" i="68"/>
  <c r="W287" i="68"/>
  <c r="V287" i="68"/>
  <c r="U287" i="68"/>
  <c r="T287" i="68"/>
  <c r="S287" i="68"/>
  <c r="R287" i="68"/>
  <c r="Q287" i="68"/>
  <c r="P287" i="68"/>
  <c r="O287" i="68"/>
  <c r="N287" i="68"/>
  <c r="M287" i="68"/>
  <c r="L287" i="68"/>
  <c r="K287" i="68"/>
  <c r="J287" i="68"/>
  <c r="I287" i="68"/>
  <c r="H287" i="68"/>
  <c r="G287" i="68"/>
  <c r="F287" i="68"/>
  <c r="E287" i="68"/>
  <c r="D287" i="68"/>
  <c r="C287" i="68"/>
  <c r="B274" i="68"/>
  <c r="B273" i="68"/>
  <c r="B272" i="68" s="1"/>
  <c r="B252" i="68"/>
  <c r="AH251" i="68"/>
  <c r="AH249" i="68"/>
  <c r="AG243" i="68"/>
  <c r="AF243" i="68"/>
  <c r="AE243" i="68"/>
  <c r="AD243" i="68"/>
  <c r="AC243" i="68"/>
  <c r="AB243" i="68"/>
  <c r="AA243" i="68"/>
  <c r="Z243" i="68"/>
  <c r="Y243" i="68"/>
  <c r="X243" i="68"/>
  <c r="W243" i="68"/>
  <c r="V243" i="68"/>
  <c r="U243" i="68"/>
  <c r="T243" i="68"/>
  <c r="S243" i="68"/>
  <c r="R243" i="68"/>
  <c r="Q243" i="68"/>
  <c r="P243" i="68"/>
  <c r="O243" i="68"/>
  <c r="N243" i="68"/>
  <c r="M243" i="68"/>
  <c r="L243" i="68"/>
  <c r="K243" i="68"/>
  <c r="J243" i="68"/>
  <c r="I243" i="68"/>
  <c r="H243" i="68"/>
  <c r="G243" i="68"/>
  <c r="F243" i="68"/>
  <c r="E243" i="68"/>
  <c r="D243" i="68"/>
  <c r="C243" i="68"/>
  <c r="AG242" i="68"/>
  <c r="AF242" i="68"/>
  <c r="AE242" i="68"/>
  <c r="AD242" i="68"/>
  <c r="AC242" i="68"/>
  <c r="AB242" i="68"/>
  <c r="AA242" i="68"/>
  <c r="Z242" i="68"/>
  <c r="Y242" i="68"/>
  <c r="X242" i="68"/>
  <c r="W242" i="68"/>
  <c r="V242" i="68"/>
  <c r="U242" i="68"/>
  <c r="T242" i="68"/>
  <c r="S242" i="68"/>
  <c r="R242" i="68"/>
  <c r="Q242" i="68"/>
  <c r="P242" i="68"/>
  <c r="O242" i="68"/>
  <c r="N242" i="68"/>
  <c r="M242" i="68"/>
  <c r="L242" i="68"/>
  <c r="K242" i="68"/>
  <c r="J242" i="68"/>
  <c r="I242" i="68"/>
  <c r="H242" i="68"/>
  <c r="G242" i="68"/>
  <c r="F242" i="68"/>
  <c r="E242" i="68"/>
  <c r="D242" i="68"/>
  <c r="C242" i="68"/>
  <c r="AH233" i="68"/>
  <c r="AG231" i="68"/>
  <c r="AF231" i="68"/>
  <c r="AE231" i="68"/>
  <c r="AD231" i="68"/>
  <c r="AC231" i="68"/>
  <c r="AB231" i="68"/>
  <c r="AA231" i="68"/>
  <c r="Z231" i="68"/>
  <c r="Y231" i="68"/>
  <c r="X231" i="68"/>
  <c r="W231" i="68"/>
  <c r="V231" i="68"/>
  <c r="U231" i="68"/>
  <c r="T231" i="68"/>
  <c r="S231" i="68"/>
  <c r="R231" i="68"/>
  <c r="Q231" i="68"/>
  <c r="P231" i="68"/>
  <c r="O231" i="68"/>
  <c r="N231" i="68"/>
  <c r="M231" i="68"/>
  <c r="L231" i="68"/>
  <c r="K231" i="68"/>
  <c r="J231" i="68"/>
  <c r="I231" i="68"/>
  <c r="H231" i="68"/>
  <c r="G231" i="68"/>
  <c r="F231" i="68"/>
  <c r="E231" i="68"/>
  <c r="D231" i="68"/>
  <c r="C231" i="68"/>
  <c r="AH227" i="68"/>
  <c r="AH226" i="68"/>
  <c r="AH225" i="68"/>
  <c r="AH224" i="68"/>
  <c r="AG223" i="68"/>
  <c r="AF223" i="68"/>
  <c r="AE223" i="68"/>
  <c r="AD223" i="68"/>
  <c r="AC223" i="68"/>
  <c r="AB223" i="68"/>
  <c r="AA223" i="68"/>
  <c r="Z223" i="68"/>
  <c r="Y223" i="68"/>
  <c r="X223" i="68"/>
  <c r="W223" i="68"/>
  <c r="V223" i="68"/>
  <c r="U223" i="68"/>
  <c r="T223" i="68"/>
  <c r="S223" i="68"/>
  <c r="R223" i="68"/>
  <c r="Q223" i="68"/>
  <c r="P223" i="68"/>
  <c r="O223" i="68"/>
  <c r="N223" i="68"/>
  <c r="M223" i="68"/>
  <c r="L223" i="68"/>
  <c r="K223" i="68"/>
  <c r="J223" i="68"/>
  <c r="I223" i="68"/>
  <c r="H223" i="68"/>
  <c r="G223" i="68"/>
  <c r="F223" i="68"/>
  <c r="E223" i="68"/>
  <c r="D223" i="68"/>
  <c r="C223" i="68"/>
  <c r="B210" i="68"/>
  <c r="B209" i="68"/>
  <c r="B189" i="68"/>
  <c r="AG180" i="68"/>
  <c r="AF180" i="68"/>
  <c r="AE180" i="68"/>
  <c r="AD180" i="68"/>
  <c r="AC180" i="68"/>
  <c r="AB180" i="68"/>
  <c r="AA180" i="68"/>
  <c r="Z180" i="68"/>
  <c r="Y180" i="68"/>
  <c r="X180" i="68"/>
  <c r="W180" i="68"/>
  <c r="V180" i="68"/>
  <c r="U180" i="68"/>
  <c r="T180" i="68"/>
  <c r="S180" i="68"/>
  <c r="R180" i="68"/>
  <c r="Q180" i="68"/>
  <c r="P180" i="68"/>
  <c r="O180" i="68"/>
  <c r="N180" i="68"/>
  <c r="M180" i="68"/>
  <c r="L180" i="68"/>
  <c r="K180" i="68"/>
  <c r="J180" i="68"/>
  <c r="I180" i="68"/>
  <c r="H180" i="68"/>
  <c r="G180" i="68"/>
  <c r="F180" i="68"/>
  <c r="E180" i="68"/>
  <c r="D180" i="68"/>
  <c r="C180" i="68"/>
  <c r="AG179" i="68"/>
  <c r="AF179" i="68"/>
  <c r="AE179" i="68"/>
  <c r="AD179" i="68"/>
  <c r="AC179" i="68"/>
  <c r="AB179" i="68"/>
  <c r="AA179" i="68"/>
  <c r="Z179" i="68"/>
  <c r="Y179" i="68"/>
  <c r="X179" i="68"/>
  <c r="W179" i="68"/>
  <c r="V179" i="68"/>
  <c r="U179" i="68"/>
  <c r="T179" i="68"/>
  <c r="S179" i="68"/>
  <c r="R179" i="68"/>
  <c r="Q179" i="68"/>
  <c r="P179" i="68"/>
  <c r="O179" i="68"/>
  <c r="N179" i="68"/>
  <c r="M179" i="68"/>
  <c r="L179" i="68"/>
  <c r="K179" i="68"/>
  <c r="J179" i="68"/>
  <c r="I179" i="68"/>
  <c r="H179" i="68"/>
  <c r="G179" i="68"/>
  <c r="F179" i="68"/>
  <c r="E179" i="68"/>
  <c r="D179" i="68"/>
  <c r="C179" i="68"/>
  <c r="AH170" i="68"/>
  <c r="AG168" i="68"/>
  <c r="AF168" i="68"/>
  <c r="AE168" i="68"/>
  <c r="AD168" i="68"/>
  <c r="AC168" i="68"/>
  <c r="AB168" i="68"/>
  <c r="AA168" i="68"/>
  <c r="Z168" i="68"/>
  <c r="Y168" i="68"/>
  <c r="X168" i="68"/>
  <c r="W168" i="68"/>
  <c r="V168" i="68"/>
  <c r="U168" i="68"/>
  <c r="T168" i="68"/>
  <c r="S168" i="68"/>
  <c r="R168" i="68"/>
  <c r="Q168" i="68"/>
  <c r="P168" i="68"/>
  <c r="O168" i="68"/>
  <c r="N168" i="68"/>
  <c r="M168" i="68"/>
  <c r="L168" i="68"/>
  <c r="K168" i="68"/>
  <c r="J168" i="68"/>
  <c r="I168" i="68"/>
  <c r="H168" i="68"/>
  <c r="G168" i="68"/>
  <c r="F168" i="68"/>
  <c r="E168" i="68"/>
  <c r="D168" i="68"/>
  <c r="C168" i="68"/>
  <c r="AH166" i="68"/>
  <c r="AH165" i="68"/>
  <c r="AH164" i="68"/>
  <c r="AH163" i="68"/>
  <c r="AH162" i="68"/>
  <c r="AH161" i="68"/>
  <c r="AH160" i="68"/>
  <c r="AH159" i="68"/>
  <c r="AG158" i="68"/>
  <c r="AF158" i="68"/>
  <c r="AE158" i="68"/>
  <c r="AD158" i="68"/>
  <c r="AC158" i="68"/>
  <c r="AB158" i="68"/>
  <c r="AA158" i="68"/>
  <c r="Z158" i="68"/>
  <c r="Y158" i="68"/>
  <c r="X158" i="68"/>
  <c r="W158" i="68"/>
  <c r="V158" i="68"/>
  <c r="U158" i="68"/>
  <c r="T158" i="68"/>
  <c r="S158" i="68"/>
  <c r="R158" i="68"/>
  <c r="Q158" i="68"/>
  <c r="P158" i="68"/>
  <c r="O158" i="68"/>
  <c r="N158" i="68"/>
  <c r="M158" i="68"/>
  <c r="L158" i="68"/>
  <c r="K158" i="68"/>
  <c r="J158" i="68"/>
  <c r="I158" i="68"/>
  <c r="H158" i="68"/>
  <c r="G158" i="68"/>
  <c r="F158" i="68"/>
  <c r="E158" i="68"/>
  <c r="D158" i="68"/>
  <c r="C158" i="68"/>
  <c r="B145" i="68"/>
  <c r="B144" i="68"/>
  <c r="B143" i="68" s="1"/>
  <c r="AN93" i="68"/>
  <c r="C82" i="68"/>
  <c r="AH79" i="68"/>
  <c r="AH78" i="68"/>
  <c r="AH77" i="68"/>
  <c r="AH75" i="68"/>
  <c r="AH74" i="68"/>
  <c r="AG67" i="68"/>
  <c r="AF67" i="68"/>
  <c r="AE67" i="68"/>
  <c r="AD67" i="68"/>
  <c r="AC67" i="68"/>
  <c r="AB67" i="68"/>
  <c r="AA67" i="68"/>
  <c r="Z67" i="68"/>
  <c r="Y67" i="68"/>
  <c r="X67" i="68"/>
  <c r="W67" i="68"/>
  <c r="V67" i="68"/>
  <c r="U67" i="68"/>
  <c r="T67" i="68"/>
  <c r="S67" i="68"/>
  <c r="R67" i="68"/>
  <c r="Q67" i="68"/>
  <c r="P67" i="68"/>
  <c r="O67" i="68"/>
  <c r="N67" i="68"/>
  <c r="M67" i="68"/>
  <c r="L67" i="68"/>
  <c r="K67" i="68"/>
  <c r="J67" i="68"/>
  <c r="I67" i="68"/>
  <c r="H67" i="68"/>
  <c r="G67" i="68"/>
  <c r="F67" i="68"/>
  <c r="E67" i="68"/>
  <c r="D67" i="68"/>
  <c r="C67" i="68"/>
  <c r="AG66" i="68"/>
  <c r="AF66" i="68"/>
  <c r="AE66" i="68"/>
  <c r="AD66" i="68"/>
  <c r="AC66" i="68"/>
  <c r="AB66" i="68"/>
  <c r="AA66" i="68"/>
  <c r="Z66" i="68"/>
  <c r="Y66" i="68"/>
  <c r="X66" i="68"/>
  <c r="W66" i="68"/>
  <c r="V66" i="68"/>
  <c r="U66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H66" i="68"/>
  <c r="G66" i="68"/>
  <c r="F66" i="68"/>
  <c r="E66" i="68"/>
  <c r="D66" i="68"/>
  <c r="C66" i="68"/>
  <c r="AH65" i="68"/>
  <c r="AH58" i="68"/>
  <c r="AH57" i="68"/>
  <c r="AH56" i="68"/>
  <c r="AJ55" i="68"/>
  <c r="AJ56" i="68" s="1"/>
  <c r="AG55" i="68"/>
  <c r="AF55" i="68"/>
  <c r="AE55" i="68"/>
  <c r="AD55" i="68"/>
  <c r="AC55" i="68"/>
  <c r="AB55" i="68"/>
  <c r="AA55" i="68"/>
  <c r="Z55" i="68"/>
  <c r="Y55" i="68"/>
  <c r="X55" i="68"/>
  <c r="W55" i="68"/>
  <c r="V55" i="68"/>
  <c r="U55" i="68"/>
  <c r="T55" i="68"/>
  <c r="S55" i="68"/>
  <c r="R55" i="68"/>
  <c r="Q55" i="68"/>
  <c r="P55" i="68"/>
  <c r="L55" i="68"/>
  <c r="K55" i="68"/>
  <c r="J55" i="68"/>
  <c r="I55" i="68"/>
  <c r="H55" i="68"/>
  <c r="G55" i="68"/>
  <c r="F55" i="68"/>
  <c r="E55" i="68"/>
  <c r="D55" i="68"/>
  <c r="C55" i="68"/>
  <c r="AH54" i="68"/>
  <c r="AH53" i="68"/>
  <c r="AH52" i="68"/>
  <c r="AH51" i="68"/>
  <c r="AH50" i="68"/>
  <c r="AH49" i="68"/>
  <c r="AH48" i="68"/>
  <c r="AH47" i="68"/>
  <c r="AH46" i="68"/>
  <c r="AH45" i="68"/>
  <c r="AH44" i="68"/>
  <c r="AG43" i="68"/>
  <c r="AF43" i="68"/>
  <c r="AE43" i="68"/>
  <c r="AD43" i="68"/>
  <c r="AC43" i="68"/>
  <c r="AB43" i="68"/>
  <c r="AA43" i="68"/>
  <c r="Z43" i="68"/>
  <c r="Y43" i="68"/>
  <c r="X43" i="68"/>
  <c r="W43" i="68"/>
  <c r="V43" i="68"/>
  <c r="U43" i="68"/>
  <c r="T43" i="68"/>
  <c r="S43" i="68"/>
  <c r="R43" i="68"/>
  <c r="Q43" i="68"/>
  <c r="O43" i="68"/>
  <c r="N43" i="68"/>
  <c r="M43" i="68"/>
  <c r="L43" i="68"/>
  <c r="K43" i="68"/>
  <c r="J43" i="68"/>
  <c r="I43" i="68"/>
  <c r="H43" i="68"/>
  <c r="G43" i="68"/>
  <c r="F43" i="68"/>
  <c r="E43" i="68"/>
  <c r="D43" i="68"/>
  <c r="C43" i="68"/>
  <c r="AH42" i="68"/>
  <c r="B37" i="68"/>
  <c r="B29" i="68"/>
  <c r="B28" i="68" s="1"/>
  <c r="AG13" i="68"/>
  <c r="AF13" i="68"/>
  <c r="AE13" i="68"/>
  <c r="AD13" i="68"/>
  <c r="AC13" i="68"/>
  <c r="AB13" i="68"/>
  <c r="AA13" i="68"/>
  <c r="Z13" i="68"/>
  <c r="Y13" i="68"/>
  <c r="X13" i="68"/>
  <c r="W13" i="68"/>
  <c r="V13" i="68"/>
  <c r="U13" i="68"/>
  <c r="T13" i="68"/>
  <c r="S13" i="68"/>
  <c r="R13" i="68"/>
  <c r="Q13" i="68"/>
  <c r="P13" i="68"/>
  <c r="O13" i="68"/>
  <c r="N13" i="68"/>
  <c r="M13" i="68"/>
  <c r="L13" i="68"/>
  <c r="K13" i="68"/>
  <c r="J13" i="68"/>
  <c r="I13" i="68"/>
  <c r="H13" i="68"/>
  <c r="G13" i="68"/>
  <c r="F13" i="68"/>
  <c r="E13" i="68"/>
  <c r="D13" i="68"/>
  <c r="C13" i="68"/>
  <c r="AG12" i="68"/>
  <c r="AF12" i="68"/>
  <c r="AE12" i="68"/>
  <c r="AD12" i="68"/>
  <c r="AC12" i="68"/>
  <c r="AC10" i="68" s="1"/>
  <c r="AB12" i="68"/>
  <c r="AA12" i="68"/>
  <c r="Z12" i="68"/>
  <c r="Y12" i="68"/>
  <c r="Y10" i="68" s="1"/>
  <c r="X12" i="68"/>
  <c r="W12" i="68"/>
  <c r="V12" i="68"/>
  <c r="U12" i="68"/>
  <c r="U10" i="68" s="1"/>
  <c r="T12" i="68"/>
  <c r="S12" i="68"/>
  <c r="R12" i="68"/>
  <c r="Q12" i="68"/>
  <c r="Q10" i="68" s="1"/>
  <c r="P12" i="68"/>
  <c r="O12" i="68"/>
  <c r="N12" i="68"/>
  <c r="M12" i="68"/>
  <c r="M10" i="68" s="1"/>
  <c r="L12" i="68"/>
  <c r="K12" i="68"/>
  <c r="J12" i="68"/>
  <c r="I12" i="68"/>
  <c r="H12" i="68"/>
  <c r="G12" i="68"/>
  <c r="F12" i="68"/>
  <c r="E12" i="68"/>
  <c r="E10" i="68" s="1"/>
  <c r="D12" i="68"/>
  <c r="C12" i="68"/>
  <c r="AG11" i="68"/>
  <c r="AG10" i="68" s="1"/>
  <c r="AF11" i="68"/>
  <c r="AE11" i="68"/>
  <c r="AD11" i="68"/>
  <c r="AC11" i="68"/>
  <c r="AB11" i="68"/>
  <c r="AA11" i="68"/>
  <c r="Z11" i="68"/>
  <c r="Y11" i="68"/>
  <c r="X11" i="68"/>
  <c r="W11" i="68"/>
  <c r="V11" i="68"/>
  <c r="U11" i="68"/>
  <c r="T11" i="68"/>
  <c r="S11" i="68"/>
  <c r="R11" i="68"/>
  <c r="Q11" i="68"/>
  <c r="P11" i="68"/>
  <c r="O11" i="68"/>
  <c r="N11" i="68"/>
  <c r="M11" i="68"/>
  <c r="L11" i="68"/>
  <c r="K11" i="68"/>
  <c r="J11" i="68"/>
  <c r="I11" i="68"/>
  <c r="H11" i="68"/>
  <c r="G11" i="68"/>
  <c r="F11" i="68"/>
  <c r="E11" i="68"/>
  <c r="D11" i="68"/>
  <c r="C11" i="68"/>
  <c r="I82" i="67"/>
  <c r="W76" i="67" s="1"/>
  <c r="G1572" i="41"/>
  <c r="G1571" i="41"/>
  <c r="G1578" i="41"/>
  <c r="G1577" i="41"/>
  <c r="Q73" i="67"/>
  <c r="J73" i="67"/>
  <c r="N10" i="67"/>
  <c r="N78" i="67"/>
  <c r="W71" i="67" s="1"/>
  <c r="X72" i="67" s="1"/>
  <c r="I10" i="67"/>
  <c r="Y87" i="67"/>
  <c r="N82" i="67"/>
  <c r="W78" i="67"/>
  <c r="N75" i="67"/>
  <c r="W73" i="67"/>
  <c r="S73" i="67"/>
  <c r="R73" i="67"/>
  <c r="P73" i="67"/>
  <c r="O73" i="67"/>
  <c r="M73" i="67"/>
  <c r="L73" i="67"/>
  <c r="K73" i="67"/>
  <c r="G73" i="67"/>
  <c r="D73" i="67"/>
  <c r="C73" i="67"/>
  <c r="N71" i="67"/>
  <c r="I71" i="67"/>
  <c r="N70" i="67"/>
  <c r="I70" i="67"/>
  <c r="N69" i="67"/>
  <c r="I69" i="67"/>
  <c r="N68" i="67"/>
  <c r="I68" i="67"/>
  <c r="N67" i="67"/>
  <c r="I67" i="67"/>
  <c r="N66" i="67"/>
  <c r="I66" i="67"/>
  <c r="N65" i="67"/>
  <c r="I65" i="67"/>
  <c r="N64" i="67"/>
  <c r="I64" i="67"/>
  <c r="N63" i="67"/>
  <c r="I63" i="67"/>
  <c r="N62" i="67"/>
  <c r="I62" i="67"/>
  <c r="N61" i="67"/>
  <c r="I61" i="67"/>
  <c r="N60" i="67"/>
  <c r="I60" i="67"/>
  <c r="N59" i="67"/>
  <c r="I59" i="67"/>
  <c r="N58" i="67"/>
  <c r="I58" i="67"/>
  <c r="N57" i="67"/>
  <c r="I57" i="67"/>
  <c r="N56" i="67"/>
  <c r="I56" i="67"/>
  <c r="N55" i="67"/>
  <c r="I55" i="67"/>
  <c r="N54" i="67"/>
  <c r="N53" i="67"/>
  <c r="I53" i="67"/>
  <c r="N52" i="67"/>
  <c r="I52" i="67"/>
  <c r="N51" i="67"/>
  <c r="I51" i="67"/>
  <c r="N50" i="67"/>
  <c r="I50" i="67"/>
  <c r="N49" i="67"/>
  <c r="I49" i="67"/>
  <c r="N48" i="67"/>
  <c r="I48" i="67"/>
  <c r="N47" i="67"/>
  <c r="I47" i="67"/>
  <c r="N46" i="67"/>
  <c r="I46" i="67"/>
  <c r="N45" i="67"/>
  <c r="I45" i="67"/>
  <c r="N44" i="67"/>
  <c r="I44" i="67"/>
  <c r="N43" i="67"/>
  <c r="N42" i="67"/>
  <c r="I42" i="67"/>
  <c r="N41" i="67"/>
  <c r="I41" i="67"/>
  <c r="N40" i="67"/>
  <c r="I40" i="67"/>
  <c r="N39" i="67"/>
  <c r="I39" i="67"/>
  <c r="N38" i="67"/>
  <c r="I38" i="67"/>
  <c r="N37" i="67"/>
  <c r="I37" i="67"/>
  <c r="N36" i="67"/>
  <c r="I36" i="67"/>
  <c r="N35" i="67"/>
  <c r="I35" i="67"/>
  <c r="N34" i="67"/>
  <c r="I34" i="67"/>
  <c r="N33" i="67"/>
  <c r="I33" i="67"/>
  <c r="N32" i="67"/>
  <c r="I32" i="67"/>
  <c r="N31" i="67"/>
  <c r="I31" i="67"/>
  <c r="N30" i="67"/>
  <c r="I30" i="67"/>
  <c r="N29" i="67"/>
  <c r="I29" i="67"/>
  <c r="N28" i="67"/>
  <c r="I28" i="67"/>
  <c r="N27" i="67"/>
  <c r="I27" i="67"/>
  <c r="N26" i="67"/>
  <c r="I26" i="67"/>
  <c r="N25" i="67"/>
  <c r="I25" i="67"/>
  <c r="N24" i="67"/>
  <c r="I24" i="67"/>
  <c r="N23" i="67"/>
  <c r="I23" i="67"/>
  <c r="N22" i="67"/>
  <c r="I22" i="67"/>
  <c r="N21" i="67"/>
  <c r="I21" i="67"/>
  <c r="N20" i="67"/>
  <c r="I20" i="67"/>
  <c r="N19" i="67"/>
  <c r="I19" i="67"/>
  <c r="N18" i="67"/>
  <c r="I18" i="67"/>
  <c r="N17" i="67"/>
  <c r="I17" i="67"/>
  <c r="N16" i="67"/>
  <c r="I16" i="67"/>
  <c r="N15" i="67"/>
  <c r="I15" i="67"/>
  <c r="N14" i="67"/>
  <c r="I14" i="67"/>
  <c r="N13" i="67"/>
  <c r="N12" i="67"/>
  <c r="I12" i="67"/>
  <c r="N11" i="67"/>
  <c r="G935" i="41"/>
  <c r="G918" i="41"/>
  <c r="G919" i="41"/>
  <c r="G915" i="41"/>
  <c r="G933" i="41"/>
  <c r="G928" i="41"/>
  <c r="G953" i="41"/>
  <c r="V62" i="27"/>
  <c r="G947" i="41"/>
  <c r="H74" i="66"/>
  <c r="I74" i="66"/>
  <c r="G923" i="41"/>
  <c r="G943" i="41"/>
  <c r="G938" i="41"/>
  <c r="I10" i="68" l="1"/>
  <c r="F10" i="68"/>
  <c r="J10" i="68"/>
  <c r="N10" i="68"/>
  <c r="R10" i="68"/>
  <c r="V10" i="68"/>
  <c r="Z10" i="68"/>
  <c r="AD10" i="68"/>
  <c r="C10" i="68"/>
  <c r="G10" i="68"/>
  <c r="K10" i="68"/>
  <c r="O10" i="68"/>
  <c r="S10" i="68"/>
  <c r="W10" i="68"/>
  <c r="AA10" i="68"/>
  <c r="AE10" i="68"/>
  <c r="AH158" i="68"/>
  <c r="B208" i="68"/>
  <c r="AH287" i="68"/>
  <c r="X77" i="67"/>
  <c r="N73" i="67"/>
  <c r="D10" i="68"/>
  <c r="H10" i="68"/>
  <c r="L10" i="68"/>
  <c r="P10" i="68"/>
  <c r="T10" i="68"/>
  <c r="X10" i="68"/>
  <c r="AB10" i="68"/>
  <c r="AF10" i="68"/>
  <c r="G1573" i="41"/>
  <c r="W69" i="67"/>
  <c r="I73" i="67"/>
  <c r="AH43" i="68"/>
  <c r="G1579" i="41"/>
  <c r="AH223" i="68"/>
  <c r="C173" i="68"/>
  <c r="D173" i="68"/>
  <c r="F173" i="68"/>
  <c r="G173" i="68"/>
  <c r="I173" i="68"/>
  <c r="J173" i="68"/>
  <c r="K173" i="68"/>
  <c r="L173" i="68"/>
  <c r="M173" i="68"/>
  <c r="N173" i="68"/>
  <c r="O173" i="68"/>
  <c r="P173" i="68"/>
  <c r="Q173" i="68"/>
  <c r="R173" i="68"/>
  <c r="S173" i="68"/>
  <c r="T173" i="68"/>
  <c r="U173" i="68"/>
  <c r="V173" i="68"/>
  <c r="W173" i="68"/>
  <c r="X173" i="68"/>
  <c r="Y173" i="68"/>
  <c r="Z173" i="68"/>
  <c r="AA173" i="68"/>
  <c r="AB173" i="68"/>
  <c r="AC173" i="68"/>
  <c r="AD173" i="68"/>
  <c r="AE173" i="68"/>
  <c r="D236" i="68"/>
  <c r="E236" i="68"/>
  <c r="F236" i="68"/>
  <c r="G236" i="68"/>
  <c r="H236" i="68"/>
  <c r="I236" i="68"/>
  <c r="J236" i="68"/>
  <c r="K236" i="68"/>
  <c r="L236" i="68"/>
  <c r="M236" i="68"/>
  <c r="N236" i="68"/>
  <c r="O236" i="68"/>
  <c r="P236" i="68"/>
  <c r="R236" i="68"/>
  <c r="S236" i="68"/>
  <c r="U236" i="68"/>
  <c r="W236" i="68"/>
  <c r="X236" i="68"/>
  <c r="Y236" i="68"/>
  <c r="Z236" i="68"/>
  <c r="AA236" i="68"/>
  <c r="AB236" i="68"/>
  <c r="AC236" i="68"/>
  <c r="F300" i="68"/>
  <c r="G300" i="68"/>
  <c r="H300" i="68"/>
  <c r="I300" i="68"/>
  <c r="J300" i="68"/>
  <c r="K300" i="68"/>
  <c r="L300" i="68"/>
  <c r="M300" i="68"/>
  <c r="N300" i="68"/>
  <c r="O300" i="68"/>
  <c r="P300" i="68"/>
  <c r="Q300" i="68"/>
  <c r="R300" i="68"/>
  <c r="S300" i="68"/>
  <c r="T300" i="68"/>
  <c r="U300" i="68"/>
  <c r="W300" i="68"/>
  <c r="X300" i="68"/>
  <c r="AA300" i="68"/>
  <c r="AG300" i="68"/>
  <c r="D300" i="68"/>
  <c r="C236" i="68"/>
  <c r="E173" i="68"/>
  <c r="C300" i="68"/>
  <c r="AD236" i="68"/>
  <c r="AE300" i="68"/>
  <c r="AC300" i="68"/>
  <c r="AD300" i="68"/>
  <c r="H173" i="68"/>
  <c r="V300" i="68"/>
  <c r="Q236" i="68"/>
  <c r="AF300" i="68"/>
  <c r="AB300" i="68"/>
  <c r="Z300" i="68"/>
  <c r="Y300" i="68"/>
  <c r="E300" i="68"/>
  <c r="AG236" i="68"/>
  <c r="AF236" i="68"/>
  <c r="AE236" i="68"/>
  <c r="V236" i="68"/>
  <c r="T236" i="68"/>
  <c r="M60" i="68"/>
  <c r="I60" i="68"/>
  <c r="F60" i="68"/>
  <c r="U60" i="68"/>
  <c r="T60" i="68"/>
  <c r="S60" i="68"/>
  <c r="R60" i="68"/>
  <c r="Q60" i="68"/>
  <c r="P60" i="68"/>
  <c r="O60" i="68"/>
  <c r="N60" i="68"/>
  <c r="L60" i="68"/>
  <c r="K60" i="68"/>
  <c r="J60" i="68"/>
  <c r="H60" i="68"/>
  <c r="G60" i="68"/>
  <c r="E60" i="68"/>
  <c r="D60" i="68"/>
  <c r="C60" i="68"/>
  <c r="V60" i="68"/>
  <c r="W60" i="68"/>
  <c r="X60" i="68"/>
  <c r="Y60" i="68"/>
  <c r="Z60" i="68"/>
  <c r="AA60" i="68"/>
  <c r="AB60" i="68"/>
  <c r="AC60" i="68"/>
  <c r="AD60" i="68"/>
  <c r="AE60" i="68"/>
  <c r="AF60" i="68"/>
  <c r="AG60" i="68"/>
  <c r="AI45" i="68"/>
  <c r="AH55" i="68"/>
  <c r="AP93" i="68"/>
  <c r="AF173" i="68"/>
  <c r="AG173" i="68"/>
  <c r="G961" i="41"/>
  <c r="W67" i="67" l="1"/>
  <c r="X68" i="67" s="1"/>
  <c r="AH10" i="68"/>
  <c r="Y75" i="61"/>
  <c r="M75" i="66"/>
  <c r="AF75" i="66"/>
  <c r="AC74" i="66"/>
  <c r="AD74" i="66"/>
  <c r="AG74" i="66"/>
  <c r="B318" i="66" l="1"/>
  <c r="AH315" i="66"/>
  <c r="AG309" i="66"/>
  <c r="AF309" i="66"/>
  <c r="AE309" i="66"/>
  <c r="AD309" i="66"/>
  <c r="AC309" i="66"/>
  <c r="AB309" i="66"/>
  <c r="AA309" i="66"/>
  <c r="Z309" i="66"/>
  <c r="Y309" i="66"/>
  <c r="X309" i="66"/>
  <c r="W309" i="66"/>
  <c r="V309" i="66"/>
  <c r="U309" i="66"/>
  <c r="T309" i="66"/>
  <c r="S309" i="66"/>
  <c r="R309" i="66"/>
  <c r="Q309" i="66"/>
  <c r="P309" i="66"/>
  <c r="O309" i="66"/>
  <c r="N309" i="66"/>
  <c r="M309" i="66"/>
  <c r="L309" i="66"/>
  <c r="K309" i="66"/>
  <c r="J309" i="66"/>
  <c r="I309" i="66"/>
  <c r="H309" i="66"/>
  <c r="G309" i="66"/>
  <c r="F309" i="66"/>
  <c r="E309" i="66"/>
  <c r="D309" i="66"/>
  <c r="C309" i="66"/>
  <c r="AG308" i="66"/>
  <c r="AF308" i="66"/>
  <c r="AE308" i="66"/>
  <c r="AD308" i="66"/>
  <c r="AC308" i="66"/>
  <c r="AB308" i="66"/>
  <c r="AA308" i="66"/>
  <c r="Z308" i="66"/>
  <c r="Y308" i="66"/>
  <c r="X308" i="66"/>
  <c r="W308" i="66"/>
  <c r="V308" i="66"/>
  <c r="U308" i="66"/>
  <c r="T308" i="66"/>
  <c r="S308" i="66"/>
  <c r="R308" i="66"/>
  <c r="Q308" i="66"/>
  <c r="P308" i="66"/>
  <c r="O308" i="66"/>
  <c r="N308" i="66"/>
  <c r="M308" i="66"/>
  <c r="L308" i="66"/>
  <c r="K308" i="66"/>
  <c r="J308" i="66"/>
  <c r="I308" i="66"/>
  <c r="H308" i="66"/>
  <c r="G308" i="66"/>
  <c r="F308" i="66"/>
  <c r="E308" i="66"/>
  <c r="D308" i="66"/>
  <c r="C308" i="66"/>
  <c r="AH299" i="66"/>
  <c r="AG297" i="66"/>
  <c r="AF297" i="66"/>
  <c r="AE297" i="66"/>
  <c r="AD297" i="66"/>
  <c r="AC297" i="66"/>
  <c r="AB297" i="66"/>
  <c r="AA297" i="66"/>
  <c r="Z297" i="66"/>
  <c r="Y297" i="66"/>
  <c r="X297" i="66"/>
  <c r="W297" i="66"/>
  <c r="V297" i="66"/>
  <c r="U297" i="66"/>
  <c r="T297" i="66"/>
  <c r="S297" i="66"/>
  <c r="R297" i="66"/>
  <c r="Q297" i="66"/>
  <c r="P297" i="66"/>
  <c r="O297" i="66"/>
  <c r="N297" i="66"/>
  <c r="M297" i="66"/>
  <c r="L297" i="66"/>
  <c r="K297" i="66"/>
  <c r="J297" i="66"/>
  <c r="I297" i="66"/>
  <c r="H297" i="66"/>
  <c r="G297" i="66"/>
  <c r="F297" i="66"/>
  <c r="E297" i="66"/>
  <c r="D297" i="66"/>
  <c r="C297" i="66"/>
  <c r="AH293" i="66"/>
  <c r="AH292" i="66"/>
  <c r="AH291" i="66"/>
  <c r="AH290" i="66"/>
  <c r="AG289" i="66"/>
  <c r="AF289" i="66"/>
  <c r="AE289" i="66"/>
  <c r="AD289" i="66"/>
  <c r="AC289" i="66"/>
  <c r="AB289" i="66"/>
  <c r="AA289" i="66"/>
  <c r="Z289" i="66"/>
  <c r="Y289" i="66"/>
  <c r="X289" i="66"/>
  <c r="W289" i="66"/>
  <c r="V289" i="66"/>
  <c r="U289" i="66"/>
  <c r="T289" i="66"/>
  <c r="S289" i="66"/>
  <c r="R289" i="66"/>
  <c r="Q289" i="66"/>
  <c r="P289" i="66"/>
  <c r="O289" i="66"/>
  <c r="N289" i="66"/>
  <c r="M289" i="66"/>
  <c r="L289" i="66"/>
  <c r="K289" i="66"/>
  <c r="J289" i="66"/>
  <c r="I289" i="66"/>
  <c r="H289" i="66"/>
  <c r="G289" i="66"/>
  <c r="F289" i="66"/>
  <c r="E289" i="66"/>
  <c r="D289" i="66"/>
  <c r="C289" i="66"/>
  <c r="B276" i="66"/>
  <c r="B275" i="66"/>
  <c r="B254" i="66"/>
  <c r="AH253" i="66"/>
  <c r="AH251" i="66"/>
  <c r="AG245" i="66"/>
  <c r="AF245" i="66"/>
  <c r="AE245" i="66"/>
  <c r="AD245" i="66"/>
  <c r="AC245" i="66"/>
  <c r="AB245" i="66"/>
  <c r="AA245" i="66"/>
  <c r="Z245" i="66"/>
  <c r="Y245" i="66"/>
  <c r="X245" i="66"/>
  <c r="W245" i="66"/>
  <c r="V245" i="66"/>
  <c r="U245" i="66"/>
  <c r="T245" i="66"/>
  <c r="S245" i="66"/>
  <c r="R245" i="66"/>
  <c r="Q245" i="66"/>
  <c r="P245" i="66"/>
  <c r="O245" i="66"/>
  <c r="N245" i="66"/>
  <c r="M245" i="66"/>
  <c r="L245" i="66"/>
  <c r="K245" i="66"/>
  <c r="J245" i="66"/>
  <c r="I245" i="66"/>
  <c r="H245" i="66"/>
  <c r="G245" i="66"/>
  <c r="F245" i="66"/>
  <c r="E245" i="66"/>
  <c r="D245" i="66"/>
  <c r="C245" i="66"/>
  <c r="AG244" i="66"/>
  <c r="AF244" i="66"/>
  <c r="AE244" i="66"/>
  <c r="AD244" i="66"/>
  <c r="AC244" i="66"/>
  <c r="AB244" i="66"/>
  <c r="AA244" i="66"/>
  <c r="Z244" i="66"/>
  <c r="Y244" i="66"/>
  <c r="X244" i="66"/>
  <c r="W244" i="66"/>
  <c r="V244" i="66"/>
  <c r="U244" i="66"/>
  <c r="T244" i="66"/>
  <c r="S244" i="66"/>
  <c r="R244" i="66"/>
  <c r="Q244" i="66"/>
  <c r="P244" i="66"/>
  <c r="O244" i="66"/>
  <c r="N244" i="66"/>
  <c r="M244" i="66"/>
  <c r="L244" i="66"/>
  <c r="K244" i="66"/>
  <c r="J244" i="66"/>
  <c r="I244" i="66"/>
  <c r="H244" i="66"/>
  <c r="G244" i="66"/>
  <c r="F244" i="66"/>
  <c r="E244" i="66"/>
  <c r="D244" i="66"/>
  <c r="C244" i="66"/>
  <c r="AH235" i="66"/>
  <c r="AG233" i="66"/>
  <c r="AF233" i="66"/>
  <c r="AE233" i="66"/>
  <c r="AD233" i="66"/>
  <c r="AC233" i="66"/>
  <c r="AB233" i="66"/>
  <c r="AA233" i="66"/>
  <c r="Z233" i="66"/>
  <c r="Y233" i="66"/>
  <c r="X233" i="66"/>
  <c r="W233" i="66"/>
  <c r="V233" i="66"/>
  <c r="U233" i="66"/>
  <c r="T233" i="66"/>
  <c r="S233" i="66"/>
  <c r="R233" i="66"/>
  <c r="Q233" i="66"/>
  <c r="P233" i="66"/>
  <c r="O233" i="66"/>
  <c r="N233" i="66"/>
  <c r="M233" i="66"/>
  <c r="L233" i="66"/>
  <c r="K233" i="66"/>
  <c r="J233" i="66"/>
  <c r="I233" i="66"/>
  <c r="H233" i="66"/>
  <c r="G233" i="66"/>
  <c r="F233" i="66"/>
  <c r="E233" i="66"/>
  <c r="D233" i="66"/>
  <c r="C233" i="66"/>
  <c r="AH229" i="66"/>
  <c r="AH228" i="66"/>
  <c r="AH227" i="66"/>
  <c r="AH226" i="66"/>
  <c r="AG225" i="66"/>
  <c r="AF225" i="66"/>
  <c r="AE225" i="66"/>
  <c r="AD225" i="66"/>
  <c r="AC225" i="66"/>
  <c r="AB225" i="66"/>
  <c r="AA225" i="66"/>
  <c r="Z225" i="66"/>
  <c r="Y225" i="66"/>
  <c r="X225" i="66"/>
  <c r="W225" i="66"/>
  <c r="V225" i="66"/>
  <c r="U225" i="66"/>
  <c r="T225" i="66"/>
  <c r="S225" i="66"/>
  <c r="R225" i="66"/>
  <c r="Q225" i="66"/>
  <c r="P225" i="66"/>
  <c r="O225" i="66"/>
  <c r="N225" i="66"/>
  <c r="M225" i="66"/>
  <c r="L225" i="66"/>
  <c r="K225" i="66"/>
  <c r="J225" i="66"/>
  <c r="I225" i="66"/>
  <c r="H225" i="66"/>
  <c r="G225" i="66"/>
  <c r="F225" i="66"/>
  <c r="E225" i="66"/>
  <c r="D225" i="66"/>
  <c r="C225" i="66"/>
  <c r="B212" i="66"/>
  <c r="B211" i="66"/>
  <c r="B191" i="66"/>
  <c r="AG182" i="66"/>
  <c r="AF182" i="66"/>
  <c r="AE182" i="66"/>
  <c r="AD182" i="66"/>
  <c r="AC182" i="66"/>
  <c r="AB182" i="66"/>
  <c r="AA182" i="66"/>
  <c r="Z182" i="66"/>
  <c r="Y182" i="66"/>
  <c r="X182" i="66"/>
  <c r="W182" i="66"/>
  <c r="V182" i="66"/>
  <c r="U182" i="66"/>
  <c r="T182" i="66"/>
  <c r="S182" i="66"/>
  <c r="R182" i="66"/>
  <c r="Q182" i="66"/>
  <c r="P182" i="66"/>
  <c r="O182" i="66"/>
  <c r="N182" i="66"/>
  <c r="M182" i="66"/>
  <c r="L182" i="66"/>
  <c r="K182" i="66"/>
  <c r="J182" i="66"/>
  <c r="I182" i="66"/>
  <c r="H182" i="66"/>
  <c r="G182" i="66"/>
  <c r="F182" i="66"/>
  <c r="E182" i="66"/>
  <c r="D182" i="66"/>
  <c r="C182" i="66"/>
  <c r="AG181" i="66"/>
  <c r="AF181" i="66"/>
  <c r="AE181" i="66"/>
  <c r="AD181" i="66"/>
  <c r="AC181" i="66"/>
  <c r="AB181" i="66"/>
  <c r="AA181" i="66"/>
  <c r="Z181" i="66"/>
  <c r="Y181" i="66"/>
  <c r="X181" i="66"/>
  <c r="W181" i="66"/>
  <c r="V181" i="66"/>
  <c r="U181" i="66"/>
  <c r="T181" i="66"/>
  <c r="S181" i="66"/>
  <c r="R181" i="66"/>
  <c r="Q181" i="66"/>
  <c r="P181" i="66"/>
  <c r="O181" i="66"/>
  <c r="N181" i="66"/>
  <c r="M181" i="66"/>
  <c r="L181" i="66"/>
  <c r="K181" i="66"/>
  <c r="J181" i="66"/>
  <c r="I181" i="66"/>
  <c r="H181" i="66"/>
  <c r="G181" i="66"/>
  <c r="F181" i="66"/>
  <c r="E181" i="66"/>
  <c r="D181" i="66"/>
  <c r="C181" i="66"/>
  <c r="AH172" i="66"/>
  <c r="AG170" i="66"/>
  <c r="AF170" i="66"/>
  <c r="AE170" i="66"/>
  <c r="AD170" i="66"/>
  <c r="AC170" i="66"/>
  <c r="AB170" i="66"/>
  <c r="AA170" i="66"/>
  <c r="Z170" i="66"/>
  <c r="Y170" i="66"/>
  <c r="X170" i="66"/>
  <c r="W170" i="66"/>
  <c r="V170" i="66"/>
  <c r="U170" i="66"/>
  <c r="T170" i="66"/>
  <c r="S170" i="66"/>
  <c r="R170" i="66"/>
  <c r="Q170" i="66"/>
  <c r="P170" i="66"/>
  <c r="O170" i="66"/>
  <c r="N170" i="66"/>
  <c r="M170" i="66"/>
  <c r="L170" i="66"/>
  <c r="K170" i="66"/>
  <c r="J170" i="66"/>
  <c r="I170" i="66"/>
  <c r="H170" i="66"/>
  <c r="G170" i="66"/>
  <c r="F170" i="66"/>
  <c r="E170" i="66"/>
  <c r="D170" i="66"/>
  <c r="C170" i="66"/>
  <c r="AH168" i="66"/>
  <c r="AH167" i="66"/>
  <c r="AH166" i="66"/>
  <c r="AH165" i="66"/>
  <c r="AH164" i="66"/>
  <c r="AH163" i="66"/>
  <c r="AH162" i="66"/>
  <c r="AH161" i="66"/>
  <c r="AG160" i="66"/>
  <c r="AF160" i="66"/>
  <c r="AE160" i="66"/>
  <c r="AD160" i="66"/>
  <c r="AC160" i="66"/>
  <c r="AB160" i="66"/>
  <c r="AA160" i="66"/>
  <c r="Z160" i="66"/>
  <c r="Y160" i="66"/>
  <c r="X160" i="66"/>
  <c r="W160" i="66"/>
  <c r="V160" i="66"/>
  <c r="U160" i="66"/>
  <c r="T160" i="66"/>
  <c r="S160" i="66"/>
  <c r="R160" i="66"/>
  <c r="Q160" i="66"/>
  <c r="P160" i="66"/>
  <c r="O160" i="66"/>
  <c r="N160" i="66"/>
  <c r="M160" i="66"/>
  <c r="L160" i="66"/>
  <c r="K160" i="66"/>
  <c r="J160" i="66"/>
  <c r="I160" i="66"/>
  <c r="H160" i="66"/>
  <c r="G160" i="66"/>
  <c r="F160" i="66"/>
  <c r="E160" i="66"/>
  <c r="D160" i="66"/>
  <c r="C160" i="66"/>
  <c r="B147" i="66"/>
  <c r="B146" i="66"/>
  <c r="AN93" i="66"/>
  <c r="AN112" i="66" s="1"/>
  <c r="C82" i="66"/>
  <c r="B29" i="66" s="1"/>
  <c r="B28" i="66" s="1"/>
  <c r="AH79" i="66"/>
  <c r="AH78" i="66"/>
  <c r="AH77" i="66"/>
  <c r="AH75" i="66"/>
  <c r="AH74" i="66"/>
  <c r="AG67" i="66"/>
  <c r="AF67" i="66"/>
  <c r="AE67" i="66"/>
  <c r="AD67" i="66"/>
  <c r="AC67" i="66"/>
  <c r="AB67" i="66"/>
  <c r="AA67" i="66"/>
  <c r="Z67" i="66"/>
  <c r="Y67" i="66"/>
  <c r="X67" i="66"/>
  <c r="W67" i="66"/>
  <c r="V67" i="66"/>
  <c r="U67" i="66"/>
  <c r="T67" i="66"/>
  <c r="S67" i="66"/>
  <c r="R67" i="66"/>
  <c r="Q67" i="66"/>
  <c r="P67" i="66"/>
  <c r="O67" i="66"/>
  <c r="N67" i="66"/>
  <c r="M67" i="66"/>
  <c r="L67" i="66"/>
  <c r="K67" i="66"/>
  <c r="J67" i="66"/>
  <c r="I67" i="66"/>
  <c r="H67" i="66"/>
  <c r="G67" i="66"/>
  <c r="F67" i="66"/>
  <c r="E67" i="66"/>
  <c r="D67" i="66"/>
  <c r="C67" i="66"/>
  <c r="AG66" i="66"/>
  <c r="AF66" i="66"/>
  <c r="AE66" i="66"/>
  <c r="AD66" i="66"/>
  <c r="AC66" i="66"/>
  <c r="AB66" i="66"/>
  <c r="AA66" i="66"/>
  <c r="Z66" i="66"/>
  <c r="Y66" i="66"/>
  <c r="X66" i="66"/>
  <c r="W66" i="66"/>
  <c r="V66" i="66"/>
  <c r="U66" i="66"/>
  <c r="T66" i="66"/>
  <c r="S66" i="66"/>
  <c r="R66" i="66"/>
  <c r="Q66" i="66"/>
  <c r="P66" i="66"/>
  <c r="O66" i="66"/>
  <c r="N66" i="66"/>
  <c r="M66" i="66"/>
  <c r="L66" i="66"/>
  <c r="K66" i="66"/>
  <c r="J66" i="66"/>
  <c r="I66" i="66"/>
  <c r="H66" i="66"/>
  <c r="G66" i="66"/>
  <c r="F66" i="66"/>
  <c r="E66" i="66"/>
  <c r="D66" i="66"/>
  <c r="C66" i="66"/>
  <c r="AH65" i="66"/>
  <c r="AH58" i="66"/>
  <c r="AH57" i="66"/>
  <c r="AH56" i="66"/>
  <c r="AJ55" i="66"/>
  <c r="AJ56" i="66" s="1"/>
  <c r="AG55" i="66"/>
  <c r="AF55" i="66"/>
  <c r="AE55" i="66"/>
  <c r="AD55" i="66"/>
  <c r="AC55" i="66"/>
  <c r="AB55" i="66"/>
  <c r="AA55" i="66"/>
  <c r="Z55" i="66"/>
  <c r="Y55" i="66"/>
  <c r="X55" i="66"/>
  <c r="W55" i="66"/>
  <c r="V55" i="66"/>
  <c r="U55" i="66"/>
  <c r="T55" i="66"/>
  <c r="S55" i="66"/>
  <c r="R55" i="66"/>
  <c r="Q55" i="66"/>
  <c r="P55" i="66"/>
  <c r="O55" i="66"/>
  <c r="N55" i="66"/>
  <c r="M55" i="66"/>
  <c r="L55" i="66"/>
  <c r="K55" i="66"/>
  <c r="J55" i="66"/>
  <c r="I55" i="66"/>
  <c r="H55" i="66"/>
  <c r="G55" i="66"/>
  <c r="F55" i="66"/>
  <c r="E55" i="66"/>
  <c r="D55" i="66"/>
  <c r="C55" i="66"/>
  <c r="AH54" i="66"/>
  <c r="AH53" i="66"/>
  <c r="AH52" i="66"/>
  <c r="AH51" i="66"/>
  <c r="AH50" i="66"/>
  <c r="AH49" i="66"/>
  <c r="AH48" i="66"/>
  <c r="AH47" i="66"/>
  <c r="AH46" i="66"/>
  <c r="AH45" i="66"/>
  <c r="AG43" i="66"/>
  <c r="AF43" i="66"/>
  <c r="AE43" i="66"/>
  <c r="AD43" i="66"/>
  <c r="AC43" i="66"/>
  <c r="AB43" i="66"/>
  <c r="AA43" i="66"/>
  <c r="Z43" i="66"/>
  <c r="Y43" i="66"/>
  <c r="X43" i="66"/>
  <c r="W43" i="66"/>
  <c r="V43" i="66"/>
  <c r="U43" i="66"/>
  <c r="T43" i="66"/>
  <c r="S43" i="66"/>
  <c r="R43" i="66"/>
  <c r="Q43" i="66"/>
  <c r="P43" i="66"/>
  <c r="O43" i="66"/>
  <c r="N43" i="66"/>
  <c r="M43" i="66"/>
  <c r="L43" i="66"/>
  <c r="K43" i="66"/>
  <c r="J43" i="66"/>
  <c r="I43" i="66"/>
  <c r="H43" i="66"/>
  <c r="G43" i="66"/>
  <c r="F43" i="66"/>
  <c r="E43" i="66"/>
  <c r="D43" i="66"/>
  <c r="AH42" i="66"/>
  <c r="B37" i="66"/>
  <c r="AG13" i="66"/>
  <c r="AF13" i="66"/>
  <c r="AE13" i="66"/>
  <c r="AD13" i="66"/>
  <c r="AC13" i="66"/>
  <c r="AB13" i="66"/>
  <c r="AA13" i="66"/>
  <c r="Z13" i="66"/>
  <c r="Y13" i="66"/>
  <c r="X13" i="66"/>
  <c r="W13" i="66"/>
  <c r="V13" i="66"/>
  <c r="U13" i="66"/>
  <c r="T13" i="66"/>
  <c r="S13" i="66"/>
  <c r="R13" i="66"/>
  <c r="Q13" i="66"/>
  <c r="P13" i="66"/>
  <c r="O13" i="66"/>
  <c r="N13" i="66"/>
  <c r="M13" i="66"/>
  <c r="L13" i="66"/>
  <c r="K13" i="66"/>
  <c r="J13" i="66"/>
  <c r="I13" i="66"/>
  <c r="H13" i="66"/>
  <c r="G13" i="66"/>
  <c r="F13" i="66"/>
  <c r="E13" i="66"/>
  <c r="D13" i="66"/>
  <c r="C13" i="66"/>
  <c r="AG12" i="66"/>
  <c r="AF12" i="66"/>
  <c r="AE12" i="66"/>
  <c r="AD12" i="66"/>
  <c r="AC12" i="66"/>
  <c r="AB12" i="66"/>
  <c r="AA12" i="66"/>
  <c r="Z12" i="66"/>
  <c r="Y12" i="66"/>
  <c r="X12" i="66"/>
  <c r="W12" i="66"/>
  <c r="V12" i="66"/>
  <c r="U12" i="66"/>
  <c r="T12" i="66"/>
  <c r="S12" i="66"/>
  <c r="R12" i="66"/>
  <c r="Q12" i="66"/>
  <c r="P12" i="66"/>
  <c r="O12" i="66"/>
  <c r="N12" i="66"/>
  <c r="M12" i="66"/>
  <c r="L12" i="66"/>
  <c r="K12" i="66"/>
  <c r="J12" i="66"/>
  <c r="I12" i="66"/>
  <c r="H12" i="66"/>
  <c r="G12" i="66"/>
  <c r="F12" i="66"/>
  <c r="E12" i="66"/>
  <c r="D12" i="66"/>
  <c r="C12" i="66"/>
  <c r="AG11" i="66"/>
  <c r="AF11" i="66"/>
  <c r="AE11" i="66"/>
  <c r="AD11" i="66"/>
  <c r="AC11" i="66"/>
  <c r="AB11" i="66"/>
  <c r="AA11" i="66"/>
  <c r="Z11" i="66"/>
  <c r="Y11" i="66"/>
  <c r="X11" i="66"/>
  <c r="W11" i="66"/>
  <c r="V11" i="66"/>
  <c r="U11" i="66"/>
  <c r="T11" i="66"/>
  <c r="S11" i="66"/>
  <c r="R11" i="66"/>
  <c r="Q11" i="66"/>
  <c r="P11" i="66"/>
  <c r="O11" i="66"/>
  <c r="N11" i="66"/>
  <c r="M11" i="66"/>
  <c r="L11" i="66"/>
  <c r="K11" i="66"/>
  <c r="J11" i="66"/>
  <c r="I11" i="66"/>
  <c r="H11" i="66"/>
  <c r="G11" i="66"/>
  <c r="F11" i="66"/>
  <c r="E11" i="66"/>
  <c r="D11" i="66"/>
  <c r="C11" i="66"/>
  <c r="T10" i="66"/>
  <c r="G1537" i="41"/>
  <c r="G1538" i="41" s="1"/>
  <c r="G1532" i="41"/>
  <c r="G1522" i="41"/>
  <c r="G1515" i="41"/>
  <c r="G1514" i="41"/>
  <c r="G1531" i="41"/>
  <c r="G1530" i="41"/>
  <c r="G1521" i="41"/>
  <c r="G1520" i="41"/>
  <c r="G1513" i="41"/>
  <c r="G932" i="41"/>
  <c r="G740" i="41"/>
  <c r="R45" i="61"/>
  <c r="G861" i="41"/>
  <c r="G862" i="41"/>
  <c r="G824" i="41"/>
  <c r="G792" i="41"/>
  <c r="G770" i="41"/>
  <c r="D10" i="66" l="1"/>
  <c r="B145" i="66"/>
  <c r="B210" i="66"/>
  <c r="P10" i="66"/>
  <c r="AF10" i="66"/>
  <c r="H10" i="66"/>
  <c r="L10" i="66"/>
  <c r="X10" i="66"/>
  <c r="AB10" i="66"/>
  <c r="B274" i="66"/>
  <c r="E10" i="66"/>
  <c r="F10" i="66"/>
  <c r="J10" i="66"/>
  <c r="N10" i="66"/>
  <c r="R10" i="66"/>
  <c r="V10" i="66"/>
  <c r="Z10" i="66"/>
  <c r="AD10" i="66"/>
  <c r="E175" i="66"/>
  <c r="I175" i="66"/>
  <c r="M175" i="66"/>
  <c r="Q175" i="66"/>
  <c r="U175" i="66"/>
  <c r="Y175" i="66"/>
  <c r="AC175" i="66"/>
  <c r="AH225" i="66"/>
  <c r="H238" i="66"/>
  <c r="L238" i="66"/>
  <c r="P238" i="66"/>
  <c r="X238" i="66"/>
  <c r="AB238" i="66"/>
  <c r="I302" i="66"/>
  <c r="M302" i="66"/>
  <c r="U302" i="66"/>
  <c r="AC302" i="66"/>
  <c r="AG302" i="66"/>
  <c r="I10" i="66"/>
  <c r="M10" i="66"/>
  <c r="Q10" i="66"/>
  <c r="U10" i="66"/>
  <c r="Y10" i="66"/>
  <c r="AC10" i="66"/>
  <c r="AG10" i="66"/>
  <c r="C10" i="66"/>
  <c r="G10" i="66"/>
  <c r="K10" i="66"/>
  <c r="O10" i="66"/>
  <c r="S10" i="66"/>
  <c r="W10" i="66"/>
  <c r="AA10" i="66"/>
  <c r="AE10" i="66"/>
  <c r="F175" i="66"/>
  <c r="J175" i="66"/>
  <c r="N175" i="66"/>
  <c r="R175" i="66"/>
  <c r="V175" i="66"/>
  <c r="Z175" i="66"/>
  <c r="AD175" i="66"/>
  <c r="E238" i="66"/>
  <c r="I238" i="66"/>
  <c r="M238" i="66"/>
  <c r="U238" i="66"/>
  <c r="Y238" i="66"/>
  <c r="F302" i="66"/>
  <c r="J302" i="66"/>
  <c r="N302" i="66"/>
  <c r="R302" i="66"/>
  <c r="AH160" i="66"/>
  <c r="H175" i="66"/>
  <c r="L175" i="66"/>
  <c r="P175" i="66"/>
  <c r="T175" i="66"/>
  <c r="AB175" i="66"/>
  <c r="G238" i="66"/>
  <c r="K238" i="66"/>
  <c r="O238" i="66"/>
  <c r="S238" i="66"/>
  <c r="W238" i="66"/>
  <c r="AA238" i="66"/>
  <c r="AH289" i="66"/>
  <c r="D302" i="66"/>
  <c r="L302" i="66"/>
  <c r="T302" i="66"/>
  <c r="X302" i="66"/>
  <c r="C175" i="66"/>
  <c r="G175" i="66"/>
  <c r="K175" i="66"/>
  <c r="O175" i="66"/>
  <c r="S175" i="66"/>
  <c r="W175" i="66"/>
  <c r="AA175" i="66"/>
  <c r="AE175" i="66"/>
  <c r="F238" i="66"/>
  <c r="J238" i="66"/>
  <c r="N238" i="66"/>
  <c r="R238" i="66"/>
  <c r="Z238" i="66"/>
  <c r="C302" i="66"/>
  <c r="G302" i="66"/>
  <c r="K302" i="66"/>
  <c r="O302" i="66"/>
  <c r="S302" i="66"/>
  <c r="W302" i="66"/>
  <c r="AE302" i="66"/>
  <c r="C238" i="66"/>
  <c r="X175" i="66"/>
  <c r="V302" i="66"/>
  <c r="AF302" i="66"/>
  <c r="Q238" i="66"/>
  <c r="G1516" i="41"/>
  <c r="G1533" i="41"/>
  <c r="G1540" i="41" s="1"/>
  <c r="AG238" i="66"/>
  <c r="AD238" i="66"/>
  <c r="AB302" i="66"/>
  <c r="Q302" i="66"/>
  <c r="H302" i="66"/>
  <c r="Z302" i="66"/>
  <c r="E302" i="66"/>
  <c r="AF238" i="66"/>
  <c r="AE238" i="66"/>
  <c r="V238" i="66"/>
  <c r="T238" i="66"/>
  <c r="M60" i="66"/>
  <c r="G60" i="66"/>
  <c r="AE60" i="66"/>
  <c r="O60" i="66"/>
  <c r="N60" i="66"/>
  <c r="J60" i="66"/>
  <c r="I60" i="66"/>
  <c r="F60" i="66"/>
  <c r="D60" i="66"/>
  <c r="AG60" i="66"/>
  <c r="AF60" i="66"/>
  <c r="P60" i="66"/>
  <c r="L60" i="66"/>
  <c r="K60" i="66"/>
  <c r="H60" i="66"/>
  <c r="AD302" i="66"/>
  <c r="AA302" i="66"/>
  <c r="Y302" i="66"/>
  <c r="P302" i="66"/>
  <c r="AC238" i="66"/>
  <c r="D238" i="66"/>
  <c r="D175" i="66"/>
  <c r="Z60" i="66"/>
  <c r="AA60" i="66"/>
  <c r="AB60" i="66"/>
  <c r="AC60" i="66"/>
  <c r="AD60" i="66"/>
  <c r="Q60" i="66"/>
  <c r="R60" i="66"/>
  <c r="S60" i="66"/>
  <c r="T60" i="66"/>
  <c r="U60" i="66"/>
  <c r="V60" i="66"/>
  <c r="W60" i="66"/>
  <c r="X60" i="66"/>
  <c r="Y60" i="66"/>
  <c r="E60" i="66"/>
  <c r="AH55" i="66"/>
  <c r="AP93" i="66"/>
  <c r="AF175" i="66"/>
  <c r="AG175" i="66"/>
  <c r="G1523" i="41"/>
  <c r="AH10" i="66" l="1"/>
  <c r="G1525" i="41"/>
  <c r="E1542" i="41" s="1"/>
  <c r="G913" i="41"/>
  <c r="G910" i="41"/>
  <c r="U32" i="27"/>
  <c r="G944" i="41" l="1"/>
  <c r="G890" i="41"/>
  <c r="G854" i="41" l="1"/>
  <c r="G807" i="41"/>
  <c r="G799" i="41"/>
  <c r="G934" i="41" l="1"/>
  <c r="T32" i="27" l="1"/>
  <c r="T44" i="27" l="1"/>
  <c r="G898" i="41"/>
  <c r="S55" i="27"/>
  <c r="R55" i="27"/>
  <c r="T62" i="27"/>
  <c r="AA74" i="61" l="1"/>
  <c r="AA66" i="61" s="1"/>
  <c r="AB74" i="61"/>
  <c r="AB66" i="61" s="1"/>
  <c r="AD74" i="61"/>
  <c r="AD66" i="61" s="1"/>
  <c r="B318" i="61"/>
  <c r="AH315" i="61"/>
  <c r="AG309" i="61"/>
  <c r="AF309" i="61"/>
  <c r="AE309" i="61"/>
  <c r="AD309" i="61"/>
  <c r="AC309" i="61"/>
  <c r="AB309" i="61"/>
  <c r="AA309" i="61"/>
  <c r="Z309" i="61"/>
  <c r="Y309" i="61"/>
  <c r="X309" i="61"/>
  <c r="W309" i="61"/>
  <c r="V309" i="61"/>
  <c r="U309" i="61"/>
  <c r="T309" i="61"/>
  <c r="S309" i="61"/>
  <c r="R309" i="61"/>
  <c r="Q309" i="61"/>
  <c r="P309" i="61"/>
  <c r="O309" i="61"/>
  <c r="N309" i="61"/>
  <c r="M309" i="61"/>
  <c r="L309" i="61"/>
  <c r="K309" i="61"/>
  <c r="J309" i="61"/>
  <c r="I309" i="61"/>
  <c r="H309" i="61"/>
  <c r="G309" i="61"/>
  <c r="F309" i="61"/>
  <c r="E309" i="61"/>
  <c r="D309" i="61"/>
  <c r="C309" i="61"/>
  <c r="AG308" i="61"/>
  <c r="AF308" i="61"/>
  <c r="AE308" i="61"/>
  <c r="AD308" i="61"/>
  <c r="AC308" i="61"/>
  <c r="AB308" i="61"/>
  <c r="AA308" i="61"/>
  <c r="Z308" i="61"/>
  <c r="Y308" i="61"/>
  <c r="X308" i="61"/>
  <c r="W308" i="61"/>
  <c r="V308" i="61"/>
  <c r="U308" i="61"/>
  <c r="T308" i="61"/>
  <c r="S308" i="61"/>
  <c r="R308" i="61"/>
  <c r="Q308" i="61"/>
  <c r="P308" i="61"/>
  <c r="O308" i="61"/>
  <c r="N308" i="61"/>
  <c r="M308" i="61"/>
  <c r="L308" i="61"/>
  <c r="K308" i="61"/>
  <c r="J308" i="61"/>
  <c r="I308" i="61"/>
  <c r="H308" i="61"/>
  <c r="G308" i="61"/>
  <c r="F308" i="61"/>
  <c r="E308" i="61"/>
  <c r="D308" i="61"/>
  <c r="C308" i="61"/>
  <c r="AH299" i="61"/>
  <c r="AG297" i="61"/>
  <c r="AF297" i="61"/>
  <c r="AE297" i="61"/>
  <c r="AD297" i="61"/>
  <c r="AC297" i="61"/>
  <c r="AB297" i="61"/>
  <c r="AA297" i="61"/>
  <c r="Z297" i="61"/>
  <c r="Y297" i="61"/>
  <c r="X297" i="61"/>
  <c r="W297" i="61"/>
  <c r="V297" i="61"/>
  <c r="U297" i="61"/>
  <c r="T297" i="61"/>
  <c r="S297" i="61"/>
  <c r="R297" i="61"/>
  <c r="Q297" i="61"/>
  <c r="P297" i="61"/>
  <c r="O297" i="61"/>
  <c r="N297" i="61"/>
  <c r="M297" i="61"/>
  <c r="L297" i="61"/>
  <c r="K297" i="61"/>
  <c r="J297" i="61"/>
  <c r="I297" i="61"/>
  <c r="H297" i="61"/>
  <c r="G297" i="61"/>
  <c r="F297" i="61"/>
  <c r="E297" i="61"/>
  <c r="D297" i="61"/>
  <c r="C297" i="61"/>
  <c r="AH293" i="61"/>
  <c r="AH292" i="61"/>
  <c r="AH291" i="61"/>
  <c r="AH290" i="61"/>
  <c r="AG289" i="61"/>
  <c r="AF289" i="61"/>
  <c r="AE289" i="61"/>
  <c r="AD289" i="61"/>
  <c r="AC289" i="61"/>
  <c r="AB289" i="61"/>
  <c r="AA289" i="61"/>
  <c r="Z289" i="61"/>
  <c r="Y289" i="61"/>
  <c r="X289" i="61"/>
  <c r="W289" i="61"/>
  <c r="V289" i="61"/>
  <c r="U289" i="61"/>
  <c r="T289" i="61"/>
  <c r="S289" i="61"/>
  <c r="R289" i="61"/>
  <c r="Q289" i="61"/>
  <c r="P289" i="61"/>
  <c r="O289" i="61"/>
  <c r="N289" i="61"/>
  <c r="M289" i="61"/>
  <c r="L289" i="61"/>
  <c r="K289" i="61"/>
  <c r="J289" i="61"/>
  <c r="I289" i="61"/>
  <c r="H289" i="61"/>
  <c r="G289" i="61"/>
  <c r="F289" i="61"/>
  <c r="E289" i="61"/>
  <c r="D289" i="61"/>
  <c r="C289" i="61"/>
  <c r="B276" i="61"/>
  <c r="B275" i="61"/>
  <c r="B254" i="61"/>
  <c r="AH253" i="61"/>
  <c r="AH251" i="61"/>
  <c r="AG245" i="61"/>
  <c r="AF245" i="61"/>
  <c r="AE245" i="61"/>
  <c r="AD245" i="61"/>
  <c r="AC245" i="61"/>
  <c r="AB245" i="61"/>
  <c r="AA245" i="61"/>
  <c r="Z245" i="61"/>
  <c r="Y245" i="61"/>
  <c r="X245" i="61"/>
  <c r="W245" i="61"/>
  <c r="V245" i="61"/>
  <c r="U245" i="61"/>
  <c r="T245" i="61"/>
  <c r="S245" i="61"/>
  <c r="R245" i="61"/>
  <c r="Q245" i="61"/>
  <c r="P245" i="61"/>
  <c r="O245" i="61"/>
  <c r="N245" i="61"/>
  <c r="M245" i="61"/>
  <c r="L245" i="61"/>
  <c r="K245" i="61"/>
  <c r="J245" i="61"/>
  <c r="I245" i="61"/>
  <c r="H245" i="61"/>
  <c r="G245" i="61"/>
  <c r="F245" i="61"/>
  <c r="E245" i="61"/>
  <c r="D245" i="61"/>
  <c r="C245" i="61"/>
  <c r="AG244" i="61"/>
  <c r="AF244" i="61"/>
  <c r="AE244" i="61"/>
  <c r="AD244" i="61"/>
  <c r="AC244" i="61"/>
  <c r="AB244" i="61"/>
  <c r="AA244" i="61"/>
  <c r="Z244" i="61"/>
  <c r="Y244" i="61"/>
  <c r="X244" i="61"/>
  <c r="W244" i="61"/>
  <c r="V244" i="61"/>
  <c r="U244" i="61"/>
  <c r="T244" i="61"/>
  <c r="S244" i="61"/>
  <c r="R244" i="61"/>
  <c r="Q244" i="61"/>
  <c r="P244" i="61"/>
  <c r="O244" i="61"/>
  <c r="N244" i="61"/>
  <c r="M244" i="61"/>
  <c r="L244" i="61"/>
  <c r="K244" i="61"/>
  <c r="J244" i="61"/>
  <c r="I244" i="61"/>
  <c r="H244" i="61"/>
  <c r="G244" i="61"/>
  <c r="F244" i="61"/>
  <c r="E244" i="61"/>
  <c r="D244" i="61"/>
  <c r="C244" i="61"/>
  <c r="AH235" i="61"/>
  <c r="AG233" i="61"/>
  <c r="AF233" i="61"/>
  <c r="AE233" i="61"/>
  <c r="AD233" i="61"/>
  <c r="AC233" i="61"/>
  <c r="AB233" i="61"/>
  <c r="AA233" i="61"/>
  <c r="Z233" i="61"/>
  <c r="Y233" i="61"/>
  <c r="X233" i="61"/>
  <c r="W233" i="61"/>
  <c r="V233" i="61"/>
  <c r="U233" i="61"/>
  <c r="T233" i="61"/>
  <c r="S233" i="61"/>
  <c r="R233" i="61"/>
  <c r="Q233" i="61"/>
  <c r="P233" i="61"/>
  <c r="O233" i="61"/>
  <c r="N233" i="61"/>
  <c r="M233" i="61"/>
  <c r="L233" i="61"/>
  <c r="K233" i="61"/>
  <c r="J233" i="61"/>
  <c r="I233" i="61"/>
  <c r="H233" i="61"/>
  <c r="G233" i="61"/>
  <c r="F233" i="61"/>
  <c r="E233" i="61"/>
  <c r="D233" i="61"/>
  <c r="C233" i="61"/>
  <c r="AH229" i="61"/>
  <c r="AH228" i="61"/>
  <c r="AH227" i="61"/>
  <c r="AH226" i="61"/>
  <c r="AG225" i="61"/>
  <c r="AF225" i="61"/>
  <c r="AE225" i="61"/>
  <c r="AD225" i="61"/>
  <c r="AC225" i="61"/>
  <c r="AB225" i="61"/>
  <c r="AA225" i="61"/>
  <c r="Z225" i="61"/>
  <c r="Y225" i="61"/>
  <c r="X225" i="61"/>
  <c r="W225" i="61"/>
  <c r="V225" i="61"/>
  <c r="U225" i="61"/>
  <c r="T225" i="61"/>
  <c r="S225" i="61"/>
  <c r="R225" i="61"/>
  <c r="Q225" i="61"/>
  <c r="P225" i="61"/>
  <c r="O225" i="61"/>
  <c r="N225" i="61"/>
  <c r="M225" i="61"/>
  <c r="L225" i="61"/>
  <c r="K225" i="61"/>
  <c r="J225" i="61"/>
  <c r="I225" i="61"/>
  <c r="H225" i="61"/>
  <c r="G225" i="61"/>
  <c r="F225" i="61"/>
  <c r="E225" i="61"/>
  <c r="D225" i="61"/>
  <c r="C225" i="61"/>
  <c r="B212" i="61"/>
  <c r="B211" i="61"/>
  <c r="B191" i="61"/>
  <c r="AG182" i="61"/>
  <c r="AF182" i="61"/>
  <c r="AE182" i="61"/>
  <c r="AD182" i="61"/>
  <c r="AC182" i="61"/>
  <c r="AB182" i="61"/>
  <c r="AA182" i="61"/>
  <c r="Z182" i="61"/>
  <c r="Y182" i="61"/>
  <c r="X182" i="61"/>
  <c r="W182" i="61"/>
  <c r="V182" i="61"/>
  <c r="U182" i="61"/>
  <c r="T182" i="61"/>
  <c r="S182" i="61"/>
  <c r="R182" i="61"/>
  <c r="Q182" i="61"/>
  <c r="P182" i="61"/>
  <c r="O182" i="61"/>
  <c r="N182" i="61"/>
  <c r="M182" i="61"/>
  <c r="L182" i="61"/>
  <c r="K182" i="61"/>
  <c r="J182" i="61"/>
  <c r="I182" i="61"/>
  <c r="H182" i="61"/>
  <c r="G182" i="61"/>
  <c r="F182" i="61"/>
  <c r="E182" i="61"/>
  <c r="D182" i="61"/>
  <c r="C182" i="61"/>
  <c r="AG181" i="61"/>
  <c r="AF181" i="61"/>
  <c r="AE181" i="61"/>
  <c r="AD181" i="61"/>
  <c r="AC181" i="61"/>
  <c r="AB181" i="61"/>
  <c r="AA181" i="61"/>
  <c r="Z181" i="61"/>
  <c r="Y181" i="61"/>
  <c r="X181" i="61"/>
  <c r="W181" i="61"/>
  <c r="V181" i="61"/>
  <c r="U181" i="61"/>
  <c r="T181" i="61"/>
  <c r="S181" i="61"/>
  <c r="R181" i="61"/>
  <c r="Q181" i="61"/>
  <c r="P181" i="61"/>
  <c r="O181" i="61"/>
  <c r="N181" i="61"/>
  <c r="M181" i="61"/>
  <c r="L181" i="61"/>
  <c r="K181" i="61"/>
  <c r="J181" i="61"/>
  <c r="I181" i="61"/>
  <c r="H181" i="61"/>
  <c r="G181" i="61"/>
  <c r="F181" i="61"/>
  <c r="E181" i="61"/>
  <c r="D181" i="61"/>
  <c r="C181" i="61"/>
  <c r="AH172" i="61"/>
  <c r="AG170" i="61"/>
  <c r="AF170" i="61"/>
  <c r="AE170" i="61"/>
  <c r="AD170" i="61"/>
  <c r="AC170" i="61"/>
  <c r="AB170" i="61"/>
  <c r="AA170" i="61"/>
  <c r="Z170" i="61"/>
  <c r="Y170" i="61"/>
  <c r="X170" i="61"/>
  <c r="W170" i="61"/>
  <c r="V170" i="61"/>
  <c r="U170" i="61"/>
  <c r="T170" i="61"/>
  <c r="S170" i="61"/>
  <c r="R170" i="61"/>
  <c r="Q170" i="61"/>
  <c r="P170" i="61"/>
  <c r="O170" i="61"/>
  <c r="N170" i="61"/>
  <c r="M170" i="61"/>
  <c r="L170" i="61"/>
  <c r="K170" i="61"/>
  <c r="J170" i="61"/>
  <c r="I170" i="61"/>
  <c r="H170" i="61"/>
  <c r="G170" i="61"/>
  <c r="F170" i="61"/>
  <c r="E170" i="61"/>
  <c r="D170" i="61"/>
  <c r="C170" i="61"/>
  <c r="AH168" i="61"/>
  <c r="AH167" i="61"/>
  <c r="AH166" i="61"/>
  <c r="AH165" i="61"/>
  <c r="AH164" i="61"/>
  <c r="AH163" i="61"/>
  <c r="AH162" i="61"/>
  <c r="AH161" i="61"/>
  <c r="AG160" i="61"/>
  <c r="AF160" i="61"/>
  <c r="AE160" i="61"/>
  <c r="AD160" i="61"/>
  <c r="AC160" i="61"/>
  <c r="AB160" i="61"/>
  <c r="AA160" i="61"/>
  <c r="Z160" i="61"/>
  <c r="Y160" i="61"/>
  <c r="X160" i="61"/>
  <c r="W160" i="61"/>
  <c r="V160" i="61"/>
  <c r="U160" i="61"/>
  <c r="T160" i="61"/>
  <c r="S160" i="61"/>
  <c r="R160" i="61"/>
  <c r="Q160" i="61"/>
  <c r="P160" i="61"/>
  <c r="O160" i="61"/>
  <c r="N160" i="61"/>
  <c r="M160" i="61"/>
  <c r="L160" i="61"/>
  <c r="K160" i="61"/>
  <c r="J160" i="61"/>
  <c r="I160" i="61"/>
  <c r="H160" i="61"/>
  <c r="G160" i="61"/>
  <c r="F160" i="61"/>
  <c r="E160" i="61"/>
  <c r="D160" i="61"/>
  <c r="C160" i="61"/>
  <c r="B147" i="61"/>
  <c r="B146" i="61"/>
  <c r="B145" i="61" s="1"/>
  <c r="AN93" i="61"/>
  <c r="AN112" i="61" s="1"/>
  <c r="C82" i="61"/>
  <c r="AH79" i="61"/>
  <c r="AH78" i="61"/>
  <c r="AH77" i="61"/>
  <c r="AH75" i="61"/>
  <c r="AG67" i="61"/>
  <c r="AF67" i="61"/>
  <c r="AE67" i="61"/>
  <c r="AD67" i="61"/>
  <c r="AC67" i="61"/>
  <c r="AB67" i="61"/>
  <c r="AA67" i="61"/>
  <c r="Z67" i="61"/>
  <c r="Y67" i="61"/>
  <c r="X67" i="61"/>
  <c r="W67" i="61"/>
  <c r="V67" i="61"/>
  <c r="U67" i="61"/>
  <c r="T67" i="61"/>
  <c r="S67" i="61"/>
  <c r="R67" i="61"/>
  <c r="Q67" i="61"/>
  <c r="P67" i="61"/>
  <c r="O67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AG66" i="61"/>
  <c r="AF66" i="61"/>
  <c r="AE66" i="61"/>
  <c r="AC66" i="61"/>
  <c r="Z66" i="61"/>
  <c r="Y66" i="61"/>
  <c r="X66" i="61"/>
  <c r="W66" i="61"/>
  <c r="V66" i="61"/>
  <c r="U66" i="61"/>
  <c r="T66" i="61"/>
  <c r="S66" i="61"/>
  <c r="R66" i="61"/>
  <c r="Q66" i="61"/>
  <c r="P66" i="61"/>
  <c r="O66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AH65" i="61"/>
  <c r="AH58" i="61"/>
  <c r="AH57" i="61"/>
  <c r="AH56" i="61"/>
  <c r="AJ55" i="61"/>
  <c r="AJ56" i="61" s="1"/>
  <c r="AG55" i="61"/>
  <c r="AF55" i="61"/>
  <c r="AE55" i="61"/>
  <c r="AD55" i="61"/>
  <c r="AC55" i="61"/>
  <c r="AB55" i="61"/>
  <c r="AA55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AH54" i="61"/>
  <c r="AH53" i="61"/>
  <c r="AH52" i="61"/>
  <c r="AH51" i="61"/>
  <c r="AH50" i="61"/>
  <c r="AH49" i="61"/>
  <c r="AH48" i="61"/>
  <c r="AH47" i="61"/>
  <c r="AH46" i="61"/>
  <c r="AH45" i="61"/>
  <c r="AH44" i="61"/>
  <c r="AG43" i="61"/>
  <c r="AF43" i="61"/>
  <c r="AE43" i="61"/>
  <c r="AD43" i="61"/>
  <c r="AC43" i="61"/>
  <c r="AB43" i="61"/>
  <c r="AA43" i="61"/>
  <c r="Z43" i="61"/>
  <c r="Y43" i="61"/>
  <c r="X43" i="61"/>
  <c r="W43" i="61"/>
  <c r="V43" i="61"/>
  <c r="U43" i="61"/>
  <c r="T43" i="61"/>
  <c r="S43" i="61"/>
  <c r="R43" i="61"/>
  <c r="Q43" i="61"/>
  <c r="P43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C43" i="61"/>
  <c r="AH42" i="61"/>
  <c r="B37" i="61"/>
  <c r="B29" i="61"/>
  <c r="B28" i="61" s="1"/>
  <c r="AG13" i="61"/>
  <c r="AF13" i="61"/>
  <c r="AE13" i="61"/>
  <c r="AD13" i="61"/>
  <c r="AC13" i="61"/>
  <c r="AB13" i="61"/>
  <c r="AA13" i="61"/>
  <c r="Z13" i="61"/>
  <c r="Y13" i="61"/>
  <c r="X13" i="61"/>
  <c r="W13" i="61"/>
  <c r="V13" i="61"/>
  <c r="U13" i="61"/>
  <c r="T13" i="61"/>
  <c r="S13" i="61"/>
  <c r="R13" i="61"/>
  <c r="Q13" i="61"/>
  <c r="P13" i="61"/>
  <c r="O13" i="61"/>
  <c r="N13" i="61"/>
  <c r="M13" i="61"/>
  <c r="L13" i="61"/>
  <c r="K13" i="61"/>
  <c r="J13" i="61"/>
  <c r="I13" i="61"/>
  <c r="H13" i="61"/>
  <c r="G13" i="61"/>
  <c r="F13" i="61"/>
  <c r="E13" i="61"/>
  <c r="D13" i="61"/>
  <c r="C13" i="61"/>
  <c r="AG12" i="61"/>
  <c r="AF12" i="61"/>
  <c r="AE12" i="61"/>
  <c r="AD12" i="61"/>
  <c r="AC12" i="61"/>
  <c r="AB12" i="61"/>
  <c r="AA12" i="61"/>
  <c r="Z12" i="61"/>
  <c r="Y12" i="61"/>
  <c r="X12" i="61"/>
  <c r="W12" i="61"/>
  <c r="V12" i="61"/>
  <c r="U12" i="61"/>
  <c r="T12" i="61"/>
  <c r="S12" i="61"/>
  <c r="R12" i="61"/>
  <c r="Q12" i="61"/>
  <c r="P12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C12" i="61"/>
  <c r="AG11" i="61"/>
  <c r="AF11" i="61"/>
  <c r="AE11" i="61"/>
  <c r="AD11" i="61"/>
  <c r="AC11" i="61"/>
  <c r="AB11" i="61"/>
  <c r="AA11" i="61"/>
  <c r="Z11" i="61"/>
  <c r="Y11" i="61"/>
  <c r="X11" i="61"/>
  <c r="W11" i="61"/>
  <c r="V11" i="61"/>
  <c r="U11" i="61"/>
  <c r="T11" i="61"/>
  <c r="S11" i="61"/>
  <c r="R11" i="61"/>
  <c r="Q11" i="61"/>
  <c r="P11" i="61"/>
  <c r="O11" i="61"/>
  <c r="N11" i="61"/>
  <c r="M11" i="61"/>
  <c r="L11" i="61"/>
  <c r="K11" i="61"/>
  <c r="J11" i="61"/>
  <c r="I11" i="61"/>
  <c r="H11" i="61"/>
  <c r="G11" i="61"/>
  <c r="F11" i="61"/>
  <c r="E11" i="61"/>
  <c r="D11" i="61"/>
  <c r="C11" i="61"/>
  <c r="D10" i="61" l="1"/>
  <c r="H10" i="61"/>
  <c r="L10" i="61"/>
  <c r="P10" i="61"/>
  <c r="T10" i="61"/>
  <c r="X10" i="61"/>
  <c r="AB10" i="61"/>
  <c r="AF10" i="61"/>
  <c r="V10" i="61"/>
  <c r="E10" i="61"/>
  <c r="I10" i="61"/>
  <c r="M10" i="61"/>
  <c r="Q10" i="61"/>
  <c r="U10" i="61"/>
  <c r="Y10" i="61"/>
  <c r="AC10" i="61"/>
  <c r="AG10" i="61"/>
  <c r="F10" i="61"/>
  <c r="J10" i="61"/>
  <c r="N10" i="61"/>
  <c r="R10" i="61"/>
  <c r="Z10" i="61"/>
  <c r="AD10" i="61"/>
  <c r="B210" i="61"/>
  <c r="C10" i="61"/>
  <c r="AH10" i="61" s="1"/>
  <c r="G10" i="61"/>
  <c r="K10" i="61"/>
  <c r="O10" i="61"/>
  <c r="S10" i="61"/>
  <c r="W10" i="61"/>
  <c r="AA10" i="61"/>
  <c r="AE10" i="61"/>
  <c r="B274" i="61"/>
  <c r="E175" i="61"/>
  <c r="I175" i="61"/>
  <c r="M175" i="61"/>
  <c r="Q175" i="61"/>
  <c r="U175" i="61"/>
  <c r="Y175" i="61"/>
  <c r="AC175" i="61"/>
  <c r="AH225" i="61"/>
  <c r="H238" i="61"/>
  <c r="L238" i="61"/>
  <c r="P238" i="61"/>
  <c r="T238" i="61"/>
  <c r="E302" i="61"/>
  <c r="I302" i="61"/>
  <c r="M302" i="61"/>
  <c r="U302" i="61"/>
  <c r="AG302" i="61"/>
  <c r="AH43" i="61"/>
  <c r="AH74" i="61"/>
  <c r="F175" i="61"/>
  <c r="J175" i="61"/>
  <c r="N175" i="61"/>
  <c r="R175" i="61"/>
  <c r="V175" i="61"/>
  <c r="Z175" i="61"/>
  <c r="AD175" i="61"/>
  <c r="E238" i="61"/>
  <c r="I238" i="61"/>
  <c r="M238" i="61"/>
  <c r="Q238" i="61"/>
  <c r="U238" i="61"/>
  <c r="F302" i="61"/>
  <c r="J302" i="61"/>
  <c r="N302" i="61"/>
  <c r="R302" i="61"/>
  <c r="AH160" i="61"/>
  <c r="H175" i="61"/>
  <c r="L175" i="61"/>
  <c r="P175" i="61"/>
  <c r="T175" i="61"/>
  <c r="X175" i="61"/>
  <c r="AB175" i="61"/>
  <c r="G238" i="61"/>
  <c r="K238" i="61"/>
  <c r="O238" i="61"/>
  <c r="S238" i="61"/>
  <c r="W238" i="61"/>
  <c r="AA238" i="61"/>
  <c r="AH289" i="61"/>
  <c r="H302" i="61"/>
  <c r="L302" i="61"/>
  <c r="T302" i="61"/>
  <c r="K175" i="61"/>
  <c r="O175" i="61"/>
  <c r="S175" i="61"/>
  <c r="W175" i="61"/>
  <c r="AA175" i="61"/>
  <c r="F238" i="61"/>
  <c r="N238" i="61"/>
  <c r="R238" i="61"/>
  <c r="V238" i="61"/>
  <c r="Z238" i="61"/>
  <c r="G302" i="61"/>
  <c r="K302" i="61"/>
  <c r="S302" i="61"/>
  <c r="W302" i="61"/>
  <c r="AE175" i="61"/>
  <c r="D302" i="61"/>
  <c r="C302" i="61"/>
  <c r="Z302" i="61"/>
  <c r="AB238" i="61"/>
  <c r="AF238" i="61"/>
  <c r="AE238" i="61"/>
  <c r="Y302" i="61"/>
  <c r="D238" i="61"/>
  <c r="C238" i="61"/>
  <c r="D175" i="61"/>
  <c r="C175" i="61"/>
  <c r="AC238" i="61"/>
  <c r="AD302" i="61"/>
  <c r="P302" i="61"/>
  <c r="AA302" i="61"/>
  <c r="Q302" i="61"/>
  <c r="AD238" i="61"/>
  <c r="G60" i="61"/>
  <c r="U60" i="61"/>
  <c r="N60" i="61"/>
  <c r="M60" i="61"/>
  <c r="K60" i="61"/>
  <c r="J60" i="61"/>
  <c r="H60" i="61"/>
  <c r="F60" i="61"/>
  <c r="D60" i="61"/>
  <c r="T60" i="61"/>
  <c r="S60" i="61"/>
  <c r="O60" i="61"/>
  <c r="I60" i="61"/>
  <c r="E60" i="61"/>
  <c r="AF302" i="61"/>
  <c r="AE302" i="61"/>
  <c r="AC302" i="61"/>
  <c r="AB302" i="61"/>
  <c r="V302" i="61"/>
  <c r="X302" i="61"/>
  <c r="O302" i="61"/>
  <c r="AG238" i="61"/>
  <c r="Y238" i="61"/>
  <c r="X238" i="61"/>
  <c r="J238" i="61"/>
  <c r="G175" i="61"/>
  <c r="P60" i="61"/>
  <c r="Y60" i="61"/>
  <c r="Z60" i="61"/>
  <c r="AA60" i="61"/>
  <c r="AB60" i="61"/>
  <c r="AC60" i="61"/>
  <c r="AD60" i="61"/>
  <c r="AE60" i="61"/>
  <c r="AF60" i="61"/>
  <c r="AG60" i="61"/>
  <c r="X60" i="61"/>
  <c r="W60" i="61"/>
  <c r="V60" i="61"/>
  <c r="R60" i="61"/>
  <c r="Q60" i="61"/>
  <c r="L60" i="61"/>
  <c r="C60" i="61"/>
  <c r="AI45" i="61"/>
  <c r="AH55" i="61"/>
  <c r="AP93" i="61"/>
  <c r="AF175" i="61"/>
  <c r="AG175" i="61"/>
  <c r="R32" i="27" l="1"/>
  <c r="Q32" i="27"/>
  <c r="S62" i="27"/>
  <c r="E7" i="27"/>
  <c r="H9" i="27"/>
  <c r="I9" i="27"/>
  <c r="J9" i="27"/>
  <c r="J7" i="27" s="1"/>
  <c r="H14" i="27"/>
  <c r="AO14" i="27" s="1"/>
  <c r="I18" i="27"/>
  <c r="N18" i="27"/>
  <c r="F23" i="27"/>
  <c r="F7" i="27" s="1"/>
  <c r="G23" i="27"/>
  <c r="G7" i="27" s="1"/>
  <c r="H23" i="27"/>
  <c r="I23" i="27"/>
  <c r="N30" i="27"/>
  <c r="O30" i="27"/>
  <c r="P30" i="27"/>
  <c r="E32" i="27"/>
  <c r="F32" i="27"/>
  <c r="G32" i="27"/>
  <c r="H32" i="27"/>
  <c r="I32" i="27"/>
  <c r="K32" i="27"/>
  <c r="L32" i="27"/>
  <c r="L30" i="27" s="1"/>
  <c r="M32" i="27"/>
  <c r="M30" i="27" s="1"/>
  <c r="N32" i="27"/>
  <c r="O32" i="27"/>
  <c r="P32" i="27"/>
  <c r="E44" i="27"/>
  <c r="F44" i="27"/>
  <c r="G44" i="27"/>
  <c r="H44" i="27"/>
  <c r="L44" i="27"/>
  <c r="N44" i="27"/>
  <c r="O44" i="27"/>
  <c r="P44" i="27"/>
  <c r="E55" i="27"/>
  <c r="K55" i="27"/>
  <c r="L55" i="27"/>
  <c r="M55" i="27"/>
  <c r="N55" i="27"/>
  <c r="O55" i="27"/>
  <c r="P55" i="27"/>
  <c r="E62" i="27"/>
  <c r="F62" i="27"/>
  <c r="G62" i="27"/>
  <c r="H62" i="27"/>
  <c r="I62" i="27"/>
  <c r="J62" i="27"/>
  <c r="K62" i="27"/>
  <c r="L62" i="27"/>
  <c r="M62" i="27"/>
  <c r="N62" i="27"/>
  <c r="O62" i="27"/>
  <c r="P62" i="27"/>
  <c r="E86" i="27"/>
  <c r="F86" i="27"/>
  <c r="G86" i="27"/>
  <c r="H86" i="27"/>
  <c r="I86" i="27"/>
  <c r="F129" i="27"/>
  <c r="F137" i="27"/>
  <c r="F144" i="27"/>
  <c r="F151" i="27"/>
  <c r="F171" i="27"/>
  <c r="F182" i="27"/>
  <c r="F191" i="27"/>
  <c r="F200" i="27"/>
  <c r="AO23" i="27" l="1"/>
  <c r="AO9" i="27"/>
  <c r="E30" i="57"/>
  <c r="F216" i="27"/>
  <c r="I7" i="27"/>
  <c r="F158" i="27"/>
  <c r="K30" i="27"/>
  <c r="I30" i="27"/>
  <c r="H30" i="27"/>
  <c r="G30" i="27"/>
  <c r="F30" i="27"/>
  <c r="E30" i="27"/>
  <c r="H7" i="27"/>
  <c r="K30" i="57" l="1"/>
  <c r="F32" i="57"/>
  <c r="E13" i="57"/>
  <c r="Q44" i="27"/>
  <c r="AO44" i="27" l="1"/>
  <c r="E21" i="57" s="1"/>
  <c r="S30" i="57"/>
  <c r="T32" i="57" s="1"/>
  <c r="J13" i="57"/>
  <c r="S13" i="57" s="1"/>
  <c r="G920" i="41"/>
  <c r="T21" i="57" l="1"/>
  <c r="F21" i="57"/>
  <c r="D27" i="54"/>
  <c r="D28" i="54"/>
  <c r="C28" i="54"/>
  <c r="G912" i="41"/>
  <c r="AT46" i="27"/>
  <c r="E28" i="54"/>
  <c r="B17" i="54"/>
  <c r="B27" i="54" l="1"/>
  <c r="S32" i="27"/>
  <c r="AO32" i="27" s="1"/>
  <c r="E15" i="57" s="1"/>
  <c r="F15" i="57" s="1"/>
  <c r="B40" i="54"/>
  <c r="G22" i="54"/>
  <c r="F22" i="54"/>
  <c r="E22" i="54"/>
  <c r="D22" i="54"/>
  <c r="C22" i="54"/>
  <c r="B32" i="54"/>
  <c r="G903" i="41"/>
  <c r="G875" i="41"/>
  <c r="H56" i="54"/>
  <c r="G56" i="54"/>
  <c r="F56" i="54"/>
  <c r="E56" i="54"/>
  <c r="D56" i="54"/>
  <c r="C56" i="54"/>
  <c r="B56" i="54"/>
  <c r="C18" i="54" s="1"/>
  <c r="H40" i="54"/>
  <c r="G40" i="54"/>
  <c r="G36" i="54" s="1"/>
  <c r="F40" i="54"/>
  <c r="F36" i="54" s="1"/>
  <c r="E40" i="54"/>
  <c r="E36" i="54" s="1"/>
  <c r="D40" i="54"/>
  <c r="C40" i="54"/>
  <c r="C36" i="54" s="1"/>
  <c r="H36" i="54"/>
  <c r="D36" i="54"/>
  <c r="B36" i="54"/>
  <c r="H31" i="54"/>
  <c r="H22" i="54" s="1"/>
  <c r="H18" i="54"/>
  <c r="G18" i="54"/>
  <c r="B15" i="54"/>
  <c r="G893" i="41"/>
  <c r="G911" i="41"/>
  <c r="G914" i="41"/>
  <c r="D18" i="54" l="1"/>
  <c r="H133" i="27"/>
  <c r="F18" i="54"/>
  <c r="B22" i="54"/>
  <c r="B50" i="54" s="1"/>
  <c r="B53" i="54" s="1"/>
  <c r="B55" i="54" s="1"/>
  <c r="C17" i="54" s="1"/>
  <c r="C15" i="54" s="1"/>
  <c r="H50" i="54"/>
  <c r="G50" i="54"/>
  <c r="F50" i="54"/>
  <c r="E50" i="54"/>
  <c r="D50" i="54"/>
  <c r="C50" i="54"/>
  <c r="G917" i="41"/>
  <c r="C53" i="54" l="1"/>
  <c r="C55" i="54" s="1"/>
  <c r="D17" i="54" s="1"/>
  <c r="D15" i="54" s="1"/>
  <c r="D53" i="54" s="1"/>
  <c r="D55" i="54" s="1"/>
  <c r="E17" i="54" s="1"/>
  <c r="E15" i="54" s="1"/>
  <c r="E53" i="54" s="1"/>
  <c r="E55" i="54" s="1"/>
  <c r="F17" i="54" s="1"/>
  <c r="F15" i="54" s="1"/>
  <c r="F53" i="54" s="1"/>
  <c r="F55" i="54" s="1"/>
  <c r="G17" i="54" s="1"/>
  <c r="G15" i="54" s="1"/>
  <c r="G53" i="54" s="1"/>
  <c r="G55" i="54" s="1"/>
  <c r="H17" i="54" s="1"/>
  <c r="H15" i="54" s="1"/>
  <c r="H53" i="54" s="1"/>
  <c r="H55" i="54" s="1"/>
  <c r="T15" i="57"/>
  <c r="Q62" i="27"/>
  <c r="R62" i="27" l="1"/>
  <c r="G866" i="41" l="1"/>
  <c r="G868" i="41" l="1"/>
  <c r="G884" i="41"/>
  <c r="G897" i="41" l="1"/>
  <c r="G892" i="41"/>
  <c r="G894" i="41"/>
  <c r="G859" i="41" l="1"/>
  <c r="G855" i="41"/>
  <c r="R30" i="27" l="1"/>
  <c r="Q55" i="27" l="1"/>
  <c r="AO55" i="27" s="1"/>
  <c r="F27" i="44"/>
  <c r="E27" i="44"/>
  <c r="D24" i="44"/>
  <c r="B24" i="44"/>
  <c r="G28" i="44"/>
  <c r="G22" i="44" s="1"/>
  <c r="D28" i="44"/>
  <c r="F28" i="44"/>
  <c r="C28" i="44"/>
  <c r="B27" i="44"/>
  <c r="E28" i="44"/>
  <c r="B28" i="44"/>
  <c r="B17" i="44"/>
  <c r="B15" i="44" s="1"/>
  <c r="E22" i="44"/>
  <c r="H22" i="44"/>
  <c r="I22" i="44"/>
  <c r="J22" i="44"/>
  <c r="K22" i="44"/>
  <c r="M22" i="44"/>
  <c r="N22" i="44"/>
  <c r="C22" i="44"/>
  <c r="N56" i="44"/>
  <c r="N40" i="44"/>
  <c r="N36" i="44" s="1"/>
  <c r="M56" i="44"/>
  <c r="L56" i="44"/>
  <c r="K56" i="44"/>
  <c r="J56" i="44"/>
  <c r="N18" i="44" s="1"/>
  <c r="I56" i="44"/>
  <c r="M18" i="44" s="1"/>
  <c r="M40" i="44"/>
  <c r="M36" i="44" s="1"/>
  <c r="L40" i="44"/>
  <c r="L36" i="44" s="1"/>
  <c r="K40" i="44"/>
  <c r="K36" i="44" s="1"/>
  <c r="J40" i="44"/>
  <c r="J36" i="44" s="1"/>
  <c r="I40" i="44"/>
  <c r="I36" i="44" s="1"/>
  <c r="L31" i="44"/>
  <c r="L22" i="44" s="1"/>
  <c r="K18" i="44"/>
  <c r="J18" i="44"/>
  <c r="Q30" i="27"/>
  <c r="D22" i="44" l="1"/>
  <c r="F22" i="44"/>
  <c r="B22" i="44"/>
  <c r="E26" i="57"/>
  <c r="T26" i="57" s="1"/>
  <c r="N50" i="44"/>
  <c r="M50" i="44"/>
  <c r="L50" i="44"/>
  <c r="K50" i="44"/>
  <c r="J50" i="44"/>
  <c r="I50" i="44"/>
  <c r="F26" i="57" l="1"/>
  <c r="G1491" i="41"/>
  <c r="G1490" i="41"/>
  <c r="G1489" i="41"/>
  <c r="G1488" i="41"/>
  <c r="G1487" i="41"/>
  <c r="G1486" i="41"/>
  <c r="G1485" i="41"/>
  <c r="G1484" i="41"/>
  <c r="G1483" i="41"/>
  <c r="G1482" i="41"/>
  <c r="G1481" i="41"/>
  <c r="G1480" i="41"/>
  <c r="G1479" i="41"/>
  <c r="H56" i="44"/>
  <c r="G56" i="44"/>
  <c r="F56" i="44"/>
  <c r="E56" i="44"/>
  <c r="D56" i="44"/>
  <c r="I18" i="44" s="1"/>
  <c r="C56" i="44"/>
  <c r="B56" i="44"/>
  <c r="C18" i="44" s="1"/>
  <c r="H40" i="44"/>
  <c r="H36" i="44" s="1"/>
  <c r="G40" i="44"/>
  <c r="F40" i="44"/>
  <c r="F36" i="44" s="1"/>
  <c r="E40" i="44"/>
  <c r="E36" i="44" s="1"/>
  <c r="D40" i="44"/>
  <c r="D36" i="44" s="1"/>
  <c r="C40" i="44"/>
  <c r="C36" i="44" s="1"/>
  <c r="B40" i="44"/>
  <c r="B36" i="44" s="1"/>
  <c r="G36" i="44"/>
  <c r="H18" i="44"/>
  <c r="G877" i="41"/>
  <c r="G871" i="41"/>
  <c r="G885" i="41"/>
  <c r="G18" i="44" l="1"/>
  <c r="D18" i="44"/>
  <c r="F18" i="44"/>
  <c r="G50" i="44"/>
  <c r="H50" i="44"/>
  <c r="F50" i="44"/>
  <c r="E50" i="44"/>
  <c r="D50" i="44"/>
  <c r="C50" i="44"/>
  <c r="B50" i="44"/>
  <c r="B53" i="44" s="1"/>
  <c r="B55" i="44" s="1"/>
  <c r="C17" i="44" l="1"/>
  <c r="C15" i="44" s="1"/>
  <c r="C53" i="44" s="1"/>
  <c r="C55" i="44" s="1"/>
  <c r="D17" i="44" s="1"/>
  <c r="D15" i="44" s="1"/>
  <c r="D53" i="44" s="1"/>
  <c r="D55" i="44" s="1"/>
  <c r="E17" i="44" s="1"/>
  <c r="E15" i="44" s="1"/>
  <c r="E53" i="44" s="1"/>
  <c r="E55" i="44" s="1"/>
  <c r="F17" i="44" s="1"/>
  <c r="F15" i="44" s="1"/>
  <c r="F53" i="44" s="1"/>
  <c r="F55" i="44" s="1"/>
  <c r="G17" i="44" s="1"/>
  <c r="G15" i="44" l="1"/>
  <c r="G53" i="44" s="1"/>
  <c r="G55" i="44" s="1"/>
  <c r="H17" i="44" s="1"/>
  <c r="G869" i="41"/>
  <c r="H15" i="44" l="1"/>
  <c r="H53" i="44" s="1"/>
  <c r="H55" i="44" s="1"/>
  <c r="I17" i="44" s="1"/>
  <c r="I15" i="44" s="1"/>
  <c r="I53" i="44" s="1"/>
  <c r="I55" i="44" s="1"/>
  <c r="J17" i="44" s="1"/>
  <c r="J15" i="44" s="1"/>
  <c r="J53" i="44" s="1"/>
  <c r="J55" i="44" s="1"/>
  <c r="K17" i="44" s="1"/>
  <c r="K15" i="44" s="1"/>
  <c r="K53" i="44" s="1"/>
  <c r="K55" i="44" s="1"/>
  <c r="L17" i="44" s="1"/>
  <c r="L15" i="44" s="1"/>
  <c r="L53" i="44" s="1"/>
  <c r="L55" i="44" s="1"/>
  <c r="M17" i="44" s="1"/>
  <c r="M15" i="44" s="1"/>
  <c r="M53" i="44" s="1"/>
  <c r="M55" i="44" s="1"/>
  <c r="N17" i="44" s="1"/>
  <c r="N15" i="44" s="1"/>
  <c r="N53" i="44" s="1"/>
  <c r="N55" i="44" s="1"/>
  <c r="G742" i="41" l="1"/>
  <c r="G876" i="41" l="1"/>
  <c r="G976" i="41"/>
  <c r="G853" i="41"/>
  <c r="H132" i="27" l="1"/>
  <c r="AP9" i="27"/>
  <c r="H140" i="27"/>
  <c r="AP14" i="27"/>
  <c r="AO18" i="27"/>
  <c r="H147" i="27" s="1"/>
  <c r="AP18" i="27"/>
  <c r="H154" i="27"/>
  <c r="AP23" i="27"/>
  <c r="AP7" i="27" l="1"/>
  <c r="AO7" i="27"/>
  <c r="G755" i="41"/>
  <c r="G883" i="41" l="1"/>
  <c r="G811" i="41"/>
  <c r="G981" i="41" l="1"/>
  <c r="G860" i="41"/>
  <c r="G888" i="41" l="1"/>
  <c r="G831" i="41"/>
  <c r="G887" i="41"/>
  <c r="B17" i="40" l="1"/>
  <c r="E28" i="40" l="1"/>
  <c r="E22" i="40" s="1"/>
  <c r="D28" i="40"/>
  <c r="D22" i="40" s="1"/>
  <c r="B42" i="40"/>
  <c r="AP32" i="27"/>
  <c r="G1430" i="41"/>
  <c r="G1438" i="41"/>
  <c r="G1465" i="41"/>
  <c r="G849" i="41"/>
  <c r="G852" i="41"/>
  <c r="G858" i="41"/>
  <c r="G865" i="41"/>
  <c r="G1450" i="41"/>
  <c r="G1427" i="41"/>
  <c r="G1428" i="41"/>
  <c r="G1429" i="41"/>
  <c r="G1426" i="41"/>
  <c r="G1443" i="41"/>
  <c r="G1442" i="41"/>
  <c r="G1454" i="41"/>
  <c r="G1457" i="41" s="1"/>
  <c r="G1469" i="41"/>
  <c r="G1471" i="41" s="1"/>
  <c r="G1461" i="41"/>
  <c r="G1462" i="41"/>
  <c r="G1463" i="41"/>
  <c r="G1464" i="41"/>
  <c r="G1460" i="41"/>
  <c r="G1396" i="41"/>
  <c r="G1397" i="41"/>
  <c r="G1398" i="41"/>
  <c r="G1395" i="41"/>
  <c r="G1391" i="41"/>
  <c r="G1390" i="41"/>
  <c r="G1417" i="41"/>
  <c r="G1416" i="41"/>
  <c r="G1415" i="41"/>
  <c r="G1406" i="41"/>
  <c r="G1405" i="41"/>
  <c r="G1351" i="41"/>
  <c r="G1378" i="41"/>
  <c r="P1283" i="41"/>
  <c r="O1281" i="41"/>
  <c r="G1280" i="41"/>
  <c r="G1281" i="41" s="1"/>
  <c r="G1269" i="41"/>
  <c r="O1222" i="41"/>
  <c r="G872" i="41"/>
  <c r="G864" i="41"/>
  <c r="G867" i="41"/>
  <c r="G891" i="41"/>
  <c r="AC1209" i="41"/>
  <c r="Y1209" i="41"/>
  <c r="AC1208" i="41"/>
  <c r="Y1208" i="41"/>
  <c r="AC1207" i="41"/>
  <c r="Y1207" i="41"/>
  <c r="AC1187" i="41"/>
  <c r="Y1187" i="41"/>
  <c r="AC1186" i="41"/>
  <c r="Y1186" i="41"/>
  <c r="G1185" i="41"/>
  <c r="AC1184" i="41"/>
  <c r="Y1184" i="41"/>
  <c r="G829" i="41"/>
  <c r="G828" i="41"/>
  <c r="G870" i="41"/>
  <c r="G843" i="41"/>
  <c r="AC1170" i="41"/>
  <c r="Y1170" i="41"/>
  <c r="AC1169" i="41"/>
  <c r="Y1169" i="41"/>
  <c r="AC1168" i="41"/>
  <c r="Y1168" i="41"/>
  <c r="AC1167" i="41"/>
  <c r="Y1167" i="41"/>
  <c r="AC1166" i="41"/>
  <c r="Y1166" i="41"/>
  <c r="G879" i="41"/>
  <c r="G900" i="41"/>
  <c r="G899" i="41"/>
  <c r="G844" i="41"/>
  <c r="G851" i="41"/>
  <c r="G856" i="41"/>
  <c r="G863" i="41"/>
  <c r="G881" i="41"/>
  <c r="G848" i="41"/>
  <c r="G902" i="41"/>
  <c r="G873" i="41"/>
  <c r="G886" i="41"/>
  <c r="G882" i="41"/>
  <c r="G880" i="41"/>
  <c r="G837" i="41"/>
  <c r="G833" i="41"/>
  <c r="G832" i="41"/>
  <c r="G838" i="41"/>
  <c r="G836" i="41"/>
  <c r="G835" i="41"/>
  <c r="G889" i="41"/>
  <c r="G846" i="41"/>
  <c r="G840" i="41"/>
  <c r="G826" i="41"/>
  <c r="G825" i="41"/>
  <c r="G845" i="41"/>
  <c r="G847" i="41"/>
  <c r="G839" i="41"/>
  <c r="G834" i="41"/>
  <c r="G830" i="41"/>
  <c r="G827" i="41"/>
  <c r="G771" i="41"/>
  <c r="G823" i="41"/>
  <c r="G822" i="41"/>
  <c r="G821" i="41"/>
  <c r="G820" i="41"/>
  <c r="G819" i="41"/>
  <c r="G818" i="41"/>
  <c r="G817" i="41"/>
  <c r="G816" i="41"/>
  <c r="G815" i="41"/>
  <c r="G813" i="41"/>
  <c r="G812" i="41"/>
  <c r="G810" i="41"/>
  <c r="G809" i="41"/>
  <c r="G808" i="41"/>
  <c r="G806" i="41"/>
  <c r="G805" i="41"/>
  <c r="G804" i="41"/>
  <c r="G803" i="41"/>
  <c r="G802" i="41"/>
  <c r="G801" i="41"/>
  <c r="G800" i="41"/>
  <c r="G798" i="41"/>
  <c r="G797" i="41"/>
  <c r="G796" i="41"/>
  <c r="G795" i="41"/>
  <c r="G794" i="41"/>
  <c r="G793" i="41"/>
  <c r="G791" i="41"/>
  <c r="G789" i="41"/>
  <c r="G788" i="41"/>
  <c r="G769" i="41"/>
  <c r="G787" i="41"/>
  <c r="G786" i="41"/>
  <c r="G768" i="41"/>
  <c r="G767" i="41"/>
  <c r="G766" i="41"/>
  <c r="G765" i="41"/>
  <c r="G764" i="41"/>
  <c r="G785" i="41"/>
  <c r="G763" i="41"/>
  <c r="G762" i="41"/>
  <c r="G784" i="41"/>
  <c r="G783" i="41"/>
  <c r="G761" i="41"/>
  <c r="G760" i="41"/>
  <c r="G759" i="41"/>
  <c r="G758" i="41"/>
  <c r="G757" i="41"/>
  <c r="G756" i="41"/>
  <c r="G754" i="41"/>
  <c r="G753" i="41"/>
  <c r="G752" i="41"/>
  <c r="G751" i="41"/>
  <c r="G750" i="41"/>
  <c r="G749" i="41"/>
  <c r="G748" i="41"/>
  <c r="G747" i="41"/>
  <c r="G746" i="41"/>
  <c r="G745" i="41"/>
  <c r="G744" i="41"/>
  <c r="G743" i="41"/>
  <c r="G741" i="41"/>
  <c r="G739" i="41"/>
  <c r="G738" i="41"/>
  <c r="G737" i="41"/>
  <c r="G736" i="41"/>
  <c r="G735" i="41"/>
  <c r="G734" i="41"/>
  <c r="G733" i="41"/>
  <c r="G732" i="41"/>
  <c r="G731" i="41"/>
  <c r="G639" i="41"/>
  <c r="G728" i="41"/>
  <c r="G727" i="41"/>
  <c r="G726" i="41"/>
  <c r="G725" i="41"/>
  <c r="G724" i="41"/>
  <c r="G723" i="41"/>
  <c r="G722" i="41"/>
  <c r="G721" i="41"/>
  <c r="G720" i="41"/>
  <c r="G719" i="41"/>
  <c r="G718" i="41"/>
  <c r="G717" i="41"/>
  <c r="G716" i="41"/>
  <c r="G715" i="41"/>
  <c r="G714" i="41"/>
  <c r="F713" i="41"/>
  <c r="G713" i="41" s="1"/>
  <c r="G712" i="41"/>
  <c r="G711" i="41"/>
  <c r="G710" i="41"/>
  <c r="G709" i="41"/>
  <c r="G708" i="41"/>
  <c r="G705" i="41"/>
  <c r="G704" i="41"/>
  <c r="G703" i="41"/>
  <c r="G702" i="41"/>
  <c r="G701" i="41"/>
  <c r="G700" i="41"/>
  <c r="G699" i="41"/>
  <c r="G698" i="41"/>
  <c r="G697" i="41"/>
  <c r="G696" i="41"/>
  <c r="G695" i="41"/>
  <c r="G694" i="41"/>
  <c r="G693" i="41"/>
  <c r="G692" i="41"/>
  <c r="G691" i="41"/>
  <c r="G690" i="41"/>
  <c r="G689" i="41"/>
  <c r="G688" i="41"/>
  <c r="G687" i="41"/>
  <c r="G686" i="41"/>
  <c r="G685" i="41"/>
  <c r="G684" i="41"/>
  <c r="G683" i="41"/>
  <c r="G680" i="41"/>
  <c r="G679" i="41"/>
  <c r="G678" i="41"/>
  <c r="G677" i="41"/>
  <c r="G676" i="41"/>
  <c r="G675" i="41"/>
  <c r="G674" i="41"/>
  <c r="G673" i="41"/>
  <c r="G672" i="41"/>
  <c r="G671" i="41"/>
  <c r="G670" i="41"/>
  <c r="G638" i="41"/>
  <c r="G669" i="41"/>
  <c r="G668" i="41"/>
  <c r="G667" i="41"/>
  <c r="G666" i="41"/>
  <c r="G665" i="41"/>
  <c r="G664" i="41"/>
  <c r="G663" i="41"/>
  <c r="G661" i="41"/>
  <c r="G660" i="41"/>
  <c r="G659" i="41"/>
  <c r="G658" i="41"/>
  <c r="G657" i="41"/>
  <c r="G656" i="41"/>
  <c r="G655" i="41"/>
  <c r="G654" i="41"/>
  <c r="G653" i="41"/>
  <c r="G652" i="41"/>
  <c r="G651" i="41"/>
  <c r="G650" i="41"/>
  <c r="G649" i="41"/>
  <c r="G648" i="41"/>
  <c r="G637" i="41"/>
  <c r="G636" i="41"/>
  <c r="G635" i="41"/>
  <c r="G634" i="41"/>
  <c r="G633" i="41"/>
  <c r="G632" i="41"/>
  <c r="G631" i="41"/>
  <c r="G630" i="41"/>
  <c r="G629" i="41"/>
  <c r="G628" i="41"/>
  <c r="G627" i="41"/>
  <c r="G626" i="41"/>
  <c r="G625" i="41"/>
  <c r="G624" i="41"/>
  <c r="G623" i="41"/>
  <c r="G622" i="41"/>
  <c r="G621" i="41"/>
  <c r="G620" i="41"/>
  <c r="G619" i="41"/>
  <c r="G618" i="41"/>
  <c r="G617" i="41"/>
  <c r="G616" i="41"/>
  <c r="G615" i="41"/>
  <c r="G614" i="41"/>
  <c r="G613" i="41"/>
  <c r="G612" i="41"/>
  <c r="G611" i="41"/>
  <c r="G610" i="41"/>
  <c r="G609" i="41"/>
  <c r="G608" i="41"/>
  <c r="G607" i="41"/>
  <c r="G606" i="41"/>
  <c r="G605" i="41"/>
  <c r="G604" i="41"/>
  <c r="G603" i="41"/>
  <c r="G602" i="41"/>
  <c r="G601" i="41"/>
  <c r="G600" i="41"/>
  <c r="G598" i="41"/>
  <c r="G597" i="41"/>
  <c r="G596" i="41"/>
  <c r="G595" i="41"/>
  <c r="G594" i="41"/>
  <c r="G593" i="41"/>
  <c r="G592" i="41"/>
  <c r="G591" i="41"/>
  <c r="G590" i="41"/>
  <c r="G589" i="41"/>
  <c r="G588" i="41"/>
  <c r="G587" i="41"/>
  <c r="G586" i="41"/>
  <c r="G585" i="41"/>
  <c r="G584" i="41"/>
  <c r="G583" i="41"/>
  <c r="G582" i="41"/>
  <c r="G581" i="41"/>
  <c r="G580" i="41"/>
  <c r="G579" i="41"/>
  <c r="G578" i="41"/>
  <c r="G577" i="41"/>
  <c r="G576" i="41"/>
  <c r="G575" i="41"/>
  <c r="G574" i="41"/>
  <c r="G573" i="41"/>
  <c r="G572" i="41"/>
  <c r="G571" i="41"/>
  <c r="G569" i="41"/>
  <c r="G568" i="41"/>
  <c r="G567" i="41"/>
  <c r="G566" i="41"/>
  <c r="G565" i="41"/>
  <c r="G564" i="41"/>
  <c r="G563" i="41"/>
  <c r="G562" i="41"/>
  <c r="G560" i="41"/>
  <c r="G559" i="41"/>
  <c r="G558" i="41"/>
  <c r="G557" i="41"/>
  <c r="G556" i="41"/>
  <c r="G554" i="41"/>
  <c r="G553" i="41"/>
  <c r="G552" i="41"/>
  <c r="G551" i="41"/>
  <c r="G550" i="41"/>
  <c r="G549" i="41"/>
  <c r="G547" i="41"/>
  <c r="G546" i="41"/>
  <c r="G545" i="41"/>
  <c r="G544" i="41"/>
  <c r="G543" i="41"/>
  <c r="G542" i="41"/>
  <c r="G541" i="41"/>
  <c r="G540" i="41"/>
  <c r="G539" i="41"/>
  <c r="G538" i="41"/>
  <c r="G537" i="41"/>
  <c r="G536" i="41"/>
  <c r="G533" i="41"/>
  <c r="G532" i="41"/>
  <c r="G531" i="41"/>
  <c r="G529" i="41"/>
  <c r="G528" i="41"/>
  <c r="F527" i="41"/>
  <c r="G527" i="41" s="1"/>
  <c r="G526" i="41"/>
  <c r="G525" i="41"/>
  <c r="G524" i="41"/>
  <c r="G523" i="41"/>
  <c r="G522" i="41"/>
  <c r="G521" i="41"/>
  <c r="G520" i="41"/>
  <c r="G519" i="41"/>
  <c r="G518" i="41"/>
  <c r="G517" i="41"/>
  <c r="G516" i="41"/>
  <c r="G515" i="41"/>
  <c r="G514" i="41"/>
  <c r="G513" i="41"/>
  <c r="F512" i="41"/>
  <c r="G512" i="41" s="1"/>
  <c r="G511" i="41"/>
  <c r="G510" i="41"/>
  <c r="G509" i="41"/>
  <c r="G508" i="41"/>
  <c r="G507" i="41"/>
  <c r="G506" i="41"/>
  <c r="G505" i="41"/>
  <c r="G504" i="41"/>
  <c r="G503" i="41"/>
  <c r="G502" i="41"/>
  <c r="G501" i="41"/>
  <c r="G500" i="41"/>
  <c r="G499" i="41"/>
  <c r="G498" i="41"/>
  <c r="G497" i="41"/>
  <c r="G496" i="41"/>
  <c r="G495" i="41"/>
  <c r="G494" i="41"/>
  <c r="G493" i="41"/>
  <c r="G492" i="41"/>
  <c r="G491" i="41"/>
  <c r="P491" i="41" s="1"/>
  <c r="G490" i="41"/>
  <c r="G483" i="41"/>
  <c r="Q483" i="41" s="1"/>
  <c r="G482" i="41"/>
  <c r="Q482" i="41" s="1"/>
  <c r="G481" i="41"/>
  <c r="P481" i="41" s="1"/>
  <c r="G480" i="41"/>
  <c r="P480" i="41" s="1"/>
  <c r="G479" i="41"/>
  <c r="P479" i="41" s="1"/>
  <c r="G478" i="41"/>
  <c r="P478" i="41" s="1"/>
  <c r="G477" i="41"/>
  <c r="P477" i="41" s="1"/>
  <c r="G476" i="41"/>
  <c r="P476" i="41" s="1"/>
  <c r="G475" i="41"/>
  <c r="O475" i="41" s="1"/>
  <c r="G474" i="41"/>
  <c r="P474" i="41" s="1"/>
  <c r="G473" i="41"/>
  <c r="O473" i="41" s="1"/>
  <c r="G472" i="41"/>
  <c r="O472" i="41" s="1"/>
  <c r="G471" i="41"/>
  <c r="O471" i="41" s="1"/>
  <c r="G470" i="41"/>
  <c r="O470" i="41" s="1"/>
  <c r="G469" i="41"/>
  <c r="O469" i="41" s="1"/>
  <c r="G468" i="41"/>
  <c r="O468" i="41" s="1"/>
  <c r="G466" i="41"/>
  <c r="G465" i="41"/>
  <c r="G464" i="41"/>
  <c r="O464" i="41" s="1"/>
  <c r="G463" i="41"/>
  <c r="O463" i="41" s="1"/>
  <c r="G461" i="41"/>
  <c r="G460" i="41"/>
  <c r="G459" i="41"/>
  <c r="G458" i="41"/>
  <c r="G457" i="41"/>
  <c r="G456" i="41"/>
  <c r="G455" i="41"/>
  <c r="P455" i="41" s="1"/>
  <c r="G454" i="41"/>
  <c r="P454" i="41" s="1"/>
  <c r="G453" i="41"/>
  <c r="P453" i="41" s="1"/>
  <c r="G452" i="41"/>
  <c r="G451" i="41"/>
  <c r="G449" i="41"/>
  <c r="G448" i="41"/>
  <c r="P448" i="41" s="1"/>
  <c r="G447" i="41"/>
  <c r="P447" i="41" s="1"/>
  <c r="G446" i="41"/>
  <c r="P446" i="41" s="1"/>
  <c r="G445" i="41"/>
  <c r="P445" i="41" s="1"/>
  <c r="G444" i="41"/>
  <c r="P444" i="41" s="1"/>
  <c r="G442" i="41"/>
  <c r="O442" i="41" s="1"/>
  <c r="G441" i="41"/>
  <c r="O441" i="41" s="1"/>
  <c r="G439" i="41"/>
  <c r="O439" i="41" s="1"/>
  <c r="G438" i="41"/>
  <c r="O438" i="41" s="1"/>
  <c r="G437" i="41"/>
  <c r="O437" i="41" s="1"/>
  <c r="G435" i="41"/>
  <c r="O435" i="41" s="1"/>
  <c r="G434" i="41"/>
  <c r="O434" i="41" s="1"/>
  <c r="G433" i="41"/>
  <c r="G431" i="41"/>
  <c r="G430" i="41"/>
  <c r="G429" i="41"/>
  <c r="O429" i="41" s="1"/>
  <c r="G428" i="41"/>
  <c r="G427" i="41"/>
  <c r="G426" i="41"/>
  <c r="G425" i="41"/>
  <c r="G424" i="41"/>
  <c r="G423" i="41"/>
  <c r="G422" i="41"/>
  <c r="G421" i="41"/>
  <c r="G420" i="41"/>
  <c r="G418" i="41"/>
  <c r="G417" i="41"/>
  <c r="G416" i="41"/>
  <c r="G415" i="41"/>
  <c r="G414" i="41"/>
  <c r="G413" i="41"/>
  <c r="G412" i="41"/>
  <c r="G411" i="41"/>
  <c r="G410" i="41"/>
  <c r="G409" i="41"/>
  <c r="G408" i="41"/>
  <c r="G407" i="41"/>
  <c r="G406" i="41"/>
  <c r="G405" i="41"/>
  <c r="G404" i="41"/>
  <c r="G403" i="41"/>
  <c r="G402" i="41"/>
  <c r="G401" i="41"/>
  <c r="G400" i="41"/>
  <c r="G399" i="41"/>
  <c r="G398" i="41"/>
  <c r="G397" i="41"/>
  <c r="G396" i="41"/>
  <c r="G395" i="41"/>
  <c r="G394" i="41"/>
  <c r="G393" i="41"/>
  <c r="G391" i="41"/>
  <c r="G390" i="41"/>
  <c r="G389" i="41"/>
  <c r="G388" i="41"/>
  <c r="G387" i="41"/>
  <c r="G385" i="41"/>
  <c r="G384" i="41"/>
  <c r="G383" i="41"/>
  <c r="G382" i="41"/>
  <c r="G381" i="41"/>
  <c r="G380" i="41"/>
  <c r="G379" i="41"/>
  <c r="G378" i="41"/>
  <c r="G377" i="41"/>
  <c r="G376" i="41"/>
  <c r="G375" i="41"/>
  <c r="G374" i="41"/>
  <c r="G373" i="41"/>
  <c r="G372" i="41"/>
  <c r="G371" i="41"/>
  <c r="G370" i="41"/>
  <c r="G369" i="41"/>
  <c r="G368" i="41"/>
  <c r="G367" i="41"/>
  <c r="G366" i="41"/>
  <c r="G365" i="41"/>
  <c r="G364" i="41"/>
  <c r="G363" i="41"/>
  <c r="G362" i="41"/>
  <c r="G361" i="41"/>
  <c r="G360" i="41"/>
  <c r="G354" i="41"/>
  <c r="G353" i="41"/>
  <c r="G352" i="41"/>
  <c r="G351" i="41"/>
  <c r="G350" i="41"/>
  <c r="G349" i="41"/>
  <c r="G348" i="41"/>
  <c r="G347" i="41"/>
  <c r="G346" i="41"/>
  <c r="G345" i="41"/>
  <c r="G344" i="41"/>
  <c r="G343" i="41"/>
  <c r="G342" i="41"/>
  <c r="G341" i="41"/>
  <c r="G340" i="41"/>
  <c r="G339" i="41"/>
  <c r="G337" i="41"/>
  <c r="G336" i="41"/>
  <c r="G335" i="41"/>
  <c r="G334" i="41"/>
  <c r="G333" i="41"/>
  <c r="G332" i="41"/>
  <c r="G331" i="41"/>
  <c r="G330" i="41"/>
  <c r="G329" i="41"/>
  <c r="G328" i="41"/>
  <c r="G327" i="41"/>
  <c r="G325" i="41"/>
  <c r="G324" i="41"/>
  <c r="G323" i="41"/>
  <c r="G322" i="41"/>
  <c r="G321" i="41"/>
  <c r="G320" i="41"/>
  <c r="G319" i="41"/>
  <c r="G318" i="41"/>
  <c r="G317" i="41"/>
  <c r="G316" i="41"/>
  <c r="G315" i="41"/>
  <c r="G314" i="41"/>
  <c r="G313" i="41"/>
  <c r="G312" i="41"/>
  <c r="G311" i="41"/>
  <c r="G310" i="41"/>
  <c r="G308" i="41"/>
  <c r="G307" i="41"/>
  <c r="G306" i="41"/>
  <c r="G305" i="41"/>
  <c r="G304" i="41"/>
  <c r="G303" i="41"/>
  <c r="G302" i="41"/>
  <c r="G301" i="41"/>
  <c r="G300" i="41"/>
  <c r="G299" i="41"/>
  <c r="G298" i="41"/>
  <c r="G297" i="41"/>
  <c r="G296" i="41"/>
  <c r="G295" i="41"/>
  <c r="G294" i="41"/>
  <c r="G293" i="41"/>
  <c r="G292" i="41"/>
  <c r="G291" i="41"/>
  <c r="G290" i="41"/>
  <c r="G289" i="41"/>
  <c r="G288" i="41"/>
  <c r="G287" i="41"/>
  <c r="G286" i="41"/>
  <c r="G285" i="41"/>
  <c r="AC284" i="41"/>
  <c r="Y284" i="41"/>
  <c r="U284" i="41"/>
  <c r="G284" i="41"/>
  <c r="G283" i="41"/>
  <c r="G282" i="41"/>
  <c r="G280" i="41"/>
  <c r="G279" i="41"/>
  <c r="AC278" i="41"/>
  <c r="Y278" i="41"/>
  <c r="U278" i="41"/>
  <c r="Q278" i="41"/>
  <c r="G278" i="41"/>
  <c r="AC277" i="41"/>
  <c r="Y277" i="41"/>
  <c r="U277" i="41"/>
  <c r="Q277" i="41"/>
  <c r="G277" i="41"/>
  <c r="AC276" i="41"/>
  <c r="Y276" i="41"/>
  <c r="U276" i="41"/>
  <c r="Q276" i="41"/>
  <c r="G276" i="41"/>
  <c r="G275" i="41"/>
  <c r="G274" i="41"/>
  <c r="G273" i="41"/>
  <c r="G272" i="41"/>
  <c r="G271" i="41"/>
  <c r="G270" i="41"/>
  <c r="T269" i="41"/>
  <c r="G269" i="41"/>
  <c r="G267" i="41"/>
  <c r="G266" i="41"/>
  <c r="G265" i="41"/>
  <c r="G264" i="41"/>
  <c r="G263" i="41"/>
  <c r="G262" i="41"/>
  <c r="G261" i="41"/>
  <c r="G260" i="41"/>
  <c r="G259" i="41"/>
  <c r="G258" i="41"/>
  <c r="O257" i="41"/>
  <c r="G257" i="41"/>
  <c r="G256" i="41"/>
  <c r="G255" i="41"/>
  <c r="G254" i="41"/>
  <c r="G253" i="41"/>
  <c r="G252" i="41"/>
  <c r="AC251" i="41"/>
  <c r="Y251" i="41"/>
  <c r="U251" i="41"/>
  <c r="Q251" i="41"/>
  <c r="G251" i="41"/>
  <c r="G250" i="41"/>
  <c r="G249" i="41"/>
  <c r="G248" i="41"/>
  <c r="G247" i="41"/>
  <c r="G245" i="41"/>
  <c r="G244" i="41"/>
  <c r="G243" i="41"/>
  <c r="G242" i="41"/>
  <c r="G241" i="41"/>
  <c r="G240" i="41"/>
  <c r="G239" i="41"/>
  <c r="G238" i="41"/>
  <c r="G237" i="41"/>
  <c r="G231" i="41"/>
  <c r="G230" i="41"/>
  <c r="G229" i="41"/>
  <c r="G228" i="41"/>
  <c r="G227" i="41"/>
  <c r="G226" i="41"/>
  <c r="G225" i="41"/>
  <c r="G224" i="41"/>
  <c r="G223" i="41"/>
  <c r="G222" i="41"/>
  <c r="G221" i="41"/>
  <c r="G220" i="41"/>
  <c r="G219" i="41"/>
  <c r="G218" i="41"/>
  <c r="G217" i="41"/>
  <c r="G216" i="41"/>
  <c r="G215" i="41"/>
  <c r="G214" i="41"/>
  <c r="G213" i="41"/>
  <c r="G212" i="41"/>
  <c r="G211" i="41"/>
  <c r="G210" i="41"/>
  <c r="G209" i="41"/>
  <c r="G208" i="41"/>
  <c r="G207" i="41"/>
  <c r="G206" i="41"/>
  <c r="G205" i="41"/>
  <c r="G203" i="41"/>
  <c r="G202" i="41"/>
  <c r="G201" i="41"/>
  <c r="G200" i="41"/>
  <c r="G199" i="41"/>
  <c r="G198" i="41"/>
  <c r="G197" i="41"/>
  <c r="G196" i="41"/>
  <c r="G195" i="41"/>
  <c r="G194" i="41"/>
  <c r="G193" i="41"/>
  <c r="G192" i="41"/>
  <c r="G191" i="41"/>
  <c r="G190" i="41"/>
  <c r="G189" i="41"/>
  <c r="G188" i="41"/>
  <c r="G187" i="41"/>
  <c r="G186" i="41"/>
  <c r="G185" i="41"/>
  <c r="G184" i="41"/>
  <c r="G183" i="41"/>
  <c r="G182" i="41"/>
  <c r="G181" i="41"/>
  <c r="G180" i="41"/>
  <c r="G179" i="41"/>
  <c r="G178" i="41"/>
  <c r="G177" i="41"/>
  <c r="G176" i="41"/>
  <c r="G175" i="41"/>
  <c r="G174" i="41"/>
  <c r="G173" i="41"/>
  <c r="G172" i="41"/>
  <c r="G171" i="41"/>
  <c r="G170" i="41"/>
  <c r="G169" i="41"/>
  <c r="G168" i="41"/>
  <c r="G167" i="41"/>
  <c r="G166" i="41"/>
  <c r="G165" i="41"/>
  <c r="G164" i="41"/>
  <c r="G163" i="41"/>
  <c r="G162" i="41"/>
  <c r="G161" i="41"/>
  <c r="G160" i="41"/>
  <c r="G159" i="41"/>
  <c r="G158" i="41"/>
  <c r="G157" i="41"/>
  <c r="G156" i="41"/>
  <c r="G155" i="41"/>
  <c r="G154" i="41"/>
  <c r="G153" i="41"/>
  <c r="G152" i="41"/>
  <c r="G151" i="41"/>
  <c r="G150" i="41"/>
  <c r="G149" i="41"/>
  <c r="G148" i="41"/>
  <c r="G147" i="41"/>
  <c r="G141" i="41"/>
  <c r="G140" i="41"/>
  <c r="G139" i="41"/>
  <c r="G138" i="41"/>
  <c r="G137" i="41"/>
  <c r="G136" i="41"/>
  <c r="G135" i="41"/>
  <c r="G134" i="41"/>
  <c r="G133" i="41"/>
  <c r="G132" i="41"/>
  <c r="G131" i="41"/>
  <c r="G130" i="41"/>
  <c r="G129" i="41"/>
  <c r="G128" i="41"/>
  <c r="G127" i="41"/>
  <c r="G126" i="41"/>
  <c r="G125" i="41"/>
  <c r="G124" i="41"/>
  <c r="G123" i="41"/>
  <c r="G122" i="41"/>
  <c r="G121" i="41"/>
  <c r="G120" i="41"/>
  <c r="G119" i="41"/>
  <c r="G118" i="41"/>
  <c r="G117" i="41"/>
  <c r="G116" i="41"/>
  <c r="G115" i="41"/>
  <c r="G114" i="41"/>
  <c r="G113" i="41"/>
  <c r="G112" i="41"/>
  <c r="G111" i="41"/>
  <c r="G110" i="41"/>
  <c r="G109" i="41"/>
  <c r="G108" i="41"/>
  <c r="G107" i="41"/>
  <c r="G106" i="41"/>
  <c r="G105" i="41"/>
  <c r="G104" i="41"/>
  <c r="G103" i="41"/>
  <c r="G102" i="41"/>
  <c r="G101" i="41"/>
  <c r="G100" i="41"/>
  <c r="G99" i="41"/>
  <c r="G98" i="41"/>
  <c r="G97" i="41"/>
  <c r="G96" i="41"/>
  <c r="G95" i="41"/>
  <c r="G94" i="41"/>
  <c r="G93" i="41"/>
  <c r="G92" i="41"/>
  <c r="G91" i="41"/>
  <c r="G90" i="41"/>
  <c r="G89" i="41"/>
  <c r="G88" i="41"/>
  <c r="N87" i="41"/>
  <c r="F87" i="41"/>
  <c r="G87" i="41" s="1"/>
  <c r="G86" i="41"/>
  <c r="G85" i="41"/>
  <c r="G84" i="41"/>
  <c r="G83" i="41"/>
  <c r="G82" i="41"/>
  <c r="G81" i="41"/>
  <c r="G80" i="41"/>
  <c r="G79" i="41"/>
  <c r="G78" i="41"/>
  <c r="G77" i="41"/>
  <c r="G76" i="41"/>
  <c r="G75" i="41"/>
  <c r="G74" i="41"/>
  <c r="G73" i="41"/>
  <c r="G72" i="41"/>
  <c r="G67" i="41"/>
  <c r="G66" i="41"/>
  <c r="G65" i="41"/>
  <c r="G64" i="41"/>
  <c r="G63" i="41"/>
  <c r="G62" i="41"/>
  <c r="G61" i="41"/>
  <c r="G60" i="41"/>
  <c r="G59" i="41"/>
  <c r="G58" i="41"/>
  <c r="G57" i="41"/>
  <c r="G56" i="41"/>
  <c r="G55" i="41"/>
  <c r="G54" i="41"/>
  <c r="G52" i="41"/>
  <c r="G51" i="41"/>
  <c r="G50" i="41"/>
  <c r="G49" i="41"/>
  <c r="G48" i="41"/>
  <c r="G47" i="41"/>
  <c r="G46" i="41"/>
  <c r="G45" i="41"/>
  <c r="G44" i="41"/>
  <c r="G43" i="41"/>
  <c r="G42" i="41"/>
  <c r="G41" i="41"/>
  <c r="G34" i="41"/>
  <c r="G23" i="41"/>
  <c r="G12" i="41"/>
  <c r="H31" i="40"/>
  <c r="E31" i="40"/>
  <c r="B25" i="40"/>
  <c r="B22" i="40" s="1"/>
  <c r="H56" i="40"/>
  <c r="G56" i="40"/>
  <c r="F56" i="40"/>
  <c r="E56" i="40"/>
  <c r="D56" i="40"/>
  <c r="C56" i="40"/>
  <c r="B56" i="40"/>
  <c r="C18" i="40" s="1"/>
  <c r="H40" i="40"/>
  <c r="H36" i="40" s="1"/>
  <c r="G40" i="40"/>
  <c r="G36" i="40" s="1"/>
  <c r="F40" i="40"/>
  <c r="E40" i="40"/>
  <c r="E36" i="40" s="1"/>
  <c r="D40" i="40"/>
  <c r="D36" i="40" s="1"/>
  <c r="C40" i="40"/>
  <c r="C36" i="40" s="1"/>
  <c r="B40" i="40"/>
  <c r="F36" i="40"/>
  <c r="B36" i="40"/>
  <c r="B31" i="40"/>
  <c r="H22" i="40"/>
  <c r="G22" i="40"/>
  <c r="F22" i="40"/>
  <c r="C22" i="40"/>
  <c r="H18" i="40"/>
  <c r="B15" i="40"/>
  <c r="G1160" i="41" l="1"/>
  <c r="F18" i="40"/>
  <c r="D18" i="40"/>
  <c r="G18" i="40"/>
  <c r="G1393" i="41"/>
  <c r="G1408" i="41"/>
  <c r="Y282" i="41"/>
  <c r="G1400" i="41"/>
  <c r="G145" i="41"/>
  <c r="AC282" i="41"/>
  <c r="G486" i="41"/>
  <c r="G69" i="41"/>
  <c r="Q282" i="41"/>
  <c r="G1467" i="41"/>
  <c r="G234" i="41"/>
  <c r="G357" i="41"/>
  <c r="G1419" i="41"/>
  <c r="U282" i="41"/>
  <c r="O642" i="41"/>
  <c r="G642" i="41"/>
  <c r="G1434" i="41"/>
  <c r="G778" i="41"/>
  <c r="G1080" i="41" s="1"/>
  <c r="G1445" i="41"/>
  <c r="O1283" i="41"/>
  <c r="H50" i="40"/>
  <c r="G50" i="40"/>
  <c r="F50" i="40"/>
  <c r="C50" i="40"/>
  <c r="E50" i="40"/>
  <c r="D50" i="40"/>
  <c r="B50" i="40"/>
  <c r="B53" i="40" s="1"/>
  <c r="B55" i="40" s="1"/>
  <c r="C17" i="40" s="1"/>
  <c r="C15" i="40" s="1"/>
  <c r="C53" i="40" l="1"/>
  <c r="C55" i="40" s="1"/>
  <c r="D17" i="40" s="1"/>
  <c r="D15" i="40" s="1"/>
  <c r="D53" i="40" s="1"/>
  <c r="D55" i="40" s="1"/>
  <c r="E17" i="40" s="1"/>
  <c r="E15" i="40" s="1"/>
  <c r="E53" i="40" s="1"/>
  <c r="E55" i="40" s="1"/>
  <c r="F17" i="40" s="1"/>
  <c r="F15" i="40" s="1"/>
  <c r="F53" i="40" s="1"/>
  <c r="F55" i="40" s="1"/>
  <c r="G17" i="40" s="1"/>
  <c r="G15" i="40" s="1"/>
  <c r="G53" i="40" s="1"/>
  <c r="G55" i="40" s="1"/>
  <c r="H17" i="40" s="1"/>
  <c r="H15" i="40" s="1"/>
  <c r="H53" i="40" s="1"/>
  <c r="H55" i="40" s="1"/>
  <c r="G644" i="41"/>
  <c r="G1422" i="41"/>
  <c r="G1163" i="41" l="1"/>
  <c r="G1196" i="41" s="1"/>
  <c r="G1285" i="41"/>
  <c r="B443" i="9" l="1"/>
  <c r="D443" i="9"/>
  <c r="C415" i="9" l="1"/>
  <c r="C398" i="9"/>
  <c r="C408" i="9" s="1"/>
  <c r="C418" i="9" l="1"/>
  <c r="C425" i="9" s="1"/>
  <c r="C429" i="9" s="1"/>
  <c r="C431" i="9" s="1"/>
  <c r="C406" i="9"/>
  <c r="D415" i="9" l="1"/>
  <c r="D398" i="9"/>
  <c r="D408" i="9" s="1"/>
  <c r="D418" i="9" l="1"/>
  <c r="D425" i="9" s="1"/>
  <c r="D429" i="9" s="1"/>
  <c r="D431" i="9" s="1"/>
  <c r="D406" i="9"/>
  <c r="AO90" i="27" l="1"/>
  <c r="AO88" i="27" l="1"/>
  <c r="H134" i="27" s="1"/>
  <c r="B17" i="8" l="1"/>
  <c r="B28" i="8" l="1"/>
  <c r="B27" i="8"/>
  <c r="B31" i="8"/>
  <c r="B25" i="8"/>
  <c r="H22" i="8"/>
  <c r="G22" i="8"/>
  <c r="F22" i="8"/>
  <c r="D22" i="8"/>
  <c r="C22" i="8"/>
  <c r="B22" i="8" l="1"/>
  <c r="AP88" i="27"/>
  <c r="AP86" i="27" s="1"/>
  <c r="AP62" i="27"/>
  <c r="AP44" i="27"/>
  <c r="AP30" i="27" l="1"/>
  <c r="H148" i="27"/>
  <c r="H144" i="27" s="1"/>
  <c r="AO144" i="27" s="1"/>
  <c r="AO30" i="27"/>
  <c r="AO86" i="27"/>
  <c r="AO171" i="27"/>
  <c r="AO182" i="27"/>
  <c r="AO191" i="27"/>
  <c r="AO213" i="27"/>
  <c r="AO216" i="27"/>
  <c r="AO200" i="27"/>
  <c r="E30" i="8"/>
  <c r="E22" i="8" s="1"/>
  <c r="B47" i="8"/>
  <c r="H141" i="27" l="1"/>
  <c r="H137" i="27" s="1"/>
  <c r="AO137" i="27" s="1"/>
  <c r="H155" i="27"/>
  <c r="H151" i="27" s="1"/>
  <c r="AO151" i="27" s="1"/>
  <c r="H129" i="27"/>
  <c r="AO129" i="27" s="1"/>
  <c r="H158" i="27" l="1"/>
  <c r="AO158" i="27" s="1"/>
  <c r="H338" i="9" l="1"/>
  <c r="F338" i="9"/>
  <c r="E338" i="9"/>
  <c r="D338" i="9"/>
  <c r="C338" i="9"/>
  <c r="B338" i="9"/>
  <c r="H327" i="9"/>
  <c r="E327" i="9"/>
  <c r="D327" i="9"/>
  <c r="C327" i="9"/>
  <c r="B327" i="9"/>
  <c r="F325" i="9"/>
  <c r="F327" i="9" s="1"/>
  <c r="H321" i="9"/>
  <c r="F321" i="9"/>
  <c r="F331" i="9" s="1"/>
  <c r="E321" i="9"/>
  <c r="D321" i="9"/>
  <c r="C321" i="9"/>
  <c r="B321" i="9"/>
  <c r="D331" i="9" l="1"/>
  <c r="D341" i="9" s="1"/>
  <c r="D348" i="9" s="1"/>
  <c r="D352" i="9" s="1"/>
  <c r="D354" i="9" s="1"/>
  <c r="B331" i="9"/>
  <c r="B329" i="9" s="1"/>
  <c r="C331" i="9"/>
  <c r="C329" i="9" s="1"/>
  <c r="E331" i="9"/>
  <c r="E329" i="9" s="1"/>
  <c r="H331" i="9"/>
  <c r="H341" i="9" s="1"/>
  <c r="H348" i="9" s="1"/>
  <c r="B341" i="9"/>
  <c r="B348" i="9" s="1"/>
  <c r="B352" i="9" s="1"/>
  <c r="B354" i="9" s="1"/>
  <c r="F341" i="9"/>
  <c r="F348" i="9" s="1"/>
  <c r="F352" i="9" s="1"/>
  <c r="F354" i="9" s="1"/>
  <c r="F329" i="9"/>
  <c r="C341" i="9"/>
  <c r="C348" i="9" s="1"/>
  <c r="C352" i="9" s="1"/>
  <c r="C354" i="9" s="1"/>
  <c r="H329" i="9"/>
  <c r="D329" i="9" l="1"/>
  <c r="E341" i="9"/>
  <c r="E348" i="9" s="1"/>
  <c r="E352" i="9" s="1"/>
  <c r="E354" i="9" s="1"/>
  <c r="H350" i="9"/>
  <c r="H352" i="9" s="1"/>
  <c r="H354" i="9" s="1"/>
  <c r="F227" i="9" l="1"/>
  <c r="H296" i="9" l="1"/>
  <c r="F296" i="9"/>
  <c r="E296" i="9"/>
  <c r="D296" i="9"/>
  <c r="C296" i="9"/>
  <c r="B296" i="9"/>
  <c r="J293" i="9"/>
  <c r="J291" i="9"/>
  <c r="J289" i="9"/>
  <c r="J287" i="9"/>
  <c r="J285" i="9"/>
  <c r="J283" i="9"/>
  <c r="J281" i="9"/>
  <c r="H240" i="9"/>
  <c r="H229" i="9"/>
  <c r="H223" i="9"/>
  <c r="H233" i="9" s="1"/>
  <c r="C15" i="19"/>
  <c r="C13" i="19" s="1"/>
  <c r="B15" i="19"/>
  <c r="B13" i="19" s="1"/>
  <c r="P31" i="19"/>
  <c r="O31" i="19"/>
  <c r="N31" i="19"/>
  <c r="M31" i="19"/>
  <c r="L31" i="19"/>
  <c r="P30" i="19"/>
  <c r="P27" i="19" s="1"/>
  <c r="O30" i="19"/>
  <c r="N30" i="19"/>
  <c r="M30" i="19"/>
  <c r="L30" i="19"/>
  <c r="K30" i="19"/>
  <c r="K27" i="19" s="1"/>
  <c r="J30" i="19"/>
  <c r="J27" i="19" s="1"/>
  <c r="I30" i="19"/>
  <c r="I27" i="19" s="1"/>
  <c r="H30" i="19"/>
  <c r="H27" i="19" s="1"/>
  <c r="G30" i="19"/>
  <c r="G27" i="19" s="1"/>
  <c r="F30" i="19"/>
  <c r="F27" i="19" s="1"/>
  <c r="E30" i="19"/>
  <c r="E27" i="19" s="1"/>
  <c r="D30" i="19"/>
  <c r="D27" i="19" s="1"/>
  <c r="C30" i="19"/>
  <c r="B30" i="19"/>
  <c r="B27" i="19" s="1"/>
  <c r="D15" i="19"/>
  <c r="D13" i="19" s="1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L27" i="19"/>
  <c r="C27" i="19"/>
  <c r="P13" i="19"/>
  <c r="O13" i="19"/>
  <c r="N13" i="19"/>
  <c r="M13" i="19"/>
  <c r="L13" i="19"/>
  <c r="K13" i="19"/>
  <c r="J13" i="19"/>
  <c r="I13" i="19"/>
  <c r="H13" i="19"/>
  <c r="G13" i="19"/>
  <c r="G36" i="19" s="1"/>
  <c r="F13" i="19"/>
  <c r="E13" i="19"/>
  <c r="F240" i="9"/>
  <c r="E240" i="9"/>
  <c r="D240" i="9"/>
  <c r="C240" i="9"/>
  <c r="B240" i="9"/>
  <c r="F229" i="9"/>
  <c r="E229" i="9"/>
  <c r="D229" i="9"/>
  <c r="C229" i="9"/>
  <c r="B229" i="9"/>
  <c r="F223" i="9"/>
  <c r="E223" i="9"/>
  <c r="D223" i="9"/>
  <c r="C223" i="9"/>
  <c r="B223" i="9"/>
  <c r="G56" i="8"/>
  <c r="G40" i="8"/>
  <c r="G36" i="8" s="1"/>
  <c r="D218" i="18"/>
  <c r="D211" i="18"/>
  <c r="D210" i="18"/>
  <c r="D194" i="18"/>
  <c r="D177" i="18"/>
  <c r="D164" i="18"/>
  <c r="D160" i="18" s="1"/>
  <c r="C90" i="18"/>
  <c r="C88" i="18" s="1"/>
  <c r="C80" i="18"/>
  <c r="B80" i="18"/>
  <c r="B91" i="18"/>
  <c r="B88" i="18" s="1"/>
  <c r="H14" i="18"/>
  <c r="G14" i="18"/>
  <c r="F14" i="18"/>
  <c r="E14" i="18"/>
  <c r="D14" i="18"/>
  <c r="C22" i="18"/>
  <c r="D22" i="18"/>
  <c r="E22" i="18" s="1"/>
  <c r="F22" i="18" s="1"/>
  <c r="G22" i="18" s="1"/>
  <c r="H22" i="18" s="1"/>
  <c r="B22" i="18"/>
  <c r="H29" i="18"/>
  <c r="G29" i="18"/>
  <c r="F29" i="18"/>
  <c r="E29" i="18"/>
  <c r="D29" i="18"/>
  <c r="H21" i="18"/>
  <c r="G21" i="18"/>
  <c r="F21" i="18"/>
  <c r="E21" i="18"/>
  <c r="D21" i="18"/>
  <c r="C21" i="18"/>
  <c r="B13" i="18"/>
  <c r="B16" i="18" s="1"/>
  <c r="D180" i="9"/>
  <c r="D169" i="9"/>
  <c r="D163" i="9"/>
  <c r="H56" i="8"/>
  <c r="F56" i="8"/>
  <c r="E56" i="8"/>
  <c r="D56" i="8"/>
  <c r="C56" i="8"/>
  <c r="H18" i="8" s="1"/>
  <c r="B56" i="8"/>
  <c r="G18" i="8"/>
  <c r="H40" i="8"/>
  <c r="H36" i="8" s="1"/>
  <c r="F40" i="8"/>
  <c r="F36" i="8" s="1"/>
  <c r="E40" i="8"/>
  <c r="E36" i="8" s="1"/>
  <c r="D40" i="8"/>
  <c r="D36" i="8" s="1"/>
  <c r="C40" i="8"/>
  <c r="C36" i="8" s="1"/>
  <c r="B40" i="8"/>
  <c r="B36" i="8" s="1"/>
  <c r="B50" i="8" s="1"/>
  <c r="D18" i="8"/>
  <c r="F163" i="9"/>
  <c r="F180" i="9"/>
  <c r="E180" i="9"/>
  <c r="C180" i="9"/>
  <c r="B180" i="9"/>
  <c r="F169" i="9"/>
  <c r="E169" i="9"/>
  <c r="C169" i="9"/>
  <c r="B169" i="9"/>
  <c r="E163" i="9"/>
  <c r="C163" i="9"/>
  <c r="B163" i="9"/>
  <c r="AI123" i="9"/>
  <c r="AH123" i="9"/>
  <c r="AG123" i="9"/>
  <c r="AF123" i="9"/>
  <c r="AE123" i="9"/>
  <c r="AD123" i="9"/>
  <c r="AC123" i="9"/>
  <c r="AB123" i="9"/>
  <c r="AA123" i="9"/>
  <c r="Y138" i="9"/>
  <c r="W137" i="9"/>
  <c r="W140" i="9" s="1"/>
  <c r="W134" i="9"/>
  <c r="X128" i="9"/>
  <c r="W128" i="9"/>
  <c r="Y128" i="9" s="1"/>
  <c r="Y90" i="9"/>
  <c r="Y92" i="9" s="1"/>
  <c r="W86" i="9"/>
  <c r="X80" i="9"/>
  <c r="W89" i="9"/>
  <c r="W80" i="9"/>
  <c r="Y80" i="9" s="1"/>
  <c r="N97" i="9"/>
  <c r="U92" i="9"/>
  <c r="S92" i="9"/>
  <c r="Q92" i="9"/>
  <c r="L92" i="9"/>
  <c r="J92" i="9"/>
  <c r="N89" i="9"/>
  <c r="N88" i="9"/>
  <c r="N87" i="9"/>
  <c r="U80" i="9"/>
  <c r="U95" i="9" s="1"/>
  <c r="U102" i="9" s="1"/>
  <c r="S80" i="9"/>
  <c r="S95" i="9" s="1"/>
  <c r="S102" i="9" s="1"/>
  <c r="Q80" i="9"/>
  <c r="Q95" i="9" s="1"/>
  <c r="Q102" i="9" s="1"/>
  <c r="N80" i="9"/>
  <c r="P97" i="9" s="1"/>
  <c r="L80" i="9"/>
  <c r="J80" i="9"/>
  <c r="C112" i="9"/>
  <c r="B112" i="9"/>
  <c r="E112" i="9"/>
  <c r="E99" i="9"/>
  <c r="C99" i="9"/>
  <c r="C115" i="9" s="1"/>
  <c r="C122" i="9" s="1"/>
  <c r="C126" i="9" s="1"/>
  <c r="B99" i="9"/>
  <c r="U41" i="9"/>
  <c r="U29" i="9"/>
  <c r="S41" i="9"/>
  <c r="S29" i="9"/>
  <c r="Q41" i="9"/>
  <c r="Q29" i="9"/>
  <c r="N46" i="9"/>
  <c r="L41" i="9"/>
  <c r="J41" i="9"/>
  <c r="N38" i="9"/>
  <c r="N37" i="9"/>
  <c r="N36" i="9"/>
  <c r="N29" i="9"/>
  <c r="L29" i="9"/>
  <c r="J29" i="9"/>
  <c r="E37" i="9"/>
  <c r="B30" i="9"/>
  <c r="C30" i="9"/>
  <c r="E30" i="9"/>
  <c r="E38" i="9"/>
  <c r="E39" i="9"/>
  <c r="B42" i="9"/>
  <c r="B45" i="9" s="1"/>
  <c r="B52" i="9" s="1"/>
  <c r="B56" i="9" s="1"/>
  <c r="C42" i="9"/>
  <c r="E47" i="9"/>
  <c r="X135" i="9"/>
  <c r="X90" i="9"/>
  <c r="B15" i="8"/>
  <c r="C18" i="8"/>
  <c r="F18" i="8"/>
  <c r="X88" i="9" l="1"/>
  <c r="E173" i="9"/>
  <c r="E183" i="9" s="1"/>
  <c r="E190" i="9" s="1"/>
  <c r="E194" i="9" s="1"/>
  <c r="B54" i="19"/>
  <c r="F54" i="19"/>
  <c r="X87" i="9"/>
  <c r="C54" i="19"/>
  <c r="G54" i="19"/>
  <c r="K54" i="19"/>
  <c r="O54" i="19"/>
  <c r="X97" i="9"/>
  <c r="H54" i="19"/>
  <c r="X89" i="9"/>
  <c r="J36" i="19"/>
  <c r="P36" i="19"/>
  <c r="L36" i="19"/>
  <c r="L54" i="19"/>
  <c r="M27" i="19"/>
  <c r="B233" i="9"/>
  <c r="B231" i="9" s="1"/>
  <c r="F233" i="9"/>
  <c r="F243" i="9" s="1"/>
  <c r="F250" i="9" s="1"/>
  <c r="F254" i="9" s="1"/>
  <c r="F256" i="9" s="1"/>
  <c r="J54" i="19"/>
  <c r="N54" i="19"/>
  <c r="P54" i="19"/>
  <c r="P57" i="19" s="1"/>
  <c r="E54" i="19"/>
  <c r="E36" i="19"/>
  <c r="M36" i="19"/>
  <c r="X137" i="9"/>
  <c r="E42" i="9"/>
  <c r="E45" i="9" s="1"/>
  <c r="E52" i="9" s="1"/>
  <c r="E54" i="9" s="1"/>
  <c r="E56" i="9" s="1"/>
  <c r="N41" i="9"/>
  <c r="N44" i="9" s="1"/>
  <c r="N51" i="9" s="1"/>
  <c r="X86" i="9"/>
  <c r="J57" i="19"/>
  <c r="I54" i="19"/>
  <c r="D36" i="19"/>
  <c r="I36" i="19"/>
  <c r="X145" i="9"/>
  <c r="J44" i="9"/>
  <c r="J51" i="9" s="1"/>
  <c r="J55" i="9" s="1"/>
  <c r="D208" i="18"/>
  <c r="D175" i="18" s="1"/>
  <c r="D221" i="18" s="1"/>
  <c r="E233" i="9"/>
  <c r="E243" i="9" s="1"/>
  <c r="E250" i="9" s="1"/>
  <c r="E254" i="9" s="1"/>
  <c r="E256" i="9" s="1"/>
  <c r="C36" i="19"/>
  <c r="H36" i="19"/>
  <c r="H57" i="19" s="1"/>
  <c r="F36" i="19"/>
  <c r="D54" i="19"/>
  <c r="D57" i="19" s="1"/>
  <c r="N27" i="19"/>
  <c r="N36" i="19" s="1"/>
  <c r="N57" i="19" s="1"/>
  <c r="W92" i="9"/>
  <c r="W95" i="9" s="1"/>
  <c r="X95" i="9" s="1"/>
  <c r="O27" i="19"/>
  <c r="B36" i="19"/>
  <c r="B57" i="19" s="1"/>
  <c r="B60" i="19" s="1"/>
  <c r="C10" i="19" s="1"/>
  <c r="C57" i="19"/>
  <c r="M54" i="19"/>
  <c r="F231" i="9"/>
  <c r="G57" i="19"/>
  <c r="D173" i="9"/>
  <c r="D171" i="9" s="1"/>
  <c r="K36" i="19"/>
  <c r="F57" i="19"/>
  <c r="L57" i="19"/>
  <c r="B20" i="18"/>
  <c r="B19" i="18"/>
  <c r="B115" i="9"/>
  <c r="B122" i="9" s="1"/>
  <c r="B126" i="9" s="1"/>
  <c r="P89" i="9"/>
  <c r="B173" i="9"/>
  <c r="L95" i="9"/>
  <c r="L102" i="9" s="1"/>
  <c r="L106" i="9" s="1"/>
  <c r="F173" i="9"/>
  <c r="F183" i="9" s="1"/>
  <c r="F190" i="9" s="1"/>
  <c r="F192" i="9" s="1"/>
  <c r="F194" i="9" s="1"/>
  <c r="C13" i="18"/>
  <c r="D233" i="9"/>
  <c r="H243" i="9"/>
  <c r="H250" i="9" s="1"/>
  <c r="H252" i="9" s="1"/>
  <c r="H254" i="9" s="1"/>
  <c r="H256" i="9" s="1"/>
  <c r="L44" i="9"/>
  <c r="L51" i="9" s="1"/>
  <c r="L55" i="9" s="1"/>
  <c r="J95" i="9"/>
  <c r="J102" i="9" s="1"/>
  <c r="J106" i="9" s="1"/>
  <c r="C233" i="9"/>
  <c r="C243" i="9" s="1"/>
  <c r="C250" i="9" s="1"/>
  <c r="C254" i="9" s="1"/>
  <c r="C256" i="9" s="1"/>
  <c r="O36" i="19"/>
  <c r="O57" i="19" s="1"/>
  <c r="U44" i="9"/>
  <c r="U51" i="9" s="1"/>
  <c r="U53" i="9" s="1"/>
  <c r="E115" i="9"/>
  <c r="E122" i="9" s="1"/>
  <c r="P88" i="9"/>
  <c r="X134" i="9"/>
  <c r="J296" i="9"/>
  <c r="H50" i="8"/>
  <c r="G50" i="8"/>
  <c r="D50" i="8"/>
  <c r="C50" i="8"/>
  <c r="B53" i="8"/>
  <c r="B55" i="8" s="1"/>
  <c r="C17" i="8" s="1"/>
  <c r="C15" i="8" s="1"/>
  <c r="B171" i="9"/>
  <c r="B183" i="9"/>
  <c r="B190" i="9" s="1"/>
  <c r="B194" i="9" s="1"/>
  <c r="E171" i="9"/>
  <c r="C231" i="9"/>
  <c r="W102" i="9"/>
  <c r="W104" i="9" s="1"/>
  <c r="X104" i="9" s="1"/>
  <c r="Z138" i="9"/>
  <c r="Y134" i="9"/>
  <c r="AA128" i="9"/>
  <c r="Z145" i="9"/>
  <c r="B243" i="9"/>
  <c r="B250" i="9" s="1"/>
  <c r="B254" i="9" s="1"/>
  <c r="B256" i="9" s="1"/>
  <c r="D243" i="9"/>
  <c r="D250" i="9" s="1"/>
  <c r="D254" i="9" s="1"/>
  <c r="D256" i="9" s="1"/>
  <c r="D231" i="9"/>
  <c r="D183" i="9"/>
  <c r="D190" i="9" s="1"/>
  <c r="D194" i="9" s="1"/>
  <c r="W143" i="9"/>
  <c r="X136" i="9"/>
  <c r="X138" i="9"/>
  <c r="C45" i="9"/>
  <c r="C52" i="9" s="1"/>
  <c r="C56" i="9" s="1"/>
  <c r="Q44" i="9"/>
  <c r="Q51" i="9" s="1"/>
  <c r="Q53" i="9" s="1"/>
  <c r="Q55" i="9" s="1"/>
  <c r="S44" i="9"/>
  <c r="S51" i="9" s="1"/>
  <c r="S53" i="9" s="1"/>
  <c r="S55" i="9" s="1"/>
  <c r="N92" i="9"/>
  <c r="N95" i="9" s="1"/>
  <c r="N102" i="9" s="1"/>
  <c r="P102" i="9" s="1"/>
  <c r="C173" i="9"/>
  <c r="C171" i="9" s="1"/>
  <c r="N53" i="9"/>
  <c r="N55" i="9" s="1"/>
  <c r="Q104" i="9"/>
  <c r="Q106" i="9" s="1"/>
  <c r="S104" i="9"/>
  <c r="S106" i="9" s="1"/>
  <c r="Z90" i="9"/>
  <c r="Z86" i="9"/>
  <c r="AA80" i="9"/>
  <c r="Z97" i="9"/>
  <c r="Y95" i="9"/>
  <c r="E124" i="9"/>
  <c r="E126" i="9" s="1"/>
  <c r="U104" i="9"/>
  <c r="U106" i="9" s="1"/>
  <c r="H231" i="9"/>
  <c r="F50" i="8"/>
  <c r="E50" i="8"/>
  <c r="F171" i="9" l="1"/>
  <c r="E231" i="9"/>
  <c r="N104" i="9"/>
  <c r="N106" i="9" s="1"/>
  <c r="P106" i="9" s="1"/>
  <c r="K57" i="19"/>
  <c r="I57" i="19"/>
  <c r="E57" i="19"/>
  <c r="C53" i="8"/>
  <c r="C55" i="8" s="1"/>
  <c r="D17" i="8" s="1"/>
  <c r="D15" i="8" s="1"/>
  <c r="C183" i="9"/>
  <c r="C190" i="9" s="1"/>
  <c r="C194" i="9" s="1"/>
  <c r="X102" i="9"/>
  <c r="M57" i="19"/>
  <c r="C60" i="19"/>
  <c r="D10" i="19" s="1"/>
  <c r="D60" i="19" s="1"/>
  <c r="E10" i="19" s="1"/>
  <c r="E60" i="19" s="1"/>
  <c r="F10" i="19" s="1"/>
  <c r="F60" i="19" s="1"/>
  <c r="G10" i="19" s="1"/>
  <c r="G60" i="19" s="1"/>
  <c r="H10" i="19" s="1"/>
  <c r="H60" i="19" s="1"/>
  <c r="I10" i="19" s="1"/>
  <c r="I60" i="19" s="1"/>
  <c r="J10" i="19" s="1"/>
  <c r="J60" i="19" s="1"/>
  <c r="K10" i="19" s="1"/>
  <c r="K60" i="19" s="1"/>
  <c r="L10" i="19" s="1"/>
  <c r="L60" i="19" s="1"/>
  <c r="M10" i="19" s="1"/>
  <c r="M60" i="19" s="1"/>
  <c r="N10" i="19" s="1"/>
  <c r="N60" i="19" s="1"/>
  <c r="O10" i="19" s="1"/>
  <c r="O60" i="19" s="1"/>
  <c r="P10" i="19" s="1"/>
  <c r="P60" i="19" s="1"/>
  <c r="B24" i="18"/>
  <c r="B27" i="18" s="1"/>
  <c r="B32" i="18" s="1"/>
  <c r="C16" i="18"/>
  <c r="D13" i="18"/>
  <c r="U55" i="9"/>
  <c r="D53" i="8"/>
  <c r="D55" i="8" s="1"/>
  <c r="E17" i="8" s="1"/>
  <c r="E15" i="8" s="1"/>
  <c r="E53" i="8" s="1"/>
  <c r="E55" i="8" s="1"/>
  <c r="F17" i="8" s="1"/>
  <c r="F15" i="8" s="1"/>
  <c r="F53" i="8" s="1"/>
  <c r="F55" i="8" s="1"/>
  <c r="G17" i="8" s="1"/>
  <c r="G15" i="8" s="1"/>
  <c r="G53" i="8" s="1"/>
  <c r="G55" i="8" s="1"/>
  <c r="H17" i="8" s="1"/>
  <c r="H15" i="8" s="1"/>
  <c r="H53" i="8" s="1"/>
  <c r="H55" i="8" s="1"/>
  <c r="AA145" i="9"/>
  <c r="AA138" i="9"/>
  <c r="AA134" i="9"/>
  <c r="AB128" i="9"/>
  <c r="X143" i="9"/>
  <c r="W150" i="9"/>
  <c r="Z134" i="9"/>
  <c r="Y140" i="9"/>
  <c r="Y143" i="9" s="1"/>
  <c r="W106" i="9"/>
  <c r="X106" i="9" s="1"/>
  <c r="Y102" i="9"/>
  <c r="Z95" i="9"/>
  <c r="AA97" i="9"/>
  <c r="AA90" i="9"/>
  <c r="AA86" i="9"/>
  <c r="AB80" i="9"/>
  <c r="B34" i="18" l="1"/>
  <c r="B36" i="18" s="1"/>
  <c r="AA140" i="9"/>
  <c r="AA143" i="9" s="1"/>
  <c r="AA150" i="9" s="1"/>
  <c r="AA152" i="9" s="1"/>
  <c r="AA154" i="9" s="1"/>
  <c r="C19" i="18"/>
  <c r="C20" i="18"/>
  <c r="E13" i="18"/>
  <c r="D16" i="18"/>
  <c r="Y150" i="9"/>
  <c r="Z143" i="9"/>
  <c r="W152" i="9"/>
  <c r="X152" i="9" s="1"/>
  <c r="X150" i="9"/>
  <c r="AB145" i="9"/>
  <c r="AB134" i="9"/>
  <c r="AC128" i="9"/>
  <c r="AB138" i="9"/>
  <c r="AA92" i="9"/>
  <c r="AA95" i="9" s="1"/>
  <c r="AA102" i="9" s="1"/>
  <c r="AB90" i="9"/>
  <c r="AB86" i="9"/>
  <c r="AC80" i="9"/>
  <c r="AB97" i="9"/>
  <c r="Z102" i="9"/>
  <c r="Y104" i="9"/>
  <c r="Z104" i="9" s="1"/>
  <c r="AB140" i="9" l="1"/>
  <c r="AB143" i="9" s="1"/>
  <c r="AB150" i="9" s="1"/>
  <c r="W154" i="9"/>
  <c r="X154" i="9" s="1"/>
  <c r="E16" i="18"/>
  <c r="F13" i="18"/>
  <c r="AA155" i="9"/>
  <c r="AA163" i="9"/>
  <c r="D20" i="18"/>
  <c r="D19" i="18"/>
  <c r="C24" i="18"/>
  <c r="C27" i="18" s="1"/>
  <c r="C32" i="18" s="1"/>
  <c r="AB152" i="9"/>
  <c r="AB154" i="9" s="1"/>
  <c r="Y152" i="9"/>
  <c r="Z152" i="9" s="1"/>
  <c r="Z150" i="9"/>
  <c r="AD128" i="9"/>
  <c r="AC145" i="9"/>
  <c r="AC134" i="9"/>
  <c r="AC138" i="9"/>
  <c r="AB92" i="9"/>
  <c r="AB95" i="9" s="1"/>
  <c r="AB102" i="9" s="1"/>
  <c r="AB104" i="9" s="1"/>
  <c r="AB106" i="9" s="1"/>
  <c r="AA104" i="9"/>
  <c r="AA106" i="9" s="1"/>
  <c r="AC86" i="9"/>
  <c r="AC90" i="9"/>
  <c r="AD80" i="9"/>
  <c r="AC97" i="9"/>
  <c r="Y106" i="9"/>
  <c r="G13" i="18" l="1"/>
  <c r="F16" i="18"/>
  <c r="D24" i="18"/>
  <c r="D27" i="18" s="1"/>
  <c r="D32" i="18" s="1"/>
  <c r="E20" i="18"/>
  <c r="E19" i="18"/>
  <c r="C34" i="18"/>
  <c r="C36" i="18" s="1"/>
  <c r="AB163" i="9"/>
  <c r="AB155" i="9"/>
  <c r="AD145" i="9"/>
  <c r="AD138" i="9"/>
  <c r="AD134" i="9"/>
  <c r="AE128" i="9"/>
  <c r="AC140" i="9"/>
  <c r="AC143" i="9" s="1"/>
  <c r="AC150" i="9" s="1"/>
  <c r="AC152" i="9" s="1"/>
  <c r="AC154" i="9" s="1"/>
  <c r="Y154" i="9"/>
  <c r="AA107" i="9"/>
  <c r="AA161" i="9"/>
  <c r="AB161" i="9"/>
  <c r="AB107" i="9"/>
  <c r="Z106" i="9"/>
  <c r="Y161" i="9"/>
  <c r="Y109" i="9"/>
  <c r="AA109" i="9" s="1"/>
  <c r="AB109" i="9" s="1"/>
  <c r="AE80" i="9"/>
  <c r="AD97" i="9"/>
  <c r="AD90" i="9"/>
  <c r="AD86" i="9"/>
  <c r="AC92" i="9"/>
  <c r="AC95" i="9" s="1"/>
  <c r="AC102" i="9" s="1"/>
  <c r="AD140" i="9" l="1"/>
  <c r="AD143" i="9" s="1"/>
  <c r="AD150" i="9" s="1"/>
  <c r="AD152" i="9" s="1"/>
  <c r="AD154" i="9" s="1"/>
  <c r="E24" i="18"/>
  <c r="E27" i="18" s="1"/>
  <c r="E32" i="18" s="1"/>
  <c r="E34" i="18" s="1"/>
  <c r="E36" i="18" s="1"/>
  <c r="G16" i="18"/>
  <c r="H13" i="18"/>
  <c r="H16" i="18" s="1"/>
  <c r="F19" i="18"/>
  <c r="F20" i="18"/>
  <c r="D34" i="18"/>
  <c r="D36" i="18" s="1"/>
  <c r="AC155" i="9"/>
  <c r="AC163" i="9"/>
  <c r="AD155" i="9"/>
  <c r="AD163" i="9"/>
  <c r="Y163" i="9"/>
  <c r="Z154" i="9"/>
  <c r="Y157" i="9"/>
  <c r="AA157" i="9" s="1"/>
  <c r="AB157" i="9" s="1"/>
  <c r="AC157" i="9" s="1"/>
  <c r="AD157" i="9" s="1"/>
  <c r="AE134" i="9"/>
  <c r="AE138" i="9"/>
  <c r="AE145" i="9"/>
  <c r="AF128" i="9"/>
  <c r="AD92" i="9"/>
  <c r="AD95" i="9" s="1"/>
  <c r="AD102" i="9" s="1"/>
  <c r="AD104" i="9" s="1"/>
  <c r="AD106" i="9" s="1"/>
  <c r="AC104" i="9"/>
  <c r="AC106" i="9" s="1"/>
  <c r="AE97" i="9"/>
  <c r="AE86" i="9"/>
  <c r="AF80" i="9"/>
  <c r="AE90" i="9"/>
  <c r="F24" i="18" l="1"/>
  <c r="F27" i="18" s="1"/>
  <c r="F32" i="18" s="1"/>
  <c r="F34" i="18" s="1"/>
  <c r="G20" i="18"/>
  <c r="G19" i="18"/>
  <c r="H19" i="18"/>
  <c r="H20" i="18"/>
  <c r="AF138" i="9"/>
  <c r="AG128" i="9"/>
  <c r="AF145" i="9"/>
  <c r="AF134" i="9"/>
  <c r="AE140" i="9"/>
  <c r="AE143" i="9" s="1"/>
  <c r="AE150" i="9" s="1"/>
  <c r="AE152" i="9" s="1"/>
  <c r="AE154" i="9" s="1"/>
  <c r="AE157" i="9" s="1"/>
  <c r="AC161" i="9"/>
  <c r="AC107" i="9"/>
  <c r="AC109" i="9"/>
  <c r="AD109" i="9" s="1"/>
  <c r="AD161" i="9"/>
  <c r="AD107" i="9"/>
  <c r="AG80" i="9"/>
  <c r="AF90" i="9"/>
  <c r="AF97" i="9"/>
  <c r="AF86" i="9"/>
  <c r="AE92" i="9"/>
  <c r="AE95" i="9" s="1"/>
  <c r="AE102" i="9" s="1"/>
  <c r="G24" i="18" l="1"/>
  <c r="G27" i="18" s="1"/>
  <c r="G32" i="18" s="1"/>
  <c r="F36" i="18"/>
  <c r="AF92" i="9"/>
  <c r="AF95" i="9" s="1"/>
  <c r="AF102" i="9" s="1"/>
  <c r="AF104" i="9" s="1"/>
  <c r="AF106" i="9" s="1"/>
  <c r="H24" i="18"/>
  <c r="H27" i="18" s="1"/>
  <c r="H32" i="18" s="1"/>
  <c r="G34" i="18"/>
  <c r="G36" i="18" s="1"/>
  <c r="AE155" i="9"/>
  <c r="AE163" i="9"/>
  <c r="AG134" i="9"/>
  <c r="AH128" i="9"/>
  <c r="AG145" i="9"/>
  <c r="AG138" i="9"/>
  <c r="AF140" i="9"/>
  <c r="AF143" i="9" s="1"/>
  <c r="AF150" i="9" s="1"/>
  <c r="AE104" i="9"/>
  <c r="AE106" i="9" s="1"/>
  <c r="AG97" i="9"/>
  <c r="AG86" i="9"/>
  <c r="AH80" i="9"/>
  <c r="AG90" i="9"/>
  <c r="H34" i="18" l="1"/>
  <c r="H36" i="18"/>
  <c r="AF152" i="9"/>
  <c r="AF154" i="9" s="1"/>
  <c r="AH134" i="9"/>
  <c r="AI128" i="9"/>
  <c r="AH138" i="9"/>
  <c r="AH145" i="9"/>
  <c r="AG140" i="9"/>
  <c r="AG143" i="9" s="1"/>
  <c r="AG150" i="9" s="1"/>
  <c r="AG152" i="9" s="1"/>
  <c r="AG154" i="9" s="1"/>
  <c r="AE161" i="9"/>
  <c r="AE107" i="9"/>
  <c r="AE109" i="9"/>
  <c r="AF109" i="9" s="1"/>
  <c r="AF107" i="9"/>
  <c r="AF161" i="9"/>
  <c r="AI80" i="9"/>
  <c r="AH90" i="9"/>
  <c r="AH97" i="9"/>
  <c r="AH86" i="9"/>
  <c r="AG92" i="9"/>
  <c r="AG95" i="9" s="1"/>
  <c r="AG102" i="9" s="1"/>
  <c r="AH92" i="9" l="1"/>
  <c r="AH95" i="9" s="1"/>
  <c r="AH102" i="9" s="1"/>
  <c r="AF163" i="9"/>
  <c r="AF155" i="9"/>
  <c r="AF157" i="9"/>
  <c r="AG157" i="9" s="1"/>
  <c r="AI138" i="9"/>
  <c r="AI134" i="9"/>
  <c r="AI145" i="9"/>
  <c r="AG155" i="9"/>
  <c r="AG163" i="9"/>
  <c r="AH140" i="9"/>
  <c r="AH143" i="9" s="1"/>
  <c r="AH150" i="9" s="1"/>
  <c r="AI90" i="9"/>
  <c r="AI97" i="9"/>
  <c r="AI86" i="9"/>
  <c r="AG104" i="9"/>
  <c r="AG106" i="9" s="1"/>
  <c r="AI92" i="9" l="1"/>
  <c r="AI95" i="9" s="1"/>
  <c r="AH104" i="9"/>
  <c r="AH106" i="9" s="1"/>
  <c r="AI140" i="9"/>
  <c r="AI143" i="9" s="1"/>
  <c r="AI150" i="9" s="1"/>
  <c r="AI152" i="9" s="1"/>
  <c r="AI154" i="9" s="1"/>
  <c r="AH152" i="9"/>
  <c r="AH154" i="9" s="1"/>
  <c r="AI102" i="9"/>
  <c r="AG107" i="9"/>
  <c r="AG161" i="9"/>
  <c r="AG109" i="9"/>
  <c r="AI104" i="9"/>
  <c r="AI106" i="9" s="1"/>
  <c r="AH161" i="9" l="1"/>
  <c r="AH107" i="9"/>
  <c r="AI163" i="9"/>
  <c r="AI155" i="9"/>
  <c r="AH109" i="9"/>
  <c r="AH155" i="9"/>
  <c r="AH163" i="9"/>
  <c r="AH157" i="9"/>
  <c r="AI157" i="9" s="1"/>
  <c r="AI161" i="9"/>
  <c r="AI107" i="9"/>
  <c r="AI109" i="9"/>
  <c r="B151" i="61" l="1"/>
  <c r="B157" i="61" s="1"/>
  <c r="C178" i="61" s="1"/>
  <c r="C185" i="61" s="1"/>
  <c r="D178" i="61" l="1"/>
  <c r="D185" i="61" s="1"/>
  <c r="C7" i="61"/>
  <c r="E178" i="61" l="1"/>
  <c r="E185" i="61" s="1"/>
  <c r="D7" i="61"/>
  <c r="F178" i="61" l="1"/>
  <c r="F185" i="61" s="1"/>
  <c r="E7" i="61"/>
  <c r="G178" i="61" l="1"/>
  <c r="G185" i="61" s="1"/>
  <c r="F7" i="61"/>
  <c r="H178" i="61" l="1"/>
  <c r="H185" i="61" s="1"/>
  <c r="G7" i="61"/>
  <c r="I178" i="61" l="1"/>
  <c r="I185" i="61" s="1"/>
  <c r="H7" i="61"/>
  <c r="J178" i="61" l="1"/>
  <c r="J185" i="61" s="1"/>
  <c r="I7" i="61"/>
  <c r="K178" i="61" l="1"/>
  <c r="K185" i="61" s="1"/>
  <c r="J7" i="61"/>
  <c r="L178" i="61" l="1"/>
  <c r="L185" i="61" s="1"/>
  <c r="K7" i="61"/>
  <c r="M178" i="61" l="1"/>
  <c r="M185" i="61" s="1"/>
  <c r="L7" i="61"/>
  <c r="N178" i="61" l="1"/>
  <c r="N185" i="61" s="1"/>
  <c r="M7" i="61"/>
  <c r="O178" i="61" l="1"/>
  <c r="O185" i="61" s="1"/>
  <c r="N7" i="61"/>
  <c r="P178" i="61" l="1"/>
  <c r="P185" i="61" s="1"/>
  <c r="O7" i="61"/>
  <c r="Q178" i="61" l="1"/>
  <c r="Q185" i="61" s="1"/>
  <c r="P7" i="61"/>
  <c r="R178" i="61" l="1"/>
  <c r="R185" i="61" s="1"/>
  <c r="Q7" i="61"/>
  <c r="S178" i="61" l="1"/>
  <c r="S185" i="61" s="1"/>
  <c r="R7" i="61"/>
  <c r="T178" i="61" l="1"/>
  <c r="T185" i="61" s="1"/>
  <c r="S7" i="61"/>
  <c r="U178" i="61" l="1"/>
  <c r="U185" i="61" s="1"/>
  <c r="T7" i="61"/>
  <c r="V178" i="61" l="1"/>
  <c r="V185" i="61" s="1"/>
  <c r="U7" i="61"/>
  <c r="W178" i="61" l="1"/>
  <c r="W185" i="61" s="1"/>
  <c r="V7" i="61"/>
  <c r="X178" i="61" l="1"/>
  <c r="X185" i="61" s="1"/>
  <c r="W7" i="61"/>
  <c r="Y178" i="61" l="1"/>
  <c r="Y185" i="61" s="1"/>
  <c r="X7" i="61"/>
  <c r="Z178" i="61" l="1"/>
  <c r="Z185" i="61" s="1"/>
  <c r="Y7" i="61"/>
  <c r="AA178" i="61" l="1"/>
  <c r="AA185" i="61" s="1"/>
  <c r="Z7" i="61"/>
  <c r="AB178" i="61" l="1"/>
  <c r="AB185" i="61" s="1"/>
  <c r="AA7" i="61"/>
  <c r="AC178" i="61" l="1"/>
  <c r="AC185" i="61" s="1"/>
  <c r="AB7" i="61"/>
  <c r="AD178" i="61" l="1"/>
  <c r="AD185" i="61" s="1"/>
  <c r="B151" i="66" s="1"/>
  <c r="B157" i="66" s="1"/>
  <c r="C178" i="66" s="1"/>
  <c r="C185" i="66" s="1"/>
  <c r="AC7" i="61"/>
  <c r="D178" i="66" l="1"/>
  <c r="D185" i="66" s="1"/>
  <c r="C7" i="66"/>
  <c r="AE178" i="61"/>
  <c r="AE185" i="61" s="1"/>
  <c r="AD7" i="61"/>
  <c r="E178" i="66" l="1"/>
  <c r="E185" i="66" s="1"/>
  <c r="D7" i="66"/>
  <c r="AF178" i="61"/>
  <c r="AF185" i="61" s="1"/>
  <c r="AE7" i="61"/>
  <c r="F178" i="66" l="1"/>
  <c r="F185" i="66" s="1"/>
  <c r="E7" i="66"/>
  <c r="AG178" i="61"/>
  <c r="AG185" i="61" s="1"/>
  <c r="AG7" i="61" s="1"/>
  <c r="AF7" i="61"/>
  <c r="G178" i="66" l="1"/>
  <c r="G185" i="66" s="1"/>
  <c r="F7" i="66"/>
  <c r="H178" i="66" l="1"/>
  <c r="H185" i="66" s="1"/>
  <c r="G7" i="66"/>
  <c r="I178" i="66" l="1"/>
  <c r="I185" i="66" s="1"/>
  <c r="H7" i="66"/>
  <c r="J178" i="66" l="1"/>
  <c r="J185" i="66" s="1"/>
  <c r="I7" i="66"/>
  <c r="K178" i="66" l="1"/>
  <c r="K185" i="66" s="1"/>
  <c r="J7" i="66"/>
  <c r="L178" i="66" l="1"/>
  <c r="L185" i="66" s="1"/>
  <c r="K7" i="66"/>
  <c r="M178" i="66" l="1"/>
  <c r="M185" i="66" s="1"/>
  <c r="L7" i="66"/>
  <c r="N178" i="66" l="1"/>
  <c r="N185" i="66" s="1"/>
  <c r="M7" i="66"/>
  <c r="O178" i="66" l="1"/>
  <c r="O185" i="66" s="1"/>
  <c r="N7" i="66"/>
  <c r="P178" i="66" l="1"/>
  <c r="P185" i="66" s="1"/>
  <c r="O7" i="66"/>
  <c r="Q178" i="66" l="1"/>
  <c r="Q185" i="66" s="1"/>
  <c r="P7" i="66"/>
  <c r="R178" i="66" l="1"/>
  <c r="R185" i="66" s="1"/>
  <c r="Q7" i="66"/>
  <c r="S178" i="66" l="1"/>
  <c r="S185" i="66" s="1"/>
  <c r="R7" i="66"/>
  <c r="T178" i="66" l="1"/>
  <c r="T185" i="66" s="1"/>
  <c r="S7" i="66"/>
  <c r="U178" i="66" l="1"/>
  <c r="U185" i="66" s="1"/>
  <c r="T7" i="66"/>
  <c r="V178" i="66" l="1"/>
  <c r="V185" i="66" s="1"/>
  <c r="U7" i="66"/>
  <c r="W178" i="66" l="1"/>
  <c r="W185" i="66" s="1"/>
  <c r="V7" i="66"/>
  <c r="X178" i="66" l="1"/>
  <c r="X185" i="66" s="1"/>
  <c r="W7" i="66"/>
  <c r="Y178" i="66" l="1"/>
  <c r="Y185" i="66" s="1"/>
  <c r="X7" i="66"/>
  <c r="Z178" i="66" l="1"/>
  <c r="Z185" i="66" s="1"/>
  <c r="Y7" i="66"/>
  <c r="AA178" i="66" l="1"/>
  <c r="AA185" i="66" s="1"/>
  <c r="Z7" i="66"/>
  <c r="AB178" i="66" l="1"/>
  <c r="AB185" i="66" s="1"/>
  <c r="AA7" i="66"/>
  <c r="AC178" i="66" l="1"/>
  <c r="AC185" i="66" s="1"/>
  <c r="AB7" i="66"/>
  <c r="AD178" i="66" l="1"/>
  <c r="AD185" i="66" s="1"/>
  <c r="AC7" i="66"/>
  <c r="AE178" i="66" l="1"/>
  <c r="AE185" i="66" s="1"/>
  <c r="AD7" i="66"/>
  <c r="AF178" i="66" l="1"/>
  <c r="AF185" i="66" s="1"/>
  <c r="AE7" i="66"/>
  <c r="AG178" i="66" l="1"/>
  <c r="AG185" i="66" s="1"/>
  <c r="AF7" i="66"/>
  <c r="AG7" i="66" l="1"/>
  <c r="B149" i="68"/>
  <c r="B155" i="68" s="1"/>
  <c r="C176" i="68" s="1"/>
  <c r="C183" i="68" s="1"/>
  <c r="D176" i="68" l="1"/>
  <c r="D183" i="68" s="1"/>
  <c r="C7" i="68"/>
  <c r="E176" i="68" l="1"/>
  <c r="E183" i="68" s="1"/>
  <c r="D7" i="68"/>
  <c r="F176" i="68" l="1"/>
  <c r="F183" i="68" s="1"/>
  <c r="E7" i="68"/>
  <c r="G176" i="68" l="1"/>
  <c r="G183" i="68" s="1"/>
  <c r="F7" i="68"/>
  <c r="H176" i="68" l="1"/>
  <c r="H183" i="68" s="1"/>
  <c r="G7" i="68"/>
  <c r="I176" i="68" l="1"/>
  <c r="I183" i="68" s="1"/>
  <c r="H7" i="68"/>
  <c r="J176" i="68" l="1"/>
  <c r="J183" i="68" s="1"/>
  <c r="I7" i="68"/>
  <c r="K176" i="68" l="1"/>
  <c r="K183" i="68" s="1"/>
  <c r="J7" i="68"/>
  <c r="L176" i="68" l="1"/>
  <c r="L183" i="68" s="1"/>
  <c r="K7" i="68"/>
  <c r="M176" i="68" l="1"/>
  <c r="M183" i="68" s="1"/>
  <c r="L7" i="68"/>
  <c r="N176" i="68" l="1"/>
  <c r="N183" i="68" s="1"/>
  <c r="M7" i="68"/>
  <c r="O176" i="68" l="1"/>
  <c r="O183" i="68" s="1"/>
  <c r="N7" i="68"/>
  <c r="P176" i="68" l="1"/>
  <c r="P183" i="68" s="1"/>
  <c r="O7" i="68"/>
  <c r="Q176" i="68" l="1"/>
  <c r="Q183" i="68" s="1"/>
  <c r="P7" i="68"/>
  <c r="R176" i="68" l="1"/>
  <c r="R183" i="68" s="1"/>
  <c r="Q7" i="68"/>
  <c r="S176" i="68" l="1"/>
  <c r="S183" i="68" s="1"/>
  <c r="R7" i="68"/>
  <c r="T176" i="68" l="1"/>
  <c r="T183" i="68" s="1"/>
  <c r="S7" i="68"/>
  <c r="U176" i="68" l="1"/>
  <c r="U183" i="68" s="1"/>
  <c r="T7" i="68"/>
  <c r="V176" i="68" l="1"/>
  <c r="V183" i="68" s="1"/>
  <c r="U7" i="68"/>
  <c r="W176" i="68" l="1"/>
  <c r="W183" i="68" s="1"/>
  <c r="V7" i="68"/>
  <c r="X176" i="68" l="1"/>
  <c r="X183" i="68" s="1"/>
  <c r="W7" i="68"/>
  <c r="Y176" i="68" l="1"/>
  <c r="Y183" i="68" s="1"/>
  <c r="X7" i="68"/>
  <c r="Z176" i="68" l="1"/>
  <c r="Z183" i="68" s="1"/>
  <c r="Y7" i="68"/>
  <c r="AA176" i="68" l="1"/>
  <c r="AA183" i="68" s="1"/>
  <c r="Z7" i="68"/>
  <c r="AB176" i="68" l="1"/>
  <c r="AB183" i="68" s="1"/>
  <c r="AA7" i="68"/>
  <c r="AC176" i="68" l="1"/>
  <c r="AC183" i="68" s="1"/>
  <c r="AB7" i="68"/>
  <c r="AD176" i="68" l="1"/>
  <c r="AD183" i="68" s="1"/>
  <c r="AC7" i="68"/>
  <c r="AE176" i="68" l="1"/>
  <c r="AE183" i="68" s="1"/>
  <c r="AD7" i="68"/>
  <c r="AF176" i="68" l="1"/>
  <c r="AF183" i="68" s="1"/>
  <c r="AE7" i="68"/>
  <c r="AG176" i="68" l="1"/>
  <c r="AG183" i="68" s="1"/>
  <c r="AF7" i="68"/>
  <c r="AG7" i="68" l="1"/>
  <c r="B151" i="71"/>
  <c r="B157" i="71" s="1"/>
  <c r="C178" i="71" s="1"/>
  <c r="C185" i="71" s="1"/>
  <c r="D178" i="71" l="1"/>
  <c r="D185" i="71" s="1"/>
  <c r="C7" i="71"/>
  <c r="E178" i="71" l="1"/>
  <c r="E185" i="71" s="1"/>
  <c r="D7" i="71"/>
  <c r="F178" i="71" l="1"/>
  <c r="F185" i="71" s="1"/>
  <c r="E7" i="71"/>
  <c r="G178" i="71" l="1"/>
  <c r="G185" i="71" s="1"/>
  <c r="F7" i="71"/>
  <c r="H178" i="71" l="1"/>
  <c r="H185" i="71" s="1"/>
  <c r="G7" i="71"/>
  <c r="I178" i="71" l="1"/>
  <c r="I185" i="71" s="1"/>
  <c r="H7" i="71"/>
  <c r="J178" i="71" l="1"/>
  <c r="J185" i="71" s="1"/>
  <c r="I7" i="71"/>
  <c r="K178" i="71" l="1"/>
  <c r="K185" i="71" s="1"/>
  <c r="J7" i="71"/>
  <c r="L178" i="71" l="1"/>
  <c r="L185" i="71" s="1"/>
  <c r="K7" i="71"/>
  <c r="M178" i="71" l="1"/>
  <c r="M185" i="71" s="1"/>
  <c r="L7" i="71"/>
  <c r="N178" i="71" l="1"/>
  <c r="N185" i="71" s="1"/>
  <c r="M7" i="71"/>
  <c r="O178" i="71" l="1"/>
  <c r="O185" i="71" s="1"/>
  <c r="N7" i="71"/>
  <c r="P178" i="71" l="1"/>
  <c r="P185" i="71" s="1"/>
  <c r="O7" i="71"/>
  <c r="Q178" i="71" l="1"/>
  <c r="Q185" i="71" s="1"/>
  <c r="P7" i="71"/>
  <c r="R178" i="71" l="1"/>
  <c r="R185" i="71" s="1"/>
  <c r="Q7" i="71"/>
  <c r="S178" i="71" l="1"/>
  <c r="S185" i="71" s="1"/>
  <c r="R7" i="71"/>
  <c r="T178" i="71" l="1"/>
  <c r="T185" i="71" s="1"/>
  <c r="S7" i="71"/>
  <c r="U178" i="71" l="1"/>
  <c r="U185" i="71" s="1"/>
  <c r="T7" i="71"/>
  <c r="V178" i="71" l="1"/>
  <c r="V185" i="71" s="1"/>
  <c r="U7" i="71"/>
  <c r="W178" i="71" l="1"/>
  <c r="W185" i="71" s="1"/>
  <c r="V7" i="71"/>
  <c r="X178" i="71" l="1"/>
  <c r="X185" i="71" s="1"/>
  <c r="W7" i="71"/>
  <c r="Y178" i="71" l="1"/>
  <c r="Y185" i="71" s="1"/>
  <c r="X7" i="71"/>
  <c r="Z178" i="71" l="1"/>
  <c r="Z185" i="71" s="1"/>
  <c r="Y7" i="71"/>
  <c r="AA178" i="71" l="1"/>
  <c r="AA185" i="71" s="1"/>
  <c r="Z7" i="71"/>
  <c r="AB178" i="71" l="1"/>
  <c r="AB185" i="71" s="1"/>
  <c r="AA7" i="71"/>
  <c r="AC178" i="71" l="1"/>
  <c r="AC185" i="71" s="1"/>
  <c r="AB7" i="71"/>
  <c r="AD178" i="71" l="1"/>
  <c r="AD185" i="71" s="1"/>
  <c r="AC7" i="71"/>
  <c r="AE178" i="71" l="1"/>
  <c r="AE185" i="71" s="1"/>
  <c r="AD7" i="71"/>
  <c r="AF178" i="71" l="1"/>
  <c r="AF185" i="71" s="1"/>
  <c r="AE7" i="71"/>
  <c r="AG178" i="71" l="1"/>
  <c r="AG185" i="71" s="1"/>
  <c r="B151" i="81" s="1"/>
  <c r="B157" i="81" s="1"/>
  <c r="C178" i="81" s="1"/>
  <c r="C185" i="81" s="1"/>
  <c r="AF7" i="71"/>
  <c r="D178" i="81" l="1"/>
  <c r="D185" i="81" s="1"/>
  <c r="C7" i="81"/>
  <c r="AG7" i="71"/>
  <c r="E178" i="81" l="1"/>
  <c r="E185" i="81" s="1"/>
  <c r="D7" i="81"/>
  <c r="F178" i="81" l="1"/>
  <c r="F185" i="81" s="1"/>
  <c r="E7" i="81"/>
  <c r="G178" i="81" l="1"/>
  <c r="G185" i="81" s="1"/>
  <c r="F7" i="81"/>
  <c r="H178" i="81" l="1"/>
  <c r="H185" i="81" s="1"/>
  <c r="G7" i="81"/>
  <c r="I178" i="81" l="1"/>
  <c r="I185" i="81" s="1"/>
  <c r="H7" i="81"/>
  <c r="J178" i="81" l="1"/>
  <c r="J185" i="81" s="1"/>
  <c r="I7" i="81"/>
  <c r="K178" i="81" l="1"/>
  <c r="K185" i="81" s="1"/>
  <c r="J7" i="81"/>
  <c r="L178" i="81" l="1"/>
  <c r="L185" i="81" s="1"/>
  <c r="K7" i="81"/>
  <c r="M178" i="81" l="1"/>
  <c r="M185" i="81" s="1"/>
  <c r="L7" i="81"/>
  <c r="N178" i="81" l="1"/>
  <c r="N185" i="81" s="1"/>
  <c r="M7" i="81"/>
  <c r="O178" i="81" l="1"/>
  <c r="O185" i="81" s="1"/>
  <c r="N7" i="81"/>
  <c r="P178" i="81" l="1"/>
  <c r="P185" i="81" s="1"/>
  <c r="O7" i="81"/>
  <c r="Q178" i="81" l="1"/>
  <c r="Q185" i="81" s="1"/>
  <c r="P7" i="81"/>
  <c r="R178" i="81" l="1"/>
  <c r="R185" i="81" s="1"/>
  <c r="Q7" i="81"/>
  <c r="S178" i="81" l="1"/>
  <c r="S185" i="81" s="1"/>
  <c r="R7" i="81"/>
  <c r="T178" i="81" l="1"/>
  <c r="T185" i="81" s="1"/>
  <c r="S7" i="81"/>
  <c r="U178" i="81" l="1"/>
  <c r="U185" i="81" s="1"/>
  <c r="T7" i="81"/>
  <c r="V178" i="81" l="1"/>
  <c r="V185" i="81" s="1"/>
  <c r="U7" i="81"/>
  <c r="W178" i="81" l="1"/>
  <c r="W185" i="81" s="1"/>
  <c r="V7" i="81"/>
  <c r="X178" i="81" l="1"/>
  <c r="X185" i="81" s="1"/>
  <c r="W7" i="81"/>
  <c r="Y178" i="81" l="1"/>
  <c r="Y185" i="81" s="1"/>
  <c r="X7" i="81"/>
  <c r="Z178" i="81" l="1"/>
  <c r="Z185" i="81" s="1"/>
  <c r="Y7" i="81"/>
  <c r="AA178" i="81" l="1"/>
  <c r="AA185" i="81" s="1"/>
  <c r="Z7" i="81"/>
  <c r="AB178" i="81" l="1"/>
  <c r="AB185" i="81" s="1"/>
  <c r="AA7" i="81"/>
  <c r="AC178" i="81" l="1"/>
  <c r="AC185" i="81" s="1"/>
  <c r="AB7" i="81"/>
  <c r="AD178" i="81" l="1"/>
  <c r="AD185" i="81" s="1"/>
  <c r="AC7" i="81"/>
  <c r="AE178" i="81" l="1"/>
  <c r="AE185" i="81" s="1"/>
  <c r="AD7" i="81"/>
  <c r="AF178" i="81" l="1"/>
  <c r="AF185" i="81" s="1"/>
  <c r="AE7" i="81"/>
  <c r="AG178" i="81" l="1"/>
  <c r="AG185" i="81" s="1"/>
  <c r="AF7" i="81"/>
  <c r="AG7" i="81" l="1"/>
  <c r="B151" i="84"/>
  <c r="B157" i="84" s="1"/>
  <c r="C178" i="84" s="1"/>
  <c r="C185" i="84" s="1"/>
  <c r="D178" i="84" l="1"/>
  <c r="D185" i="84" s="1"/>
  <c r="C7" i="84"/>
  <c r="E178" i="84" l="1"/>
  <c r="E185" i="84" s="1"/>
  <c r="D7" i="84"/>
  <c r="F178" i="84" l="1"/>
  <c r="F185" i="84" s="1"/>
  <c r="E7" i="84"/>
  <c r="G178" i="84" l="1"/>
  <c r="G185" i="84" s="1"/>
  <c r="F7" i="84"/>
  <c r="H178" i="84" l="1"/>
  <c r="H185" i="84" s="1"/>
  <c r="G7" i="84"/>
  <c r="I178" i="84" l="1"/>
  <c r="I185" i="84" s="1"/>
  <c r="H7" i="84"/>
  <c r="J178" i="84" l="1"/>
  <c r="J185" i="84" s="1"/>
  <c r="I7" i="84"/>
  <c r="K178" i="84" l="1"/>
  <c r="K185" i="84" s="1"/>
  <c r="J7" i="84"/>
  <c r="L178" i="84" l="1"/>
  <c r="L185" i="84" s="1"/>
  <c r="K7" i="84"/>
  <c r="M178" i="84" l="1"/>
  <c r="M185" i="84" s="1"/>
  <c r="L7" i="84"/>
  <c r="N178" i="84" l="1"/>
  <c r="N185" i="84" s="1"/>
  <c r="M7" i="84"/>
  <c r="O178" i="84" l="1"/>
  <c r="O185" i="84" s="1"/>
  <c r="N7" i="84"/>
  <c r="P178" i="84" l="1"/>
  <c r="P185" i="84" s="1"/>
  <c r="O7" i="84"/>
  <c r="Q178" i="84" l="1"/>
  <c r="Q185" i="84" s="1"/>
  <c r="P7" i="84"/>
  <c r="R178" i="84" l="1"/>
  <c r="R185" i="84" s="1"/>
  <c r="Q7" i="84"/>
  <c r="S178" i="84" l="1"/>
  <c r="S185" i="84" s="1"/>
  <c r="R7" i="84"/>
  <c r="T178" i="84" l="1"/>
  <c r="T185" i="84" s="1"/>
  <c r="S7" i="84"/>
  <c r="U178" i="84" l="1"/>
  <c r="U185" i="84" s="1"/>
  <c r="T7" i="84"/>
  <c r="V178" i="84" l="1"/>
  <c r="V185" i="84" s="1"/>
  <c r="U7" i="84"/>
  <c r="B216" i="61"/>
  <c r="B222" i="61" s="1"/>
  <c r="C241" i="61" s="1"/>
  <c r="C248" i="61" s="1"/>
  <c r="W178" i="84" l="1"/>
  <c r="W185" i="84" s="1"/>
  <c r="V7" i="84"/>
  <c r="D241" i="61"/>
  <c r="D248" i="61" s="1"/>
  <c r="C8" i="61"/>
  <c r="X178" i="84" l="1"/>
  <c r="X185" i="84" s="1"/>
  <c r="W7" i="84"/>
  <c r="E241" i="61"/>
  <c r="E248" i="61" s="1"/>
  <c r="D8" i="61"/>
  <c r="Y178" i="84" l="1"/>
  <c r="Y185" i="84" s="1"/>
  <c r="X7" i="84"/>
  <c r="F241" i="61"/>
  <c r="F248" i="61" s="1"/>
  <c r="E8" i="61"/>
  <c r="Z178" i="84" l="1"/>
  <c r="Z185" i="84" s="1"/>
  <c r="Y7" i="84"/>
  <c r="G241" i="61"/>
  <c r="G248" i="61" s="1"/>
  <c r="F8" i="61"/>
  <c r="AA178" i="84" l="1"/>
  <c r="AA185" i="84" s="1"/>
  <c r="Z7" i="84"/>
  <c r="H241" i="61"/>
  <c r="H248" i="61" s="1"/>
  <c r="G8" i="61"/>
  <c r="AB178" i="84" l="1"/>
  <c r="AB185" i="84" s="1"/>
  <c r="AA7" i="84"/>
  <c r="I241" i="61"/>
  <c r="I248" i="61" s="1"/>
  <c r="H8" i="61"/>
  <c r="AC178" i="84" l="1"/>
  <c r="AC185" i="84" s="1"/>
  <c r="AB7" i="84"/>
  <c r="I8" i="61"/>
  <c r="J241" i="61"/>
  <c r="J248" i="61" s="1"/>
  <c r="AD178" i="84" l="1"/>
  <c r="AD185" i="84" s="1"/>
  <c r="AC7" i="84"/>
  <c r="K241" i="61"/>
  <c r="K248" i="61" s="1"/>
  <c r="J8" i="61"/>
  <c r="AE178" i="84" l="1"/>
  <c r="AE185" i="84" s="1"/>
  <c r="AD7" i="84"/>
  <c r="L241" i="61"/>
  <c r="L248" i="61" s="1"/>
  <c r="K8" i="61"/>
  <c r="AF178" i="84" l="1"/>
  <c r="AF185" i="84" s="1"/>
  <c r="AE7" i="84"/>
  <c r="M241" i="61"/>
  <c r="M248" i="61" s="1"/>
  <c r="L8" i="61"/>
  <c r="AG178" i="84" l="1"/>
  <c r="AG185" i="84" s="1"/>
  <c r="AF7" i="84"/>
  <c r="N241" i="61"/>
  <c r="N248" i="61" s="1"/>
  <c r="M8" i="61"/>
  <c r="AG7" i="84" l="1"/>
  <c r="B151" i="88"/>
  <c r="B157" i="88" s="1"/>
  <c r="C178" i="88" s="1"/>
  <c r="C185" i="88" s="1"/>
  <c r="O241" i="61"/>
  <c r="O248" i="61" s="1"/>
  <c r="N8" i="61"/>
  <c r="D178" i="88" l="1"/>
  <c r="D185" i="88" s="1"/>
  <c r="C7" i="88"/>
  <c r="P241" i="61"/>
  <c r="P248" i="61" s="1"/>
  <c r="O8" i="61"/>
  <c r="E178" i="88" l="1"/>
  <c r="E185" i="88" s="1"/>
  <c r="D7" i="88"/>
  <c r="Q241" i="61"/>
  <c r="Q248" i="61" s="1"/>
  <c r="P8" i="61"/>
  <c r="F178" i="88" l="1"/>
  <c r="F185" i="88" s="1"/>
  <c r="E7" i="88"/>
  <c r="R241" i="61"/>
  <c r="R248" i="61" s="1"/>
  <c r="Q8" i="61"/>
  <c r="G178" i="88" l="1"/>
  <c r="G185" i="88" s="1"/>
  <c r="F7" i="88"/>
  <c r="S241" i="61"/>
  <c r="S248" i="61" s="1"/>
  <c r="R8" i="61"/>
  <c r="H178" i="88" l="1"/>
  <c r="H185" i="88" s="1"/>
  <c r="G7" i="88"/>
  <c r="T241" i="61"/>
  <c r="T248" i="61" s="1"/>
  <c r="S8" i="61"/>
  <c r="I178" i="88" l="1"/>
  <c r="I185" i="88" s="1"/>
  <c r="H7" i="88"/>
  <c r="U241" i="61"/>
  <c r="U248" i="61" s="1"/>
  <c r="T8" i="61"/>
  <c r="J178" i="88" l="1"/>
  <c r="J185" i="88" s="1"/>
  <c r="I7" i="88"/>
  <c r="V241" i="61"/>
  <c r="V248" i="61" s="1"/>
  <c r="U8" i="61"/>
  <c r="K178" i="88" l="1"/>
  <c r="K185" i="88" s="1"/>
  <c r="J7" i="88"/>
  <c r="W241" i="61"/>
  <c r="W248" i="61" s="1"/>
  <c r="V8" i="61"/>
  <c r="L178" i="88" l="1"/>
  <c r="L185" i="88" s="1"/>
  <c r="K7" i="88"/>
  <c r="X241" i="61"/>
  <c r="X248" i="61" s="1"/>
  <c r="W8" i="61"/>
  <c r="M178" i="88" l="1"/>
  <c r="M185" i="88" s="1"/>
  <c r="L7" i="88"/>
  <c r="Y241" i="61"/>
  <c r="Y248" i="61" s="1"/>
  <c r="X8" i="61"/>
  <c r="N178" i="88" l="1"/>
  <c r="N185" i="88" s="1"/>
  <c r="M7" i="88"/>
  <c r="Z241" i="61"/>
  <c r="Z248" i="61" s="1"/>
  <c r="Y8" i="61"/>
  <c r="O178" i="88" l="1"/>
  <c r="O185" i="88" s="1"/>
  <c r="N7" i="88"/>
  <c r="AA241" i="61"/>
  <c r="AA248" i="61" s="1"/>
  <c r="Z8" i="61"/>
  <c r="P178" i="88" l="1"/>
  <c r="P185" i="88" s="1"/>
  <c r="O7" i="88"/>
  <c r="AB241" i="61"/>
  <c r="AB248" i="61" s="1"/>
  <c r="AA8" i="61"/>
  <c r="Q178" i="88" l="1"/>
  <c r="Q185" i="88" s="1"/>
  <c r="P7" i="88"/>
  <c r="AC241" i="61"/>
  <c r="AC248" i="61" s="1"/>
  <c r="AB8" i="61"/>
  <c r="R178" i="88" l="1"/>
  <c r="R185" i="88" s="1"/>
  <c r="Q7" i="88"/>
  <c r="AD241" i="61"/>
  <c r="AD248" i="61" s="1"/>
  <c r="AC8" i="61"/>
  <c r="S178" i="88" l="1"/>
  <c r="S185" i="88" s="1"/>
  <c r="R7" i="88"/>
  <c r="AE241" i="61"/>
  <c r="AE248" i="61" s="1"/>
  <c r="AD8" i="61"/>
  <c r="T178" i="88" l="1"/>
  <c r="T185" i="88" s="1"/>
  <c r="S7" i="88"/>
  <c r="B216" i="66"/>
  <c r="B222" i="66" s="1"/>
  <c r="C241" i="66" s="1"/>
  <c r="C248" i="66" s="1"/>
  <c r="AF241" i="61"/>
  <c r="AF248" i="61" s="1"/>
  <c r="AE8" i="61"/>
  <c r="U178" i="88" l="1"/>
  <c r="U185" i="88" s="1"/>
  <c r="T7" i="88"/>
  <c r="C8" i="66"/>
  <c r="D241" i="66"/>
  <c r="D248" i="66" s="1"/>
  <c r="D8" i="66" s="1"/>
  <c r="AG241" i="61"/>
  <c r="AG248" i="61" s="1"/>
  <c r="AG8" i="61" s="1"/>
  <c r="AF8" i="61"/>
  <c r="E241" i="66" l="1"/>
  <c r="E248" i="66" s="1"/>
  <c r="F241" i="66" s="1"/>
  <c r="F248" i="66" s="1"/>
  <c r="V178" i="88"/>
  <c r="V185" i="88" s="1"/>
  <c r="U7" i="88"/>
  <c r="E8" i="66"/>
  <c r="B280" i="61"/>
  <c r="B286" i="61" s="1"/>
  <c r="C305" i="61" s="1"/>
  <c r="C312" i="61" s="1"/>
  <c r="W178" i="88" l="1"/>
  <c r="W185" i="88" s="1"/>
  <c r="V7" i="88"/>
  <c r="G241" i="66"/>
  <c r="G248" i="66" s="1"/>
  <c r="F8" i="66"/>
  <c r="D305" i="61"/>
  <c r="D312" i="61" s="1"/>
  <c r="C9" i="61"/>
  <c r="X178" i="88" l="1"/>
  <c r="X185" i="88" s="1"/>
  <c r="W7" i="88"/>
  <c r="H241" i="66"/>
  <c r="H248" i="66" s="1"/>
  <c r="G8" i="66"/>
  <c r="E305" i="61"/>
  <c r="E312" i="61" s="1"/>
  <c r="D9" i="61"/>
  <c r="Y178" i="88" l="1"/>
  <c r="Y185" i="88" s="1"/>
  <c r="X7" i="88"/>
  <c r="I241" i="66"/>
  <c r="I248" i="66" s="1"/>
  <c r="H8" i="66"/>
  <c r="F305" i="61"/>
  <c r="F312" i="61" s="1"/>
  <c r="E9" i="61"/>
  <c r="Z178" i="88" l="1"/>
  <c r="Z185" i="88" s="1"/>
  <c r="Y7" i="88"/>
  <c r="J241" i="66"/>
  <c r="J248" i="66" s="1"/>
  <c r="I8" i="66"/>
  <c r="G305" i="61"/>
  <c r="G312" i="61" s="1"/>
  <c r="F9" i="61"/>
  <c r="AA178" i="88" l="1"/>
  <c r="AA185" i="88" s="1"/>
  <c r="Z7" i="88"/>
  <c r="K241" i="66"/>
  <c r="K248" i="66" s="1"/>
  <c r="J8" i="66"/>
  <c r="H305" i="61"/>
  <c r="H312" i="61" s="1"/>
  <c r="G9" i="61"/>
  <c r="AB178" i="88" l="1"/>
  <c r="AB185" i="88" s="1"/>
  <c r="AA7" i="88"/>
  <c r="L241" i="66"/>
  <c r="L248" i="66" s="1"/>
  <c r="K8" i="66"/>
  <c r="I305" i="61"/>
  <c r="I312" i="61" s="1"/>
  <c r="H9" i="61"/>
  <c r="AC178" i="88" l="1"/>
  <c r="AC185" i="88" s="1"/>
  <c r="AB7" i="88"/>
  <c r="M241" i="66"/>
  <c r="M248" i="66" s="1"/>
  <c r="L8" i="66"/>
  <c r="J305" i="61"/>
  <c r="J312" i="61" s="1"/>
  <c r="I9" i="61"/>
  <c r="AD178" i="88" l="1"/>
  <c r="AD185" i="88" s="1"/>
  <c r="AC7" i="88"/>
  <c r="N241" i="66"/>
  <c r="N248" i="66" s="1"/>
  <c r="M8" i="66"/>
  <c r="K305" i="61"/>
  <c r="K312" i="61" s="1"/>
  <c r="J9" i="61"/>
  <c r="AE178" i="88" l="1"/>
  <c r="AE185" i="88" s="1"/>
  <c r="AD7" i="88"/>
  <c r="O241" i="66"/>
  <c r="O248" i="66" s="1"/>
  <c r="N8" i="66"/>
  <c r="L305" i="61"/>
  <c r="L312" i="61" s="1"/>
  <c r="K9" i="61"/>
  <c r="AF178" i="88" l="1"/>
  <c r="AF185" i="88" s="1"/>
  <c r="AE7" i="88"/>
  <c r="P241" i="66"/>
  <c r="P248" i="66" s="1"/>
  <c r="O8" i="66"/>
  <c r="M305" i="61"/>
  <c r="M312" i="61" s="1"/>
  <c r="L9" i="61"/>
  <c r="AG178" i="88" l="1"/>
  <c r="AG185" i="88" s="1"/>
  <c r="AF7" i="88"/>
  <c r="Q241" i="66"/>
  <c r="Q248" i="66" s="1"/>
  <c r="P8" i="66"/>
  <c r="N305" i="61"/>
  <c r="N312" i="61" s="1"/>
  <c r="M9" i="61"/>
  <c r="AG7" i="88" l="1"/>
  <c r="B150" i="90"/>
  <c r="B156" i="90" s="1"/>
  <c r="C177" i="90" s="1"/>
  <c r="C184" i="90" s="1"/>
  <c r="R241" i="66"/>
  <c r="R248" i="66" s="1"/>
  <c r="Q8" i="66"/>
  <c r="N9" i="61"/>
  <c r="O305" i="61"/>
  <c r="O312" i="61" s="1"/>
  <c r="D177" i="90" l="1"/>
  <c r="D184" i="90" s="1"/>
  <c r="C7" i="90"/>
  <c r="S241" i="66"/>
  <c r="S248" i="66" s="1"/>
  <c r="R8" i="66"/>
  <c r="P305" i="61"/>
  <c r="P312" i="61" s="1"/>
  <c r="O9" i="61"/>
  <c r="E177" i="90" l="1"/>
  <c r="E184" i="90" s="1"/>
  <c r="D7" i="90"/>
  <c r="T241" i="66"/>
  <c r="T248" i="66" s="1"/>
  <c r="S8" i="66"/>
  <c r="Q305" i="61"/>
  <c r="Q312" i="61" s="1"/>
  <c r="P9" i="61"/>
  <c r="F177" i="90" l="1"/>
  <c r="F184" i="90" s="1"/>
  <c r="E7" i="90"/>
  <c r="U241" i="66"/>
  <c r="U248" i="66" s="1"/>
  <c r="T8" i="66"/>
  <c r="R305" i="61"/>
  <c r="R312" i="61" s="1"/>
  <c r="Q9" i="61"/>
  <c r="G177" i="90" l="1"/>
  <c r="G184" i="90" s="1"/>
  <c r="F7" i="90"/>
  <c r="V241" i="66"/>
  <c r="V248" i="66" s="1"/>
  <c r="U8" i="66"/>
  <c r="S305" i="61"/>
  <c r="S312" i="61" s="1"/>
  <c r="R9" i="61"/>
  <c r="H177" i="90" l="1"/>
  <c r="H184" i="90" s="1"/>
  <c r="G7" i="90"/>
  <c r="W241" i="66"/>
  <c r="W248" i="66" s="1"/>
  <c r="V8" i="66"/>
  <c r="T305" i="61"/>
  <c r="T312" i="61" s="1"/>
  <c r="S9" i="61"/>
  <c r="I177" i="90" l="1"/>
  <c r="I184" i="90" s="1"/>
  <c r="H7" i="90"/>
  <c r="X241" i="66"/>
  <c r="X248" i="66" s="1"/>
  <c r="W8" i="66"/>
  <c r="U305" i="61"/>
  <c r="U312" i="61" s="1"/>
  <c r="T9" i="61"/>
  <c r="J177" i="90" l="1"/>
  <c r="J184" i="90" s="1"/>
  <c r="I7" i="90"/>
  <c r="Y241" i="66"/>
  <c r="Y248" i="66" s="1"/>
  <c r="X8" i="66"/>
  <c r="V305" i="61"/>
  <c r="V312" i="61" s="1"/>
  <c r="U9" i="61"/>
  <c r="K177" i="90" l="1"/>
  <c r="K184" i="90" s="1"/>
  <c r="J7" i="90"/>
  <c r="Z241" i="66"/>
  <c r="Z248" i="66" s="1"/>
  <c r="Y8" i="66"/>
  <c r="W305" i="61"/>
  <c r="W312" i="61" s="1"/>
  <c r="V9" i="61"/>
  <c r="L177" i="90" l="1"/>
  <c r="L184" i="90" s="1"/>
  <c r="K7" i="90"/>
  <c r="AA241" i="66"/>
  <c r="AA248" i="66" s="1"/>
  <c r="Z8" i="66"/>
  <c r="X305" i="61"/>
  <c r="X312" i="61" s="1"/>
  <c r="W9" i="61"/>
  <c r="M177" i="90" l="1"/>
  <c r="M184" i="90" s="1"/>
  <c r="L7" i="90"/>
  <c r="AB241" i="66"/>
  <c r="AB248" i="66" s="1"/>
  <c r="AA8" i="66"/>
  <c r="Y305" i="61"/>
  <c r="Y312" i="61" s="1"/>
  <c r="X9" i="61"/>
  <c r="N177" i="90" l="1"/>
  <c r="N184" i="90" s="1"/>
  <c r="M7" i="90"/>
  <c r="AC241" i="66"/>
  <c r="AC248" i="66" s="1"/>
  <c r="AB8" i="66"/>
  <c r="Z305" i="61"/>
  <c r="Z312" i="61" s="1"/>
  <c r="Y9" i="61"/>
  <c r="O177" i="90" l="1"/>
  <c r="O184" i="90" s="1"/>
  <c r="N7" i="90"/>
  <c r="AD241" i="66"/>
  <c r="AD248" i="66" s="1"/>
  <c r="AC8" i="66"/>
  <c r="AA305" i="61"/>
  <c r="AA312" i="61" s="1"/>
  <c r="Z9" i="61"/>
  <c r="P177" i="90" l="1"/>
  <c r="P184" i="90" s="1"/>
  <c r="O7" i="90"/>
  <c r="AE241" i="66"/>
  <c r="AE248" i="66" s="1"/>
  <c r="AD8" i="66"/>
  <c r="AB305" i="61"/>
  <c r="AB312" i="61" s="1"/>
  <c r="AA9" i="61"/>
  <c r="Q177" i="90" l="1"/>
  <c r="Q184" i="90" s="1"/>
  <c r="P7" i="90"/>
  <c r="AF241" i="66"/>
  <c r="AF248" i="66" s="1"/>
  <c r="AE8" i="66"/>
  <c r="AC305" i="61"/>
  <c r="AC312" i="61" s="1"/>
  <c r="AB9" i="61"/>
  <c r="R177" i="90" l="1"/>
  <c r="R184" i="90" s="1"/>
  <c r="Q7" i="90"/>
  <c r="AG241" i="66"/>
  <c r="AG248" i="66" s="1"/>
  <c r="AF8" i="66"/>
  <c r="AD305" i="61"/>
  <c r="AD312" i="61" s="1"/>
  <c r="B280" i="66" s="1"/>
  <c r="B286" i="66" s="1"/>
  <c r="C305" i="66" s="1"/>
  <c r="C312" i="66" s="1"/>
  <c r="AC9" i="61"/>
  <c r="S177" i="90" l="1"/>
  <c r="S184" i="90" s="1"/>
  <c r="R7" i="90"/>
  <c r="AG8" i="66"/>
  <c r="B214" i="68"/>
  <c r="B220" i="68" s="1"/>
  <c r="C239" i="68" s="1"/>
  <c r="C246" i="68" s="1"/>
  <c r="D305" i="66"/>
  <c r="D312" i="66" s="1"/>
  <c r="C9" i="66"/>
  <c r="AE305" i="61"/>
  <c r="AE312" i="61" s="1"/>
  <c r="AD9" i="61"/>
  <c r="T177" i="90" l="1"/>
  <c r="T184" i="90" s="1"/>
  <c r="S7" i="90"/>
  <c r="D239" i="68"/>
  <c r="D246" i="68" s="1"/>
  <c r="C8" i="68"/>
  <c r="D9" i="66"/>
  <c r="E305" i="66"/>
  <c r="E312" i="66" s="1"/>
  <c r="AF305" i="61"/>
  <c r="AF312" i="61" s="1"/>
  <c r="AE9" i="61"/>
  <c r="U177" i="90" l="1"/>
  <c r="U184" i="90" s="1"/>
  <c r="T7" i="90"/>
  <c r="E239" i="68"/>
  <c r="E246" i="68" s="1"/>
  <c r="D8" i="68"/>
  <c r="F305" i="66"/>
  <c r="F312" i="66" s="1"/>
  <c r="E9" i="66"/>
  <c r="AG305" i="61"/>
  <c r="AG312" i="61" s="1"/>
  <c r="AG9" i="61" s="1"/>
  <c r="AF9" i="61"/>
  <c r="V177" i="90" l="1"/>
  <c r="V184" i="90" s="1"/>
  <c r="U7" i="90"/>
  <c r="F239" i="68"/>
  <c r="F246" i="68" s="1"/>
  <c r="E8" i="68"/>
  <c r="G305" i="66"/>
  <c r="G312" i="66" s="1"/>
  <c r="F9" i="66"/>
  <c r="W177" i="90" l="1"/>
  <c r="W184" i="90" s="1"/>
  <c r="V7" i="90"/>
  <c r="G239" i="68"/>
  <c r="G246" i="68" s="1"/>
  <c r="F8" i="68"/>
  <c r="H305" i="66"/>
  <c r="H312" i="66" s="1"/>
  <c r="G9" i="66"/>
  <c r="B34" i="61"/>
  <c r="B40" i="61" s="1"/>
  <c r="C63" i="61" s="1"/>
  <c r="C70" i="61" s="1"/>
  <c r="X177" i="90" l="1"/>
  <c r="X184" i="90" s="1"/>
  <c r="W7" i="90"/>
  <c r="H239" i="68"/>
  <c r="H246" i="68" s="1"/>
  <c r="G8" i="68"/>
  <c r="I305" i="66"/>
  <c r="I312" i="66" s="1"/>
  <c r="H9" i="66"/>
  <c r="D63" i="61"/>
  <c r="D70" i="61" s="1"/>
  <c r="C6" i="61"/>
  <c r="C5" i="61" s="1"/>
  <c r="Y177" i="90" l="1"/>
  <c r="Y184" i="90" s="1"/>
  <c r="X7" i="90"/>
  <c r="I239" i="68"/>
  <c r="I246" i="68" s="1"/>
  <c r="H8" i="68"/>
  <c r="J305" i="66"/>
  <c r="J312" i="66" s="1"/>
  <c r="I9" i="66"/>
  <c r="E63" i="61"/>
  <c r="E70" i="61" s="1"/>
  <c r="D6" i="61"/>
  <c r="D5" i="61" s="1"/>
  <c r="Z177" i="90" l="1"/>
  <c r="Z184" i="90" s="1"/>
  <c r="Y7" i="90"/>
  <c r="J239" i="68"/>
  <c r="J246" i="68" s="1"/>
  <c r="I8" i="68"/>
  <c r="K305" i="66"/>
  <c r="K312" i="66" s="1"/>
  <c r="J9" i="66"/>
  <c r="F63" i="61"/>
  <c r="F70" i="61" s="1"/>
  <c r="E6" i="61"/>
  <c r="E5" i="61" s="1"/>
  <c r="AA177" i="90" l="1"/>
  <c r="AA184" i="90" s="1"/>
  <c r="Z7" i="90"/>
  <c r="K239" i="68"/>
  <c r="K246" i="68" s="1"/>
  <c r="J8" i="68"/>
  <c r="L305" i="66"/>
  <c r="L312" i="66" s="1"/>
  <c r="K9" i="66"/>
  <c r="G63" i="61"/>
  <c r="G70" i="61" s="1"/>
  <c r="F6" i="61"/>
  <c r="F5" i="61" s="1"/>
  <c r="AB177" i="90" l="1"/>
  <c r="AB184" i="90" s="1"/>
  <c r="AA7" i="90"/>
  <c r="L239" i="68"/>
  <c r="L246" i="68" s="1"/>
  <c r="K8" i="68"/>
  <c r="M305" i="66"/>
  <c r="M312" i="66" s="1"/>
  <c r="L9" i="66"/>
  <c r="H63" i="61"/>
  <c r="H70" i="61" s="1"/>
  <c r="G6" i="61"/>
  <c r="G5" i="61" s="1"/>
  <c r="AC177" i="90" l="1"/>
  <c r="AC184" i="90" s="1"/>
  <c r="AB7" i="90"/>
  <c r="M239" i="68"/>
  <c r="M246" i="68" s="1"/>
  <c r="L8" i="68"/>
  <c r="N305" i="66"/>
  <c r="N312" i="66" s="1"/>
  <c r="M9" i="66"/>
  <c r="I63" i="61"/>
  <c r="I70" i="61" s="1"/>
  <c r="H6" i="61"/>
  <c r="H5" i="61" s="1"/>
  <c r="AD177" i="90" l="1"/>
  <c r="AD184" i="90" s="1"/>
  <c r="AC7" i="90"/>
  <c r="N239" i="68"/>
  <c r="N246" i="68" s="1"/>
  <c r="M8" i="68"/>
  <c r="O305" i="66"/>
  <c r="O312" i="66" s="1"/>
  <c r="N9" i="66"/>
  <c r="J63" i="61"/>
  <c r="J70" i="61" s="1"/>
  <c r="I6" i="61"/>
  <c r="I5" i="61" s="1"/>
  <c r="AE177" i="90" l="1"/>
  <c r="AE184" i="90" s="1"/>
  <c r="AD7" i="90"/>
  <c r="O239" i="68"/>
  <c r="O246" i="68" s="1"/>
  <c r="N8" i="68"/>
  <c r="O9" i="66"/>
  <c r="P305" i="66"/>
  <c r="P312" i="66" s="1"/>
  <c r="K63" i="61"/>
  <c r="K70" i="61" s="1"/>
  <c r="J6" i="61"/>
  <c r="J5" i="61" s="1"/>
  <c r="AF177" i="90" l="1"/>
  <c r="AF184" i="90" s="1"/>
  <c r="AE7" i="90"/>
  <c r="P239" i="68"/>
  <c r="P246" i="68" s="1"/>
  <c r="O8" i="68"/>
  <c r="Q305" i="66"/>
  <c r="Q312" i="66" s="1"/>
  <c r="P9" i="66"/>
  <c r="L63" i="61"/>
  <c r="L70" i="61" s="1"/>
  <c r="K6" i="61"/>
  <c r="K5" i="61" s="1"/>
  <c r="AG177" i="90" l="1"/>
  <c r="AG184" i="90" s="1"/>
  <c r="AF7" i="90"/>
  <c r="P8" i="68"/>
  <c r="Q239" i="68"/>
  <c r="Q246" i="68" s="1"/>
  <c r="R305" i="66"/>
  <c r="R312" i="66" s="1"/>
  <c r="Q9" i="66"/>
  <c r="M63" i="61"/>
  <c r="M70" i="61" s="1"/>
  <c r="L6" i="61"/>
  <c r="L5" i="61" s="1"/>
  <c r="AG7" i="90" l="1"/>
  <c r="B150" i="93"/>
  <c r="B156" i="93" s="1"/>
  <c r="C177" i="93" s="1"/>
  <c r="C184" i="93" s="1"/>
  <c r="R239" i="68"/>
  <c r="R246" i="68" s="1"/>
  <c r="Q8" i="68"/>
  <c r="S305" i="66"/>
  <c r="S312" i="66" s="1"/>
  <c r="R9" i="66"/>
  <c r="N63" i="61"/>
  <c r="N70" i="61" s="1"/>
  <c r="M6" i="61"/>
  <c r="M5" i="61" s="1"/>
  <c r="D177" i="93" l="1"/>
  <c r="D184" i="93" s="1"/>
  <c r="C7" i="93"/>
  <c r="S239" i="68"/>
  <c r="S246" i="68" s="1"/>
  <c r="R8" i="68"/>
  <c r="T305" i="66"/>
  <c r="T312" i="66" s="1"/>
  <c r="S9" i="66"/>
  <c r="O63" i="61"/>
  <c r="O70" i="61" s="1"/>
  <c r="N6" i="61"/>
  <c r="N5" i="61" s="1"/>
  <c r="E177" i="93" l="1"/>
  <c r="E184" i="93" s="1"/>
  <c r="D7" i="93"/>
  <c r="S8" i="68"/>
  <c r="T239" i="68"/>
  <c r="T246" i="68" s="1"/>
  <c r="U305" i="66"/>
  <c r="U312" i="66" s="1"/>
  <c r="T9" i="66"/>
  <c r="P63" i="61"/>
  <c r="P70" i="61" s="1"/>
  <c r="O6" i="61"/>
  <c r="O5" i="61" s="1"/>
  <c r="E7" i="93" l="1"/>
  <c r="F177" i="93"/>
  <c r="F184" i="93" s="1"/>
  <c r="U239" i="68"/>
  <c r="U246" i="68" s="1"/>
  <c r="T8" i="68"/>
  <c r="V305" i="66"/>
  <c r="V312" i="66" s="1"/>
  <c r="U9" i="66"/>
  <c r="Q63" i="61"/>
  <c r="Q70" i="61" s="1"/>
  <c r="P6" i="61"/>
  <c r="P5" i="61" s="1"/>
  <c r="G177" i="93" l="1"/>
  <c r="G184" i="93" s="1"/>
  <c r="F7" i="93"/>
  <c r="V239" i="68"/>
  <c r="V246" i="68" s="1"/>
  <c r="U8" i="68"/>
  <c r="W305" i="66"/>
  <c r="W312" i="66" s="1"/>
  <c r="V9" i="66"/>
  <c r="R63" i="61"/>
  <c r="R70" i="61" s="1"/>
  <c r="Q6" i="61"/>
  <c r="Q5" i="61" s="1"/>
  <c r="H177" i="93" l="1"/>
  <c r="H184" i="93" s="1"/>
  <c r="G7" i="93"/>
  <c r="W239" i="68"/>
  <c r="W246" i="68" s="1"/>
  <c r="V8" i="68"/>
  <c r="X305" i="66"/>
  <c r="X312" i="66" s="1"/>
  <c r="W9" i="66"/>
  <c r="S63" i="61"/>
  <c r="S70" i="61" s="1"/>
  <c r="R6" i="61"/>
  <c r="R5" i="61" s="1"/>
  <c r="I177" i="93" l="1"/>
  <c r="I184" i="93" s="1"/>
  <c r="H7" i="93"/>
  <c r="X239" i="68"/>
  <c r="X246" i="68" s="1"/>
  <c r="W8" i="68"/>
  <c r="Y305" i="66"/>
  <c r="Y312" i="66" s="1"/>
  <c r="X9" i="66"/>
  <c r="T63" i="61"/>
  <c r="T70" i="61" s="1"/>
  <c r="S6" i="61"/>
  <c r="S5" i="61" s="1"/>
  <c r="J177" i="93" l="1"/>
  <c r="J184" i="93" s="1"/>
  <c r="I7" i="93"/>
  <c r="Y239" i="68"/>
  <c r="Y246" i="68" s="1"/>
  <c r="X8" i="68"/>
  <c r="Z305" i="66"/>
  <c r="Z312" i="66" s="1"/>
  <c r="Y9" i="66"/>
  <c r="U63" i="61"/>
  <c r="U70" i="61" s="1"/>
  <c r="T6" i="61"/>
  <c r="T5" i="61" s="1"/>
  <c r="J7" i="93" l="1"/>
  <c r="K177" i="93"/>
  <c r="K184" i="93" s="1"/>
  <c r="Z239" i="68"/>
  <c r="Z246" i="68" s="1"/>
  <c r="Y8" i="68"/>
  <c r="AA305" i="66"/>
  <c r="AA312" i="66" s="1"/>
  <c r="Z9" i="66"/>
  <c r="V63" i="61"/>
  <c r="V70" i="61" s="1"/>
  <c r="U6" i="61"/>
  <c r="U5" i="61" s="1"/>
  <c r="L177" i="93" l="1"/>
  <c r="L184" i="93" s="1"/>
  <c r="K7" i="93"/>
  <c r="AA239" i="68"/>
  <c r="AA246" i="68" s="1"/>
  <c r="Z8" i="68"/>
  <c r="AB305" i="66"/>
  <c r="AB312" i="66" s="1"/>
  <c r="AA9" i="66"/>
  <c r="W63" i="61"/>
  <c r="W70" i="61" s="1"/>
  <c r="V6" i="61"/>
  <c r="V5" i="61" s="1"/>
  <c r="M177" i="93" l="1"/>
  <c r="M184" i="93" s="1"/>
  <c r="L7" i="93"/>
  <c r="AB239" i="68"/>
  <c r="AB246" i="68" s="1"/>
  <c r="AA8" i="68"/>
  <c r="AC305" i="66"/>
  <c r="AC312" i="66" s="1"/>
  <c r="AB9" i="66"/>
  <c r="X63" i="61"/>
  <c r="X70" i="61" s="1"/>
  <c r="W6" i="61"/>
  <c r="W5" i="61" s="1"/>
  <c r="M7" i="93" l="1"/>
  <c r="N177" i="93"/>
  <c r="N184" i="93" s="1"/>
  <c r="AC239" i="68"/>
  <c r="AC246" i="68" s="1"/>
  <c r="AB8" i="68"/>
  <c r="AD305" i="66"/>
  <c r="AD312" i="66" s="1"/>
  <c r="AC9" i="66"/>
  <c r="Y63" i="61"/>
  <c r="Y70" i="61" s="1"/>
  <c r="X6" i="61"/>
  <c r="X5" i="61" s="1"/>
  <c r="N7" i="93" l="1"/>
  <c r="O177" i="93"/>
  <c r="O184" i="93" s="1"/>
  <c r="AD239" i="68"/>
  <c r="AD246" i="68" s="1"/>
  <c r="AC8" i="68"/>
  <c r="AE305" i="66"/>
  <c r="AE312" i="66" s="1"/>
  <c r="AD9" i="66"/>
  <c r="Z63" i="61"/>
  <c r="Z70" i="61" s="1"/>
  <c r="Y6" i="61"/>
  <c r="Y5" i="61" s="1"/>
  <c r="O7" i="93" l="1"/>
  <c r="P177" i="93"/>
  <c r="P184" i="93" s="1"/>
  <c r="AE239" i="68"/>
  <c r="AE246" i="68" s="1"/>
  <c r="AD8" i="68"/>
  <c r="AF305" i="66"/>
  <c r="AF312" i="66" s="1"/>
  <c r="AE9" i="66"/>
  <c r="AA63" i="61"/>
  <c r="AA70" i="61" s="1"/>
  <c r="Z6" i="61"/>
  <c r="Z5" i="61" s="1"/>
  <c r="P7" i="93" l="1"/>
  <c r="Q177" i="93"/>
  <c r="Q184" i="93" s="1"/>
  <c r="AF239" i="68"/>
  <c r="AF246" i="68" s="1"/>
  <c r="AE8" i="68"/>
  <c r="AG305" i="66"/>
  <c r="AG312" i="66" s="1"/>
  <c r="AF9" i="66"/>
  <c r="AB63" i="61"/>
  <c r="AB70" i="61" s="1"/>
  <c r="AA6" i="61"/>
  <c r="AA5" i="61" s="1"/>
  <c r="Q7" i="93" l="1"/>
  <c r="R177" i="93"/>
  <c r="R184" i="93" s="1"/>
  <c r="AG9" i="66"/>
  <c r="B278" i="68"/>
  <c r="B284" i="68" s="1"/>
  <c r="C303" i="68" s="1"/>
  <c r="C310" i="68" s="1"/>
  <c r="AG239" i="68"/>
  <c r="AG246" i="68" s="1"/>
  <c r="AF8" i="68"/>
  <c r="AC63" i="61"/>
  <c r="AC70" i="61" s="1"/>
  <c r="AB6" i="61"/>
  <c r="AB5" i="61" s="1"/>
  <c r="R7" i="93" l="1"/>
  <c r="S177" i="93"/>
  <c r="S184" i="93" s="1"/>
  <c r="AG8" i="68"/>
  <c r="B216" i="71"/>
  <c r="B222" i="71" s="1"/>
  <c r="C241" i="71" s="1"/>
  <c r="C248" i="71" s="1"/>
  <c r="D303" i="68"/>
  <c r="D310" i="68" s="1"/>
  <c r="C9" i="68"/>
  <c r="AD63" i="61"/>
  <c r="AD70" i="61" s="1"/>
  <c r="B34" i="66" s="1"/>
  <c r="B40" i="66" s="1"/>
  <c r="AC6" i="61"/>
  <c r="AC5" i="61" s="1"/>
  <c r="T177" i="93" l="1"/>
  <c r="T184" i="93" s="1"/>
  <c r="S7" i="93"/>
  <c r="D241" i="71"/>
  <c r="D248" i="71" s="1"/>
  <c r="C8" i="71"/>
  <c r="D9" i="68"/>
  <c r="E303" i="68"/>
  <c r="E310" i="68" s="1"/>
  <c r="AE63" i="61"/>
  <c r="AE70" i="61" s="1"/>
  <c r="AD6" i="61"/>
  <c r="AD5" i="61" s="1"/>
  <c r="U177" i="93" l="1"/>
  <c r="U184" i="93" s="1"/>
  <c r="T7" i="93"/>
  <c r="E241" i="71"/>
  <c r="E248" i="71" s="1"/>
  <c r="D8" i="71"/>
  <c r="F303" i="68"/>
  <c r="F310" i="68" s="1"/>
  <c r="E9" i="68"/>
  <c r="AF63" i="61"/>
  <c r="AF70" i="61" s="1"/>
  <c r="AE6" i="61"/>
  <c r="AE5" i="61" s="1"/>
  <c r="V177" i="93" l="1"/>
  <c r="V184" i="93" s="1"/>
  <c r="U7" i="93"/>
  <c r="F241" i="71"/>
  <c r="F248" i="71" s="1"/>
  <c r="E8" i="71"/>
  <c r="G303" i="68"/>
  <c r="G310" i="68" s="1"/>
  <c r="F9" i="68"/>
  <c r="AG63" i="61"/>
  <c r="AG70" i="61" s="1"/>
  <c r="AG6" i="61" s="1"/>
  <c r="AG5" i="61" s="1"/>
  <c r="AH14" i="61" s="1"/>
  <c r="AF6" i="61"/>
  <c r="AF5" i="61" s="1"/>
  <c r="AH44" i="66"/>
  <c r="AI45" i="66" s="1"/>
  <c r="C43" i="66"/>
  <c r="AH43" i="66" s="1"/>
  <c r="C60" i="66" l="1"/>
  <c r="C63" i="66" s="1"/>
  <c r="C70" i="66" s="1"/>
  <c r="C6" i="66" s="1"/>
  <c r="C5" i="66" s="1"/>
  <c r="W177" i="93"/>
  <c r="W184" i="93" s="1"/>
  <c r="V7" i="93"/>
  <c r="D63" i="66"/>
  <c r="D70" i="66" s="1"/>
  <c r="G241" i="71"/>
  <c r="G248" i="71" s="1"/>
  <c r="F8" i="71"/>
  <c r="H303" i="68"/>
  <c r="H310" i="68" s="1"/>
  <c r="G9" i="68"/>
  <c r="B34" i="68"/>
  <c r="B40" i="68" s="1"/>
  <c r="C63" i="68" s="1"/>
  <c r="C70" i="68" s="1"/>
  <c r="X177" i="93" l="1"/>
  <c r="X184" i="93" s="1"/>
  <c r="W7" i="93"/>
  <c r="D6" i="66"/>
  <c r="D5" i="66" s="1"/>
  <c r="E63" i="66"/>
  <c r="E70" i="66" s="1"/>
  <c r="H241" i="71"/>
  <c r="H248" i="71" s="1"/>
  <c r="G8" i="71"/>
  <c r="I303" i="68"/>
  <c r="I310" i="68" s="1"/>
  <c r="H9" i="68"/>
  <c r="D63" i="68"/>
  <c r="D70" i="68" s="1"/>
  <c r="C6" i="68"/>
  <c r="C5" i="68" s="1"/>
  <c r="Y177" i="93" l="1"/>
  <c r="Y184" i="93" s="1"/>
  <c r="X7" i="93"/>
  <c r="E6" i="66"/>
  <c r="E5" i="66" s="1"/>
  <c r="F63" i="66"/>
  <c r="F70" i="66" s="1"/>
  <c r="I241" i="71"/>
  <c r="I248" i="71" s="1"/>
  <c r="H8" i="71"/>
  <c r="J303" i="68"/>
  <c r="J310" i="68" s="1"/>
  <c r="I9" i="68"/>
  <c r="E63" i="68"/>
  <c r="E70" i="68" s="1"/>
  <c r="D6" i="68"/>
  <c r="D5" i="68" s="1"/>
  <c r="Y7" i="93" l="1"/>
  <c r="Z177" i="93"/>
  <c r="Z184" i="93" s="1"/>
  <c r="F6" i="66"/>
  <c r="F5" i="66" s="1"/>
  <c r="G63" i="66"/>
  <c r="G70" i="66" s="1"/>
  <c r="J241" i="71"/>
  <c r="J248" i="71" s="1"/>
  <c r="I8" i="71"/>
  <c r="K303" i="68"/>
  <c r="K310" i="68" s="1"/>
  <c r="J9" i="68"/>
  <c r="F63" i="68"/>
  <c r="F70" i="68" s="1"/>
  <c r="E6" i="68"/>
  <c r="E5" i="68" s="1"/>
  <c r="Z7" i="93" l="1"/>
  <c r="AA177" i="93"/>
  <c r="AA184" i="93" s="1"/>
  <c r="G6" i="66"/>
  <c r="G5" i="66" s="1"/>
  <c r="H63" i="66"/>
  <c r="H70" i="66" s="1"/>
  <c r="K241" i="71"/>
  <c r="K248" i="71" s="1"/>
  <c r="J8" i="71"/>
  <c r="L303" i="68"/>
  <c r="L310" i="68" s="1"/>
  <c r="K9" i="68"/>
  <c r="G63" i="68"/>
  <c r="G70" i="68" s="1"/>
  <c r="F6" i="68"/>
  <c r="F5" i="68" s="1"/>
  <c r="AA7" i="93" l="1"/>
  <c r="AB177" i="93"/>
  <c r="AB184" i="93" s="1"/>
  <c r="H6" i="66"/>
  <c r="H5" i="66" s="1"/>
  <c r="I63" i="66"/>
  <c r="I70" i="66" s="1"/>
  <c r="L241" i="71"/>
  <c r="L248" i="71" s="1"/>
  <c r="K8" i="71"/>
  <c r="M303" i="68"/>
  <c r="M310" i="68" s="1"/>
  <c r="L9" i="68"/>
  <c r="H63" i="68"/>
  <c r="H70" i="68" s="1"/>
  <c r="G6" i="68"/>
  <c r="G5" i="68" s="1"/>
  <c r="AC177" i="93" l="1"/>
  <c r="AC184" i="93" s="1"/>
  <c r="AB7" i="93"/>
  <c r="I6" i="66"/>
  <c r="I5" i="66" s="1"/>
  <c r="J63" i="66"/>
  <c r="J70" i="66" s="1"/>
  <c r="M241" i="71"/>
  <c r="M248" i="71" s="1"/>
  <c r="L8" i="71"/>
  <c r="N303" i="68"/>
  <c r="N310" i="68" s="1"/>
  <c r="M9" i="68"/>
  <c r="I63" i="68"/>
  <c r="I70" i="68" s="1"/>
  <c r="H6" i="68"/>
  <c r="H5" i="68" s="1"/>
  <c r="AD177" i="93" l="1"/>
  <c r="AD184" i="93" s="1"/>
  <c r="AC7" i="93"/>
  <c r="J6" i="66"/>
  <c r="J5" i="66" s="1"/>
  <c r="K63" i="66"/>
  <c r="K70" i="66" s="1"/>
  <c r="N241" i="71"/>
  <c r="N248" i="71" s="1"/>
  <c r="M8" i="71"/>
  <c r="O303" i="68"/>
  <c r="O310" i="68" s="1"/>
  <c r="N9" i="68"/>
  <c r="J63" i="68"/>
  <c r="J70" i="68" s="1"/>
  <c r="I6" i="68"/>
  <c r="I5" i="68" s="1"/>
  <c r="AD7" i="93" l="1"/>
  <c r="AE177" i="93"/>
  <c r="AE184" i="93" s="1"/>
  <c r="K6" i="66"/>
  <c r="K5" i="66" s="1"/>
  <c r="L63" i="66"/>
  <c r="L70" i="66" s="1"/>
  <c r="O241" i="71"/>
  <c r="O248" i="71" s="1"/>
  <c r="N8" i="71"/>
  <c r="P303" i="68"/>
  <c r="P310" i="68" s="1"/>
  <c r="O9" i="68"/>
  <c r="K63" i="68"/>
  <c r="K70" i="68" s="1"/>
  <c r="J6" i="68"/>
  <c r="J5" i="68" s="1"/>
  <c r="AF177" i="93" l="1"/>
  <c r="AF184" i="93" s="1"/>
  <c r="AE7" i="93"/>
  <c r="L6" i="66"/>
  <c r="L5" i="66" s="1"/>
  <c r="M63" i="66"/>
  <c r="M70" i="66" s="1"/>
  <c r="P241" i="71"/>
  <c r="P248" i="71" s="1"/>
  <c r="O8" i="71"/>
  <c r="Q303" i="68"/>
  <c r="Q310" i="68" s="1"/>
  <c r="P9" i="68"/>
  <c r="L63" i="68"/>
  <c r="L70" i="68" s="1"/>
  <c r="K6" i="68"/>
  <c r="K5" i="68" s="1"/>
  <c r="AG177" i="93" l="1"/>
  <c r="AG184" i="93" s="1"/>
  <c r="AF7" i="93"/>
  <c r="M6" i="66"/>
  <c r="M5" i="66" s="1"/>
  <c r="N63" i="66"/>
  <c r="N70" i="66" s="1"/>
  <c r="Q241" i="71"/>
  <c r="Q248" i="71" s="1"/>
  <c r="P8" i="71"/>
  <c r="R303" i="68"/>
  <c r="R310" i="68" s="1"/>
  <c r="Q9" i="68"/>
  <c r="M63" i="68"/>
  <c r="M70" i="68" s="1"/>
  <c r="L6" i="68"/>
  <c r="L5" i="68" s="1"/>
  <c r="AG7" i="93" l="1"/>
  <c r="B150" i="110"/>
  <c r="B156" i="110" s="1"/>
  <c r="C177" i="110" s="1"/>
  <c r="C184" i="110" s="1"/>
  <c r="N6" i="66"/>
  <c r="N5" i="66" s="1"/>
  <c r="O63" i="66"/>
  <c r="O70" i="66" s="1"/>
  <c r="R241" i="71"/>
  <c r="R248" i="71" s="1"/>
  <c r="Q8" i="71"/>
  <c r="S303" i="68"/>
  <c r="S310" i="68" s="1"/>
  <c r="R9" i="68"/>
  <c r="N63" i="68"/>
  <c r="N70" i="68" s="1"/>
  <c r="M6" i="68"/>
  <c r="M5" i="68" s="1"/>
  <c r="D177" i="110" l="1"/>
  <c r="D184" i="110" s="1"/>
  <c r="C7" i="110"/>
  <c r="O6" i="66"/>
  <c r="O5" i="66" s="1"/>
  <c r="P63" i="66"/>
  <c r="P70" i="66" s="1"/>
  <c r="S241" i="71"/>
  <c r="S248" i="71" s="1"/>
  <c r="R8" i="71"/>
  <c r="T303" i="68"/>
  <c r="T310" i="68" s="1"/>
  <c r="S9" i="68"/>
  <c r="O63" i="68"/>
  <c r="O70" i="68" s="1"/>
  <c r="P63" i="68" s="1"/>
  <c r="P70" i="68" s="1"/>
  <c r="N6" i="68"/>
  <c r="N5" i="68" s="1"/>
  <c r="E177" i="110" l="1"/>
  <c r="E184" i="110" s="1"/>
  <c r="D7" i="110"/>
  <c r="P6" i="66"/>
  <c r="P5" i="66" s="1"/>
  <c r="Q63" i="66"/>
  <c r="Q70" i="66" s="1"/>
  <c r="T241" i="71"/>
  <c r="T248" i="71" s="1"/>
  <c r="S8" i="71"/>
  <c r="U303" i="68"/>
  <c r="U310" i="68" s="1"/>
  <c r="T9" i="68"/>
  <c r="O6" i="68"/>
  <c r="O5" i="68" s="1"/>
  <c r="F177" i="110" l="1"/>
  <c r="F184" i="110" s="1"/>
  <c r="E7" i="110"/>
  <c r="Q6" i="66"/>
  <c r="Q5" i="66" s="1"/>
  <c r="R63" i="66"/>
  <c r="R70" i="66" s="1"/>
  <c r="T8" i="71"/>
  <c r="U241" i="71"/>
  <c r="U248" i="71" s="1"/>
  <c r="V303" i="68"/>
  <c r="V310" i="68" s="1"/>
  <c r="U9" i="68"/>
  <c r="Q63" i="68"/>
  <c r="Q70" i="68" s="1"/>
  <c r="P6" i="68"/>
  <c r="P5" i="68" s="1"/>
  <c r="G177" i="110" l="1"/>
  <c r="G184" i="110" s="1"/>
  <c r="F7" i="110"/>
  <c r="R6" i="66"/>
  <c r="R5" i="66" s="1"/>
  <c r="S63" i="66"/>
  <c r="S70" i="66" s="1"/>
  <c r="V241" i="71"/>
  <c r="V248" i="71" s="1"/>
  <c r="U8" i="71"/>
  <c r="W303" i="68"/>
  <c r="W310" i="68" s="1"/>
  <c r="V9" i="68"/>
  <c r="R63" i="68"/>
  <c r="R70" i="68" s="1"/>
  <c r="Q6" i="68"/>
  <c r="Q5" i="68" s="1"/>
  <c r="H177" i="110" l="1"/>
  <c r="H184" i="110" s="1"/>
  <c r="G7" i="110"/>
  <c r="S6" i="66"/>
  <c r="S5" i="66" s="1"/>
  <c r="T63" i="66"/>
  <c r="T70" i="66" s="1"/>
  <c r="W241" i="71"/>
  <c r="W248" i="71" s="1"/>
  <c r="V8" i="71"/>
  <c r="X303" i="68"/>
  <c r="X310" i="68" s="1"/>
  <c r="W9" i="68"/>
  <c r="S63" i="68"/>
  <c r="S70" i="68" s="1"/>
  <c r="R6" i="68"/>
  <c r="R5" i="68" s="1"/>
  <c r="I177" i="110" l="1"/>
  <c r="I184" i="110" s="1"/>
  <c r="H7" i="110"/>
  <c r="T6" i="66"/>
  <c r="T5" i="66" s="1"/>
  <c r="U63" i="66"/>
  <c r="U70" i="66" s="1"/>
  <c r="X241" i="71"/>
  <c r="X248" i="71" s="1"/>
  <c r="W8" i="71"/>
  <c r="Y303" i="68"/>
  <c r="Y310" i="68" s="1"/>
  <c r="X9" i="68"/>
  <c r="T63" i="68"/>
  <c r="T70" i="68" s="1"/>
  <c r="S6" i="68"/>
  <c r="S5" i="68" s="1"/>
  <c r="J177" i="110" l="1"/>
  <c r="J184" i="110" s="1"/>
  <c r="I7" i="110"/>
  <c r="U6" i="66"/>
  <c r="U5" i="66" s="1"/>
  <c r="V63" i="66"/>
  <c r="V70" i="66" s="1"/>
  <c r="Y241" i="71"/>
  <c r="Y248" i="71" s="1"/>
  <c r="X8" i="71"/>
  <c r="Z303" i="68"/>
  <c r="Z310" i="68" s="1"/>
  <c r="Y9" i="68"/>
  <c r="U63" i="68"/>
  <c r="U70" i="68" s="1"/>
  <c r="T6" i="68"/>
  <c r="T5" i="68" s="1"/>
  <c r="J7" i="110" l="1"/>
  <c r="K177" i="110"/>
  <c r="K184" i="110" s="1"/>
  <c r="V6" i="66"/>
  <c r="V5" i="66" s="1"/>
  <c r="W63" i="66"/>
  <c r="W70" i="66" s="1"/>
  <c r="Z241" i="71"/>
  <c r="Z248" i="71" s="1"/>
  <c r="Y8" i="71"/>
  <c r="AA303" i="68"/>
  <c r="AA310" i="68" s="1"/>
  <c r="Z9" i="68"/>
  <c r="V63" i="68"/>
  <c r="V70" i="68" s="1"/>
  <c r="U6" i="68"/>
  <c r="U5" i="68" s="1"/>
  <c r="L177" i="110" l="1"/>
  <c r="L184" i="110" s="1"/>
  <c r="K7" i="110"/>
  <c r="W6" i="66"/>
  <c r="W5" i="66" s="1"/>
  <c r="X63" i="66"/>
  <c r="X70" i="66" s="1"/>
  <c r="AA241" i="71"/>
  <c r="AA248" i="71" s="1"/>
  <c r="Z8" i="71"/>
  <c r="AB303" i="68"/>
  <c r="AB310" i="68" s="1"/>
  <c r="AA9" i="68"/>
  <c r="W63" i="68"/>
  <c r="W70" i="68" s="1"/>
  <c r="V6" i="68"/>
  <c r="V5" i="68" s="1"/>
  <c r="M177" i="110" l="1"/>
  <c r="M184" i="110" s="1"/>
  <c r="L7" i="110"/>
  <c r="X6" i="66"/>
  <c r="X5" i="66" s="1"/>
  <c r="Y63" i="66"/>
  <c r="Y70" i="66" s="1"/>
  <c r="AB241" i="71"/>
  <c r="AB248" i="71" s="1"/>
  <c r="AA8" i="71"/>
  <c r="AC303" i="68"/>
  <c r="AC310" i="68" s="1"/>
  <c r="AB9" i="68"/>
  <c r="X63" i="68"/>
  <c r="X70" i="68" s="1"/>
  <c r="W6" i="68"/>
  <c r="W5" i="68" s="1"/>
  <c r="M7" i="110" l="1"/>
  <c r="N177" i="110"/>
  <c r="N184" i="110" s="1"/>
  <c r="Y6" i="66"/>
  <c r="Y5" i="66" s="1"/>
  <c r="Z63" i="66"/>
  <c r="Z70" i="66" s="1"/>
  <c r="AC241" i="71"/>
  <c r="AC248" i="71" s="1"/>
  <c r="AB8" i="71"/>
  <c r="AD303" i="68"/>
  <c r="AD310" i="68" s="1"/>
  <c r="AC9" i="68"/>
  <c r="Y63" i="68"/>
  <c r="Y70" i="68" s="1"/>
  <c r="X6" i="68"/>
  <c r="X5" i="68" s="1"/>
  <c r="N7" i="110" l="1"/>
  <c r="O177" i="110"/>
  <c r="O184" i="110" s="1"/>
  <c r="Z6" i="66"/>
  <c r="Z5" i="66" s="1"/>
  <c r="AA63" i="66"/>
  <c r="AA70" i="66" s="1"/>
  <c r="AC8" i="71"/>
  <c r="AD241" i="71"/>
  <c r="AD248" i="71" s="1"/>
  <c r="AE303" i="68"/>
  <c r="AE310" i="68" s="1"/>
  <c r="AD9" i="68"/>
  <c r="Z63" i="68"/>
  <c r="Z70" i="68" s="1"/>
  <c r="Y6" i="68"/>
  <c r="Y5" i="68" s="1"/>
  <c r="P177" i="110" l="1"/>
  <c r="P184" i="110" s="1"/>
  <c r="O7" i="110"/>
  <c r="AA6" i="66"/>
  <c r="AA5" i="66" s="1"/>
  <c r="AB63" i="66"/>
  <c r="AB70" i="66" s="1"/>
  <c r="AE241" i="71"/>
  <c r="AE248" i="71" s="1"/>
  <c r="AD8" i="71"/>
  <c r="AF303" i="68"/>
  <c r="AF310" i="68" s="1"/>
  <c r="AE9" i="68"/>
  <c r="AA63" i="68"/>
  <c r="AA70" i="68" s="1"/>
  <c r="Z6" i="68"/>
  <c r="Z5" i="68" s="1"/>
  <c r="Q177" i="110" l="1"/>
  <c r="Q184" i="110" s="1"/>
  <c r="P7" i="110"/>
  <c r="AB6" i="66"/>
  <c r="AB5" i="66" s="1"/>
  <c r="AC63" i="66"/>
  <c r="AC70" i="66" s="1"/>
  <c r="AF241" i="71"/>
  <c r="AF248" i="71" s="1"/>
  <c r="AE8" i="71"/>
  <c r="AG303" i="68"/>
  <c r="AG310" i="68" s="1"/>
  <c r="AF9" i="68"/>
  <c r="AB63" i="68"/>
  <c r="AB70" i="68" s="1"/>
  <c r="AA6" i="68"/>
  <c r="AA5" i="68" s="1"/>
  <c r="R177" i="110" l="1"/>
  <c r="R184" i="110" s="1"/>
  <c r="Q7" i="110"/>
  <c r="AC6" i="66"/>
  <c r="AC5" i="66" s="1"/>
  <c r="AD63" i="66"/>
  <c r="AD70" i="66" s="1"/>
  <c r="AG9" i="68"/>
  <c r="B280" i="71"/>
  <c r="B286" i="71" s="1"/>
  <c r="C305" i="71" s="1"/>
  <c r="C312" i="71" s="1"/>
  <c r="AG241" i="71"/>
  <c r="AG248" i="71" s="1"/>
  <c r="B216" i="81" s="1"/>
  <c r="B222" i="81" s="1"/>
  <c r="C241" i="81" s="1"/>
  <c r="C248" i="81" s="1"/>
  <c r="AF8" i="71"/>
  <c r="AC63" i="68"/>
  <c r="AC70" i="68" s="1"/>
  <c r="AB6" i="68"/>
  <c r="AB5" i="68" s="1"/>
  <c r="S177" i="110" l="1"/>
  <c r="S184" i="110" s="1"/>
  <c r="R7" i="110"/>
  <c r="AD6" i="66"/>
  <c r="AD5" i="66" s="1"/>
  <c r="AE63" i="66"/>
  <c r="AE70" i="66" s="1"/>
  <c r="D241" i="81"/>
  <c r="D248" i="81" s="1"/>
  <c r="C8" i="81"/>
  <c r="AG8" i="71"/>
  <c r="D305" i="71"/>
  <c r="D312" i="71" s="1"/>
  <c r="C9" i="71"/>
  <c r="AD63" i="68"/>
  <c r="AD70" i="68" s="1"/>
  <c r="AC6" i="68"/>
  <c r="AC5" i="68" s="1"/>
  <c r="T177" i="110" l="1"/>
  <c r="T184" i="110" s="1"/>
  <c r="S7" i="110"/>
  <c r="AE6" i="66"/>
  <c r="AE5" i="66" s="1"/>
  <c r="AF63" i="66"/>
  <c r="AF70" i="66" s="1"/>
  <c r="E241" i="81"/>
  <c r="E248" i="81" s="1"/>
  <c r="D8" i="81"/>
  <c r="E305" i="71"/>
  <c r="E312" i="71" s="1"/>
  <c r="D9" i="71"/>
  <c r="AE63" i="68"/>
  <c r="AE70" i="68" s="1"/>
  <c r="AD6" i="68"/>
  <c r="AD5" i="68" s="1"/>
  <c r="U177" i="110" l="1"/>
  <c r="U184" i="110" s="1"/>
  <c r="T7" i="110"/>
  <c r="AF6" i="66"/>
  <c r="AF5" i="66" s="1"/>
  <c r="AG63" i="66"/>
  <c r="AG70" i="66" s="1"/>
  <c r="AG6" i="66" s="1"/>
  <c r="AG5" i="66" s="1"/>
  <c r="AH14" i="66" s="1"/>
  <c r="F241" i="81"/>
  <c r="F248" i="81" s="1"/>
  <c r="E8" i="81"/>
  <c r="F305" i="71"/>
  <c r="F312" i="71" s="1"/>
  <c r="E9" i="71"/>
  <c r="AF63" i="68"/>
  <c r="AF70" i="68" s="1"/>
  <c r="AE6" i="68"/>
  <c r="AE5" i="68" s="1"/>
  <c r="V177" i="110" l="1"/>
  <c r="V184" i="110" s="1"/>
  <c r="U7" i="110"/>
  <c r="G241" i="81"/>
  <c r="G248" i="81" s="1"/>
  <c r="F8" i="81"/>
  <c r="G305" i="71"/>
  <c r="G312" i="71" s="1"/>
  <c r="F9" i="71"/>
  <c r="AG63" i="68"/>
  <c r="AG70" i="68" s="1"/>
  <c r="AF6" i="68"/>
  <c r="AF5" i="68" s="1"/>
  <c r="W177" i="110" l="1"/>
  <c r="W184" i="110" s="1"/>
  <c r="V7" i="110"/>
  <c r="H241" i="81"/>
  <c r="H248" i="81" s="1"/>
  <c r="G8" i="81"/>
  <c r="AG6" i="68"/>
  <c r="AG5" i="68" s="1"/>
  <c r="AH14" i="68" s="1"/>
  <c r="AH15" i="68" s="1"/>
  <c r="H305" i="71"/>
  <c r="H312" i="71" s="1"/>
  <c r="G9" i="71"/>
  <c r="B34" i="71"/>
  <c r="B40" i="71" s="1"/>
  <c r="C63" i="71" s="1"/>
  <c r="C70" i="71" s="1"/>
  <c r="X177" i="110" l="1"/>
  <c r="X184" i="110" s="1"/>
  <c r="W7" i="110"/>
  <c r="I241" i="81"/>
  <c r="I248" i="81" s="1"/>
  <c r="H8" i="81"/>
  <c r="I305" i="71"/>
  <c r="I312" i="71" s="1"/>
  <c r="H9" i="71"/>
  <c r="D63" i="71"/>
  <c r="D70" i="71" s="1"/>
  <c r="C6" i="71"/>
  <c r="C5" i="71" s="1"/>
  <c r="Y177" i="110" l="1"/>
  <c r="Y184" i="110" s="1"/>
  <c r="X7" i="110"/>
  <c r="J241" i="81"/>
  <c r="J248" i="81" s="1"/>
  <c r="I8" i="81"/>
  <c r="J305" i="71"/>
  <c r="J312" i="71" s="1"/>
  <c r="I9" i="71"/>
  <c r="E63" i="71"/>
  <c r="E70" i="71" s="1"/>
  <c r="D6" i="71"/>
  <c r="D5" i="71" s="1"/>
  <c r="Z177" i="110" l="1"/>
  <c r="Z184" i="110" s="1"/>
  <c r="Y7" i="110"/>
  <c r="K241" i="81"/>
  <c r="K248" i="81" s="1"/>
  <c r="J8" i="81"/>
  <c r="K305" i="71"/>
  <c r="K312" i="71" s="1"/>
  <c r="J9" i="71"/>
  <c r="F63" i="71"/>
  <c r="F70" i="71" s="1"/>
  <c r="E6" i="71"/>
  <c r="E5" i="71" s="1"/>
  <c r="Z7" i="110" l="1"/>
  <c r="AA177" i="110"/>
  <c r="AA184" i="110" s="1"/>
  <c r="L241" i="81"/>
  <c r="L248" i="81" s="1"/>
  <c r="K8" i="81"/>
  <c r="L305" i="71"/>
  <c r="L312" i="71" s="1"/>
  <c r="K9" i="71"/>
  <c r="G63" i="71"/>
  <c r="G70" i="71" s="1"/>
  <c r="F6" i="71"/>
  <c r="F5" i="71" s="1"/>
  <c r="AB177" i="110" l="1"/>
  <c r="AB184" i="110" s="1"/>
  <c r="AA7" i="110"/>
  <c r="M241" i="81"/>
  <c r="M248" i="81" s="1"/>
  <c r="L8" i="81"/>
  <c r="M305" i="71"/>
  <c r="M312" i="71" s="1"/>
  <c r="L9" i="71"/>
  <c r="H63" i="71"/>
  <c r="H70" i="71" s="1"/>
  <c r="G6" i="71"/>
  <c r="G5" i="71" s="1"/>
  <c r="AC177" i="110" l="1"/>
  <c r="AC184" i="110" s="1"/>
  <c r="AB7" i="110"/>
  <c r="N241" i="81"/>
  <c r="N248" i="81" s="1"/>
  <c r="M8" i="81"/>
  <c r="N305" i="71"/>
  <c r="N312" i="71" s="1"/>
  <c r="M9" i="71"/>
  <c r="I63" i="71"/>
  <c r="I70" i="71" s="1"/>
  <c r="H6" i="71"/>
  <c r="H5" i="71" s="1"/>
  <c r="AD177" i="110" l="1"/>
  <c r="AD184" i="110" s="1"/>
  <c r="AC7" i="110"/>
  <c r="O241" i="81"/>
  <c r="O248" i="81" s="1"/>
  <c r="N8" i="81"/>
  <c r="O305" i="71"/>
  <c r="O312" i="71" s="1"/>
  <c r="N9" i="71"/>
  <c r="J63" i="71"/>
  <c r="J70" i="71" s="1"/>
  <c r="I6" i="71"/>
  <c r="I5" i="71" s="1"/>
  <c r="AD7" i="110" l="1"/>
  <c r="AE177" i="110"/>
  <c r="AE184" i="110" s="1"/>
  <c r="P241" i="81"/>
  <c r="P248" i="81" s="1"/>
  <c r="O8" i="81"/>
  <c r="P305" i="71"/>
  <c r="P312" i="71" s="1"/>
  <c r="O9" i="71"/>
  <c r="K63" i="71"/>
  <c r="K70" i="71" s="1"/>
  <c r="J6" i="71"/>
  <c r="J5" i="71" s="1"/>
  <c r="AE7" i="110" l="1"/>
  <c r="AF177" i="110"/>
  <c r="AF184" i="110" s="1"/>
  <c r="B150" i="114" s="1"/>
  <c r="B156" i="114" s="1"/>
  <c r="C177" i="114" s="1"/>
  <c r="C184" i="114" s="1"/>
  <c r="Q241" i="81"/>
  <c r="Q248" i="81" s="1"/>
  <c r="P8" i="81"/>
  <c r="Q305" i="71"/>
  <c r="Q312" i="71" s="1"/>
  <c r="P9" i="71"/>
  <c r="L63" i="71"/>
  <c r="L70" i="71" s="1"/>
  <c r="K6" i="71"/>
  <c r="K5" i="71" s="1"/>
  <c r="C7" i="114" l="1"/>
  <c r="D177" i="114"/>
  <c r="D184" i="114" s="1"/>
  <c r="AF7" i="110"/>
  <c r="AG177" i="110"/>
  <c r="AG184" i="110" s="1"/>
  <c r="AG7" i="110" s="1"/>
  <c r="R241" i="81"/>
  <c r="R248" i="81" s="1"/>
  <c r="Q8" i="81"/>
  <c r="R305" i="71"/>
  <c r="R312" i="71" s="1"/>
  <c r="Q9" i="71"/>
  <c r="M63" i="71"/>
  <c r="M70" i="71" s="1"/>
  <c r="L6" i="71"/>
  <c r="L5" i="71" s="1"/>
  <c r="E177" i="114" l="1"/>
  <c r="E184" i="114" s="1"/>
  <c r="D7" i="114"/>
  <c r="S241" i="81"/>
  <c r="S248" i="81" s="1"/>
  <c r="R8" i="81"/>
  <c r="S305" i="71"/>
  <c r="S312" i="71" s="1"/>
  <c r="R9" i="71"/>
  <c r="N63" i="71"/>
  <c r="N70" i="71" s="1"/>
  <c r="M6" i="71"/>
  <c r="M5" i="71" s="1"/>
  <c r="E7" i="114" l="1"/>
  <c r="F177" i="114"/>
  <c r="F184" i="114" s="1"/>
  <c r="T241" i="81"/>
  <c r="T248" i="81" s="1"/>
  <c r="S8" i="81"/>
  <c r="T305" i="71"/>
  <c r="T312" i="71" s="1"/>
  <c r="S9" i="71"/>
  <c r="O63" i="71"/>
  <c r="O70" i="71" s="1"/>
  <c r="N6" i="71"/>
  <c r="N5" i="71" s="1"/>
  <c r="F7" i="114" l="1"/>
  <c r="G177" i="114"/>
  <c r="G184" i="114" s="1"/>
  <c r="U241" i="81"/>
  <c r="U248" i="81" s="1"/>
  <c r="T8" i="81"/>
  <c r="U305" i="71"/>
  <c r="U312" i="71" s="1"/>
  <c r="T9" i="71"/>
  <c r="P63" i="71"/>
  <c r="P70" i="71" s="1"/>
  <c r="O6" i="71"/>
  <c r="O5" i="71" s="1"/>
  <c r="G7" i="114" l="1"/>
  <c r="H177" i="114"/>
  <c r="H184" i="114" s="1"/>
  <c r="V241" i="81"/>
  <c r="V248" i="81" s="1"/>
  <c r="U8" i="81"/>
  <c r="V305" i="71"/>
  <c r="V312" i="71" s="1"/>
  <c r="U9" i="71"/>
  <c r="Q63" i="71"/>
  <c r="Q70" i="71" s="1"/>
  <c r="P6" i="71"/>
  <c r="P5" i="71" s="1"/>
  <c r="H7" i="114" l="1"/>
  <c r="I177" i="114"/>
  <c r="I184" i="114" s="1"/>
  <c r="W241" i="81"/>
  <c r="W248" i="81" s="1"/>
  <c r="V8" i="81"/>
  <c r="W305" i="71"/>
  <c r="W312" i="71" s="1"/>
  <c r="V9" i="71"/>
  <c r="R63" i="71"/>
  <c r="R70" i="71" s="1"/>
  <c r="Q6" i="71"/>
  <c r="Q5" i="71" s="1"/>
  <c r="I7" i="114" l="1"/>
  <c r="J177" i="114"/>
  <c r="J184" i="114" s="1"/>
  <c r="X241" i="81"/>
  <c r="X248" i="81" s="1"/>
  <c r="W8" i="81"/>
  <c r="X305" i="71"/>
  <c r="X312" i="71" s="1"/>
  <c r="W9" i="71"/>
  <c r="S63" i="71"/>
  <c r="S70" i="71" s="1"/>
  <c r="R6" i="71"/>
  <c r="R5" i="71" s="1"/>
  <c r="J7" i="114" l="1"/>
  <c r="K177" i="114"/>
  <c r="K184" i="114" s="1"/>
  <c r="Y241" i="81"/>
  <c r="Y248" i="81" s="1"/>
  <c r="X8" i="81"/>
  <c r="Y305" i="71"/>
  <c r="Y312" i="71" s="1"/>
  <c r="X9" i="71"/>
  <c r="T63" i="71"/>
  <c r="T70" i="71" s="1"/>
  <c r="S6" i="71"/>
  <c r="S5" i="71" s="1"/>
  <c r="L177" i="114" l="1"/>
  <c r="L184" i="114" s="1"/>
  <c r="K7" i="114"/>
  <c r="Z241" i="81"/>
  <c r="Z248" i="81" s="1"/>
  <c r="Y8" i="81"/>
  <c r="Z305" i="71"/>
  <c r="Z312" i="71" s="1"/>
  <c r="Y9" i="71"/>
  <c r="U63" i="71"/>
  <c r="U70" i="71" s="1"/>
  <c r="T6" i="71"/>
  <c r="T5" i="71" s="1"/>
  <c r="M177" i="114" l="1"/>
  <c r="M184" i="114" s="1"/>
  <c r="L7" i="114"/>
  <c r="AA241" i="81"/>
  <c r="AA248" i="81" s="1"/>
  <c r="Z8" i="81"/>
  <c r="AA305" i="71"/>
  <c r="AA312" i="71" s="1"/>
  <c r="Z9" i="71"/>
  <c r="V63" i="71"/>
  <c r="V70" i="71" s="1"/>
  <c r="U6" i="71"/>
  <c r="U5" i="71" s="1"/>
  <c r="N177" i="114" l="1"/>
  <c r="N184" i="114" s="1"/>
  <c r="M7" i="114"/>
  <c r="AB241" i="81"/>
  <c r="AB248" i="81" s="1"/>
  <c r="AA8" i="81"/>
  <c r="AB305" i="71"/>
  <c r="AB312" i="71" s="1"/>
  <c r="AA9" i="71"/>
  <c r="W63" i="71"/>
  <c r="W70" i="71" s="1"/>
  <c r="V6" i="71"/>
  <c r="V5" i="71" s="1"/>
  <c r="N7" i="114" l="1"/>
  <c r="O177" i="114"/>
  <c r="O184" i="114" s="1"/>
  <c r="AC241" i="81"/>
  <c r="AC248" i="81" s="1"/>
  <c r="AB8" i="81"/>
  <c r="AC305" i="71"/>
  <c r="AC312" i="71" s="1"/>
  <c r="AB9" i="71"/>
  <c r="X63" i="71"/>
  <c r="X70" i="71" s="1"/>
  <c r="W6" i="71"/>
  <c r="W5" i="71" s="1"/>
  <c r="P177" i="114" l="1"/>
  <c r="P184" i="114" s="1"/>
  <c r="O7" i="114"/>
  <c r="AD241" i="81"/>
  <c r="AD248" i="81" s="1"/>
  <c r="AC8" i="81"/>
  <c r="AD305" i="71"/>
  <c r="AD312" i="71" s="1"/>
  <c r="AC9" i="71"/>
  <c r="Y63" i="71"/>
  <c r="Y70" i="71" s="1"/>
  <c r="X6" i="71"/>
  <c r="X5" i="71" s="1"/>
  <c r="P7" i="114" l="1"/>
  <c r="Q177" i="114"/>
  <c r="Q184" i="114" s="1"/>
  <c r="AE241" i="81"/>
  <c r="AE248" i="81" s="1"/>
  <c r="AD8" i="81"/>
  <c r="AE305" i="71"/>
  <c r="AE312" i="71" s="1"/>
  <c r="AD9" i="71"/>
  <c r="Z63" i="71"/>
  <c r="Z70" i="71" s="1"/>
  <c r="Y6" i="71"/>
  <c r="Y5" i="71" s="1"/>
  <c r="Q7" i="114" l="1"/>
  <c r="R177" i="114"/>
  <c r="R184" i="114" s="1"/>
  <c r="AF241" i="81"/>
  <c r="AF248" i="81" s="1"/>
  <c r="AE8" i="81"/>
  <c r="AF305" i="71"/>
  <c r="AF312" i="71" s="1"/>
  <c r="AE9" i="71"/>
  <c r="AA63" i="71"/>
  <c r="AA70" i="71" s="1"/>
  <c r="Z6" i="71"/>
  <c r="Z5" i="71" s="1"/>
  <c r="R7" i="114" l="1"/>
  <c r="S177" i="114"/>
  <c r="S184" i="114" s="1"/>
  <c r="AG241" i="81"/>
  <c r="AG248" i="81" s="1"/>
  <c r="AF8" i="81"/>
  <c r="AG305" i="71"/>
  <c r="AG312" i="71" s="1"/>
  <c r="B280" i="81" s="1"/>
  <c r="B286" i="81" s="1"/>
  <c r="C305" i="81" s="1"/>
  <c r="C312" i="81" s="1"/>
  <c r="AF9" i="71"/>
  <c r="AB63" i="71"/>
  <c r="AB70" i="71" s="1"/>
  <c r="AA6" i="71"/>
  <c r="AA5" i="71" s="1"/>
  <c r="S7" i="114" l="1"/>
  <c r="T177" i="114"/>
  <c r="T184" i="114" s="1"/>
  <c r="AG8" i="81"/>
  <c r="B216" i="84"/>
  <c r="B222" i="84" s="1"/>
  <c r="C241" i="84" s="1"/>
  <c r="C248" i="84" s="1"/>
  <c r="D305" i="81"/>
  <c r="D312" i="81" s="1"/>
  <c r="C9" i="81"/>
  <c r="AG9" i="71"/>
  <c r="AC63" i="71"/>
  <c r="AC70" i="71" s="1"/>
  <c r="AB6" i="71"/>
  <c r="AB5" i="71" s="1"/>
  <c r="T7" i="114" l="1"/>
  <c r="U177" i="114"/>
  <c r="U184" i="114" s="1"/>
  <c r="D241" i="84"/>
  <c r="D248" i="84" s="1"/>
  <c r="C8" i="84"/>
  <c r="E305" i="81"/>
  <c r="E312" i="81" s="1"/>
  <c r="D9" i="81"/>
  <c r="AD63" i="71"/>
  <c r="AD70" i="71" s="1"/>
  <c r="AC6" i="71"/>
  <c r="AC5" i="71" s="1"/>
  <c r="U7" i="114" l="1"/>
  <c r="V177" i="114"/>
  <c r="V184" i="114" s="1"/>
  <c r="E241" i="84"/>
  <c r="E248" i="84" s="1"/>
  <c r="D8" i="84"/>
  <c r="F305" i="81"/>
  <c r="F312" i="81" s="1"/>
  <c r="E9" i="81"/>
  <c r="AE63" i="71"/>
  <c r="AE70" i="71" s="1"/>
  <c r="AD6" i="71"/>
  <c r="AD5" i="71" s="1"/>
  <c r="W177" i="114" l="1"/>
  <c r="W184" i="114" s="1"/>
  <c r="V7" i="114"/>
  <c r="F241" i="84"/>
  <c r="F248" i="84" s="1"/>
  <c r="E8" i="84"/>
  <c r="G305" i="81"/>
  <c r="G312" i="81" s="1"/>
  <c r="F9" i="81"/>
  <c r="AF63" i="71"/>
  <c r="AF70" i="71" s="1"/>
  <c r="AE6" i="71"/>
  <c r="AE5" i="71" s="1"/>
  <c r="X177" i="114" l="1"/>
  <c r="X184" i="114" s="1"/>
  <c r="W7" i="114"/>
  <c r="G241" i="84"/>
  <c r="G248" i="84" s="1"/>
  <c r="F8" i="84"/>
  <c r="H305" i="81"/>
  <c r="H312" i="81" s="1"/>
  <c r="G9" i="81"/>
  <c r="AG63" i="71"/>
  <c r="AG70" i="71" s="1"/>
  <c r="B34" i="81" s="1"/>
  <c r="B40" i="81" s="1"/>
  <c r="C63" i="81" s="1"/>
  <c r="C70" i="81" s="1"/>
  <c r="AF6" i="71"/>
  <c r="AF5" i="71" s="1"/>
  <c r="X7" i="114" l="1"/>
  <c r="Y177" i="114"/>
  <c r="Y184" i="114" s="1"/>
  <c r="H241" i="84"/>
  <c r="H248" i="84" s="1"/>
  <c r="G8" i="84"/>
  <c r="I305" i="81"/>
  <c r="I312" i="81" s="1"/>
  <c r="H9" i="81"/>
  <c r="D63" i="81"/>
  <c r="D70" i="81" s="1"/>
  <c r="C6" i="81"/>
  <c r="C5" i="81" s="1"/>
  <c r="AG6" i="71"/>
  <c r="AG5" i="71" s="1"/>
  <c r="AH14" i="71" s="1"/>
  <c r="Y7" i="114" l="1"/>
  <c r="Z177" i="114"/>
  <c r="Z184" i="114" s="1"/>
  <c r="I241" i="84"/>
  <c r="I248" i="84" s="1"/>
  <c r="H8" i="84"/>
  <c r="J305" i="81"/>
  <c r="J312" i="81" s="1"/>
  <c r="I9" i="81"/>
  <c r="E63" i="81"/>
  <c r="E70" i="81" s="1"/>
  <c r="D6" i="81"/>
  <c r="D5" i="81" s="1"/>
  <c r="Z7" i="114" l="1"/>
  <c r="AA177" i="114"/>
  <c r="AA184" i="114" s="1"/>
  <c r="J241" i="84"/>
  <c r="J248" i="84" s="1"/>
  <c r="I8" i="84"/>
  <c r="K305" i="81"/>
  <c r="K312" i="81" s="1"/>
  <c r="J9" i="81"/>
  <c r="F63" i="81"/>
  <c r="F70" i="81" s="1"/>
  <c r="E6" i="81"/>
  <c r="E5" i="81" s="1"/>
  <c r="AA7" i="114" l="1"/>
  <c r="AB177" i="114"/>
  <c r="AB184" i="114" s="1"/>
  <c r="K241" i="84"/>
  <c r="K248" i="84" s="1"/>
  <c r="J8" i="84"/>
  <c r="L305" i="81"/>
  <c r="L312" i="81" s="1"/>
  <c r="K9" i="81"/>
  <c r="G63" i="81"/>
  <c r="G70" i="81" s="1"/>
  <c r="F6" i="81"/>
  <c r="F5" i="81" s="1"/>
  <c r="AB7" i="114" l="1"/>
  <c r="AC177" i="114"/>
  <c r="AC184" i="114" s="1"/>
  <c r="L241" i="84"/>
  <c r="L248" i="84" s="1"/>
  <c r="K8" i="84"/>
  <c r="M305" i="81"/>
  <c r="M312" i="81" s="1"/>
  <c r="L9" i="81"/>
  <c r="H63" i="81"/>
  <c r="H70" i="81" s="1"/>
  <c r="G6" i="81"/>
  <c r="G5" i="81" s="1"/>
  <c r="AC7" i="114" l="1"/>
  <c r="AD177" i="114"/>
  <c r="AD184" i="114" s="1"/>
  <c r="M241" i="84"/>
  <c r="M248" i="84" s="1"/>
  <c r="L8" i="84"/>
  <c r="N305" i="81"/>
  <c r="N312" i="81" s="1"/>
  <c r="M9" i="81"/>
  <c r="I63" i="81"/>
  <c r="I70" i="81" s="1"/>
  <c r="H6" i="81"/>
  <c r="H5" i="81" s="1"/>
  <c r="AD7" i="114" l="1"/>
  <c r="AE177" i="114"/>
  <c r="AE184" i="114" s="1"/>
  <c r="N241" i="84"/>
  <c r="N248" i="84" s="1"/>
  <c r="M8" i="84"/>
  <c r="O305" i="81"/>
  <c r="O312" i="81" s="1"/>
  <c r="N9" i="81"/>
  <c r="J63" i="81"/>
  <c r="J70" i="81" s="1"/>
  <c r="I6" i="81"/>
  <c r="I5" i="81" s="1"/>
  <c r="AE7" i="114" l="1"/>
  <c r="AF177" i="114"/>
  <c r="AF184" i="114" s="1"/>
  <c r="O241" i="84"/>
  <c r="O248" i="84" s="1"/>
  <c r="N8" i="84"/>
  <c r="P305" i="81"/>
  <c r="P312" i="81" s="1"/>
  <c r="O9" i="81"/>
  <c r="K63" i="81"/>
  <c r="K70" i="81" s="1"/>
  <c r="J6" i="81"/>
  <c r="J5" i="81" s="1"/>
  <c r="AF7" i="114" l="1"/>
  <c r="AG177" i="114"/>
  <c r="AG184" i="114" s="1"/>
  <c r="B150" i="115" s="1"/>
  <c r="B156" i="115" s="1"/>
  <c r="C177" i="115" s="1"/>
  <c r="C184" i="115" s="1"/>
  <c r="P241" i="84"/>
  <c r="P248" i="84" s="1"/>
  <c r="O8" i="84"/>
  <c r="Q305" i="81"/>
  <c r="Q312" i="81" s="1"/>
  <c r="P9" i="81"/>
  <c r="L63" i="81"/>
  <c r="L70" i="81" s="1"/>
  <c r="K6" i="81"/>
  <c r="K5" i="81" s="1"/>
  <c r="D177" i="115" l="1"/>
  <c r="D184" i="115" s="1"/>
  <c r="C7" i="115"/>
  <c r="AG7" i="114"/>
  <c r="Q241" i="84"/>
  <c r="Q248" i="84" s="1"/>
  <c r="P8" i="84"/>
  <c r="R305" i="81"/>
  <c r="R312" i="81" s="1"/>
  <c r="Q9" i="81"/>
  <c r="M63" i="81"/>
  <c r="M70" i="81" s="1"/>
  <c r="L6" i="81"/>
  <c r="L5" i="81" s="1"/>
  <c r="D7" i="115" l="1"/>
  <c r="E177" i="115"/>
  <c r="E184" i="115" s="1"/>
  <c r="R241" i="84"/>
  <c r="R248" i="84" s="1"/>
  <c r="Q8" i="84"/>
  <c r="S305" i="81"/>
  <c r="S312" i="81" s="1"/>
  <c r="R9" i="81"/>
  <c r="N63" i="81"/>
  <c r="N70" i="81" s="1"/>
  <c r="M6" i="81"/>
  <c r="M5" i="81" s="1"/>
  <c r="F177" i="115" l="1"/>
  <c r="F184" i="115" s="1"/>
  <c r="E7" i="115"/>
  <c r="S241" i="84"/>
  <c r="S248" i="84" s="1"/>
  <c r="R8" i="84"/>
  <c r="T305" i="81"/>
  <c r="T312" i="81" s="1"/>
  <c r="S9" i="81"/>
  <c r="O63" i="81"/>
  <c r="O70" i="81" s="1"/>
  <c r="N6" i="81"/>
  <c r="N5" i="81" s="1"/>
  <c r="G177" i="115" l="1"/>
  <c r="G184" i="115" s="1"/>
  <c r="F7" i="115"/>
  <c r="T241" i="84"/>
  <c r="T248" i="84" s="1"/>
  <c r="S8" i="84"/>
  <c r="U305" i="81"/>
  <c r="U312" i="81" s="1"/>
  <c r="T9" i="81"/>
  <c r="P63" i="81"/>
  <c r="P70" i="81" s="1"/>
  <c r="O6" i="81"/>
  <c r="O5" i="81" s="1"/>
  <c r="G7" i="115" l="1"/>
  <c r="H177" i="115"/>
  <c r="H184" i="115" s="1"/>
  <c r="U241" i="84"/>
  <c r="U248" i="84" s="1"/>
  <c r="T8" i="84"/>
  <c r="V305" i="81"/>
  <c r="V312" i="81" s="1"/>
  <c r="U9" i="81"/>
  <c r="Q63" i="81"/>
  <c r="Q70" i="81" s="1"/>
  <c r="P6" i="81"/>
  <c r="P5" i="81" s="1"/>
  <c r="H7" i="115" l="1"/>
  <c r="I177" i="115"/>
  <c r="I184" i="115" s="1"/>
  <c r="V241" i="84"/>
  <c r="V248" i="84" s="1"/>
  <c r="U8" i="84"/>
  <c r="W305" i="81"/>
  <c r="W312" i="81" s="1"/>
  <c r="V9" i="81"/>
  <c r="R63" i="81"/>
  <c r="R70" i="81" s="1"/>
  <c r="Q6" i="81"/>
  <c r="Q5" i="81" s="1"/>
  <c r="J177" i="115" l="1"/>
  <c r="J184" i="115" s="1"/>
  <c r="I7" i="115"/>
  <c r="W241" i="84"/>
  <c r="W248" i="84" s="1"/>
  <c r="V8" i="84"/>
  <c r="X305" i="81"/>
  <c r="X312" i="81" s="1"/>
  <c r="W9" i="81"/>
  <c r="S63" i="81"/>
  <c r="S70" i="81" s="1"/>
  <c r="R6" i="81"/>
  <c r="R5" i="81" s="1"/>
  <c r="K177" i="115" l="1"/>
  <c r="K184" i="115" s="1"/>
  <c r="J7" i="115"/>
  <c r="X241" i="84"/>
  <c r="X248" i="84" s="1"/>
  <c r="W8" i="84"/>
  <c r="Y305" i="81"/>
  <c r="Y312" i="81" s="1"/>
  <c r="X9" i="81"/>
  <c r="T63" i="81"/>
  <c r="T70" i="81" s="1"/>
  <c r="S6" i="81"/>
  <c r="S5" i="81" s="1"/>
  <c r="K7" i="115" l="1"/>
  <c r="L177" i="115"/>
  <c r="L184" i="115" s="1"/>
  <c r="Y241" i="84"/>
  <c r="Y248" i="84" s="1"/>
  <c r="X8" i="84"/>
  <c r="Z305" i="81"/>
  <c r="Z312" i="81" s="1"/>
  <c r="Y9" i="81"/>
  <c r="U63" i="81"/>
  <c r="U70" i="81" s="1"/>
  <c r="T6" i="81"/>
  <c r="T5" i="81" s="1"/>
  <c r="L7" i="115" l="1"/>
  <c r="M177" i="115"/>
  <c r="M184" i="115" s="1"/>
  <c r="Z241" i="84"/>
  <c r="Z248" i="84" s="1"/>
  <c r="Y8" i="84"/>
  <c r="AA305" i="81"/>
  <c r="AA312" i="81" s="1"/>
  <c r="Z9" i="81"/>
  <c r="V63" i="81"/>
  <c r="V70" i="81" s="1"/>
  <c r="U6" i="81"/>
  <c r="U5" i="81" s="1"/>
  <c r="N177" i="115" l="1"/>
  <c r="N184" i="115" s="1"/>
  <c r="M7" i="115"/>
  <c r="AA241" i="84"/>
  <c r="AA248" i="84" s="1"/>
  <c r="Z8" i="84"/>
  <c r="AB305" i="81"/>
  <c r="AB312" i="81" s="1"/>
  <c r="AA9" i="81"/>
  <c r="W63" i="81"/>
  <c r="W70" i="81" s="1"/>
  <c r="V6" i="81"/>
  <c r="V5" i="81" s="1"/>
  <c r="O177" i="115" l="1"/>
  <c r="O184" i="115" s="1"/>
  <c r="N7" i="115"/>
  <c r="AB241" i="84"/>
  <c r="AB248" i="84" s="1"/>
  <c r="AA8" i="84"/>
  <c r="AC305" i="81"/>
  <c r="AC312" i="81" s="1"/>
  <c r="AB9" i="81"/>
  <c r="X63" i="81"/>
  <c r="X70" i="81" s="1"/>
  <c r="W6" i="81"/>
  <c r="W5" i="81" s="1"/>
  <c r="O7" i="115" l="1"/>
  <c r="P177" i="115"/>
  <c r="P184" i="115" s="1"/>
  <c r="AC241" i="84"/>
  <c r="AC248" i="84" s="1"/>
  <c r="AB8" i="84"/>
  <c r="AD305" i="81"/>
  <c r="AD312" i="81" s="1"/>
  <c r="AC9" i="81"/>
  <c r="Y63" i="81"/>
  <c r="Y70" i="81" s="1"/>
  <c r="X6" i="81"/>
  <c r="X5" i="81" s="1"/>
  <c r="P7" i="115" l="1"/>
  <c r="Q177" i="115"/>
  <c r="Q184" i="115" s="1"/>
  <c r="AD241" i="84"/>
  <c r="AD248" i="84" s="1"/>
  <c r="AC8" i="84"/>
  <c r="AE305" i="81"/>
  <c r="AE312" i="81" s="1"/>
  <c r="AD9" i="81"/>
  <c r="Z63" i="81"/>
  <c r="Z70" i="81" s="1"/>
  <c r="Y6" i="81"/>
  <c r="Y5" i="81" s="1"/>
  <c r="R177" i="115" l="1"/>
  <c r="R184" i="115" s="1"/>
  <c r="Q7" i="115"/>
  <c r="AE241" i="84"/>
  <c r="AE248" i="84" s="1"/>
  <c r="AD8" i="84"/>
  <c r="AF305" i="81"/>
  <c r="AF312" i="81" s="1"/>
  <c r="AE9" i="81"/>
  <c r="AA63" i="81"/>
  <c r="AA70" i="81" s="1"/>
  <c r="Z6" i="81"/>
  <c r="Z5" i="81" s="1"/>
  <c r="S177" i="115" l="1"/>
  <c r="S184" i="115" s="1"/>
  <c r="R7" i="115"/>
  <c r="AF241" i="84"/>
  <c r="AF248" i="84" s="1"/>
  <c r="AE8" i="84"/>
  <c r="AG305" i="81"/>
  <c r="AG312" i="81" s="1"/>
  <c r="AF9" i="81"/>
  <c r="AB63" i="81"/>
  <c r="AB70" i="81" s="1"/>
  <c r="AA6" i="81"/>
  <c r="AA5" i="81" s="1"/>
  <c r="S7" i="115" l="1"/>
  <c r="T177" i="115"/>
  <c r="T184" i="115" s="1"/>
  <c r="AG9" i="81"/>
  <c r="B280" i="84"/>
  <c r="B286" i="84" s="1"/>
  <c r="C305" i="84" s="1"/>
  <c r="C312" i="84" s="1"/>
  <c r="AF8" i="84"/>
  <c r="AG241" i="84"/>
  <c r="AG248" i="84" s="1"/>
  <c r="AC63" i="81"/>
  <c r="AC70" i="81" s="1"/>
  <c r="AB6" i="81"/>
  <c r="AB5" i="81" s="1"/>
  <c r="T7" i="115" l="1"/>
  <c r="U177" i="115"/>
  <c r="U184" i="115" s="1"/>
  <c r="AG8" i="84"/>
  <c r="B216" i="88"/>
  <c r="B222" i="88" s="1"/>
  <c r="C241" i="88" s="1"/>
  <c r="C248" i="88" s="1"/>
  <c r="D305" i="84"/>
  <c r="D312" i="84" s="1"/>
  <c r="C9" i="84"/>
  <c r="AD63" i="81"/>
  <c r="AD70" i="81" s="1"/>
  <c r="AC6" i="81"/>
  <c r="AC5" i="81" s="1"/>
  <c r="V177" i="115" l="1"/>
  <c r="V184" i="115" s="1"/>
  <c r="U7" i="115"/>
  <c r="D241" i="88"/>
  <c r="D248" i="88" s="1"/>
  <c r="C8" i="88"/>
  <c r="E305" i="84"/>
  <c r="E312" i="84" s="1"/>
  <c r="D9" i="84"/>
  <c r="AE63" i="81"/>
  <c r="AE70" i="81" s="1"/>
  <c r="AD6" i="81"/>
  <c r="AD5" i="81" s="1"/>
  <c r="W177" i="115" l="1"/>
  <c r="W184" i="115" s="1"/>
  <c r="V7" i="115"/>
  <c r="E241" i="88"/>
  <c r="E248" i="88" s="1"/>
  <c r="D8" i="88"/>
  <c r="F305" i="84"/>
  <c r="F312" i="84" s="1"/>
  <c r="E9" i="84"/>
  <c r="AF63" i="81"/>
  <c r="AF70" i="81" s="1"/>
  <c r="AE6" i="81"/>
  <c r="AE5" i="81" s="1"/>
  <c r="W7" i="115" l="1"/>
  <c r="X177" i="115"/>
  <c r="X184" i="115" s="1"/>
  <c r="F241" i="88"/>
  <c r="F248" i="88" s="1"/>
  <c r="E8" i="88"/>
  <c r="G305" i="84"/>
  <c r="G312" i="84" s="1"/>
  <c r="F9" i="84"/>
  <c r="AG63" i="81"/>
  <c r="AG70" i="81" s="1"/>
  <c r="AF6" i="81"/>
  <c r="AF5" i="81" s="1"/>
  <c r="X7" i="115" l="1"/>
  <c r="Y177" i="115"/>
  <c r="Y184" i="115" s="1"/>
  <c r="G241" i="88"/>
  <c r="G248" i="88" s="1"/>
  <c r="F8" i="88"/>
  <c r="H305" i="84"/>
  <c r="H312" i="84" s="1"/>
  <c r="G9" i="84"/>
  <c r="AG6" i="81"/>
  <c r="AG5" i="81" s="1"/>
  <c r="AH14" i="81" s="1"/>
  <c r="B34" i="84"/>
  <c r="B40" i="84" s="1"/>
  <c r="C63" i="84" s="1"/>
  <c r="C70" i="84" s="1"/>
  <c r="Z177" i="115" l="1"/>
  <c r="Z184" i="115" s="1"/>
  <c r="Y7" i="115"/>
  <c r="H241" i="88"/>
  <c r="H248" i="88" s="1"/>
  <c r="G8" i="88"/>
  <c r="I305" i="84"/>
  <c r="I312" i="84" s="1"/>
  <c r="H9" i="84"/>
  <c r="D63" i="84"/>
  <c r="D70" i="84" s="1"/>
  <c r="C6" i="84"/>
  <c r="C5" i="84" s="1"/>
  <c r="AA177" i="115" l="1"/>
  <c r="AA184" i="115" s="1"/>
  <c r="Z7" i="115"/>
  <c r="I241" i="88"/>
  <c r="I248" i="88" s="1"/>
  <c r="H8" i="88"/>
  <c r="J305" i="84"/>
  <c r="J312" i="84" s="1"/>
  <c r="I9" i="84"/>
  <c r="E63" i="84"/>
  <c r="E70" i="84" s="1"/>
  <c r="D6" i="84"/>
  <c r="D5" i="84" s="1"/>
  <c r="AA7" i="115" l="1"/>
  <c r="AB177" i="115"/>
  <c r="AB184" i="115" s="1"/>
  <c r="J241" i="88"/>
  <c r="J248" i="88" s="1"/>
  <c r="I8" i="88"/>
  <c r="K305" i="84"/>
  <c r="K312" i="84" s="1"/>
  <c r="J9" i="84"/>
  <c r="F63" i="84"/>
  <c r="F70" i="84" s="1"/>
  <c r="E6" i="84"/>
  <c r="E5" i="84" s="1"/>
  <c r="AB7" i="115" l="1"/>
  <c r="AC177" i="115"/>
  <c r="AC184" i="115" s="1"/>
  <c r="K241" i="88"/>
  <c r="K248" i="88" s="1"/>
  <c r="J8" i="88"/>
  <c r="L305" i="84"/>
  <c r="L312" i="84" s="1"/>
  <c r="K9" i="84"/>
  <c r="G63" i="84"/>
  <c r="G70" i="84" s="1"/>
  <c r="F6" i="84"/>
  <c r="F5" i="84" s="1"/>
  <c r="AD177" i="115" l="1"/>
  <c r="AD184" i="115" s="1"/>
  <c r="AC7" i="115"/>
  <c r="L241" i="88"/>
  <c r="L248" i="88" s="1"/>
  <c r="K8" i="88"/>
  <c r="M305" i="84"/>
  <c r="M312" i="84" s="1"/>
  <c r="L9" i="84"/>
  <c r="H63" i="84"/>
  <c r="H70" i="84" s="1"/>
  <c r="G6" i="84"/>
  <c r="G5" i="84" s="1"/>
  <c r="AE177" i="115" l="1"/>
  <c r="AE184" i="115" s="1"/>
  <c r="AD7" i="115"/>
  <c r="M241" i="88"/>
  <c r="M248" i="88" s="1"/>
  <c r="L8" i="88"/>
  <c r="N305" i="84"/>
  <c r="N312" i="84" s="1"/>
  <c r="M9" i="84"/>
  <c r="I63" i="84"/>
  <c r="I70" i="84" s="1"/>
  <c r="H6" i="84"/>
  <c r="H5" i="84" s="1"/>
  <c r="AE7" i="115" l="1"/>
  <c r="AF177" i="115"/>
  <c r="AF184" i="115" s="1"/>
  <c r="N241" i="88"/>
  <c r="N248" i="88" s="1"/>
  <c r="M8" i="88"/>
  <c r="O305" i="84"/>
  <c r="O312" i="84" s="1"/>
  <c r="N9" i="84"/>
  <c r="J63" i="84"/>
  <c r="J70" i="84" s="1"/>
  <c r="I6" i="84"/>
  <c r="I5" i="84" s="1"/>
  <c r="AF7" i="115" l="1"/>
  <c r="AG177" i="115"/>
  <c r="AG184" i="115" s="1"/>
  <c r="O241" i="88"/>
  <c r="O248" i="88" s="1"/>
  <c r="N8" i="88"/>
  <c r="P305" i="84"/>
  <c r="P312" i="84" s="1"/>
  <c r="O9" i="84"/>
  <c r="K63" i="84"/>
  <c r="K70" i="84" s="1"/>
  <c r="K6" i="84" s="1"/>
  <c r="J6" i="84"/>
  <c r="J5" i="84" s="1"/>
  <c r="AG7" i="115" l="1"/>
  <c r="B150" i="119"/>
  <c r="B156" i="119" s="1"/>
  <c r="C177" i="119" s="1"/>
  <c r="C184" i="119" s="1"/>
  <c r="P241" i="88"/>
  <c r="P248" i="88" s="1"/>
  <c r="O8" i="88"/>
  <c r="Q305" i="84"/>
  <c r="Q312" i="84" s="1"/>
  <c r="P9" i="84"/>
  <c r="L63" i="84"/>
  <c r="L70" i="84" s="1"/>
  <c r="K5" i="84"/>
  <c r="D177" i="119" l="1"/>
  <c r="D184" i="119" s="1"/>
  <c r="C7" i="119"/>
  <c r="Q241" i="88"/>
  <c r="Q248" i="88" s="1"/>
  <c r="P8" i="88"/>
  <c r="R305" i="84"/>
  <c r="R312" i="84" s="1"/>
  <c r="Q9" i="84"/>
  <c r="M63" i="84"/>
  <c r="M70" i="84" s="1"/>
  <c r="L6" i="84"/>
  <c r="L5" i="84" s="1"/>
  <c r="E177" i="119" l="1"/>
  <c r="E184" i="119" s="1"/>
  <c r="D7" i="119"/>
  <c r="R241" i="88"/>
  <c r="R248" i="88" s="1"/>
  <c r="Q8" i="88"/>
  <c r="S305" i="84"/>
  <c r="S312" i="84" s="1"/>
  <c r="R9" i="84"/>
  <c r="N63" i="84"/>
  <c r="N70" i="84" s="1"/>
  <c r="M6" i="84"/>
  <c r="M5" i="84" s="1"/>
  <c r="F177" i="119" l="1"/>
  <c r="F184" i="119" s="1"/>
  <c r="E7" i="119"/>
  <c r="S241" i="88"/>
  <c r="S248" i="88" s="1"/>
  <c r="R8" i="88"/>
  <c r="T305" i="84"/>
  <c r="T312" i="84" s="1"/>
  <c r="S9" i="84"/>
  <c r="O63" i="84"/>
  <c r="O70" i="84" s="1"/>
  <c r="N6" i="84"/>
  <c r="N5" i="84" s="1"/>
  <c r="G177" i="119" l="1"/>
  <c r="G184" i="119" s="1"/>
  <c r="F7" i="119"/>
  <c r="T241" i="88"/>
  <c r="T248" i="88" s="1"/>
  <c r="S8" i="88"/>
  <c r="U305" i="84"/>
  <c r="U312" i="84" s="1"/>
  <c r="T9" i="84"/>
  <c r="P63" i="84"/>
  <c r="P70" i="84" s="1"/>
  <c r="O6" i="84"/>
  <c r="O5" i="84" s="1"/>
  <c r="H177" i="119" l="1"/>
  <c r="H184" i="119" s="1"/>
  <c r="G7" i="119"/>
  <c r="U241" i="88"/>
  <c r="U248" i="88" s="1"/>
  <c r="T8" i="88"/>
  <c r="V305" i="84"/>
  <c r="V312" i="84" s="1"/>
  <c r="U9" i="84"/>
  <c r="Q63" i="84"/>
  <c r="Q70" i="84" s="1"/>
  <c r="P6" i="84"/>
  <c r="P5" i="84" s="1"/>
  <c r="I177" i="119" l="1"/>
  <c r="I184" i="119" s="1"/>
  <c r="H7" i="119"/>
  <c r="V241" i="88"/>
  <c r="V248" i="88" s="1"/>
  <c r="U8" i="88"/>
  <c r="W305" i="84"/>
  <c r="W312" i="84" s="1"/>
  <c r="V9" i="84"/>
  <c r="R63" i="84"/>
  <c r="R70" i="84" s="1"/>
  <c r="Q6" i="84"/>
  <c r="Q5" i="84" s="1"/>
  <c r="I7" i="119" l="1"/>
  <c r="J177" i="119"/>
  <c r="J184" i="119" s="1"/>
  <c r="W241" i="88"/>
  <c r="W248" i="88" s="1"/>
  <c r="V8" i="88"/>
  <c r="X305" i="84"/>
  <c r="X312" i="84" s="1"/>
  <c r="W9" i="84"/>
  <c r="S63" i="84"/>
  <c r="S70" i="84" s="1"/>
  <c r="R6" i="84"/>
  <c r="R5" i="84" s="1"/>
  <c r="J7" i="119" l="1"/>
  <c r="K177" i="119"/>
  <c r="K184" i="119" s="1"/>
  <c r="X241" i="88"/>
  <c r="X248" i="88" s="1"/>
  <c r="W8" i="88"/>
  <c r="Y305" i="84"/>
  <c r="Y312" i="84" s="1"/>
  <c r="X9" i="84"/>
  <c r="T63" i="84"/>
  <c r="T70" i="84" s="1"/>
  <c r="S6" i="84"/>
  <c r="S5" i="84" s="1"/>
  <c r="K7" i="119" l="1"/>
  <c r="L177" i="119"/>
  <c r="L184" i="119" s="1"/>
  <c r="Y241" i="88"/>
  <c r="Y248" i="88" s="1"/>
  <c r="X8" i="88"/>
  <c r="Z305" i="84"/>
  <c r="Z312" i="84" s="1"/>
  <c r="Y9" i="84"/>
  <c r="U63" i="84"/>
  <c r="U70" i="84" s="1"/>
  <c r="T6" i="84"/>
  <c r="T5" i="84" s="1"/>
  <c r="M177" i="119" l="1"/>
  <c r="M184" i="119" s="1"/>
  <c r="L7" i="119"/>
  <c r="Z241" i="88"/>
  <c r="Z248" i="88" s="1"/>
  <c r="Y8" i="88"/>
  <c r="AA305" i="84"/>
  <c r="AA312" i="84" s="1"/>
  <c r="Z9" i="84"/>
  <c r="V63" i="84"/>
  <c r="V70" i="84" s="1"/>
  <c r="U6" i="84"/>
  <c r="U5" i="84" s="1"/>
  <c r="N177" i="119" l="1"/>
  <c r="N184" i="119" s="1"/>
  <c r="M7" i="119"/>
  <c r="AA241" i="88"/>
  <c r="AA248" i="88" s="1"/>
  <c r="Z8" i="88"/>
  <c r="AB305" i="84"/>
  <c r="AB312" i="84" s="1"/>
  <c r="AA9" i="84"/>
  <c r="W63" i="84"/>
  <c r="W70" i="84" s="1"/>
  <c r="V6" i="84"/>
  <c r="V5" i="84" s="1"/>
  <c r="N7" i="119" l="1"/>
  <c r="O177" i="119"/>
  <c r="O184" i="119" s="1"/>
  <c r="AB241" i="88"/>
  <c r="AB248" i="88" s="1"/>
  <c r="AA8" i="88"/>
  <c r="AC305" i="84"/>
  <c r="AC312" i="84" s="1"/>
  <c r="AB9" i="84"/>
  <c r="X63" i="84"/>
  <c r="X70" i="84" s="1"/>
  <c r="W6" i="84"/>
  <c r="W5" i="84" s="1"/>
  <c r="O7" i="119" l="1"/>
  <c r="P177" i="119"/>
  <c r="P184" i="119" s="1"/>
  <c r="AC241" i="88"/>
  <c r="AC248" i="88" s="1"/>
  <c r="AB8" i="88"/>
  <c r="AD305" i="84"/>
  <c r="AD312" i="84" s="1"/>
  <c r="AC9" i="84"/>
  <c r="Y63" i="84"/>
  <c r="Y70" i="84" s="1"/>
  <c r="X6" i="84"/>
  <c r="X5" i="84" s="1"/>
  <c r="Q177" i="119" l="1"/>
  <c r="Q184" i="119" s="1"/>
  <c r="P7" i="119"/>
  <c r="AD241" i="88"/>
  <c r="AD248" i="88" s="1"/>
  <c r="AC8" i="88"/>
  <c r="AE305" i="84"/>
  <c r="AE312" i="84" s="1"/>
  <c r="AD9" i="84"/>
  <c r="Z63" i="84"/>
  <c r="Z70" i="84" s="1"/>
  <c r="Y6" i="84"/>
  <c r="Y5" i="84" s="1"/>
  <c r="R177" i="119" l="1"/>
  <c r="R184" i="119" s="1"/>
  <c r="Q7" i="119"/>
  <c r="AE241" i="88"/>
  <c r="AE248" i="88" s="1"/>
  <c r="AD8" i="88"/>
  <c r="AF305" i="84"/>
  <c r="AF312" i="84" s="1"/>
  <c r="AE9" i="84"/>
  <c r="AA63" i="84"/>
  <c r="AA70" i="84" s="1"/>
  <c r="Z6" i="84"/>
  <c r="Z5" i="84" s="1"/>
  <c r="R7" i="119" l="1"/>
  <c r="S177" i="119"/>
  <c r="S184" i="119" s="1"/>
  <c r="AF241" i="88"/>
  <c r="AF248" i="88" s="1"/>
  <c r="AE8" i="88"/>
  <c r="AG305" i="84"/>
  <c r="AG312" i="84" s="1"/>
  <c r="AF9" i="84"/>
  <c r="AB63" i="84"/>
  <c r="AB70" i="84" s="1"/>
  <c r="AA6" i="84"/>
  <c r="AA5" i="84" s="1"/>
  <c r="S7" i="119" l="1"/>
  <c r="T177" i="119"/>
  <c r="T184" i="119" s="1"/>
  <c r="AG241" i="88"/>
  <c r="AG248" i="88" s="1"/>
  <c r="AF8" i="88"/>
  <c r="AG9" i="84"/>
  <c r="B280" i="88"/>
  <c r="B286" i="88" s="1"/>
  <c r="C305" i="88" s="1"/>
  <c r="C312" i="88" s="1"/>
  <c r="AC63" i="84"/>
  <c r="AC70" i="84" s="1"/>
  <c r="AB6" i="84"/>
  <c r="AB5" i="84" s="1"/>
  <c r="U177" i="119" l="1"/>
  <c r="U184" i="119" s="1"/>
  <c r="T7" i="119"/>
  <c r="AG8" i="88"/>
  <c r="B215" i="90"/>
  <c r="B221" i="90" s="1"/>
  <c r="C240" i="90" s="1"/>
  <c r="C247" i="90" s="1"/>
  <c r="D305" i="88"/>
  <c r="D312" i="88" s="1"/>
  <c r="C9" i="88"/>
  <c r="AD63" i="84"/>
  <c r="AD70" i="84" s="1"/>
  <c r="AC6" i="84"/>
  <c r="AC5" i="84" s="1"/>
  <c r="U7" i="119" l="1"/>
  <c r="V177" i="119"/>
  <c r="V184" i="119" s="1"/>
  <c r="D240" i="90"/>
  <c r="D247" i="90" s="1"/>
  <c r="C8" i="90"/>
  <c r="E305" i="88"/>
  <c r="E312" i="88" s="1"/>
  <c r="D9" i="88"/>
  <c r="AE63" i="84"/>
  <c r="AE70" i="84" s="1"/>
  <c r="AD6" i="84"/>
  <c r="AD5" i="84" s="1"/>
  <c r="W177" i="119" l="1"/>
  <c r="W184" i="119" s="1"/>
  <c r="V7" i="119"/>
  <c r="E240" i="90"/>
  <c r="E247" i="90" s="1"/>
  <c r="D8" i="90"/>
  <c r="F305" i="88"/>
  <c r="F312" i="88" s="1"/>
  <c r="E9" i="88"/>
  <c r="AF63" i="84"/>
  <c r="AF70" i="84" s="1"/>
  <c r="AE6" i="84"/>
  <c r="AE5" i="84" s="1"/>
  <c r="X177" i="119" l="1"/>
  <c r="X184" i="119" s="1"/>
  <c r="W7" i="119"/>
  <c r="F240" i="90"/>
  <c r="F247" i="90" s="1"/>
  <c r="E8" i="90"/>
  <c r="G305" i="88"/>
  <c r="G312" i="88" s="1"/>
  <c r="F9" i="88"/>
  <c r="AG63" i="84"/>
  <c r="AG70" i="84" s="1"/>
  <c r="AF6" i="84"/>
  <c r="AF5" i="84" s="1"/>
  <c r="X7" i="119" l="1"/>
  <c r="Y177" i="119"/>
  <c r="Y184" i="119" s="1"/>
  <c r="G240" i="90"/>
  <c r="G247" i="90" s="1"/>
  <c r="F8" i="90"/>
  <c r="AG6" i="84"/>
  <c r="AG5" i="84" s="1"/>
  <c r="AH14" i="84" s="1"/>
  <c r="B34" i="88"/>
  <c r="B40" i="88" s="1"/>
  <c r="C63" i="88" s="1"/>
  <c r="C70" i="88" s="1"/>
  <c r="H305" i="88"/>
  <c r="H312" i="88" s="1"/>
  <c r="G9" i="88"/>
  <c r="Z177" i="119" l="1"/>
  <c r="Z184" i="119" s="1"/>
  <c r="Y7" i="119"/>
  <c r="H240" i="90"/>
  <c r="H247" i="90" s="1"/>
  <c r="G8" i="90"/>
  <c r="D63" i="88"/>
  <c r="D70" i="88" s="1"/>
  <c r="C6" i="88"/>
  <c r="C5" i="88" s="1"/>
  <c r="I305" i="88"/>
  <c r="I312" i="88" s="1"/>
  <c r="H9" i="88"/>
  <c r="AA177" i="119" l="1"/>
  <c r="AA184" i="119" s="1"/>
  <c r="Z7" i="119"/>
  <c r="I240" i="90"/>
  <c r="I247" i="90" s="1"/>
  <c r="H8" i="90"/>
  <c r="E63" i="88"/>
  <c r="E70" i="88" s="1"/>
  <c r="D6" i="88"/>
  <c r="D5" i="88" s="1"/>
  <c r="J305" i="88"/>
  <c r="J312" i="88" s="1"/>
  <c r="I9" i="88"/>
  <c r="AA7" i="119" l="1"/>
  <c r="AB177" i="119"/>
  <c r="AB184" i="119" s="1"/>
  <c r="J240" i="90"/>
  <c r="J247" i="90" s="1"/>
  <c r="I8" i="90"/>
  <c r="F63" i="88"/>
  <c r="F70" i="88" s="1"/>
  <c r="E6" i="88"/>
  <c r="E5" i="88" s="1"/>
  <c r="J9" i="88"/>
  <c r="K305" i="88"/>
  <c r="K312" i="88" s="1"/>
  <c r="AB7" i="119" l="1"/>
  <c r="AC177" i="119"/>
  <c r="AC184" i="119" s="1"/>
  <c r="K240" i="90"/>
  <c r="K247" i="90" s="1"/>
  <c r="J8" i="90"/>
  <c r="G63" i="88"/>
  <c r="G70" i="88" s="1"/>
  <c r="F6" i="88"/>
  <c r="F5" i="88" s="1"/>
  <c r="L305" i="88"/>
  <c r="L312" i="88" s="1"/>
  <c r="K9" i="88"/>
  <c r="AC7" i="119" l="1"/>
  <c r="AD177" i="119"/>
  <c r="AD184" i="119" s="1"/>
  <c r="L240" i="90"/>
  <c r="L247" i="90" s="1"/>
  <c r="K8" i="90"/>
  <c r="H63" i="88"/>
  <c r="H70" i="88" s="1"/>
  <c r="G6" i="88"/>
  <c r="G5" i="88" s="1"/>
  <c r="M305" i="88"/>
  <c r="M312" i="88" s="1"/>
  <c r="L9" i="88"/>
  <c r="AD7" i="119" l="1"/>
  <c r="AE177" i="119"/>
  <c r="AE184" i="119" s="1"/>
  <c r="M240" i="90"/>
  <c r="M247" i="90" s="1"/>
  <c r="L8" i="90"/>
  <c r="I63" i="88"/>
  <c r="I70" i="88" s="1"/>
  <c r="H6" i="88"/>
  <c r="H5" i="88" s="1"/>
  <c r="N305" i="88"/>
  <c r="N312" i="88" s="1"/>
  <c r="M9" i="88"/>
  <c r="B150" i="122" l="1"/>
  <c r="B156" i="122" s="1"/>
  <c r="C177" i="122" s="1"/>
  <c r="C184" i="122" s="1"/>
  <c r="C7" i="122" s="1"/>
  <c r="AE7" i="119"/>
  <c r="AF177" i="119"/>
  <c r="AF184" i="119" s="1"/>
  <c r="N240" i="90"/>
  <c r="N247" i="90" s="1"/>
  <c r="M8" i="90"/>
  <c r="J63" i="88"/>
  <c r="J70" i="88" s="1"/>
  <c r="I6" i="88"/>
  <c r="I5" i="88" s="1"/>
  <c r="O305" i="88"/>
  <c r="O312" i="88" s="1"/>
  <c r="N9" i="88"/>
  <c r="D177" i="122" l="1"/>
  <c r="D184" i="122" s="1"/>
  <c r="D7" i="122" s="1"/>
  <c r="AG177" i="119"/>
  <c r="AG184" i="119" s="1"/>
  <c r="AG7" i="119" s="1"/>
  <c r="AF7" i="119"/>
  <c r="O240" i="90"/>
  <c r="O247" i="90" s="1"/>
  <c r="N8" i="90"/>
  <c r="K63" i="88"/>
  <c r="K70" i="88" s="1"/>
  <c r="J6" i="88"/>
  <c r="J5" i="88" s="1"/>
  <c r="P305" i="88"/>
  <c r="P312" i="88" s="1"/>
  <c r="O9" i="88"/>
  <c r="E177" i="122" l="1"/>
  <c r="E184" i="122" s="1"/>
  <c r="E7" i="122" s="1"/>
  <c r="P240" i="90"/>
  <c r="P247" i="90" s="1"/>
  <c r="O8" i="90"/>
  <c r="L63" i="88"/>
  <c r="L70" i="88" s="1"/>
  <c r="K6" i="88"/>
  <c r="K5" i="88" s="1"/>
  <c r="Q305" i="88"/>
  <c r="Q312" i="88" s="1"/>
  <c r="P9" i="88"/>
  <c r="F177" i="122" l="1"/>
  <c r="F184" i="122" s="1"/>
  <c r="G177" i="122" s="1"/>
  <c r="G184" i="122" s="1"/>
  <c r="Q240" i="90"/>
  <c r="Q247" i="90" s="1"/>
  <c r="P8" i="90"/>
  <c r="M63" i="88"/>
  <c r="M70" i="88" s="1"/>
  <c r="L6" i="88"/>
  <c r="L5" i="88" s="1"/>
  <c r="R305" i="88"/>
  <c r="R312" i="88" s="1"/>
  <c r="Q9" i="88"/>
  <c r="F7" i="122" l="1"/>
  <c r="H177" i="122"/>
  <c r="H184" i="122" s="1"/>
  <c r="G7" i="122"/>
  <c r="R240" i="90"/>
  <c r="R247" i="90" s="1"/>
  <c r="Q8" i="90"/>
  <c r="N63" i="88"/>
  <c r="N70" i="88" s="1"/>
  <c r="M6" i="88"/>
  <c r="M5" i="88" s="1"/>
  <c r="S305" i="88"/>
  <c r="S312" i="88" s="1"/>
  <c r="R9" i="88"/>
  <c r="I177" i="122" l="1"/>
  <c r="I184" i="122" s="1"/>
  <c r="H7" i="122"/>
  <c r="S240" i="90"/>
  <c r="S247" i="90" s="1"/>
  <c r="R8" i="90"/>
  <c r="O63" i="88"/>
  <c r="O70" i="88" s="1"/>
  <c r="N6" i="88"/>
  <c r="N5" i="88" s="1"/>
  <c r="T305" i="88"/>
  <c r="T312" i="88" s="1"/>
  <c r="S9" i="88"/>
  <c r="J177" i="122" l="1"/>
  <c r="J184" i="122" s="1"/>
  <c r="I7" i="122"/>
  <c r="T240" i="90"/>
  <c r="T247" i="90" s="1"/>
  <c r="S8" i="90"/>
  <c r="P63" i="88"/>
  <c r="P70" i="88" s="1"/>
  <c r="O6" i="88"/>
  <c r="O5" i="88" s="1"/>
  <c r="U305" i="88"/>
  <c r="U312" i="88" s="1"/>
  <c r="T9" i="88"/>
  <c r="J7" i="122" l="1"/>
  <c r="K177" i="122"/>
  <c r="K184" i="122" s="1"/>
  <c r="U240" i="90"/>
  <c r="U247" i="90" s="1"/>
  <c r="T8" i="90"/>
  <c r="Q63" i="88"/>
  <c r="Q70" i="88" s="1"/>
  <c r="P6" i="88"/>
  <c r="P5" i="88" s="1"/>
  <c r="V305" i="88"/>
  <c r="V312" i="88" s="1"/>
  <c r="U9" i="88"/>
  <c r="L177" i="122" l="1"/>
  <c r="L184" i="122" s="1"/>
  <c r="K7" i="122"/>
  <c r="V240" i="90"/>
  <c r="V247" i="90" s="1"/>
  <c r="U8" i="90"/>
  <c r="R63" i="88"/>
  <c r="R70" i="88" s="1"/>
  <c r="Q6" i="88"/>
  <c r="Q5" i="88" s="1"/>
  <c r="W305" i="88"/>
  <c r="W312" i="88" s="1"/>
  <c r="V9" i="88"/>
  <c r="L7" i="122" l="1"/>
  <c r="M177" i="122"/>
  <c r="M184" i="122" s="1"/>
  <c r="W240" i="90"/>
  <c r="W247" i="90" s="1"/>
  <c r="V8" i="90"/>
  <c r="S63" i="88"/>
  <c r="S70" i="88" s="1"/>
  <c r="R6" i="88"/>
  <c r="R5" i="88" s="1"/>
  <c r="X305" i="88"/>
  <c r="X312" i="88" s="1"/>
  <c r="W9" i="88"/>
  <c r="M7" i="122" l="1"/>
  <c r="N177" i="122"/>
  <c r="N184" i="122" s="1"/>
  <c r="X240" i="90"/>
  <c r="X247" i="90" s="1"/>
  <c r="W8" i="90"/>
  <c r="T63" i="88"/>
  <c r="T70" i="88" s="1"/>
  <c r="S6" i="88"/>
  <c r="S5" i="88" s="1"/>
  <c r="Y305" i="88"/>
  <c r="Y312" i="88" s="1"/>
  <c r="X9" i="88"/>
  <c r="N7" i="122" l="1"/>
  <c r="O177" i="122"/>
  <c r="O184" i="122" s="1"/>
  <c r="Y240" i="90"/>
  <c r="Y247" i="90" s="1"/>
  <c r="X8" i="90"/>
  <c r="U63" i="88"/>
  <c r="U70" i="88" s="1"/>
  <c r="T6" i="88"/>
  <c r="T5" i="88" s="1"/>
  <c r="Z305" i="88"/>
  <c r="Z312" i="88" s="1"/>
  <c r="Y9" i="88"/>
  <c r="P177" i="122" l="1"/>
  <c r="P184" i="122" s="1"/>
  <c r="O7" i="122"/>
  <c r="Z240" i="90"/>
  <c r="Z247" i="90" s="1"/>
  <c r="Y8" i="90"/>
  <c r="V63" i="88"/>
  <c r="V70" i="88" s="1"/>
  <c r="U6" i="88"/>
  <c r="U5" i="88" s="1"/>
  <c r="AA305" i="88"/>
  <c r="AA312" i="88" s="1"/>
  <c r="Z9" i="88"/>
  <c r="Q177" i="122" l="1"/>
  <c r="Q184" i="122" s="1"/>
  <c r="P7" i="122"/>
  <c r="AA240" i="90"/>
  <c r="AA247" i="90" s="1"/>
  <c r="Z8" i="90"/>
  <c r="W63" i="88"/>
  <c r="W70" i="88" s="1"/>
  <c r="V6" i="88"/>
  <c r="V5" i="88" s="1"/>
  <c r="AB305" i="88"/>
  <c r="AB312" i="88" s="1"/>
  <c r="AA9" i="88"/>
  <c r="Q7" i="122" l="1"/>
  <c r="R177" i="122"/>
  <c r="R184" i="122" s="1"/>
  <c r="AB240" i="90"/>
  <c r="AB247" i="90" s="1"/>
  <c r="AA8" i="90"/>
  <c r="X63" i="88"/>
  <c r="X70" i="88" s="1"/>
  <c r="W6" i="88"/>
  <c r="W5" i="88" s="1"/>
  <c r="AC305" i="88"/>
  <c r="AC312" i="88" s="1"/>
  <c r="AB9" i="88"/>
  <c r="R7" i="122" l="1"/>
  <c r="S177" i="122"/>
  <c r="S184" i="122" s="1"/>
  <c r="AC240" i="90"/>
  <c r="AC247" i="90" s="1"/>
  <c r="AB8" i="90"/>
  <c r="Y63" i="88"/>
  <c r="Y70" i="88" s="1"/>
  <c r="X6" i="88"/>
  <c r="X5" i="88" s="1"/>
  <c r="AD305" i="88"/>
  <c r="AD312" i="88" s="1"/>
  <c r="AC9" i="88"/>
  <c r="S7" i="122" l="1"/>
  <c r="T177" i="122"/>
  <c r="T184" i="122" s="1"/>
  <c r="AD240" i="90"/>
  <c r="AD247" i="90" s="1"/>
  <c r="AC8" i="90"/>
  <c r="Z63" i="88"/>
  <c r="Z70" i="88" s="1"/>
  <c r="Y6" i="88"/>
  <c r="Y5" i="88" s="1"/>
  <c r="AE305" i="88"/>
  <c r="AE312" i="88" s="1"/>
  <c r="AD9" i="88"/>
  <c r="U177" i="122" l="1"/>
  <c r="U184" i="122" s="1"/>
  <c r="T7" i="122"/>
  <c r="AE240" i="90"/>
  <c r="AE247" i="90" s="1"/>
  <c r="AD8" i="90"/>
  <c r="AA63" i="88"/>
  <c r="AA70" i="88" s="1"/>
  <c r="AA6" i="88" s="1"/>
  <c r="Z6" i="88"/>
  <c r="Z5" i="88" s="1"/>
  <c r="AF305" i="88"/>
  <c r="AF312" i="88" s="1"/>
  <c r="AE9" i="88"/>
  <c r="V177" i="122" l="1"/>
  <c r="V184" i="122" s="1"/>
  <c r="U7" i="122"/>
  <c r="AF240" i="90"/>
  <c r="AF247" i="90" s="1"/>
  <c r="AE8" i="90"/>
  <c r="AB63" i="88"/>
  <c r="AB70" i="88" s="1"/>
  <c r="AA5" i="88"/>
  <c r="AG305" i="88"/>
  <c r="AG312" i="88" s="1"/>
  <c r="AF9" i="88"/>
  <c r="W177" i="122" l="1"/>
  <c r="W184" i="122" s="1"/>
  <c r="V7" i="122"/>
  <c r="AG240" i="90"/>
  <c r="AG247" i="90" s="1"/>
  <c r="AF8" i="90"/>
  <c r="AG9" i="88"/>
  <c r="B279" i="90"/>
  <c r="B285" i="90" s="1"/>
  <c r="C304" i="90" s="1"/>
  <c r="C311" i="90" s="1"/>
  <c r="AC63" i="88"/>
  <c r="AC70" i="88" s="1"/>
  <c r="AB6" i="88"/>
  <c r="AB5" i="88" s="1"/>
  <c r="W7" i="122" l="1"/>
  <c r="X177" i="122"/>
  <c r="X184" i="122" s="1"/>
  <c r="AG8" i="90"/>
  <c r="B215" i="93"/>
  <c r="B221" i="93" s="1"/>
  <c r="C240" i="93" s="1"/>
  <c r="C247" i="93" s="1"/>
  <c r="D304" i="90"/>
  <c r="D311" i="90" s="1"/>
  <c r="C9" i="90"/>
  <c r="AD63" i="88"/>
  <c r="AD70" i="88" s="1"/>
  <c r="AC6" i="88"/>
  <c r="AC5" i="88" s="1"/>
  <c r="X7" i="122" l="1"/>
  <c r="Y177" i="122"/>
  <c r="Y184" i="122" s="1"/>
  <c r="C8" i="93"/>
  <c r="D240" i="93"/>
  <c r="D247" i="93" s="1"/>
  <c r="E304" i="90"/>
  <c r="E311" i="90" s="1"/>
  <c r="D9" i="90"/>
  <c r="AE63" i="88"/>
  <c r="AE70" i="88" s="1"/>
  <c r="AD6" i="88"/>
  <c r="AD5" i="88" s="1"/>
  <c r="Y7" i="122" l="1"/>
  <c r="Z177" i="122"/>
  <c r="Z184" i="122" s="1"/>
  <c r="D8" i="93"/>
  <c r="E240" i="93"/>
  <c r="E247" i="93" s="1"/>
  <c r="F304" i="90"/>
  <c r="F311" i="90" s="1"/>
  <c r="E9" i="90"/>
  <c r="AF63" i="88"/>
  <c r="AF70" i="88" s="1"/>
  <c r="AE6" i="88"/>
  <c r="AE5" i="88" s="1"/>
  <c r="Z7" i="122" l="1"/>
  <c r="AA177" i="122"/>
  <c r="AA184" i="122" s="1"/>
  <c r="E8" i="93"/>
  <c r="F240" i="93"/>
  <c r="F247" i="93" s="1"/>
  <c r="G304" i="90"/>
  <c r="G311" i="90" s="1"/>
  <c r="F9" i="90"/>
  <c r="AG63" i="88"/>
  <c r="AG70" i="88" s="1"/>
  <c r="AF6" i="88"/>
  <c r="AF5" i="88" s="1"/>
  <c r="AA7" i="122" l="1"/>
  <c r="AB177" i="122"/>
  <c r="AB184" i="122" s="1"/>
  <c r="G240" i="93"/>
  <c r="G247" i="93" s="1"/>
  <c r="F8" i="93"/>
  <c r="H304" i="90"/>
  <c r="H311" i="90" s="1"/>
  <c r="G9" i="90"/>
  <c r="AG6" i="88"/>
  <c r="AG5" i="88" s="1"/>
  <c r="AH14" i="88" s="1"/>
  <c r="B34" i="90"/>
  <c r="B40" i="90" s="1"/>
  <c r="C63" i="90" s="1"/>
  <c r="C70" i="90" s="1"/>
  <c r="AB7" i="122" l="1"/>
  <c r="AC177" i="122"/>
  <c r="AC184" i="122" s="1"/>
  <c r="H240" i="93"/>
  <c r="H247" i="93" s="1"/>
  <c r="G8" i="93"/>
  <c r="I304" i="90"/>
  <c r="I311" i="90" s="1"/>
  <c r="H9" i="90"/>
  <c r="D63" i="90"/>
  <c r="D70" i="90" s="1"/>
  <c r="C6" i="90"/>
  <c r="C5" i="90" s="1"/>
  <c r="AD177" i="122" l="1"/>
  <c r="AD184" i="122" s="1"/>
  <c r="AC7" i="122"/>
  <c r="I240" i="93"/>
  <c r="I247" i="93" s="1"/>
  <c r="H8" i="93"/>
  <c r="J304" i="90"/>
  <c r="J311" i="90" s="1"/>
  <c r="I9" i="90"/>
  <c r="E63" i="90"/>
  <c r="E70" i="90" s="1"/>
  <c r="D6" i="90"/>
  <c r="D5" i="90" s="1"/>
  <c r="AD7" i="122" l="1"/>
  <c r="AE177" i="122"/>
  <c r="AE184" i="122" s="1"/>
  <c r="I8" i="93"/>
  <c r="J240" i="93"/>
  <c r="J247" i="93" s="1"/>
  <c r="K304" i="90"/>
  <c r="K311" i="90" s="1"/>
  <c r="J9" i="90"/>
  <c r="F63" i="90"/>
  <c r="F70" i="90" s="1"/>
  <c r="E6" i="90"/>
  <c r="E5" i="90" s="1"/>
  <c r="AE7" i="122" l="1"/>
  <c r="AF177" i="122"/>
  <c r="AF184" i="122" s="1"/>
  <c r="K240" i="93"/>
  <c r="K247" i="93" s="1"/>
  <c r="J8" i="93"/>
  <c r="L304" i="90"/>
  <c r="L311" i="90" s="1"/>
  <c r="K9" i="90"/>
  <c r="G63" i="90"/>
  <c r="G70" i="90" s="1"/>
  <c r="F6" i="90"/>
  <c r="F5" i="90" s="1"/>
  <c r="AG177" i="122" l="1"/>
  <c r="AG184" i="122" s="1"/>
  <c r="AF7" i="122"/>
  <c r="L240" i="93"/>
  <c r="L247" i="93" s="1"/>
  <c r="K8" i="93"/>
  <c r="M304" i="90"/>
  <c r="M311" i="90" s="1"/>
  <c r="L9" i="90"/>
  <c r="H63" i="90"/>
  <c r="H70" i="90" s="1"/>
  <c r="G6" i="90"/>
  <c r="G5" i="90" s="1"/>
  <c r="AG7" i="122" l="1"/>
  <c r="B150" i="123"/>
  <c r="B156" i="123" s="1"/>
  <c r="C177" i="123" s="1"/>
  <c r="C184" i="123" s="1"/>
  <c r="L8" i="93"/>
  <c r="M240" i="93"/>
  <c r="M247" i="93" s="1"/>
  <c r="N304" i="90"/>
  <c r="N311" i="90" s="1"/>
  <c r="M9" i="90"/>
  <c r="I63" i="90"/>
  <c r="I70" i="90" s="1"/>
  <c r="H6" i="90"/>
  <c r="H5" i="90" s="1"/>
  <c r="C7" i="123" l="1"/>
  <c r="D177" i="123"/>
  <c r="D184" i="123" s="1"/>
  <c r="M8" i="93"/>
  <c r="N240" i="93"/>
  <c r="N247" i="93" s="1"/>
  <c r="O304" i="90"/>
  <c r="O311" i="90" s="1"/>
  <c r="N9" i="90"/>
  <c r="J63" i="90"/>
  <c r="J70" i="90" s="1"/>
  <c r="I6" i="90"/>
  <c r="I5" i="90" s="1"/>
  <c r="E177" i="123" l="1"/>
  <c r="E184" i="123" s="1"/>
  <c r="D7" i="123"/>
  <c r="O240" i="93"/>
  <c r="O247" i="93" s="1"/>
  <c r="N8" i="93"/>
  <c r="P304" i="90"/>
  <c r="P311" i="90" s="1"/>
  <c r="O9" i="90"/>
  <c r="K63" i="90"/>
  <c r="K70" i="90" s="1"/>
  <c r="J6" i="90"/>
  <c r="J5" i="90" s="1"/>
  <c r="F177" i="123" l="1"/>
  <c r="F184" i="123" s="1"/>
  <c r="E7" i="123"/>
  <c r="P240" i="93"/>
  <c r="P247" i="93" s="1"/>
  <c r="O8" i="93"/>
  <c r="Q304" i="90"/>
  <c r="Q311" i="90" s="1"/>
  <c r="P9" i="90"/>
  <c r="L63" i="90"/>
  <c r="L70" i="90" s="1"/>
  <c r="K6" i="90"/>
  <c r="K5" i="90" s="1"/>
  <c r="G177" i="123" l="1"/>
  <c r="G184" i="123" s="1"/>
  <c r="F7" i="123"/>
  <c r="Q240" i="93"/>
  <c r="Q247" i="93" s="1"/>
  <c r="P8" i="93"/>
  <c r="R304" i="90"/>
  <c r="R311" i="90" s="1"/>
  <c r="Q9" i="90"/>
  <c r="M63" i="90"/>
  <c r="M70" i="90" s="1"/>
  <c r="L6" i="90"/>
  <c r="L5" i="90" s="1"/>
  <c r="H177" i="123" l="1"/>
  <c r="H184" i="123" s="1"/>
  <c r="G7" i="123"/>
  <c r="R240" i="93"/>
  <c r="R247" i="93" s="1"/>
  <c r="Q8" i="93"/>
  <c r="S304" i="90"/>
  <c r="S311" i="90" s="1"/>
  <c r="R9" i="90"/>
  <c r="N63" i="90"/>
  <c r="N70" i="90" s="1"/>
  <c r="M6" i="90"/>
  <c r="M5" i="90" s="1"/>
  <c r="H7" i="123" l="1"/>
  <c r="I177" i="123"/>
  <c r="I184" i="123" s="1"/>
  <c r="S240" i="93"/>
  <c r="S247" i="93" s="1"/>
  <c r="R8" i="93"/>
  <c r="T304" i="90"/>
  <c r="T311" i="90" s="1"/>
  <c r="S9" i="90"/>
  <c r="O63" i="90"/>
  <c r="O70" i="90" s="1"/>
  <c r="N6" i="90"/>
  <c r="N5" i="90" s="1"/>
  <c r="I7" i="123" l="1"/>
  <c r="J177" i="123"/>
  <c r="J184" i="123" s="1"/>
  <c r="T240" i="93"/>
  <c r="T247" i="93" s="1"/>
  <c r="S8" i="93"/>
  <c r="U304" i="90"/>
  <c r="U311" i="90" s="1"/>
  <c r="T9" i="90"/>
  <c r="P63" i="90"/>
  <c r="P70" i="90" s="1"/>
  <c r="O6" i="90"/>
  <c r="O5" i="90" s="1"/>
  <c r="J7" i="123" l="1"/>
  <c r="K177" i="123"/>
  <c r="K184" i="123" s="1"/>
  <c r="U240" i="93"/>
  <c r="U247" i="93" s="1"/>
  <c r="T8" i="93"/>
  <c r="V304" i="90"/>
  <c r="V311" i="90" s="1"/>
  <c r="U9" i="90"/>
  <c r="Q63" i="90"/>
  <c r="Q70" i="90" s="1"/>
  <c r="P6" i="90"/>
  <c r="P5" i="90" s="1"/>
  <c r="L177" i="123" l="1"/>
  <c r="L184" i="123" s="1"/>
  <c r="K7" i="123"/>
  <c r="V240" i="93"/>
  <c r="V247" i="93" s="1"/>
  <c r="U8" i="93"/>
  <c r="W304" i="90"/>
  <c r="W311" i="90" s="1"/>
  <c r="V9" i="90"/>
  <c r="R63" i="90"/>
  <c r="R70" i="90" s="1"/>
  <c r="Q6" i="90"/>
  <c r="Q5" i="90" s="1"/>
  <c r="L7" i="123" l="1"/>
  <c r="M177" i="123"/>
  <c r="M184" i="123" s="1"/>
  <c r="W240" i="93"/>
  <c r="W247" i="93" s="1"/>
  <c r="V8" i="93"/>
  <c r="X304" i="90"/>
  <c r="X311" i="90" s="1"/>
  <c r="W9" i="90"/>
  <c r="S63" i="90"/>
  <c r="S70" i="90" s="1"/>
  <c r="R6" i="90"/>
  <c r="R5" i="90" s="1"/>
  <c r="M7" i="123" l="1"/>
  <c r="N177" i="123"/>
  <c r="N184" i="123" s="1"/>
  <c r="X240" i="93"/>
  <c r="X247" i="93" s="1"/>
  <c r="W8" i="93"/>
  <c r="Y304" i="90"/>
  <c r="Y311" i="90" s="1"/>
  <c r="X9" i="90"/>
  <c r="T63" i="90"/>
  <c r="T70" i="90" s="1"/>
  <c r="S6" i="90"/>
  <c r="S5" i="90" s="1"/>
  <c r="O177" i="123" l="1"/>
  <c r="O184" i="123" s="1"/>
  <c r="N7" i="123"/>
  <c r="X8" i="93"/>
  <c r="Y240" i="93"/>
  <c r="Y247" i="93" s="1"/>
  <c r="Z304" i="90"/>
  <c r="Z311" i="90" s="1"/>
  <c r="Y9" i="90"/>
  <c r="U63" i="90"/>
  <c r="U70" i="90" s="1"/>
  <c r="T6" i="90"/>
  <c r="T5" i="90" s="1"/>
  <c r="O7" i="123" l="1"/>
  <c r="P177" i="123"/>
  <c r="P184" i="123" s="1"/>
  <c r="Z240" i="93"/>
  <c r="Z247" i="93" s="1"/>
  <c r="Y8" i="93"/>
  <c r="AA304" i="90"/>
  <c r="AA311" i="90" s="1"/>
  <c r="Z9" i="90"/>
  <c r="V63" i="90"/>
  <c r="V70" i="90" s="1"/>
  <c r="U6" i="90"/>
  <c r="U5" i="90" s="1"/>
  <c r="Q177" i="123" l="1"/>
  <c r="Q184" i="123" s="1"/>
  <c r="P7" i="123"/>
  <c r="AA240" i="93"/>
  <c r="AA247" i="93" s="1"/>
  <c r="Z8" i="93"/>
  <c r="AB304" i="90"/>
  <c r="AB311" i="90" s="1"/>
  <c r="AA9" i="90"/>
  <c r="W63" i="90"/>
  <c r="W70" i="90" s="1"/>
  <c r="V6" i="90"/>
  <c r="V5" i="90" s="1"/>
  <c r="R177" i="123" l="1"/>
  <c r="R184" i="123" s="1"/>
  <c r="Q7" i="123"/>
  <c r="AB240" i="93"/>
  <c r="AB247" i="93" s="1"/>
  <c r="AA8" i="93"/>
  <c r="AC304" i="90"/>
  <c r="AC311" i="90" s="1"/>
  <c r="AB9" i="90"/>
  <c r="X63" i="90"/>
  <c r="X70" i="90" s="1"/>
  <c r="W6" i="90"/>
  <c r="W5" i="90" s="1"/>
  <c r="S177" i="123" l="1"/>
  <c r="S184" i="123" s="1"/>
  <c r="R7" i="123"/>
  <c r="AB8" i="93"/>
  <c r="AC240" i="93"/>
  <c r="AC247" i="93" s="1"/>
  <c r="AD304" i="90"/>
  <c r="AD311" i="90" s="1"/>
  <c r="AC9" i="90"/>
  <c r="Y63" i="90"/>
  <c r="Y70" i="90" s="1"/>
  <c r="X6" i="90"/>
  <c r="X5" i="90" s="1"/>
  <c r="S7" i="123" l="1"/>
  <c r="T177" i="123"/>
  <c r="T184" i="123" s="1"/>
  <c r="AC8" i="93"/>
  <c r="AD240" i="93"/>
  <c r="AD247" i="93" s="1"/>
  <c r="AE304" i="90"/>
  <c r="AE311" i="90" s="1"/>
  <c r="AD9" i="90"/>
  <c r="Z63" i="90"/>
  <c r="Z70" i="90" s="1"/>
  <c r="Y6" i="90"/>
  <c r="Y5" i="90" s="1"/>
  <c r="T7" i="123" l="1"/>
  <c r="U177" i="123"/>
  <c r="U184" i="123" s="1"/>
  <c r="AD8" i="93"/>
  <c r="AE240" i="93"/>
  <c r="AE247" i="93" s="1"/>
  <c r="AF304" i="90"/>
  <c r="AF311" i="90" s="1"/>
  <c r="AE9" i="90"/>
  <c r="AA63" i="90"/>
  <c r="AA70" i="90" s="1"/>
  <c r="Z6" i="90"/>
  <c r="Z5" i="90" s="1"/>
  <c r="U7" i="123" l="1"/>
  <c r="V177" i="123"/>
  <c r="V184" i="123" s="1"/>
  <c r="AF240" i="93"/>
  <c r="AF247" i="93" s="1"/>
  <c r="AE8" i="93"/>
  <c r="AG304" i="90"/>
  <c r="AG311" i="90" s="1"/>
  <c r="AF9" i="90"/>
  <c r="AB63" i="90"/>
  <c r="AB70" i="90" s="1"/>
  <c r="AA6" i="90"/>
  <c r="AA5" i="90" s="1"/>
  <c r="V7" i="123" l="1"/>
  <c r="W177" i="123"/>
  <c r="W184" i="123" s="1"/>
  <c r="B279" i="93"/>
  <c r="B285" i="93" s="1"/>
  <c r="C304" i="93" s="1"/>
  <c r="C311" i="93" s="1"/>
  <c r="AG9" i="90"/>
  <c r="AG240" i="93"/>
  <c r="AG247" i="93" s="1"/>
  <c r="AF8" i="93"/>
  <c r="AC63" i="90"/>
  <c r="AC70" i="90" s="1"/>
  <c r="AB6" i="90"/>
  <c r="AB5" i="90" s="1"/>
  <c r="X177" i="123" l="1"/>
  <c r="X184" i="123" s="1"/>
  <c r="W7" i="123"/>
  <c r="AG8" i="93"/>
  <c r="B215" i="110"/>
  <c r="B221" i="110" s="1"/>
  <c r="C240" i="110" s="1"/>
  <c r="C247" i="110" s="1"/>
  <c r="D304" i="93"/>
  <c r="D311" i="93" s="1"/>
  <c r="C9" i="93"/>
  <c r="AD63" i="90"/>
  <c r="AD70" i="90" s="1"/>
  <c r="AC6" i="90"/>
  <c r="AC5" i="90" s="1"/>
  <c r="Y177" i="123" l="1"/>
  <c r="Y184" i="123" s="1"/>
  <c r="X7" i="123"/>
  <c r="C8" i="110"/>
  <c r="D240" i="110"/>
  <c r="D247" i="110" s="1"/>
  <c r="D9" i="93"/>
  <c r="E304" i="93"/>
  <c r="E311" i="93" s="1"/>
  <c r="AE63" i="90"/>
  <c r="AE70" i="90" s="1"/>
  <c r="AD6" i="90"/>
  <c r="AD5" i="90" s="1"/>
  <c r="Z177" i="123" l="1"/>
  <c r="Z184" i="123" s="1"/>
  <c r="Y7" i="123"/>
  <c r="E240" i="110"/>
  <c r="E247" i="110" s="1"/>
  <c r="D8" i="110"/>
  <c r="F304" i="93"/>
  <c r="F311" i="93" s="1"/>
  <c r="E9" i="93"/>
  <c r="AF63" i="90"/>
  <c r="AF70" i="90" s="1"/>
  <c r="AE6" i="90"/>
  <c r="AE5" i="90" s="1"/>
  <c r="Z7" i="123" l="1"/>
  <c r="AA177" i="123"/>
  <c r="AA184" i="123" s="1"/>
  <c r="E8" i="110"/>
  <c r="F240" i="110"/>
  <c r="F247" i="110" s="1"/>
  <c r="B34" i="93"/>
  <c r="B40" i="93" s="1"/>
  <c r="C63" i="93" s="1"/>
  <c r="C70" i="93" s="1"/>
  <c r="C6" i="93" s="1"/>
  <c r="C5" i="93" s="1"/>
  <c r="G304" i="93"/>
  <c r="G311" i="93" s="1"/>
  <c r="F9" i="93"/>
  <c r="AG63" i="90"/>
  <c r="AG70" i="90" s="1"/>
  <c r="AG6" i="90" s="1"/>
  <c r="AG5" i="90" s="1"/>
  <c r="AH14" i="90" s="1"/>
  <c r="AF6" i="90"/>
  <c r="AF5" i="90" s="1"/>
  <c r="AA7" i="123" l="1"/>
  <c r="AB177" i="123"/>
  <c r="AB184" i="123" s="1"/>
  <c r="F8" i="110"/>
  <c r="G240" i="110"/>
  <c r="G247" i="110" s="1"/>
  <c r="D63" i="93"/>
  <c r="D70" i="93" s="1"/>
  <c r="D6" i="93" s="1"/>
  <c r="D5" i="93" s="1"/>
  <c r="H304" i="93"/>
  <c r="H311" i="93" s="1"/>
  <c r="G9" i="93"/>
  <c r="AC177" i="123" l="1"/>
  <c r="AC184" i="123" s="1"/>
  <c r="AB7" i="123"/>
  <c r="G8" i="110"/>
  <c r="H240" i="110"/>
  <c r="H247" i="110" s="1"/>
  <c r="E63" i="93"/>
  <c r="E70" i="93" s="1"/>
  <c r="F63" i="93" s="1"/>
  <c r="F70" i="93" s="1"/>
  <c r="I304" i="93"/>
  <c r="I311" i="93" s="1"/>
  <c r="H9" i="93"/>
  <c r="AD177" i="123" l="1"/>
  <c r="AD184" i="123" s="1"/>
  <c r="AC7" i="123"/>
  <c r="H8" i="110"/>
  <c r="I240" i="110"/>
  <c r="I247" i="110" s="1"/>
  <c r="E6" i="93"/>
  <c r="E5" i="93" s="1"/>
  <c r="J304" i="93"/>
  <c r="J311" i="93" s="1"/>
  <c r="I9" i="93"/>
  <c r="F6" i="93"/>
  <c r="F5" i="93" s="1"/>
  <c r="G63" i="93"/>
  <c r="G70" i="93" s="1"/>
  <c r="AD7" i="123" l="1"/>
  <c r="AE177" i="123"/>
  <c r="AE184" i="123" s="1"/>
  <c r="I8" i="110"/>
  <c r="J240" i="110"/>
  <c r="J247" i="110" s="1"/>
  <c r="H63" i="93"/>
  <c r="H70" i="93" s="1"/>
  <c r="G6" i="93"/>
  <c r="G5" i="93" s="1"/>
  <c r="K304" i="93"/>
  <c r="K311" i="93" s="1"/>
  <c r="J9" i="93"/>
  <c r="AF177" i="123" l="1"/>
  <c r="AF184" i="123" s="1"/>
  <c r="B150" i="124" s="1"/>
  <c r="B156" i="124" s="1"/>
  <c r="C177" i="124" s="1"/>
  <c r="C184" i="124" s="1"/>
  <c r="AE7" i="123"/>
  <c r="J8" i="110"/>
  <c r="K240" i="110"/>
  <c r="K247" i="110" s="1"/>
  <c r="K9" i="93"/>
  <c r="L304" i="93"/>
  <c r="L311" i="93" s="1"/>
  <c r="H6" i="93"/>
  <c r="H5" i="93" s="1"/>
  <c r="I63" i="93"/>
  <c r="I70" i="93" s="1"/>
  <c r="C7" i="124" l="1"/>
  <c r="D177" i="124"/>
  <c r="D184" i="124" s="1"/>
  <c r="AF7" i="123"/>
  <c r="AG177" i="123"/>
  <c r="AG184" i="123" s="1"/>
  <c r="AG7" i="123" s="1"/>
  <c r="K8" i="110"/>
  <c r="L240" i="110"/>
  <c r="L247" i="110" s="1"/>
  <c r="I6" i="93"/>
  <c r="I5" i="93" s="1"/>
  <c r="J63" i="93"/>
  <c r="J70" i="93" s="1"/>
  <c r="L9" i="93"/>
  <c r="M304" i="93"/>
  <c r="M311" i="93" s="1"/>
  <c r="E177" i="124" l="1"/>
  <c r="E184" i="124" s="1"/>
  <c r="D7" i="124"/>
  <c r="M240" i="110"/>
  <c r="M247" i="110" s="1"/>
  <c r="L8" i="110"/>
  <c r="K63" i="93"/>
  <c r="K70" i="93" s="1"/>
  <c r="J6" i="93"/>
  <c r="J5" i="93" s="1"/>
  <c r="M9" i="93"/>
  <c r="N304" i="93"/>
  <c r="N311" i="93" s="1"/>
  <c r="F177" i="124" l="1"/>
  <c r="F184" i="124" s="1"/>
  <c r="E7" i="124"/>
  <c r="M8" i="110"/>
  <c r="N240" i="110"/>
  <c r="N247" i="110" s="1"/>
  <c r="O304" i="93"/>
  <c r="O311" i="93" s="1"/>
  <c r="N9" i="93"/>
  <c r="L63" i="93"/>
  <c r="L70" i="93" s="1"/>
  <c r="K6" i="93"/>
  <c r="K5" i="93" s="1"/>
  <c r="G177" i="124" l="1"/>
  <c r="G184" i="124" s="1"/>
  <c r="F7" i="124"/>
  <c r="N8" i="110"/>
  <c r="O240" i="110"/>
  <c r="O247" i="110" s="1"/>
  <c r="L6" i="93"/>
  <c r="L5" i="93" s="1"/>
  <c r="M63" i="93"/>
  <c r="M70" i="93" s="1"/>
  <c r="O9" i="93"/>
  <c r="P304" i="93"/>
  <c r="P311" i="93" s="1"/>
  <c r="H177" i="124" l="1"/>
  <c r="H184" i="124" s="1"/>
  <c r="G7" i="124"/>
  <c r="O8" i="110"/>
  <c r="P240" i="110"/>
  <c r="P247" i="110" s="1"/>
  <c r="Q304" i="93"/>
  <c r="Q311" i="93" s="1"/>
  <c r="P9" i="93"/>
  <c r="N63" i="93"/>
  <c r="N70" i="93" s="1"/>
  <c r="M6" i="93"/>
  <c r="M5" i="93" s="1"/>
  <c r="I177" i="124" l="1"/>
  <c r="I184" i="124" s="1"/>
  <c r="H7" i="124"/>
  <c r="Q240" i="110"/>
  <c r="Q247" i="110" s="1"/>
  <c r="P8" i="110"/>
  <c r="O63" i="93"/>
  <c r="O70" i="93" s="1"/>
  <c r="N6" i="93"/>
  <c r="N5" i="93" s="1"/>
  <c r="R304" i="93"/>
  <c r="R311" i="93" s="1"/>
  <c r="Q9" i="93"/>
  <c r="I7" i="124" l="1"/>
  <c r="J177" i="124"/>
  <c r="J184" i="124" s="1"/>
  <c r="Q8" i="110"/>
  <c r="R240" i="110"/>
  <c r="R247" i="110" s="1"/>
  <c r="S304" i="93"/>
  <c r="S311" i="93" s="1"/>
  <c r="R9" i="93"/>
  <c r="P63" i="93"/>
  <c r="P70" i="93" s="1"/>
  <c r="O6" i="93"/>
  <c r="O5" i="93" s="1"/>
  <c r="J7" i="124" l="1"/>
  <c r="K177" i="124"/>
  <c r="K184" i="124" s="1"/>
  <c r="R8" i="110"/>
  <c r="S240" i="110"/>
  <c r="S247" i="110" s="1"/>
  <c r="P6" i="93"/>
  <c r="P5" i="93" s="1"/>
  <c r="Q63" i="93"/>
  <c r="Q70" i="93" s="1"/>
  <c r="S9" i="93"/>
  <c r="T304" i="93"/>
  <c r="T311" i="93" s="1"/>
  <c r="L177" i="124" l="1"/>
  <c r="L184" i="124" s="1"/>
  <c r="K7" i="124"/>
  <c r="S8" i="110"/>
  <c r="T240" i="110"/>
  <c r="T247" i="110" s="1"/>
  <c r="T9" i="93"/>
  <c r="U304" i="93"/>
  <c r="U311" i="93" s="1"/>
  <c r="Q6" i="93"/>
  <c r="Q5" i="93" s="1"/>
  <c r="R63" i="93"/>
  <c r="R70" i="93" s="1"/>
  <c r="S63" i="93" s="1"/>
  <c r="S70" i="93" s="1"/>
  <c r="T63" i="93" s="1"/>
  <c r="L7" i="124" l="1"/>
  <c r="M177" i="124"/>
  <c r="M184" i="124" s="1"/>
  <c r="T8" i="110"/>
  <c r="U240" i="110"/>
  <c r="U247" i="110" s="1"/>
  <c r="S6" i="93"/>
  <c r="R6" i="93"/>
  <c r="R5" i="93" s="1"/>
  <c r="V304" i="93"/>
  <c r="V311" i="93" s="1"/>
  <c r="U9" i="93"/>
  <c r="N177" i="124" l="1"/>
  <c r="N184" i="124" s="1"/>
  <c r="M7" i="124"/>
  <c r="U8" i="110"/>
  <c r="V240" i="110"/>
  <c r="V247" i="110" s="1"/>
  <c r="W304" i="93"/>
  <c r="W311" i="93" s="1"/>
  <c r="V9" i="93"/>
  <c r="T70" i="93"/>
  <c r="S5" i="93"/>
  <c r="N7" i="124" l="1"/>
  <c r="O177" i="124"/>
  <c r="O184" i="124" s="1"/>
  <c r="V8" i="110"/>
  <c r="W240" i="110"/>
  <c r="W247" i="110" s="1"/>
  <c r="T6" i="93"/>
  <c r="T5" i="93" s="1"/>
  <c r="U63" i="93"/>
  <c r="U70" i="93" s="1"/>
  <c r="W9" i="93"/>
  <c r="X304" i="93"/>
  <c r="X311" i="93" s="1"/>
  <c r="P177" i="124" l="1"/>
  <c r="P184" i="124" s="1"/>
  <c r="O7" i="124"/>
  <c r="W8" i="110"/>
  <c r="X240" i="110"/>
  <c r="X247" i="110" s="1"/>
  <c r="Y304" i="93"/>
  <c r="Y311" i="93" s="1"/>
  <c r="X9" i="93"/>
  <c r="V63" i="93"/>
  <c r="V70" i="93" s="1"/>
  <c r="U6" i="93"/>
  <c r="U5" i="93" s="1"/>
  <c r="Q177" i="124" l="1"/>
  <c r="Q184" i="124" s="1"/>
  <c r="P7" i="124"/>
  <c r="Y240" i="110"/>
  <c r="Y247" i="110" s="1"/>
  <c r="X8" i="110"/>
  <c r="V6" i="93"/>
  <c r="V5" i="93" s="1"/>
  <c r="W63" i="93"/>
  <c r="W70" i="93" s="1"/>
  <c r="Y9" i="93"/>
  <c r="Z304" i="93"/>
  <c r="Z311" i="93" s="1"/>
  <c r="Q7" i="124" l="1"/>
  <c r="R177" i="124"/>
  <c r="R184" i="124" s="1"/>
  <c r="Y8" i="110"/>
  <c r="Z240" i="110"/>
  <c r="Z247" i="110" s="1"/>
  <c r="AA304" i="93"/>
  <c r="AA311" i="93" s="1"/>
  <c r="Z9" i="93"/>
  <c r="X63" i="93"/>
  <c r="X70" i="93" s="1"/>
  <c r="W6" i="93"/>
  <c r="W5" i="93" s="1"/>
  <c r="R7" i="124" l="1"/>
  <c r="S177" i="124"/>
  <c r="S184" i="124" s="1"/>
  <c r="AA240" i="110"/>
  <c r="AA247" i="110" s="1"/>
  <c r="Z8" i="110"/>
  <c r="X6" i="93"/>
  <c r="X5" i="93" s="1"/>
  <c r="Y63" i="93"/>
  <c r="Y70" i="93" s="1"/>
  <c r="AA9" i="93"/>
  <c r="AB304" i="93"/>
  <c r="AB311" i="93" s="1"/>
  <c r="S7" i="124" l="1"/>
  <c r="T177" i="124"/>
  <c r="T184" i="124" s="1"/>
  <c r="AB240" i="110"/>
  <c r="AB247" i="110" s="1"/>
  <c r="AA8" i="110"/>
  <c r="AB9" i="93"/>
  <c r="AC304" i="93"/>
  <c r="AC311" i="93" s="1"/>
  <c r="Y6" i="93"/>
  <c r="Y5" i="93" s="1"/>
  <c r="Z63" i="93"/>
  <c r="Z70" i="93" s="1"/>
  <c r="T7" i="124" l="1"/>
  <c r="U177" i="124"/>
  <c r="U184" i="124" s="1"/>
  <c r="AB8" i="110"/>
  <c r="AC240" i="110"/>
  <c r="AC247" i="110" s="1"/>
  <c r="Z6" i="93"/>
  <c r="Z5" i="93" s="1"/>
  <c r="AA63" i="93"/>
  <c r="AA70" i="93" s="1"/>
  <c r="AC9" i="93"/>
  <c r="AD304" i="93"/>
  <c r="AD311" i="93" s="1"/>
  <c r="U7" i="124" l="1"/>
  <c r="V177" i="124"/>
  <c r="V184" i="124" s="1"/>
  <c r="AD240" i="110"/>
  <c r="AD247" i="110" s="1"/>
  <c r="AC8" i="110"/>
  <c r="AE304" i="93"/>
  <c r="AE311" i="93" s="1"/>
  <c r="AD9" i="93"/>
  <c r="AB63" i="93"/>
  <c r="AB70" i="93" s="1"/>
  <c r="AA6" i="93"/>
  <c r="AA5" i="93" s="1"/>
  <c r="W177" i="124" l="1"/>
  <c r="W184" i="124" s="1"/>
  <c r="V7" i="124"/>
  <c r="AE240" i="110"/>
  <c r="AE247" i="110" s="1"/>
  <c r="AD8" i="110"/>
  <c r="AB6" i="93"/>
  <c r="AB5" i="93" s="1"/>
  <c r="AC63" i="93"/>
  <c r="AC70" i="93" s="1"/>
  <c r="AF304" i="93"/>
  <c r="AF311" i="93" s="1"/>
  <c r="AE9" i="93"/>
  <c r="W7" i="124" l="1"/>
  <c r="X177" i="124"/>
  <c r="X184" i="124" s="1"/>
  <c r="AF240" i="110"/>
  <c r="AF247" i="110" s="1"/>
  <c r="B215" i="114" s="1"/>
  <c r="B221" i="114" s="1"/>
  <c r="C240" i="114" s="1"/>
  <c r="C247" i="114" s="1"/>
  <c r="AE8" i="110"/>
  <c r="AF9" i="93"/>
  <c r="AG304" i="93"/>
  <c r="AG311" i="93" s="1"/>
  <c r="AC6" i="93"/>
  <c r="AC5" i="93" s="1"/>
  <c r="AD63" i="93"/>
  <c r="AD70" i="93" s="1"/>
  <c r="Y177" i="124" l="1"/>
  <c r="Y184" i="124" s="1"/>
  <c r="X7" i="124"/>
  <c r="D240" i="114"/>
  <c r="D247" i="114" s="1"/>
  <c r="C8" i="114"/>
  <c r="AF8" i="110"/>
  <c r="AG240" i="110"/>
  <c r="AG247" i="110" s="1"/>
  <c r="AG8" i="110" s="1"/>
  <c r="AG9" i="93"/>
  <c r="B279" i="110"/>
  <c r="B285" i="110" s="1"/>
  <c r="C304" i="110" s="1"/>
  <c r="C311" i="110" s="1"/>
  <c r="AE63" i="93"/>
  <c r="AE70" i="93" s="1"/>
  <c r="AD6" i="93"/>
  <c r="AD5" i="93" s="1"/>
  <c r="Z177" i="124" l="1"/>
  <c r="Z184" i="124" s="1"/>
  <c r="Y7" i="124"/>
  <c r="D8" i="114"/>
  <c r="E240" i="114"/>
  <c r="E247" i="114" s="1"/>
  <c r="D304" i="110"/>
  <c r="D311" i="110" s="1"/>
  <c r="C9" i="110"/>
  <c r="AF63" i="93"/>
  <c r="AF70" i="93" s="1"/>
  <c r="AE6" i="93"/>
  <c r="AE5" i="93" s="1"/>
  <c r="Z7" i="124" l="1"/>
  <c r="AA177" i="124"/>
  <c r="AA184" i="124" s="1"/>
  <c r="E8" i="114"/>
  <c r="F240" i="114"/>
  <c r="F247" i="114" s="1"/>
  <c r="E304" i="110"/>
  <c r="E311" i="110" s="1"/>
  <c r="D9" i="110"/>
  <c r="AF6" i="93"/>
  <c r="AF5" i="93" s="1"/>
  <c r="AG63" i="93"/>
  <c r="AG70" i="93" s="1"/>
  <c r="AA7" i="124" l="1"/>
  <c r="AB177" i="124"/>
  <c r="AB184" i="124" s="1"/>
  <c r="G240" i="114"/>
  <c r="G247" i="114" s="1"/>
  <c r="F8" i="114"/>
  <c r="F304" i="110"/>
  <c r="F311" i="110" s="1"/>
  <c r="E9" i="110"/>
  <c r="AG6" i="93"/>
  <c r="AG5" i="93" s="1"/>
  <c r="AH14" i="93" s="1"/>
  <c r="B34" i="110"/>
  <c r="B40" i="110" s="1"/>
  <c r="C63" i="110" s="1"/>
  <c r="C70" i="110" s="1"/>
  <c r="AB7" i="124" l="1"/>
  <c r="AC177" i="124"/>
  <c r="AC184" i="124" s="1"/>
  <c r="H240" i="114"/>
  <c r="H247" i="114" s="1"/>
  <c r="G8" i="114"/>
  <c r="G304" i="110"/>
  <c r="G311" i="110" s="1"/>
  <c r="F9" i="110"/>
  <c r="D63" i="110"/>
  <c r="D70" i="110" s="1"/>
  <c r="C6" i="110"/>
  <c r="C5" i="110" s="1"/>
  <c r="AC7" i="124" l="1"/>
  <c r="AD177" i="124"/>
  <c r="AD184" i="124" s="1"/>
  <c r="I240" i="114"/>
  <c r="I247" i="114" s="1"/>
  <c r="H8" i="114"/>
  <c r="G9" i="110"/>
  <c r="H304" i="110"/>
  <c r="H311" i="110" s="1"/>
  <c r="E63" i="110"/>
  <c r="E70" i="110" s="1"/>
  <c r="D6" i="110"/>
  <c r="D5" i="110" s="1"/>
  <c r="AD7" i="124" l="1"/>
  <c r="AE177" i="124"/>
  <c r="AE184" i="124" s="1"/>
  <c r="I8" i="114"/>
  <c r="J240" i="114"/>
  <c r="J247" i="114" s="1"/>
  <c r="H9" i="110"/>
  <c r="I304" i="110"/>
  <c r="I311" i="110" s="1"/>
  <c r="E6" i="110"/>
  <c r="E5" i="110" s="1"/>
  <c r="F63" i="110"/>
  <c r="F70" i="110" s="1"/>
  <c r="AF177" i="124" l="1"/>
  <c r="AF184" i="124" s="1"/>
  <c r="AE7" i="124"/>
  <c r="K240" i="114"/>
  <c r="K247" i="114" s="1"/>
  <c r="J8" i="114"/>
  <c r="J304" i="110"/>
  <c r="J311" i="110" s="1"/>
  <c r="I9" i="110"/>
  <c r="G63" i="110"/>
  <c r="G70" i="110" s="1"/>
  <c r="F6" i="110"/>
  <c r="F5" i="110" s="1"/>
  <c r="AF7" i="124" l="1"/>
  <c r="AG177" i="124"/>
  <c r="AG184" i="124" s="1"/>
  <c r="L240" i="114"/>
  <c r="L247" i="114" s="1"/>
  <c r="K8" i="114"/>
  <c r="J9" i="110"/>
  <c r="K304" i="110"/>
  <c r="K311" i="110" s="1"/>
  <c r="G6" i="110"/>
  <c r="G5" i="110" s="1"/>
  <c r="H63" i="110"/>
  <c r="H70" i="110" s="1"/>
  <c r="AG7" i="124" l="1"/>
  <c r="B150" i="126"/>
  <c r="B156" i="126" s="1"/>
  <c r="C177" i="126" s="1"/>
  <c r="C184" i="126" s="1"/>
  <c r="M240" i="114"/>
  <c r="M247" i="114" s="1"/>
  <c r="L8" i="114"/>
  <c r="L304" i="110"/>
  <c r="L311" i="110" s="1"/>
  <c r="K9" i="110"/>
  <c r="H6" i="110"/>
  <c r="H5" i="110" s="1"/>
  <c r="I63" i="110"/>
  <c r="I70" i="110" s="1"/>
  <c r="C7" i="126" l="1"/>
  <c r="D177" i="126"/>
  <c r="D184" i="126" s="1"/>
  <c r="N240" i="114"/>
  <c r="N247" i="114" s="1"/>
  <c r="M8" i="114"/>
  <c r="M304" i="110"/>
  <c r="M311" i="110" s="1"/>
  <c r="L9" i="110"/>
  <c r="J63" i="110"/>
  <c r="J70" i="110" s="1"/>
  <c r="I6" i="110"/>
  <c r="I5" i="110" s="1"/>
  <c r="E177" i="126" l="1"/>
  <c r="E184" i="126" s="1"/>
  <c r="D7" i="126"/>
  <c r="O240" i="114"/>
  <c r="O247" i="114" s="1"/>
  <c r="N8" i="114"/>
  <c r="M9" i="110"/>
  <c r="N304" i="110"/>
  <c r="N311" i="110" s="1"/>
  <c r="K63" i="110"/>
  <c r="K70" i="110" s="1"/>
  <c r="J6" i="110"/>
  <c r="J5" i="110" s="1"/>
  <c r="F177" i="126" l="1"/>
  <c r="F184" i="126" s="1"/>
  <c r="E7" i="126"/>
  <c r="P240" i="114"/>
  <c r="P247" i="114" s="1"/>
  <c r="O8" i="114"/>
  <c r="O304" i="110"/>
  <c r="O311" i="110" s="1"/>
  <c r="N9" i="110"/>
  <c r="L63" i="110"/>
  <c r="L70" i="110" s="1"/>
  <c r="K6" i="110"/>
  <c r="K5" i="110" s="1"/>
  <c r="F7" i="126" l="1"/>
  <c r="G177" i="126"/>
  <c r="G184" i="126" s="1"/>
  <c r="P8" i="114"/>
  <c r="Q240" i="114"/>
  <c r="Q247" i="114" s="1"/>
  <c r="O9" i="110"/>
  <c r="P304" i="110"/>
  <c r="P311" i="110" s="1"/>
  <c r="L6" i="110"/>
  <c r="L5" i="110" s="1"/>
  <c r="M63" i="110"/>
  <c r="M70" i="110" s="1"/>
  <c r="G7" i="126" l="1"/>
  <c r="H177" i="126"/>
  <c r="H184" i="126" s="1"/>
  <c r="R240" i="114"/>
  <c r="R247" i="114" s="1"/>
  <c r="Q8" i="114"/>
  <c r="P9" i="110"/>
  <c r="Q304" i="110"/>
  <c r="Q311" i="110" s="1"/>
  <c r="N63" i="110"/>
  <c r="N70" i="110" s="1"/>
  <c r="M6" i="110"/>
  <c r="M5" i="110" s="1"/>
  <c r="I177" i="126" l="1"/>
  <c r="I184" i="126" s="1"/>
  <c r="H7" i="126"/>
  <c r="R8" i="114"/>
  <c r="S240" i="114"/>
  <c r="S247" i="114" s="1"/>
  <c r="R304" i="110"/>
  <c r="R311" i="110" s="1"/>
  <c r="Q9" i="110"/>
  <c r="O63" i="110"/>
  <c r="O70" i="110" s="1"/>
  <c r="N6" i="110"/>
  <c r="N5" i="110" s="1"/>
  <c r="I7" i="126" l="1"/>
  <c r="J177" i="126"/>
  <c r="J184" i="126" s="1"/>
  <c r="T240" i="114"/>
  <c r="T247" i="114" s="1"/>
  <c r="S8" i="114"/>
  <c r="R9" i="110"/>
  <c r="S304" i="110"/>
  <c r="S311" i="110" s="1"/>
  <c r="O6" i="110"/>
  <c r="O5" i="110" s="1"/>
  <c r="P63" i="110"/>
  <c r="P70" i="110" s="1"/>
  <c r="J7" i="126" l="1"/>
  <c r="K177" i="126"/>
  <c r="K184" i="126" s="1"/>
  <c r="U240" i="114"/>
  <c r="U247" i="114" s="1"/>
  <c r="T8" i="114"/>
  <c r="T304" i="110"/>
  <c r="T311" i="110" s="1"/>
  <c r="S9" i="110"/>
  <c r="Q63" i="110"/>
  <c r="Q70" i="110" s="1"/>
  <c r="P6" i="110"/>
  <c r="P5" i="110" s="1"/>
  <c r="K7" i="126" l="1"/>
  <c r="L177" i="126"/>
  <c r="L184" i="126" s="1"/>
  <c r="U8" i="114"/>
  <c r="V240" i="114"/>
  <c r="V247" i="114" s="1"/>
  <c r="T9" i="110"/>
  <c r="U304" i="110"/>
  <c r="U311" i="110" s="1"/>
  <c r="Q6" i="110"/>
  <c r="Q5" i="110" s="1"/>
  <c r="R63" i="110"/>
  <c r="R70" i="110" s="1"/>
  <c r="M177" i="126" l="1"/>
  <c r="M184" i="126" s="1"/>
  <c r="L7" i="126"/>
  <c r="W240" i="114"/>
  <c r="W247" i="114" s="1"/>
  <c r="V8" i="114"/>
  <c r="U9" i="110"/>
  <c r="V304" i="110"/>
  <c r="V311" i="110" s="1"/>
  <c r="S63" i="110"/>
  <c r="S70" i="110" s="1"/>
  <c r="R6" i="110"/>
  <c r="R5" i="110" s="1"/>
  <c r="M7" i="126" l="1"/>
  <c r="N177" i="126"/>
  <c r="N184" i="126" s="1"/>
  <c r="X240" i="114"/>
  <c r="X247" i="114" s="1"/>
  <c r="W8" i="114"/>
  <c r="V9" i="110"/>
  <c r="W304" i="110"/>
  <c r="W311" i="110" s="1"/>
  <c r="T63" i="110"/>
  <c r="T70" i="110" s="1"/>
  <c r="S6" i="110"/>
  <c r="S5" i="110" s="1"/>
  <c r="O177" i="126" l="1"/>
  <c r="O184" i="126" s="1"/>
  <c r="N7" i="126"/>
  <c r="Y240" i="114"/>
  <c r="Y247" i="114" s="1"/>
  <c r="X8" i="114"/>
  <c r="W9" i="110"/>
  <c r="X304" i="110"/>
  <c r="X311" i="110" s="1"/>
  <c r="T6" i="110"/>
  <c r="T5" i="110" s="1"/>
  <c r="U63" i="110"/>
  <c r="U70" i="110" s="1"/>
  <c r="O7" i="126" l="1"/>
  <c r="P177" i="126"/>
  <c r="P184" i="126" s="1"/>
  <c r="Y8" i="114"/>
  <c r="Z240" i="114"/>
  <c r="Z247" i="114" s="1"/>
  <c r="Y304" i="110"/>
  <c r="Y311" i="110" s="1"/>
  <c r="X9" i="110"/>
  <c r="V63" i="110"/>
  <c r="V70" i="110" s="1"/>
  <c r="U6" i="110"/>
  <c r="U5" i="110" s="1"/>
  <c r="P7" i="126" l="1"/>
  <c r="Q177" i="126"/>
  <c r="Q184" i="126" s="1"/>
  <c r="Z8" i="114"/>
  <c r="AA240" i="114"/>
  <c r="AA247" i="114" s="1"/>
  <c r="Y9" i="110"/>
  <c r="Z304" i="110"/>
  <c r="Z311" i="110" s="1"/>
  <c r="W63" i="110"/>
  <c r="W70" i="110" s="1"/>
  <c r="V6" i="110"/>
  <c r="V5" i="110" s="1"/>
  <c r="R177" i="126" l="1"/>
  <c r="R184" i="126" s="1"/>
  <c r="Q7" i="126"/>
  <c r="AA8" i="114"/>
  <c r="AB240" i="114"/>
  <c r="AB247" i="114" s="1"/>
  <c r="Z9" i="110"/>
  <c r="AA304" i="110"/>
  <c r="AA311" i="110" s="1"/>
  <c r="X63" i="110"/>
  <c r="X70" i="110" s="1"/>
  <c r="W6" i="110"/>
  <c r="W5" i="110" s="1"/>
  <c r="S177" i="126" l="1"/>
  <c r="S184" i="126" s="1"/>
  <c r="R7" i="126"/>
  <c r="AB8" i="114"/>
  <c r="AC240" i="114"/>
  <c r="AC247" i="114" s="1"/>
  <c r="AB304" i="110"/>
  <c r="AB311" i="110" s="1"/>
  <c r="AA9" i="110"/>
  <c r="Y63" i="110"/>
  <c r="Y70" i="110" s="1"/>
  <c r="X6" i="110"/>
  <c r="X5" i="110" s="1"/>
  <c r="S7" i="126" l="1"/>
  <c r="T177" i="126"/>
  <c r="T184" i="126" s="1"/>
  <c r="AD240" i="114"/>
  <c r="AD247" i="114" s="1"/>
  <c r="AC8" i="114"/>
  <c r="AB9" i="110"/>
  <c r="AC304" i="110"/>
  <c r="AC311" i="110" s="1"/>
  <c r="Y6" i="110"/>
  <c r="Y5" i="110" s="1"/>
  <c r="Z63" i="110"/>
  <c r="Z70" i="110" s="1"/>
  <c r="T7" i="126" l="1"/>
  <c r="U177" i="126"/>
  <c r="U184" i="126" s="1"/>
  <c r="AD8" i="114"/>
  <c r="AE240" i="114"/>
  <c r="AE247" i="114" s="1"/>
  <c r="AD304" i="110"/>
  <c r="AD311" i="110" s="1"/>
  <c r="AC9" i="110"/>
  <c r="Z6" i="110"/>
  <c r="Z5" i="110" s="1"/>
  <c r="AA63" i="110"/>
  <c r="AA70" i="110" s="1"/>
  <c r="V177" i="126" l="1"/>
  <c r="V184" i="126" s="1"/>
  <c r="U7" i="126"/>
  <c r="AE8" i="114"/>
  <c r="AF240" i="114"/>
  <c r="AF247" i="114" s="1"/>
  <c r="AD9" i="110"/>
  <c r="AE304" i="110"/>
  <c r="AE311" i="110" s="1"/>
  <c r="AA6" i="110"/>
  <c r="AA5" i="110" s="1"/>
  <c r="AB63" i="110"/>
  <c r="AB70" i="110" s="1"/>
  <c r="W177" i="126" l="1"/>
  <c r="W184" i="126" s="1"/>
  <c r="V7" i="126"/>
  <c r="AG240" i="114"/>
  <c r="AG247" i="114" s="1"/>
  <c r="B215" i="115" s="1"/>
  <c r="B221" i="115" s="1"/>
  <c r="C240" i="115" s="1"/>
  <c r="C247" i="115" s="1"/>
  <c r="AF8" i="114"/>
  <c r="AF304" i="110"/>
  <c r="AF311" i="110" s="1"/>
  <c r="B279" i="114" s="1"/>
  <c r="B285" i="114" s="1"/>
  <c r="C304" i="114" s="1"/>
  <c r="C311" i="114" s="1"/>
  <c r="AE9" i="110"/>
  <c r="AB6" i="110"/>
  <c r="AB5" i="110" s="1"/>
  <c r="AC63" i="110"/>
  <c r="AC70" i="110" s="1"/>
  <c r="X177" i="126" l="1"/>
  <c r="X184" i="126" s="1"/>
  <c r="W7" i="126"/>
  <c r="D240" i="115"/>
  <c r="D247" i="115" s="1"/>
  <c r="C8" i="115"/>
  <c r="AG8" i="114"/>
  <c r="C9" i="114"/>
  <c r="D304" i="114"/>
  <c r="D311" i="114" s="1"/>
  <c r="AF9" i="110"/>
  <c r="AG304" i="110"/>
  <c r="AG311" i="110" s="1"/>
  <c r="AG9" i="110" s="1"/>
  <c r="AD63" i="110"/>
  <c r="AD70" i="110" s="1"/>
  <c r="AC6" i="110"/>
  <c r="AC5" i="110" s="1"/>
  <c r="Y177" i="126" l="1"/>
  <c r="Y184" i="126" s="1"/>
  <c r="X7" i="126"/>
  <c r="D8" i="115"/>
  <c r="E240" i="115"/>
  <c r="E247" i="115" s="1"/>
  <c r="E304" i="114"/>
  <c r="E311" i="114" s="1"/>
  <c r="D9" i="114"/>
  <c r="AD6" i="110"/>
  <c r="AD5" i="110" s="1"/>
  <c r="AE63" i="110"/>
  <c r="AE70" i="110" s="1"/>
  <c r="Y7" i="126" l="1"/>
  <c r="Z177" i="126"/>
  <c r="Z184" i="126" s="1"/>
  <c r="E8" i="115"/>
  <c r="F240" i="115"/>
  <c r="F247" i="115" s="1"/>
  <c r="E9" i="114"/>
  <c r="F304" i="114"/>
  <c r="F311" i="114" s="1"/>
  <c r="AF63" i="110"/>
  <c r="AF70" i="110" s="1"/>
  <c r="B34" i="114" s="1"/>
  <c r="B40" i="114" s="1"/>
  <c r="C63" i="114" s="1"/>
  <c r="C70" i="114" s="1"/>
  <c r="AE6" i="110"/>
  <c r="AE5" i="110" s="1"/>
  <c r="AA177" i="126" l="1"/>
  <c r="AA184" i="126" s="1"/>
  <c r="Z7" i="126"/>
  <c r="G240" i="115"/>
  <c r="G247" i="115" s="1"/>
  <c r="F8" i="115"/>
  <c r="G304" i="114"/>
  <c r="G311" i="114" s="1"/>
  <c r="F9" i="114"/>
  <c r="D63" i="114"/>
  <c r="D70" i="114" s="1"/>
  <c r="C6" i="114"/>
  <c r="C5" i="114" s="1"/>
  <c r="AG63" i="110"/>
  <c r="AG70" i="110" s="1"/>
  <c r="AG6" i="110" s="1"/>
  <c r="AG5" i="110" s="1"/>
  <c r="AH14" i="110" s="1"/>
  <c r="AF6" i="110"/>
  <c r="AF5" i="110" s="1"/>
  <c r="AB177" i="126" l="1"/>
  <c r="AB184" i="126" s="1"/>
  <c r="AA7" i="126"/>
  <c r="H240" i="115"/>
  <c r="H247" i="115" s="1"/>
  <c r="G8" i="115"/>
  <c r="H304" i="114"/>
  <c r="H311" i="114" s="1"/>
  <c r="G9" i="114"/>
  <c r="E63" i="114"/>
  <c r="E70" i="114" s="1"/>
  <c r="D6" i="114"/>
  <c r="D5" i="114" s="1"/>
  <c r="AC177" i="126" l="1"/>
  <c r="AC184" i="126" s="1"/>
  <c r="AB7" i="126"/>
  <c r="I240" i="115"/>
  <c r="I247" i="115" s="1"/>
  <c r="H8" i="115"/>
  <c r="H9" i="114"/>
  <c r="I304" i="114"/>
  <c r="I311" i="114" s="1"/>
  <c r="F63" i="114"/>
  <c r="F70" i="114" s="1"/>
  <c r="E6" i="114"/>
  <c r="E5" i="114" s="1"/>
  <c r="AC7" i="126" l="1"/>
  <c r="AD177" i="126"/>
  <c r="AD184" i="126" s="1"/>
  <c r="J240" i="115"/>
  <c r="J247" i="115" s="1"/>
  <c r="I8" i="115"/>
  <c r="I9" i="114"/>
  <c r="J304" i="114"/>
  <c r="J311" i="114" s="1"/>
  <c r="G63" i="114"/>
  <c r="G70" i="114" s="1"/>
  <c r="F6" i="114"/>
  <c r="F5" i="114" s="1"/>
  <c r="AD7" i="126" l="1"/>
  <c r="AE177" i="126"/>
  <c r="AE184" i="126" s="1"/>
  <c r="J8" i="115"/>
  <c r="K240" i="115"/>
  <c r="K247" i="115" s="1"/>
  <c r="K304" i="114"/>
  <c r="K311" i="114" s="1"/>
  <c r="J9" i="114"/>
  <c r="H63" i="114"/>
  <c r="H70" i="114" s="1"/>
  <c r="G6" i="114"/>
  <c r="G5" i="114" s="1"/>
  <c r="AE7" i="126" l="1"/>
  <c r="AF177" i="126"/>
  <c r="AF184" i="126" s="1"/>
  <c r="B150" i="127" s="1"/>
  <c r="B156" i="127" s="1"/>
  <c r="C177" i="127" s="1"/>
  <c r="C184" i="127" s="1"/>
  <c r="L240" i="115"/>
  <c r="L247" i="115" s="1"/>
  <c r="K8" i="115"/>
  <c r="L304" i="114"/>
  <c r="L311" i="114" s="1"/>
  <c r="K9" i="114"/>
  <c r="H6" i="114"/>
  <c r="H5" i="114" s="1"/>
  <c r="I63" i="114"/>
  <c r="I70" i="114" s="1"/>
  <c r="C7" i="127" l="1"/>
  <c r="D177" i="127"/>
  <c r="D184" i="127" s="1"/>
  <c r="AF7" i="126"/>
  <c r="AG177" i="126"/>
  <c r="AG184" i="126" s="1"/>
  <c r="AG7" i="126" s="1"/>
  <c r="L8" i="115"/>
  <c r="M240" i="115"/>
  <c r="M247" i="115" s="1"/>
  <c r="M304" i="114"/>
  <c r="M311" i="114" s="1"/>
  <c r="L9" i="114"/>
  <c r="J63" i="114"/>
  <c r="J70" i="114" s="1"/>
  <c r="I6" i="114"/>
  <c r="I5" i="114" s="1"/>
  <c r="D7" i="127" l="1"/>
  <c r="E177" i="127"/>
  <c r="E184" i="127" s="1"/>
  <c r="M8" i="115"/>
  <c r="N240" i="115"/>
  <c r="N247" i="115" s="1"/>
  <c r="N304" i="114"/>
  <c r="N311" i="114" s="1"/>
  <c r="M9" i="114"/>
  <c r="K63" i="114"/>
  <c r="K70" i="114" s="1"/>
  <c r="K6" i="114" s="1"/>
  <c r="J6" i="114"/>
  <c r="J5" i="114" s="1"/>
  <c r="E7" i="127" l="1"/>
  <c r="F177" i="127"/>
  <c r="F184" i="127" s="1"/>
  <c r="N8" i="115"/>
  <c r="O240" i="115"/>
  <c r="O247" i="115" s="1"/>
  <c r="O304" i="114"/>
  <c r="O311" i="114" s="1"/>
  <c r="N9" i="114"/>
  <c r="L63" i="114"/>
  <c r="L70" i="114" s="1"/>
  <c r="K5" i="114"/>
  <c r="F7" i="127" l="1"/>
  <c r="G177" i="127"/>
  <c r="G184" i="127" s="1"/>
  <c r="P240" i="115"/>
  <c r="P247" i="115" s="1"/>
  <c r="O8" i="115"/>
  <c r="P304" i="114"/>
  <c r="P311" i="114" s="1"/>
  <c r="O9" i="114"/>
  <c r="M63" i="114"/>
  <c r="M70" i="114" s="1"/>
  <c r="L6" i="114"/>
  <c r="L5" i="114" s="1"/>
  <c r="G7" i="127" l="1"/>
  <c r="H177" i="127"/>
  <c r="H184" i="127" s="1"/>
  <c r="P8" i="115"/>
  <c r="Q240" i="115"/>
  <c r="Q247" i="115" s="1"/>
  <c r="Q304" i="114"/>
  <c r="Q311" i="114" s="1"/>
  <c r="P9" i="114"/>
  <c r="N63" i="114"/>
  <c r="N70" i="114" s="1"/>
  <c r="M6" i="114"/>
  <c r="M5" i="114" s="1"/>
  <c r="I177" i="127" l="1"/>
  <c r="I184" i="127" s="1"/>
  <c r="H7" i="127"/>
  <c r="Q8" i="115"/>
  <c r="R240" i="115"/>
  <c r="R247" i="115" s="1"/>
  <c r="Q9" i="114"/>
  <c r="R304" i="114"/>
  <c r="R311" i="114" s="1"/>
  <c r="O63" i="114"/>
  <c r="O70" i="114" s="1"/>
  <c r="N6" i="114"/>
  <c r="N5" i="114" s="1"/>
  <c r="J177" i="127" l="1"/>
  <c r="J184" i="127" s="1"/>
  <c r="I7" i="127"/>
  <c r="R8" i="115"/>
  <c r="S240" i="115"/>
  <c r="S247" i="115" s="1"/>
  <c r="S304" i="114"/>
  <c r="S311" i="114" s="1"/>
  <c r="R9" i="114"/>
  <c r="P63" i="114"/>
  <c r="P70" i="114" s="1"/>
  <c r="O6" i="114"/>
  <c r="O5" i="114" s="1"/>
  <c r="K177" i="127" l="1"/>
  <c r="K184" i="127" s="1"/>
  <c r="J7" i="127"/>
  <c r="T240" i="115"/>
  <c r="T247" i="115" s="1"/>
  <c r="S8" i="115"/>
  <c r="S9" i="114"/>
  <c r="T304" i="114"/>
  <c r="T311" i="114" s="1"/>
  <c r="Q63" i="114"/>
  <c r="Q70" i="114" s="1"/>
  <c r="P6" i="114"/>
  <c r="P5" i="114" s="1"/>
  <c r="K7" i="127" l="1"/>
  <c r="L177" i="127"/>
  <c r="L184" i="127" s="1"/>
  <c r="T8" i="115"/>
  <c r="U240" i="115"/>
  <c r="U247" i="115" s="1"/>
  <c r="T9" i="114"/>
  <c r="U304" i="114"/>
  <c r="U311" i="114" s="1"/>
  <c r="R63" i="114"/>
  <c r="R70" i="114" s="1"/>
  <c r="Q6" i="114"/>
  <c r="Q5" i="114" s="1"/>
  <c r="M177" i="127" l="1"/>
  <c r="M184" i="127" s="1"/>
  <c r="L7" i="127"/>
  <c r="V240" i="115"/>
  <c r="V247" i="115" s="1"/>
  <c r="U8" i="115"/>
  <c r="V304" i="114"/>
  <c r="V311" i="114" s="1"/>
  <c r="U9" i="114"/>
  <c r="S63" i="114"/>
  <c r="S70" i="114" s="1"/>
  <c r="R6" i="114"/>
  <c r="R5" i="114" s="1"/>
  <c r="M7" i="127" l="1"/>
  <c r="N177" i="127"/>
  <c r="N184" i="127" s="1"/>
  <c r="W240" i="115"/>
  <c r="W247" i="115" s="1"/>
  <c r="V8" i="115"/>
  <c r="W304" i="114"/>
  <c r="W311" i="114" s="1"/>
  <c r="V9" i="114"/>
  <c r="S6" i="114"/>
  <c r="S5" i="114" s="1"/>
  <c r="T63" i="114"/>
  <c r="T70" i="114" s="1"/>
  <c r="O177" i="127" l="1"/>
  <c r="O184" i="127" s="1"/>
  <c r="N7" i="127"/>
  <c r="X240" i="115"/>
  <c r="X247" i="115" s="1"/>
  <c r="W8" i="115"/>
  <c r="W9" i="114"/>
  <c r="X304" i="114"/>
  <c r="X311" i="114" s="1"/>
  <c r="U63" i="114"/>
  <c r="U70" i="114" s="1"/>
  <c r="T6" i="114"/>
  <c r="T5" i="114" s="1"/>
  <c r="O7" i="127" l="1"/>
  <c r="P177" i="127"/>
  <c r="P184" i="127" s="1"/>
  <c r="Y240" i="115"/>
  <c r="Y247" i="115" s="1"/>
  <c r="X8" i="115"/>
  <c r="X9" i="114"/>
  <c r="Y304" i="114"/>
  <c r="Y311" i="114" s="1"/>
  <c r="V63" i="114"/>
  <c r="V70" i="114" s="1"/>
  <c r="U6" i="114"/>
  <c r="U5" i="114" s="1"/>
  <c r="Q177" i="127" l="1"/>
  <c r="Q184" i="127" s="1"/>
  <c r="P7" i="127"/>
  <c r="Z240" i="115"/>
  <c r="Z247" i="115" s="1"/>
  <c r="Y8" i="115"/>
  <c r="Y9" i="114"/>
  <c r="Z304" i="114"/>
  <c r="Z311" i="114" s="1"/>
  <c r="V6" i="114"/>
  <c r="V5" i="114" s="1"/>
  <c r="W63" i="114"/>
  <c r="W70" i="114" s="1"/>
  <c r="Q7" i="127" l="1"/>
  <c r="R177" i="127"/>
  <c r="R184" i="127" s="1"/>
  <c r="AA240" i="115"/>
  <c r="AA247" i="115" s="1"/>
  <c r="Z8" i="115"/>
  <c r="Z9" i="114"/>
  <c r="AA304" i="114"/>
  <c r="AA311" i="114" s="1"/>
  <c r="X63" i="114"/>
  <c r="X70" i="114" s="1"/>
  <c r="W6" i="114"/>
  <c r="W5" i="114" s="1"/>
  <c r="R7" i="127" l="1"/>
  <c r="S177" i="127"/>
  <c r="S184" i="127" s="1"/>
  <c r="AB240" i="115"/>
  <c r="AB247" i="115" s="1"/>
  <c r="AA8" i="115"/>
  <c r="AA9" i="114"/>
  <c r="AB304" i="114"/>
  <c r="AB311" i="114" s="1"/>
  <c r="Y63" i="114"/>
  <c r="Y70" i="114" s="1"/>
  <c r="X6" i="114"/>
  <c r="X5" i="114" s="1"/>
  <c r="T177" i="127" l="1"/>
  <c r="T184" i="127" s="1"/>
  <c r="S7" i="127"/>
  <c r="AB8" i="115"/>
  <c r="AC240" i="115"/>
  <c r="AC247" i="115" s="1"/>
  <c r="AB9" i="114"/>
  <c r="AC304" i="114"/>
  <c r="AC311" i="114" s="1"/>
  <c r="Z63" i="114"/>
  <c r="Z70" i="114" s="1"/>
  <c r="Y6" i="114"/>
  <c r="Y5" i="114" s="1"/>
  <c r="U177" i="127" l="1"/>
  <c r="U184" i="127" s="1"/>
  <c r="T7" i="127"/>
  <c r="AC8" i="115"/>
  <c r="AD240" i="115"/>
  <c r="AD247" i="115" s="1"/>
  <c r="AD304" i="114"/>
  <c r="AD311" i="114" s="1"/>
  <c r="AC9" i="114"/>
  <c r="Z6" i="114"/>
  <c r="Z5" i="114" s="1"/>
  <c r="AA63" i="114"/>
  <c r="AA70" i="114" s="1"/>
  <c r="V177" i="127" l="1"/>
  <c r="V184" i="127" s="1"/>
  <c r="U7" i="127"/>
  <c r="AE240" i="115"/>
  <c r="AE247" i="115" s="1"/>
  <c r="AD8" i="115"/>
  <c r="AD9" i="114"/>
  <c r="AE304" i="114"/>
  <c r="AE311" i="114" s="1"/>
  <c r="AA6" i="114"/>
  <c r="AA5" i="114" s="1"/>
  <c r="AB63" i="114"/>
  <c r="AB70" i="114" s="1"/>
  <c r="V7" i="127" l="1"/>
  <c r="W177" i="127"/>
  <c r="W184" i="127" s="1"/>
  <c r="AE8" i="115"/>
  <c r="AF240" i="115"/>
  <c r="AF247" i="115" s="1"/>
  <c r="AE9" i="114"/>
  <c r="AF304" i="114"/>
  <c r="AF311" i="114" s="1"/>
  <c r="AC63" i="114"/>
  <c r="AC70" i="114" s="1"/>
  <c r="AB6" i="114"/>
  <c r="AB5" i="114" s="1"/>
  <c r="W7" i="127" l="1"/>
  <c r="X177" i="127"/>
  <c r="X184" i="127" s="1"/>
  <c r="AG240" i="115"/>
  <c r="AG247" i="115" s="1"/>
  <c r="AF8" i="115"/>
  <c r="AG304" i="114"/>
  <c r="AG311" i="114" s="1"/>
  <c r="B279" i="115" s="1"/>
  <c r="B285" i="115" s="1"/>
  <c r="C304" i="115" s="1"/>
  <c r="C311" i="115" s="1"/>
  <c r="AF9" i="114"/>
  <c r="AC6" i="114"/>
  <c r="AC5" i="114" s="1"/>
  <c r="AD63" i="114"/>
  <c r="AD70" i="114" s="1"/>
  <c r="Y177" i="127" l="1"/>
  <c r="Y184" i="127" s="1"/>
  <c r="X7" i="127"/>
  <c r="AG8" i="115"/>
  <c r="B215" i="119"/>
  <c r="B221" i="119" s="1"/>
  <c r="C240" i="119" s="1"/>
  <c r="C247" i="119" s="1"/>
  <c r="C9" i="115"/>
  <c r="D304" i="115"/>
  <c r="D311" i="115" s="1"/>
  <c r="AG9" i="114"/>
  <c r="AE63" i="114"/>
  <c r="AE70" i="114" s="1"/>
  <c r="AD6" i="114"/>
  <c r="AD5" i="114" s="1"/>
  <c r="Z177" i="127" l="1"/>
  <c r="Z184" i="127" s="1"/>
  <c r="Y7" i="127"/>
  <c r="D240" i="119"/>
  <c r="D247" i="119" s="1"/>
  <c r="C8" i="119"/>
  <c r="D9" i="115"/>
  <c r="E304" i="115"/>
  <c r="E311" i="115" s="1"/>
  <c r="AE6" i="114"/>
  <c r="AE5" i="114" s="1"/>
  <c r="AF63" i="114"/>
  <c r="AF70" i="114" s="1"/>
  <c r="AA177" i="127" l="1"/>
  <c r="AA184" i="127" s="1"/>
  <c r="Z7" i="127"/>
  <c r="E240" i="119"/>
  <c r="E247" i="119" s="1"/>
  <c r="D8" i="119"/>
  <c r="F304" i="115"/>
  <c r="F311" i="115" s="1"/>
  <c r="E9" i="115"/>
  <c r="AG63" i="114"/>
  <c r="AG70" i="114" s="1"/>
  <c r="AF6" i="114"/>
  <c r="AF5" i="114" s="1"/>
  <c r="AA7" i="127" l="1"/>
  <c r="AB177" i="127"/>
  <c r="AB184" i="127" s="1"/>
  <c r="E8" i="119"/>
  <c r="F240" i="119"/>
  <c r="F247" i="119" s="1"/>
  <c r="B34" i="115"/>
  <c r="B40" i="115" s="1"/>
  <c r="C63" i="115" s="1"/>
  <c r="C70" i="115" s="1"/>
  <c r="D63" i="115" s="1"/>
  <c r="D70" i="115" s="1"/>
  <c r="B25" i="118"/>
  <c r="B34" i="118" s="1"/>
  <c r="B40" i="118" s="1"/>
  <c r="C63" i="118" s="1"/>
  <c r="C70" i="118" s="1"/>
  <c r="F9" i="115"/>
  <c r="G304" i="115"/>
  <c r="G311" i="115" s="1"/>
  <c r="AG6" i="114"/>
  <c r="AG5" i="114" s="1"/>
  <c r="AH14" i="114" s="1"/>
  <c r="AC177" i="127" l="1"/>
  <c r="AC184" i="127" s="1"/>
  <c r="AB7" i="127"/>
  <c r="G240" i="119"/>
  <c r="G247" i="119" s="1"/>
  <c r="F8" i="119"/>
  <c r="C6" i="115"/>
  <c r="C5" i="115" s="1"/>
  <c r="C6" i="118"/>
  <c r="C5" i="118" s="1"/>
  <c r="D63" i="118"/>
  <c r="D70" i="118" s="1"/>
  <c r="H304" i="115"/>
  <c r="H311" i="115" s="1"/>
  <c r="G9" i="115"/>
  <c r="E63" i="115"/>
  <c r="E70" i="115" s="1"/>
  <c r="D6" i="115"/>
  <c r="D5" i="115" s="1"/>
  <c r="AD177" i="127" l="1"/>
  <c r="AD184" i="127" s="1"/>
  <c r="AC7" i="127"/>
  <c r="H240" i="119"/>
  <c r="H247" i="119" s="1"/>
  <c r="G8" i="119"/>
  <c r="E63" i="118"/>
  <c r="E70" i="118" s="1"/>
  <c r="D6" i="118"/>
  <c r="D5" i="118" s="1"/>
  <c r="H9" i="115"/>
  <c r="I304" i="115"/>
  <c r="I311" i="115" s="1"/>
  <c r="E6" i="115"/>
  <c r="E5" i="115" s="1"/>
  <c r="F63" i="115"/>
  <c r="F70" i="115" s="1"/>
  <c r="AE177" i="127" l="1"/>
  <c r="AE184" i="127" s="1"/>
  <c r="AD7" i="127"/>
  <c r="H8" i="119"/>
  <c r="I240" i="119"/>
  <c r="I247" i="119" s="1"/>
  <c r="E6" i="118"/>
  <c r="E5" i="118" s="1"/>
  <c r="F63" i="118"/>
  <c r="F70" i="118" s="1"/>
  <c r="I9" i="115"/>
  <c r="J304" i="115"/>
  <c r="J311" i="115" s="1"/>
  <c r="G63" i="115"/>
  <c r="G70" i="115" s="1"/>
  <c r="F6" i="115"/>
  <c r="F5" i="115" s="1"/>
  <c r="AF177" i="127" l="1"/>
  <c r="AF184" i="127" s="1"/>
  <c r="AE7" i="127"/>
  <c r="I8" i="119"/>
  <c r="J240" i="119"/>
  <c r="J247" i="119" s="1"/>
  <c r="F6" i="118"/>
  <c r="F5" i="118" s="1"/>
  <c r="G63" i="118"/>
  <c r="G70" i="118" s="1"/>
  <c r="J9" i="115"/>
  <c r="K304" i="115"/>
  <c r="K311" i="115" s="1"/>
  <c r="H63" i="115"/>
  <c r="H70" i="115" s="1"/>
  <c r="G6" i="115"/>
  <c r="G5" i="115" s="1"/>
  <c r="AG177" i="127" l="1"/>
  <c r="AG184" i="127" s="1"/>
  <c r="AF7" i="127"/>
  <c r="K240" i="119"/>
  <c r="K247" i="119" s="1"/>
  <c r="J8" i="119"/>
  <c r="H63" i="118"/>
  <c r="H70" i="118" s="1"/>
  <c r="G6" i="118"/>
  <c r="G5" i="118" s="1"/>
  <c r="K9" i="115"/>
  <c r="L304" i="115"/>
  <c r="L311" i="115" s="1"/>
  <c r="H6" i="115"/>
  <c r="H5" i="115" s="1"/>
  <c r="I63" i="115"/>
  <c r="I70" i="115" s="1"/>
  <c r="AG7" i="127" l="1"/>
  <c r="B150" i="128"/>
  <c r="B156" i="128" s="1"/>
  <c r="C177" i="128" s="1"/>
  <c r="C184" i="128" s="1"/>
  <c r="L240" i="119"/>
  <c r="L247" i="119" s="1"/>
  <c r="K8" i="119"/>
  <c r="I63" i="118"/>
  <c r="I70" i="118" s="1"/>
  <c r="H6" i="118"/>
  <c r="H5" i="118" s="1"/>
  <c r="M304" i="115"/>
  <c r="M311" i="115" s="1"/>
  <c r="L9" i="115"/>
  <c r="J63" i="115"/>
  <c r="J70" i="115" s="1"/>
  <c r="I6" i="115"/>
  <c r="I5" i="115" s="1"/>
  <c r="C7" i="128" l="1"/>
  <c r="D177" i="128"/>
  <c r="D184" i="128" s="1"/>
  <c r="M240" i="119"/>
  <c r="M247" i="119" s="1"/>
  <c r="L8" i="119"/>
  <c r="I6" i="118"/>
  <c r="I5" i="118" s="1"/>
  <c r="J63" i="118"/>
  <c r="J70" i="118" s="1"/>
  <c r="N304" i="115"/>
  <c r="N311" i="115" s="1"/>
  <c r="M9" i="115"/>
  <c r="J6" i="115"/>
  <c r="J5" i="115" s="1"/>
  <c r="K63" i="115"/>
  <c r="K70" i="115" s="1"/>
  <c r="E177" i="128" l="1"/>
  <c r="E184" i="128" s="1"/>
  <c r="D7" i="128"/>
  <c r="N240" i="119"/>
  <c r="N247" i="119" s="1"/>
  <c r="M8" i="119"/>
  <c r="J6" i="118"/>
  <c r="J5" i="118" s="1"/>
  <c r="K63" i="118"/>
  <c r="K70" i="118" s="1"/>
  <c r="O304" i="115"/>
  <c r="O311" i="115" s="1"/>
  <c r="N9" i="115"/>
  <c r="L63" i="115"/>
  <c r="L70" i="115" s="1"/>
  <c r="K6" i="115"/>
  <c r="K5" i="115" s="1"/>
  <c r="F177" i="128" l="1"/>
  <c r="F184" i="128" s="1"/>
  <c r="E7" i="128"/>
  <c r="O240" i="119"/>
  <c r="O247" i="119" s="1"/>
  <c r="N8" i="119"/>
  <c r="K6" i="118"/>
  <c r="K5" i="118" s="1"/>
  <c r="L63" i="118"/>
  <c r="L70" i="118" s="1"/>
  <c r="P304" i="115"/>
  <c r="P311" i="115" s="1"/>
  <c r="O9" i="115"/>
  <c r="M63" i="115"/>
  <c r="M70" i="115" s="1"/>
  <c r="L6" i="115"/>
  <c r="L5" i="115" s="1"/>
  <c r="G177" i="128" l="1"/>
  <c r="G184" i="128" s="1"/>
  <c r="F7" i="128"/>
  <c r="P240" i="119"/>
  <c r="P247" i="119" s="1"/>
  <c r="O8" i="119"/>
  <c r="L6" i="118"/>
  <c r="L5" i="118" s="1"/>
  <c r="M63" i="118"/>
  <c r="M70" i="118" s="1"/>
  <c r="Q304" i="115"/>
  <c r="Q311" i="115" s="1"/>
  <c r="P9" i="115"/>
  <c r="N63" i="115"/>
  <c r="N70" i="115" s="1"/>
  <c r="M6" i="115"/>
  <c r="M5" i="115" s="1"/>
  <c r="G7" i="128" l="1"/>
  <c r="H177" i="128"/>
  <c r="H184" i="128" s="1"/>
  <c r="P8" i="119"/>
  <c r="Q240" i="119"/>
  <c r="Q247" i="119" s="1"/>
  <c r="M6" i="118"/>
  <c r="M5" i="118" s="1"/>
  <c r="N63" i="118"/>
  <c r="N70" i="118" s="1"/>
  <c r="R304" i="115"/>
  <c r="R311" i="115" s="1"/>
  <c r="Q9" i="115"/>
  <c r="N6" i="115"/>
  <c r="N5" i="115" s="1"/>
  <c r="O63" i="115"/>
  <c r="O70" i="115" s="1"/>
  <c r="I177" i="128" l="1"/>
  <c r="I184" i="128" s="1"/>
  <c r="H7" i="128"/>
  <c r="Q8" i="119"/>
  <c r="R240" i="119"/>
  <c r="R247" i="119" s="1"/>
  <c r="O63" i="118"/>
  <c r="O70" i="118" s="1"/>
  <c r="N6" i="118"/>
  <c r="N5" i="118" s="1"/>
  <c r="S304" i="115"/>
  <c r="S311" i="115" s="1"/>
  <c r="R9" i="115"/>
  <c r="P63" i="115"/>
  <c r="P70" i="115" s="1"/>
  <c r="O6" i="115"/>
  <c r="O5" i="115" s="1"/>
  <c r="J177" i="128" l="1"/>
  <c r="J184" i="128" s="1"/>
  <c r="I7" i="128"/>
  <c r="S240" i="119"/>
  <c r="S247" i="119" s="1"/>
  <c r="R8" i="119"/>
  <c r="P63" i="118"/>
  <c r="P70" i="118" s="1"/>
  <c r="O6" i="118"/>
  <c r="O5" i="118" s="1"/>
  <c r="T304" i="115"/>
  <c r="T311" i="115" s="1"/>
  <c r="S9" i="115"/>
  <c r="Q63" i="115"/>
  <c r="Q70" i="115" s="1"/>
  <c r="P6" i="115"/>
  <c r="P5" i="115" s="1"/>
  <c r="J7" i="128" l="1"/>
  <c r="K177" i="128"/>
  <c r="K184" i="128" s="1"/>
  <c r="T240" i="119"/>
  <c r="T247" i="119" s="1"/>
  <c r="S8" i="119"/>
  <c r="Q63" i="118"/>
  <c r="Q70" i="118" s="1"/>
  <c r="P6" i="118"/>
  <c r="P5" i="118" s="1"/>
  <c r="T9" i="115"/>
  <c r="U304" i="115"/>
  <c r="U311" i="115" s="1"/>
  <c r="Q6" i="115"/>
  <c r="Q5" i="115" s="1"/>
  <c r="R63" i="115"/>
  <c r="R70" i="115" s="1"/>
  <c r="L177" i="128" l="1"/>
  <c r="L184" i="128" s="1"/>
  <c r="K7" i="128"/>
  <c r="T8" i="119"/>
  <c r="U240" i="119"/>
  <c r="U247" i="119" s="1"/>
  <c r="R63" i="118"/>
  <c r="R70" i="118" s="1"/>
  <c r="Q6" i="118"/>
  <c r="Q5" i="118" s="1"/>
  <c r="V304" i="115"/>
  <c r="V311" i="115" s="1"/>
  <c r="U9" i="115"/>
  <c r="S63" i="115"/>
  <c r="S70" i="115" s="1"/>
  <c r="R6" i="115"/>
  <c r="R5" i="115" s="1"/>
  <c r="L7" i="128" l="1"/>
  <c r="M177" i="128"/>
  <c r="M184" i="128" s="1"/>
  <c r="U8" i="119"/>
  <c r="V240" i="119"/>
  <c r="V247" i="119" s="1"/>
  <c r="S63" i="118"/>
  <c r="S70" i="118" s="1"/>
  <c r="R6" i="118"/>
  <c r="R5" i="118" s="1"/>
  <c r="V9" i="115"/>
  <c r="W304" i="115"/>
  <c r="W311" i="115" s="1"/>
  <c r="S6" i="115"/>
  <c r="S5" i="115" s="1"/>
  <c r="T63" i="115"/>
  <c r="T70" i="115" s="1"/>
  <c r="M7" i="128" l="1"/>
  <c r="N177" i="128"/>
  <c r="N184" i="128" s="1"/>
  <c r="W240" i="119"/>
  <c r="W247" i="119" s="1"/>
  <c r="V8" i="119"/>
  <c r="S6" i="118"/>
  <c r="S5" i="118" s="1"/>
  <c r="T63" i="118"/>
  <c r="T70" i="118" s="1"/>
  <c r="W9" i="115"/>
  <c r="X304" i="115"/>
  <c r="X311" i="115" s="1"/>
  <c r="U63" i="115"/>
  <c r="U70" i="115" s="1"/>
  <c r="T6" i="115"/>
  <c r="T5" i="115" s="1"/>
  <c r="N7" i="128" l="1"/>
  <c r="O177" i="128"/>
  <c r="O184" i="128" s="1"/>
  <c r="X240" i="119"/>
  <c r="X247" i="119" s="1"/>
  <c r="W8" i="119"/>
  <c r="T6" i="118"/>
  <c r="T5" i="118" s="1"/>
  <c r="U63" i="118"/>
  <c r="U70" i="118" s="1"/>
  <c r="Y304" i="115"/>
  <c r="Y311" i="115" s="1"/>
  <c r="X9" i="115"/>
  <c r="V63" i="115"/>
  <c r="V70" i="115" s="1"/>
  <c r="U6" i="115"/>
  <c r="U5" i="115" s="1"/>
  <c r="P177" i="128" l="1"/>
  <c r="P184" i="128" s="1"/>
  <c r="O7" i="128"/>
  <c r="Y240" i="119"/>
  <c r="Y247" i="119" s="1"/>
  <c r="X8" i="119"/>
  <c r="V63" i="118"/>
  <c r="V70" i="118" s="1"/>
  <c r="U6" i="118"/>
  <c r="U5" i="118" s="1"/>
  <c r="Z304" i="115"/>
  <c r="Z311" i="115" s="1"/>
  <c r="Y9" i="115"/>
  <c r="V6" i="115"/>
  <c r="V5" i="115" s="1"/>
  <c r="W63" i="115"/>
  <c r="W70" i="115" s="1"/>
  <c r="Q177" i="128" l="1"/>
  <c r="Q184" i="128" s="1"/>
  <c r="P7" i="128"/>
  <c r="Y8" i="119"/>
  <c r="Z240" i="119"/>
  <c r="Z247" i="119" s="1"/>
  <c r="W63" i="118"/>
  <c r="W70" i="118" s="1"/>
  <c r="V6" i="118"/>
  <c r="V5" i="118" s="1"/>
  <c r="Z9" i="115"/>
  <c r="AA304" i="115"/>
  <c r="AA311" i="115" s="1"/>
  <c r="W6" i="115"/>
  <c r="W5" i="115" s="1"/>
  <c r="X63" i="115"/>
  <c r="X70" i="115" s="1"/>
  <c r="Q7" i="128" l="1"/>
  <c r="R177" i="128"/>
  <c r="R184" i="128" s="1"/>
  <c r="AA240" i="119"/>
  <c r="AA247" i="119" s="1"/>
  <c r="Z8" i="119"/>
  <c r="X63" i="118"/>
  <c r="X70" i="118" s="1"/>
  <c r="W6" i="118"/>
  <c r="W5" i="118" s="1"/>
  <c r="AA9" i="115"/>
  <c r="AB304" i="115"/>
  <c r="AB311" i="115" s="1"/>
  <c r="Y63" i="115"/>
  <c r="Y70" i="115" s="1"/>
  <c r="X6" i="115"/>
  <c r="X5" i="115" s="1"/>
  <c r="S177" i="128" l="1"/>
  <c r="S184" i="128" s="1"/>
  <c r="R7" i="128"/>
  <c r="AB240" i="119"/>
  <c r="AB247" i="119" s="1"/>
  <c r="AA8" i="119"/>
  <c r="Y63" i="118"/>
  <c r="Y70" i="118" s="1"/>
  <c r="X6" i="118"/>
  <c r="X5" i="118" s="1"/>
  <c r="AB9" i="115"/>
  <c r="AC304" i="115"/>
  <c r="AC311" i="115" s="1"/>
  <c r="Y6" i="115"/>
  <c r="Y5" i="115" s="1"/>
  <c r="Z63" i="115"/>
  <c r="Z70" i="115" s="1"/>
  <c r="S7" i="128" l="1"/>
  <c r="T177" i="128"/>
  <c r="T184" i="128" s="1"/>
  <c r="AB8" i="119"/>
  <c r="AC240" i="119"/>
  <c r="AC247" i="119" s="1"/>
  <c r="Z63" i="118"/>
  <c r="Z70" i="118" s="1"/>
  <c r="Y6" i="118"/>
  <c r="Y5" i="118" s="1"/>
  <c r="AC9" i="115"/>
  <c r="AD304" i="115"/>
  <c r="AD311" i="115" s="1"/>
  <c r="Z6" i="115"/>
  <c r="Z5" i="115" s="1"/>
  <c r="AA63" i="115"/>
  <c r="AA70" i="115" s="1"/>
  <c r="U177" i="128" l="1"/>
  <c r="U184" i="128" s="1"/>
  <c r="T7" i="128"/>
  <c r="AC8" i="119"/>
  <c r="AD240" i="119"/>
  <c r="AD247" i="119" s="1"/>
  <c r="Z6" i="118"/>
  <c r="Z5" i="118" s="1"/>
  <c r="AA63" i="118"/>
  <c r="AA70" i="118" s="1"/>
  <c r="AE304" i="115"/>
  <c r="AE311" i="115" s="1"/>
  <c r="AD9" i="115"/>
  <c r="AA6" i="115"/>
  <c r="AA5" i="115" s="1"/>
  <c r="AB63" i="115"/>
  <c r="AB70" i="115" s="1"/>
  <c r="U7" i="128" l="1"/>
  <c r="V177" i="128"/>
  <c r="V184" i="128" s="1"/>
  <c r="AE240" i="119"/>
  <c r="AE247" i="119" s="1"/>
  <c r="AD8" i="119"/>
  <c r="AB63" i="118"/>
  <c r="AB70" i="118" s="1"/>
  <c r="AA6" i="118"/>
  <c r="AA5" i="118" s="1"/>
  <c r="AE9" i="115"/>
  <c r="AF304" i="115"/>
  <c r="AF311" i="115" s="1"/>
  <c r="AC63" i="115"/>
  <c r="AC70" i="115" s="1"/>
  <c r="AB6" i="115"/>
  <c r="AB5" i="115" s="1"/>
  <c r="W177" i="128" l="1"/>
  <c r="W184" i="128" s="1"/>
  <c r="V7" i="128"/>
  <c r="B215" i="122"/>
  <c r="B221" i="122" s="1"/>
  <c r="C240" i="122" s="1"/>
  <c r="C247" i="122" s="1"/>
  <c r="C8" i="122" s="1"/>
  <c r="AF240" i="119"/>
  <c r="AF247" i="119" s="1"/>
  <c r="AE8" i="119"/>
  <c r="AB6" i="118"/>
  <c r="AB5" i="118" s="1"/>
  <c r="AC63" i="118"/>
  <c r="AC70" i="118" s="1"/>
  <c r="AG304" i="115"/>
  <c r="AG311" i="115" s="1"/>
  <c r="AF9" i="115"/>
  <c r="AC6" i="115"/>
  <c r="AC5" i="115" s="1"/>
  <c r="AD63" i="115"/>
  <c r="AD70" i="115" s="1"/>
  <c r="W7" i="128" l="1"/>
  <c r="X177" i="128"/>
  <c r="X184" i="128" s="1"/>
  <c r="D240" i="122"/>
  <c r="D247" i="122" s="1"/>
  <c r="E240" i="122" s="1"/>
  <c r="E247" i="122" s="1"/>
  <c r="AF8" i="119"/>
  <c r="AG240" i="119"/>
  <c r="AG247" i="119" s="1"/>
  <c r="AG8" i="119" s="1"/>
  <c r="AG9" i="115"/>
  <c r="B279" i="119"/>
  <c r="B285" i="119" s="1"/>
  <c r="C304" i="119" s="1"/>
  <c r="C311" i="119" s="1"/>
  <c r="AD63" i="118"/>
  <c r="AD70" i="118" s="1"/>
  <c r="AC6" i="118"/>
  <c r="AC5" i="118" s="1"/>
  <c r="AE63" i="115"/>
  <c r="AE70" i="115" s="1"/>
  <c r="AD6" i="115"/>
  <c r="AD5" i="115" s="1"/>
  <c r="X7" i="128" l="1"/>
  <c r="Y177" i="128"/>
  <c r="Y184" i="128" s="1"/>
  <c r="D8" i="122"/>
  <c r="F240" i="122"/>
  <c r="F247" i="122" s="1"/>
  <c r="E8" i="122"/>
  <c r="C9" i="119"/>
  <c r="D304" i="119"/>
  <c r="D311" i="119" s="1"/>
  <c r="AD6" i="118"/>
  <c r="AD5" i="118" s="1"/>
  <c r="AE63" i="118"/>
  <c r="AE70" i="118" s="1"/>
  <c r="AE6" i="115"/>
  <c r="AE5" i="115" s="1"/>
  <c r="AF63" i="115"/>
  <c r="AF70" i="115" s="1"/>
  <c r="Z177" i="128" l="1"/>
  <c r="Z184" i="128" s="1"/>
  <c r="Y7" i="128"/>
  <c r="G240" i="122"/>
  <c r="G247" i="122" s="1"/>
  <c r="F8" i="122"/>
  <c r="D9" i="119"/>
  <c r="E304" i="119"/>
  <c r="E311" i="119" s="1"/>
  <c r="AF63" i="118"/>
  <c r="AF70" i="118" s="1"/>
  <c r="AG63" i="118" s="1"/>
  <c r="AG70" i="118" s="1"/>
  <c r="AE6" i="118"/>
  <c r="AE5" i="118" s="1"/>
  <c r="AG63" i="115"/>
  <c r="AG70" i="115" s="1"/>
  <c r="B34" i="119" s="1"/>
  <c r="B40" i="119" s="1"/>
  <c r="C63" i="119" s="1"/>
  <c r="C70" i="119" s="1"/>
  <c r="AF6" i="115"/>
  <c r="AF5" i="115" s="1"/>
  <c r="AA177" i="128" l="1"/>
  <c r="AA184" i="128" s="1"/>
  <c r="Z7" i="128"/>
  <c r="G8" i="122"/>
  <c r="H240" i="122"/>
  <c r="H247" i="122" s="1"/>
  <c r="C6" i="119"/>
  <c r="C5" i="119" s="1"/>
  <c r="D63" i="119"/>
  <c r="D70" i="119" s="1"/>
  <c r="F304" i="119"/>
  <c r="F311" i="119" s="1"/>
  <c r="E9" i="119"/>
  <c r="AF6" i="118"/>
  <c r="AF5" i="118" s="1"/>
  <c r="AG6" i="118"/>
  <c r="AG5" i="118" s="1"/>
  <c r="AH14" i="118" s="1"/>
  <c r="AG6" i="115"/>
  <c r="AG5" i="115" s="1"/>
  <c r="AH14" i="115" s="1"/>
  <c r="AA7" i="128" l="1"/>
  <c r="AB177" i="128"/>
  <c r="AB184" i="128" s="1"/>
  <c r="I240" i="122"/>
  <c r="I247" i="122" s="1"/>
  <c r="H8" i="122"/>
  <c r="D6" i="119"/>
  <c r="D5" i="119" s="1"/>
  <c r="E63" i="119"/>
  <c r="E70" i="119" s="1"/>
  <c r="F9" i="119"/>
  <c r="G304" i="119"/>
  <c r="G311" i="119" s="1"/>
  <c r="AC177" i="128" l="1"/>
  <c r="AC184" i="128" s="1"/>
  <c r="AB7" i="128"/>
  <c r="J240" i="122"/>
  <c r="J247" i="122" s="1"/>
  <c r="I8" i="122"/>
  <c r="E6" i="119"/>
  <c r="E5" i="119" s="1"/>
  <c r="F63" i="119"/>
  <c r="F70" i="119" s="1"/>
  <c r="G9" i="119"/>
  <c r="H304" i="119"/>
  <c r="H311" i="119" s="1"/>
  <c r="AD177" i="128" l="1"/>
  <c r="AD184" i="128" s="1"/>
  <c r="AC7" i="128"/>
  <c r="K240" i="122"/>
  <c r="K247" i="122" s="1"/>
  <c r="J8" i="122"/>
  <c r="F6" i="119"/>
  <c r="F5" i="119" s="1"/>
  <c r="G63" i="119"/>
  <c r="G70" i="119" s="1"/>
  <c r="H9" i="119"/>
  <c r="I304" i="119"/>
  <c r="I311" i="119" s="1"/>
  <c r="AD7" i="128" l="1"/>
  <c r="AE177" i="128"/>
  <c r="AE184" i="128" s="1"/>
  <c r="L240" i="122"/>
  <c r="L247" i="122" s="1"/>
  <c r="K8" i="122"/>
  <c r="H63" i="119"/>
  <c r="H70" i="119" s="1"/>
  <c r="G6" i="119"/>
  <c r="G5" i="119" s="1"/>
  <c r="J304" i="119"/>
  <c r="J311" i="119" s="1"/>
  <c r="I9" i="119"/>
  <c r="AF177" i="128" l="1"/>
  <c r="AF184" i="128" s="1"/>
  <c r="AE7" i="128"/>
  <c r="M240" i="122"/>
  <c r="M247" i="122" s="1"/>
  <c r="L8" i="122"/>
  <c r="I63" i="119"/>
  <c r="I70" i="119" s="1"/>
  <c r="H6" i="119"/>
  <c r="H5" i="119" s="1"/>
  <c r="J9" i="119"/>
  <c r="K304" i="119"/>
  <c r="K311" i="119" s="1"/>
  <c r="AG177" i="128" l="1"/>
  <c r="AG184" i="128" s="1"/>
  <c r="AF7" i="128"/>
  <c r="M8" i="122"/>
  <c r="N240" i="122"/>
  <c r="N247" i="122" s="1"/>
  <c r="J63" i="119"/>
  <c r="J70" i="119" s="1"/>
  <c r="I6" i="119"/>
  <c r="I5" i="119" s="1"/>
  <c r="L304" i="119"/>
  <c r="L311" i="119" s="1"/>
  <c r="K9" i="119"/>
  <c r="AG7" i="128" l="1"/>
  <c r="B141" i="136"/>
  <c r="B150" i="136" s="1"/>
  <c r="B156" i="136" s="1"/>
  <c r="C177" i="136" s="1"/>
  <c r="C184" i="136" s="1"/>
  <c r="O240" i="122"/>
  <c r="O247" i="122" s="1"/>
  <c r="N8" i="122"/>
  <c r="J6" i="119"/>
  <c r="J5" i="119" s="1"/>
  <c r="K63" i="119"/>
  <c r="K70" i="119" s="1"/>
  <c r="L9" i="119"/>
  <c r="M304" i="119"/>
  <c r="M311" i="119" s="1"/>
  <c r="D177" i="136" l="1"/>
  <c r="D184" i="136" s="1"/>
  <c r="C7" i="136"/>
  <c r="O8" i="122"/>
  <c r="P240" i="122"/>
  <c r="P247" i="122" s="1"/>
  <c r="K6" i="119"/>
  <c r="K5" i="119" s="1"/>
  <c r="L63" i="119"/>
  <c r="L70" i="119" s="1"/>
  <c r="N304" i="119"/>
  <c r="N311" i="119" s="1"/>
  <c r="M9" i="119"/>
  <c r="E177" i="136" l="1"/>
  <c r="E184" i="136" s="1"/>
  <c r="D7" i="136"/>
  <c r="Q240" i="122"/>
  <c r="Q247" i="122" s="1"/>
  <c r="P8" i="122"/>
  <c r="L6" i="119"/>
  <c r="L5" i="119" s="1"/>
  <c r="M63" i="119"/>
  <c r="M70" i="119" s="1"/>
  <c r="O304" i="119"/>
  <c r="O311" i="119" s="1"/>
  <c r="N9" i="119"/>
  <c r="F177" i="136" l="1"/>
  <c r="F184" i="136" s="1"/>
  <c r="E7" i="136"/>
  <c r="Q8" i="122"/>
  <c r="R240" i="122"/>
  <c r="R247" i="122" s="1"/>
  <c r="M6" i="119"/>
  <c r="M5" i="119" s="1"/>
  <c r="N63" i="119"/>
  <c r="N70" i="119" s="1"/>
  <c r="O9" i="119"/>
  <c r="P304" i="119"/>
  <c r="P311" i="119" s="1"/>
  <c r="G177" i="136" l="1"/>
  <c r="G184" i="136" s="1"/>
  <c r="F7" i="136"/>
  <c r="R8" i="122"/>
  <c r="S240" i="122"/>
  <c r="S247" i="122" s="1"/>
  <c r="N6" i="119"/>
  <c r="N5" i="119" s="1"/>
  <c r="O63" i="119"/>
  <c r="O70" i="119" s="1"/>
  <c r="P9" i="119"/>
  <c r="Q304" i="119"/>
  <c r="Q311" i="119" s="1"/>
  <c r="H177" i="136" l="1"/>
  <c r="H184" i="136" s="1"/>
  <c r="G7" i="136"/>
  <c r="T240" i="122"/>
  <c r="T247" i="122" s="1"/>
  <c r="S8" i="122"/>
  <c r="P63" i="119"/>
  <c r="P70" i="119" s="1"/>
  <c r="O6" i="119"/>
  <c r="O5" i="119" s="1"/>
  <c r="R304" i="119"/>
  <c r="R311" i="119" s="1"/>
  <c r="Q9" i="119"/>
  <c r="I177" i="136" l="1"/>
  <c r="I184" i="136" s="1"/>
  <c r="H7" i="136"/>
  <c r="U240" i="122"/>
  <c r="U247" i="122" s="1"/>
  <c r="T8" i="122"/>
  <c r="P6" i="119"/>
  <c r="P5" i="119" s="1"/>
  <c r="Q63" i="119"/>
  <c r="Q70" i="119" s="1"/>
  <c r="S304" i="119"/>
  <c r="S311" i="119" s="1"/>
  <c r="R9" i="119"/>
  <c r="I7" i="136" l="1"/>
  <c r="J177" i="136"/>
  <c r="J184" i="136" s="1"/>
  <c r="U8" i="122"/>
  <c r="V240" i="122"/>
  <c r="V247" i="122" s="1"/>
  <c r="Q6" i="119"/>
  <c r="Q5" i="119" s="1"/>
  <c r="R63" i="119"/>
  <c r="R70" i="119" s="1"/>
  <c r="T304" i="119"/>
  <c r="T311" i="119" s="1"/>
  <c r="S9" i="119"/>
  <c r="K177" i="136" l="1"/>
  <c r="K184" i="136" s="1"/>
  <c r="J7" i="136"/>
  <c r="W240" i="122"/>
  <c r="W247" i="122" s="1"/>
  <c r="V8" i="122"/>
  <c r="R6" i="119"/>
  <c r="R5" i="119" s="1"/>
  <c r="S63" i="119"/>
  <c r="S70" i="119" s="1"/>
  <c r="U304" i="119"/>
  <c r="U311" i="119" s="1"/>
  <c r="T9" i="119"/>
  <c r="K7" i="136" l="1"/>
  <c r="L177" i="136"/>
  <c r="L184" i="136" s="1"/>
  <c r="X240" i="122"/>
  <c r="X247" i="122" s="1"/>
  <c r="W8" i="122"/>
  <c r="S6" i="119"/>
  <c r="S5" i="119" s="1"/>
  <c r="T63" i="119"/>
  <c r="T70" i="119" s="1"/>
  <c r="U9" i="119"/>
  <c r="V304" i="119"/>
  <c r="V311" i="119" s="1"/>
  <c r="L7" i="136" l="1"/>
  <c r="M177" i="136"/>
  <c r="M184" i="136" s="1"/>
  <c r="X8" i="122"/>
  <c r="Y240" i="122"/>
  <c r="Y247" i="122" s="1"/>
  <c r="T6" i="119"/>
  <c r="T5" i="119" s="1"/>
  <c r="U63" i="119"/>
  <c r="U70" i="119" s="1"/>
  <c r="V9" i="119"/>
  <c r="W304" i="119"/>
  <c r="W311" i="119" s="1"/>
  <c r="M7" i="136" l="1"/>
  <c r="N177" i="136"/>
  <c r="N184" i="136" s="1"/>
  <c r="Z240" i="122"/>
  <c r="Z247" i="122" s="1"/>
  <c r="Y8" i="122"/>
  <c r="U6" i="119"/>
  <c r="U5" i="119" s="1"/>
  <c r="V63" i="119"/>
  <c r="V70" i="119" s="1"/>
  <c r="W9" i="119"/>
  <c r="X304" i="119"/>
  <c r="X311" i="119" s="1"/>
  <c r="O177" i="136" l="1"/>
  <c r="O184" i="136" s="1"/>
  <c r="N7" i="136"/>
  <c r="Z8" i="122"/>
  <c r="AA240" i="122"/>
  <c r="AA247" i="122" s="1"/>
  <c r="W63" i="119"/>
  <c r="W70" i="119" s="1"/>
  <c r="V6" i="119"/>
  <c r="V5" i="119" s="1"/>
  <c r="X9" i="119"/>
  <c r="Y304" i="119"/>
  <c r="Y311" i="119" s="1"/>
  <c r="P177" i="136" l="1"/>
  <c r="P184" i="136" s="1"/>
  <c r="O7" i="136"/>
  <c r="AB240" i="122"/>
  <c r="AB247" i="122" s="1"/>
  <c r="AA8" i="122"/>
  <c r="W6" i="119"/>
  <c r="W5" i="119" s="1"/>
  <c r="X63" i="119"/>
  <c r="X70" i="119" s="1"/>
  <c r="Z304" i="119"/>
  <c r="Z311" i="119" s="1"/>
  <c r="Y9" i="119"/>
  <c r="P7" i="136" l="1"/>
  <c r="Q177" i="136"/>
  <c r="Q184" i="136" s="1"/>
  <c r="AC240" i="122"/>
  <c r="AC247" i="122" s="1"/>
  <c r="AB8" i="122"/>
  <c r="X6" i="119"/>
  <c r="X5" i="119" s="1"/>
  <c r="Y63" i="119"/>
  <c r="Y70" i="119" s="1"/>
  <c r="Z9" i="119"/>
  <c r="AA304" i="119"/>
  <c r="AA311" i="119" s="1"/>
  <c r="Q7" i="136" l="1"/>
  <c r="R177" i="136"/>
  <c r="R184" i="136" s="1"/>
  <c r="AC8" i="122"/>
  <c r="AD240" i="122"/>
  <c r="AD247" i="122" s="1"/>
  <c r="Y6" i="119"/>
  <c r="Y5" i="119" s="1"/>
  <c r="Z63" i="119"/>
  <c r="Z70" i="119" s="1"/>
  <c r="AA9" i="119"/>
  <c r="AB304" i="119"/>
  <c r="AB311" i="119" s="1"/>
  <c r="R7" i="136" l="1"/>
  <c r="S177" i="136"/>
  <c r="S184" i="136" s="1"/>
  <c r="AD8" i="122"/>
  <c r="AE240" i="122"/>
  <c r="AE247" i="122" s="1"/>
  <c r="Z6" i="119"/>
  <c r="Z5" i="119" s="1"/>
  <c r="AA63" i="119"/>
  <c r="AA70" i="119" s="1"/>
  <c r="AB9" i="119"/>
  <c r="AC304" i="119"/>
  <c r="AC311" i="119" s="1"/>
  <c r="T177" i="136" l="1"/>
  <c r="T184" i="136" s="1"/>
  <c r="S7" i="136"/>
  <c r="AF240" i="122"/>
  <c r="AF247" i="122" s="1"/>
  <c r="AE8" i="122"/>
  <c r="AA6" i="119"/>
  <c r="AA5" i="119" s="1"/>
  <c r="AB63" i="119"/>
  <c r="AB70" i="119" s="1"/>
  <c r="AD304" i="119"/>
  <c r="AD311" i="119" s="1"/>
  <c r="AC9" i="119"/>
  <c r="U177" i="136" l="1"/>
  <c r="U184" i="136" s="1"/>
  <c r="T7" i="136"/>
  <c r="AG240" i="122"/>
  <c r="AG247" i="122" s="1"/>
  <c r="AF8" i="122"/>
  <c r="AB6" i="119"/>
  <c r="AB5" i="119" s="1"/>
  <c r="AC63" i="119"/>
  <c r="AC70" i="119" s="1"/>
  <c r="AD9" i="119"/>
  <c r="AE304" i="119"/>
  <c r="AE311" i="119" s="1"/>
  <c r="U7" i="136" l="1"/>
  <c r="V177" i="136"/>
  <c r="V184" i="136" s="1"/>
  <c r="AG8" i="122"/>
  <c r="B215" i="123"/>
  <c r="B221" i="123" s="1"/>
  <c r="C240" i="123" s="1"/>
  <c r="C247" i="123" s="1"/>
  <c r="B279" i="122"/>
  <c r="B285" i="122" s="1"/>
  <c r="C304" i="122" s="1"/>
  <c r="C311" i="122" s="1"/>
  <c r="D304" i="122" s="1"/>
  <c r="D311" i="122" s="1"/>
  <c r="AC6" i="119"/>
  <c r="AC5" i="119" s="1"/>
  <c r="AD63" i="119"/>
  <c r="AD70" i="119" s="1"/>
  <c r="AF304" i="119"/>
  <c r="AF311" i="119" s="1"/>
  <c r="AE9" i="119"/>
  <c r="V7" i="136" l="1"/>
  <c r="W177" i="136"/>
  <c r="W184" i="136" s="1"/>
  <c r="C8" i="123"/>
  <c r="D240" i="123"/>
  <c r="D247" i="123" s="1"/>
  <c r="C9" i="122"/>
  <c r="D9" i="122"/>
  <c r="E304" i="122"/>
  <c r="E311" i="122" s="1"/>
  <c r="AD6" i="119"/>
  <c r="AD5" i="119" s="1"/>
  <c r="AE63" i="119"/>
  <c r="AE70" i="119" s="1"/>
  <c r="AG304" i="119"/>
  <c r="AG311" i="119" s="1"/>
  <c r="AG9" i="119" s="1"/>
  <c r="AF9" i="119"/>
  <c r="W7" i="136" l="1"/>
  <c r="X177" i="136"/>
  <c r="X184" i="136" s="1"/>
  <c r="D8" i="123"/>
  <c r="E240" i="123"/>
  <c r="E247" i="123" s="1"/>
  <c r="B34" i="122"/>
  <c r="B40" i="122" s="1"/>
  <c r="C63" i="122" s="1"/>
  <c r="C70" i="122" s="1"/>
  <c r="D63" i="122" s="1"/>
  <c r="D70" i="122" s="1"/>
  <c r="E9" i="122"/>
  <c r="F304" i="122"/>
  <c r="F311" i="122" s="1"/>
  <c r="AE6" i="119"/>
  <c r="AE5" i="119" s="1"/>
  <c r="AF63" i="119"/>
  <c r="AF70" i="119" s="1"/>
  <c r="X7" i="136" l="1"/>
  <c r="Y177" i="136"/>
  <c r="Y184" i="136" s="1"/>
  <c r="F240" i="123"/>
  <c r="F247" i="123" s="1"/>
  <c r="E8" i="123"/>
  <c r="C6" i="122"/>
  <c r="C5" i="122" s="1"/>
  <c r="D6" i="122"/>
  <c r="D5" i="122" s="1"/>
  <c r="E63" i="122"/>
  <c r="E70" i="122" s="1"/>
  <c r="G304" i="122"/>
  <c r="G311" i="122" s="1"/>
  <c r="F9" i="122"/>
  <c r="AF6" i="119"/>
  <c r="AF5" i="119" s="1"/>
  <c r="AG63" i="119"/>
  <c r="AG70" i="119" s="1"/>
  <c r="AG6" i="119" s="1"/>
  <c r="AG5" i="119" s="1"/>
  <c r="AH14" i="119" s="1"/>
  <c r="Y7" i="136" l="1"/>
  <c r="Z177" i="136"/>
  <c r="Z184" i="136" s="1"/>
  <c r="G240" i="123"/>
  <c r="G247" i="123" s="1"/>
  <c r="F8" i="123"/>
  <c r="E6" i="122"/>
  <c r="E5" i="122" s="1"/>
  <c r="F63" i="122"/>
  <c r="F70" i="122" s="1"/>
  <c r="H304" i="122"/>
  <c r="H311" i="122" s="1"/>
  <c r="G9" i="122"/>
  <c r="Z7" i="136" l="1"/>
  <c r="AA177" i="136"/>
  <c r="AA184" i="136" s="1"/>
  <c r="G8" i="123"/>
  <c r="H240" i="123"/>
  <c r="H247" i="123" s="1"/>
  <c r="F6" i="122"/>
  <c r="F5" i="122" s="1"/>
  <c r="G63" i="122"/>
  <c r="G70" i="122" s="1"/>
  <c r="H9" i="122"/>
  <c r="I304" i="122"/>
  <c r="I311" i="122" s="1"/>
  <c r="AA7" i="136" l="1"/>
  <c r="AB177" i="136"/>
  <c r="AB184" i="136" s="1"/>
  <c r="H8" i="123"/>
  <c r="I240" i="123"/>
  <c r="I247" i="123" s="1"/>
  <c r="G6" i="122"/>
  <c r="G5" i="122" s="1"/>
  <c r="H63" i="122"/>
  <c r="H70" i="122" s="1"/>
  <c r="J304" i="122"/>
  <c r="J311" i="122" s="1"/>
  <c r="I9" i="122"/>
  <c r="AB7" i="136" l="1"/>
  <c r="AC177" i="136"/>
  <c r="AC184" i="136" s="1"/>
  <c r="J240" i="123"/>
  <c r="J247" i="123" s="1"/>
  <c r="I8" i="123"/>
  <c r="I63" i="122"/>
  <c r="I70" i="122" s="1"/>
  <c r="H6" i="122"/>
  <c r="H5" i="122" s="1"/>
  <c r="K304" i="122"/>
  <c r="K311" i="122" s="1"/>
  <c r="J9" i="122"/>
  <c r="AC7" i="136" l="1"/>
  <c r="AD177" i="136"/>
  <c r="AD184" i="136" s="1"/>
  <c r="K240" i="123"/>
  <c r="K247" i="123" s="1"/>
  <c r="J8" i="123"/>
  <c r="I6" i="122"/>
  <c r="I5" i="122" s="1"/>
  <c r="J63" i="122"/>
  <c r="J70" i="122" s="1"/>
  <c r="L304" i="122"/>
  <c r="L311" i="122" s="1"/>
  <c r="K9" i="122"/>
  <c r="AD7" i="136" l="1"/>
  <c r="AE177" i="136"/>
  <c r="AE184" i="136" s="1"/>
  <c r="L240" i="123"/>
  <c r="L247" i="123" s="1"/>
  <c r="K8" i="123"/>
  <c r="K63" i="122"/>
  <c r="K70" i="122" s="1"/>
  <c r="J6" i="122"/>
  <c r="J5" i="122" s="1"/>
  <c r="L9" i="122"/>
  <c r="M304" i="122"/>
  <c r="M311" i="122" s="1"/>
  <c r="AF177" i="136" l="1"/>
  <c r="AF184" i="136" s="1"/>
  <c r="AE7" i="136"/>
  <c r="L8" i="123"/>
  <c r="M240" i="123"/>
  <c r="M247" i="123" s="1"/>
  <c r="L63" i="122"/>
  <c r="L70" i="122" s="1"/>
  <c r="K6" i="122"/>
  <c r="K5" i="122" s="1"/>
  <c r="M9" i="122"/>
  <c r="N304" i="122"/>
  <c r="N311" i="122" s="1"/>
  <c r="AF7" i="136" l="1"/>
  <c r="AG177" i="136"/>
  <c r="AG184" i="136" s="1"/>
  <c r="AG7" i="136" s="1"/>
  <c r="M8" i="123"/>
  <c r="N240" i="123"/>
  <c r="N247" i="123" s="1"/>
  <c r="L6" i="122"/>
  <c r="L5" i="122" s="1"/>
  <c r="M63" i="122"/>
  <c r="M70" i="122" s="1"/>
  <c r="O304" i="122"/>
  <c r="O311" i="122" s="1"/>
  <c r="N9" i="122"/>
  <c r="O240" i="123" l="1"/>
  <c r="O247" i="123" s="1"/>
  <c r="N8" i="123"/>
  <c r="N63" i="122"/>
  <c r="N70" i="122" s="1"/>
  <c r="M6" i="122"/>
  <c r="M5" i="122" s="1"/>
  <c r="O9" i="122"/>
  <c r="P304" i="122"/>
  <c r="P311" i="122" s="1"/>
  <c r="O8" i="123" l="1"/>
  <c r="P240" i="123"/>
  <c r="P247" i="123" s="1"/>
  <c r="N6" i="122"/>
  <c r="N5" i="122" s="1"/>
  <c r="O63" i="122"/>
  <c r="O70" i="122" s="1"/>
  <c r="P9" i="122"/>
  <c r="Q304" i="122"/>
  <c r="Q311" i="122" s="1"/>
  <c r="Q240" i="123" l="1"/>
  <c r="Q247" i="123" s="1"/>
  <c r="P8" i="123"/>
  <c r="O6" i="122"/>
  <c r="O5" i="122" s="1"/>
  <c r="P63" i="122"/>
  <c r="P70" i="122" s="1"/>
  <c r="Q9" i="122"/>
  <c r="R304" i="122"/>
  <c r="R311" i="122" s="1"/>
  <c r="Q8" i="123" l="1"/>
  <c r="R240" i="123"/>
  <c r="R247" i="123" s="1"/>
  <c r="Q63" i="122"/>
  <c r="Q70" i="122" s="1"/>
  <c r="P6" i="122"/>
  <c r="P5" i="122" s="1"/>
  <c r="R9" i="122"/>
  <c r="S304" i="122"/>
  <c r="S311" i="122" s="1"/>
  <c r="R8" i="123" l="1"/>
  <c r="S240" i="123"/>
  <c r="S247" i="123" s="1"/>
  <c r="Q6" i="122"/>
  <c r="Q5" i="122" s="1"/>
  <c r="R63" i="122"/>
  <c r="R70" i="122" s="1"/>
  <c r="S9" i="122"/>
  <c r="T304" i="122"/>
  <c r="T311" i="122" s="1"/>
  <c r="T240" i="123" l="1"/>
  <c r="T247" i="123" s="1"/>
  <c r="S8" i="123"/>
  <c r="R6" i="122"/>
  <c r="R5" i="122" s="1"/>
  <c r="S63" i="122"/>
  <c r="S70" i="122" s="1"/>
  <c r="U304" i="122"/>
  <c r="U311" i="122" s="1"/>
  <c r="T9" i="122"/>
  <c r="T8" i="123" l="1"/>
  <c r="U240" i="123"/>
  <c r="U247" i="123" s="1"/>
  <c r="S6" i="122"/>
  <c r="S5" i="122" s="1"/>
  <c r="T63" i="122"/>
  <c r="T70" i="122" s="1"/>
  <c r="U9" i="122"/>
  <c r="V304" i="122"/>
  <c r="V311" i="122" s="1"/>
  <c r="U8" i="123" l="1"/>
  <c r="V240" i="123"/>
  <c r="V247" i="123" s="1"/>
  <c r="T6" i="122"/>
  <c r="T5" i="122" s="1"/>
  <c r="U63" i="122"/>
  <c r="U70" i="122" s="1"/>
  <c r="W304" i="122"/>
  <c r="W311" i="122" s="1"/>
  <c r="V9" i="122"/>
  <c r="V8" i="123" l="1"/>
  <c r="W240" i="123"/>
  <c r="W247" i="123" s="1"/>
  <c r="V63" i="122"/>
  <c r="V70" i="122" s="1"/>
  <c r="U6" i="122"/>
  <c r="U5" i="122" s="1"/>
  <c r="W9" i="122"/>
  <c r="X304" i="122"/>
  <c r="X311" i="122" s="1"/>
  <c r="W8" i="123" l="1"/>
  <c r="X240" i="123"/>
  <c r="X247" i="123" s="1"/>
  <c r="V6" i="122"/>
  <c r="V5" i="122" s="1"/>
  <c r="W63" i="122"/>
  <c r="W70" i="122" s="1"/>
  <c r="X9" i="122"/>
  <c r="Y304" i="122"/>
  <c r="Y311" i="122" s="1"/>
  <c r="Y240" i="123" l="1"/>
  <c r="Y247" i="123" s="1"/>
  <c r="X8" i="123"/>
  <c r="X63" i="122"/>
  <c r="X70" i="122" s="1"/>
  <c r="W6" i="122"/>
  <c r="W5" i="122" s="1"/>
  <c r="Y9" i="122"/>
  <c r="Z304" i="122"/>
  <c r="Z311" i="122" s="1"/>
  <c r="Z240" i="123" l="1"/>
  <c r="Z247" i="123" s="1"/>
  <c r="Y8" i="123"/>
  <c r="Y63" i="122"/>
  <c r="Y70" i="122" s="1"/>
  <c r="X6" i="122"/>
  <c r="X5" i="122" s="1"/>
  <c r="Z9" i="122"/>
  <c r="AA304" i="122"/>
  <c r="AA311" i="122" s="1"/>
  <c r="Z8" i="123" l="1"/>
  <c r="AA240" i="123"/>
  <c r="AA247" i="123" s="1"/>
  <c r="Y6" i="122"/>
  <c r="Y5" i="122" s="1"/>
  <c r="Z63" i="122"/>
  <c r="Z70" i="122" s="1"/>
  <c r="AB304" i="122"/>
  <c r="AB311" i="122" s="1"/>
  <c r="AA9" i="122"/>
  <c r="AA8" i="123" l="1"/>
  <c r="AB240" i="123"/>
  <c r="AB247" i="123" s="1"/>
  <c r="AA63" i="122"/>
  <c r="AA70" i="122" s="1"/>
  <c r="Z6" i="122"/>
  <c r="Z5" i="122" s="1"/>
  <c r="AB9" i="122"/>
  <c r="AC304" i="122"/>
  <c r="AC311" i="122" s="1"/>
  <c r="AB8" i="123" l="1"/>
  <c r="AC240" i="123"/>
  <c r="AC247" i="123" s="1"/>
  <c r="AA6" i="122"/>
  <c r="AA5" i="122" s="1"/>
  <c r="AB63" i="122"/>
  <c r="AB70" i="122" s="1"/>
  <c r="AC9" i="122"/>
  <c r="AD304" i="122"/>
  <c r="AD311" i="122" s="1"/>
  <c r="AC8" i="123" l="1"/>
  <c r="AD240" i="123"/>
  <c r="AD247" i="123" s="1"/>
  <c r="AC63" i="122"/>
  <c r="AC70" i="122" s="1"/>
  <c r="AB6" i="122"/>
  <c r="AB5" i="122" s="1"/>
  <c r="AE304" i="122"/>
  <c r="AE311" i="122" s="1"/>
  <c r="AD9" i="122"/>
  <c r="AD8" i="123" l="1"/>
  <c r="AE240" i="123"/>
  <c r="AE247" i="123" s="1"/>
  <c r="AC6" i="122"/>
  <c r="AC5" i="122" s="1"/>
  <c r="AD63" i="122"/>
  <c r="AD70" i="122" s="1"/>
  <c r="AF304" i="122"/>
  <c r="AF311" i="122" s="1"/>
  <c r="AE9" i="122"/>
  <c r="AF240" i="123" l="1"/>
  <c r="AF247" i="123" s="1"/>
  <c r="B215" i="124" s="1"/>
  <c r="B221" i="124" s="1"/>
  <c r="C240" i="124" s="1"/>
  <c r="C247" i="124" s="1"/>
  <c r="AE8" i="123"/>
  <c r="AD6" i="122"/>
  <c r="AD5" i="122" s="1"/>
  <c r="AE63" i="122"/>
  <c r="AE70" i="122" s="1"/>
  <c r="AG304" i="122"/>
  <c r="AG311" i="122" s="1"/>
  <c r="AF9" i="122"/>
  <c r="D240" i="124" l="1"/>
  <c r="D247" i="124" s="1"/>
  <c r="C8" i="124"/>
  <c r="AF8" i="123"/>
  <c r="AG240" i="123"/>
  <c r="AG247" i="123" s="1"/>
  <c r="AG8" i="123" s="1"/>
  <c r="AG9" i="122"/>
  <c r="B279" i="123"/>
  <c r="B285" i="123" s="1"/>
  <c r="C304" i="123" s="1"/>
  <c r="C311" i="123" s="1"/>
  <c r="AE6" i="122"/>
  <c r="AE5" i="122" s="1"/>
  <c r="AF63" i="122"/>
  <c r="AF70" i="122" s="1"/>
  <c r="E240" i="124" l="1"/>
  <c r="E247" i="124" s="1"/>
  <c r="D8" i="124"/>
  <c r="C9" i="123"/>
  <c r="D304" i="123"/>
  <c r="D311" i="123" s="1"/>
  <c r="AF6" i="122"/>
  <c r="AF5" i="122" s="1"/>
  <c r="AG63" i="122"/>
  <c r="AG70" i="122" s="1"/>
  <c r="F240" i="124" l="1"/>
  <c r="F247" i="124" s="1"/>
  <c r="E8" i="124"/>
  <c r="E304" i="123"/>
  <c r="E311" i="123" s="1"/>
  <c r="D9" i="123"/>
  <c r="AG6" i="122"/>
  <c r="AG5" i="122" s="1"/>
  <c r="AH14" i="122" s="1"/>
  <c r="B34" i="123"/>
  <c r="B40" i="123" s="1"/>
  <c r="C63" i="123" s="1"/>
  <c r="C70" i="123" s="1"/>
  <c r="G240" i="124" l="1"/>
  <c r="G247" i="124" s="1"/>
  <c r="F8" i="124"/>
  <c r="F304" i="123"/>
  <c r="F311" i="123" s="1"/>
  <c r="E9" i="123"/>
  <c r="C6" i="123"/>
  <c r="C5" i="123" s="1"/>
  <c r="D63" i="123"/>
  <c r="D70" i="123" s="1"/>
  <c r="H240" i="124" l="1"/>
  <c r="H247" i="124" s="1"/>
  <c r="G8" i="124"/>
  <c r="G304" i="123"/>
  <c r="G311" i="123" s="1"/>
  <c r="F9" i="123"/>
  <c r="E63" i="123"/>
  <c r="E70" i="123" s="1"/>
  <c r="D6" i="123"/>
  <c r="D5" i="123" s="1"/>
  <c r="I240" i="124" l="1"/>
  <c r="I247" i="124" s="1"/>
  <c r="H8" i="124"/>
  <c r="G9" i="123"/>
  <c r="H304" i="123"/>
  <c r="H311" i="123" s="1"/>
  <c r="F63" i="123"/>
  <c r="F70" i="123" s="1"/>
  <c r="E6" i="123"/>
  <c r="E5" i="123" s="1"/>
  <c r="I8" i="124" l="1"/>
  <c r="J240" i="124"/>
  <c r="J247" i="124" s="1"/>
  <c r="H9" i="123"/>
  <c r="I304" i="123"/>
  <c r="I311" i="123" s="1"/>
  <c r="F6" i="123"/>
  <c r="F5" i="123" s="1"/>
  <c r="G63" i="123"/>
  <c r="G70" i="123" s="1"/>
  <c r="J8" i="124" l="1"/>
  <c r="K240" i="124"/>
  <c r="K247" i="124" s="1"/>
  <c r="I9" i="123"/>
  <c r="J304" i="123"/>
  <c r="J311" i="123" s="1"/>
  <c r="G6" i="123"/>
  <c r="G5" i="123" s="1"/>
  <c r="H63" i="123"/>
  <c r="H70" i="123" s="1"/>
  <c r="K8" i="124" l="1"/>
  <c r="L240" i="124"/>
  <c r="L247" i="124" s="1"/>
  <c r="K304" i="123"/>
  <c r="K311" i="123" s="1"/>
  <c r="J9" i="123"/>
  <c r="H6" i="123"/>
  <c r="H5" i="123" s="1"/>
  <c r="I63" i="123"/>
  <c r="I70" i="123" s="1"/>
  <c r="M240" i="124" l="1"/>
  <c r="M247" i="124" s="1"/>
  <c r="L8" i="124"/>
  <c r="K9" i="123"/>
  <c r="L304" i="123"/>
  <c r="L311" i="123" s="1"/>
  <c r="I6" i="123"/>
  <c r="I5" i="123" s="1"/>
  <c r="J63" i="123"/>
  <c r="J70" i="123" s="1"/>
  <c r="N240" i="124" l="1"/>
  <c r="N247" i="124" s="1"/>
  <c r="M8" i="124"/>
  <c r="L9" i="123"/>
  <c r="M304" i="123"/>
  <c r="M311" i="123" s="1"/>
  <c r="J6" i="123"/>
  <c r="J5" i="123" s="1"/>
  <c r="K63" i="123"/>
  <c r="K70" i="123" s="1"/>
  <c r="O240" i="124" l="1"/>
  <c r="O247" i="124" s="1"/>
  <c r="N8" i="124"/>
  <c r="N304" i="123"/>
  <c r="N311" i="123" s="1"/>
  <c r="M9" i="123"/>
  <c r="K6" i="123"/>
  <c r="K5" i="123" s="1"/>
  <c r="L63" i="123"/>
  <c r="L70" i="123" s="1"/>
  <c r="P240" i="124" l="1"/>
  <c r="P247" i="124" s="1"/>
  <c r="O8" i="124"/>
  <c r="N9" i="123"/>
  <c r="O304" i="123"/>
  <c r="O311" i="123" s="1"/>
  <c r="M63" i="123"/>
  <c r="M70" i="123" s="1"/>
  <c r="L6" i="123"/>
  <c r="L5" i="123" s="1"/>
  <c r="P8" i="124" l="1"/>
  <c r="Q240" i="124"/>
  <c r="Q247" i="124" s="1"/>
  <c r="O9" i="123"/>
  <c r="P304" i="123"/>
  <c r="P311" i="123" s="1"/>
  <c r="M6" i="123"/>
  <c r="M5" i="123" s="1"/>
  <c r="N63" i="123"/>
  <c r="N70" i="123" s="1"/>
  <c r="Q8" i="124" l="1"/>
  <c r="R240" i="124"/>
  <c r="R247" i="124" s="1"/>
  <c r="P9" i="123"/>
  <c r="Q304" i="123"/>
  <c r="Q311" i="123" s="1"/>
  <c r="N6" i="123"/>
  <c r="N5" i="123" s="1"/>
  <c r="O63" i="123"/>
  <c r="O70" i="123" s="1"/>
  <c r="S240" i="124" l="1"/>
  <c r="S247" i="124" s="1"/>
  <c r="R8" i="124"/>
  <c r="R304" i="123"/>
  <c r="R311" i="123" s="1"/>
  <c r="Q9" i="123"/>
  <c r="P63" i="123"/>
  <c r="P70" i="123" s="1"/>
  <c r="O6" i="123"/>
  <c r="O5" i="123" s="1"/>
  <c r="S8" i="124" l="1"/>
  <c r="T240" i="124"/>
  <c r="T247" i="124" s="1"/>
  <c r="S304" i="123"/>
  <c r="S311" i="123" s="1"/>
  <c r="R9" i="123"/>
  <c r="P6" i="123"/>
  <c r="P5" i="123" s="1"/>
  <c r="Q63" i="123"/>
  <c r="Q70" i="123" s="1"/>
  <c r="U240" i="124" l="1"/>
  <c r="U247" i="124" s="1"/>
  <c r="T8" i="124"/>
  <c r="T304" i="123"/>
  <c r="T311" i="123" s="1"/>
  <c r="S9" i="123"/>
  <c r="Q6" i="123"/>
  <c r="Q5" i="123" s="1"/>
  <c r="R63" i="123"/>
  <c r="R70" i="123" s="1"/>
  <c r="V240" i="124" l="1"/>
  <c r="V247" i="124" s="1"/>
  <c r="U8" i="124"/>
  <c r="T9" i="123"/>
  <c r="U304" i="123"/>
  <c r="U311" i="123" s="1"/>
  <c r="R6" i="123"/>
  <c r="R5" i="123" s="1"/>
  <c r="S63" i="123"/>
  <c r="S70" i="123" s="1"/>
  <c r="W240" i="124" l="1"/>
  <c r="W247" i="124" s="1"/>
  <c r="V8" i="124"/>
  <c r="V304" i="123"/>
  <c r="V311" i="123" s="1"/>
  <c r="U9" i="123"/>
  <c r="S6" i="123"/>
  <c r="S5" i="123" s="1"/>
  <c r="T63" i="123"/>
  <c r="T70" i="123" s="1"/>
  <c r="W8" i="124" l="1"/>
  <c r="X240" i="124"/>
  <c r="X247" i="124" s="1"/>
  <c r="W304" i="123"/>
  <c r="W311" i="123" s="1"/>
  <c r="V9" i="123"/>
  <c r="U63" i="123"/>
  <c r="U70" i="123" s="1"/>
  <c r="T6" i="123"/>
  <c r="T5" i="123" s="1"/>
  <c r="X8" i="124" l="1"/>
  <c r="Y240" i="124"/>
  <c r="Y247" i="124" s="1"/>
  <c r="W9" i="123"/>
  <c r="X304" i="123"/>
  <c r="X311" i="123" s="1"/>
  <c r="V63" i="123"/>
  <c r="V70" i="123" s="1"/>
  <c r="U6" i="123"/>
  <c r="U5" i="123" s="1"/>
  <c r="Z240" i="124" l="1"/>
  <c r="Z247" i="124" s="1"/>
  <c r="Y8" i="124"/>
  <c r="X9" i="123"/>
  <c r="Y304" i="123"/>
  <c r="Y311" i="123" s="1"/>
  <c r="V6" i="123"/>
  <c r="V5" i="123" s="1"/>
  <c r="W63" i="123"/>
  <c r="W70" i="123" s="1"/>
  <c r="Z8" i="124" l="1"/>
  <c r="AA240" i="124"/>
  <c r="AA247" i="124" s="1"/>
  <c r="Z304" i="123"/>
  <c r="Z311" i="123" s="1"/>
  <c r="Y9" i="123"/>
  <c r="W6" i="123"/>
  <c r="W5" i="123" s="1"/>
  <c r="X63" i="123"/>
  <c r="X70" i="123" s="1"/>
  <c r="AA8" i="124" l="1"/>
  <c r="AB240" i="124"/>
  <c r="AB247" i="124" s="1"/>
  <c r="Z9" i="123"/>
  <c r="AA304" i="123"/>
  <c r="AA311" i="123" s="1"/>
  <c r="X6" i="123"/>
  <c r="X5" i="123" s="1"/>
  <c r="Y63" i="123"/>
  <c r="Y70" i="123" s="1"/>
  <c r="AB8" i="124" l="1"/>
  <c r="AC240" i="124"/>
  <c r="AC247" i="124" s="1"/>
  <c r="AA9" i="123"/>
  <c r="AB304" i="123"/>
  <c r="AB311" i="123" s="1"/>
  <c r="Z63" i="123"/>
  <c r="Z70" i="123" s="1"/>
  <c r="Y6" i="123"/>
  <c r="Y5" i="123" s="1"/>
  <c r="AD240" i="124" l="1"/>
  <c r="AD247" i="124" s="1"/>
  <c r="AC8" i="124"/>
  <c r="AC304" i="123"/>
  <c r="AC311" i="123" s="1"/>
  <c r="AB9" i="123"/>
  <c r="Z6" i="123"/>
  <c r="Z5" i="123" s="1"/>
  <c r="AA63" i="123"/>
  <c r="AA70" i="123" s="1"/>
  <c r="AE240" i="124" l="1"/>
  <c r="AE247" i="124" s="1"/>
  <c r="AD8" i="124"/>
  <c r="AD304" i="123"/>
  <c r="AD311" i="123" s="1"/>
  <c r="AC9" i="123"/>
  <c r="AB63" i="123"/>
  <c r="AB70" i="123" s="1"/>
  <c r="AA6" i="123"/>
  <c r="AA5" i="123" s="1"/>
  <c r="AE8" i="124" l="1"/>
  <c r="AF240" i="124"/>
  <c r="AF247" i="124" s="1"/>
  <c r="AE304" i="123"/>
  <c r="AE311" i="123" s="1"/>
  <c r="AD9" i="123"/>
  <c r="AC63" i="123"/>
  <c r="AC70" i="123" s="1"/>
  <c r="AB6" i="123"/>
  <c r="AB5" i="123" s="1"/>
  <c r="AG240" i="124" l="1"/>
  <c r="AG247" i="124" s="1"/>
  <c r="AF8" i="124"/>
  <c r="AE9" i="123"/>
  <c r="AF304" i="123"/>
  <c r="AF311" i="123" s="1"/>
  <c r="B279" i="124" s="1"/>
  <c r="B285" i="124" s="1"/>
  <c r="C304" i="124" s="1"/>
  <c r="C311" i="124" s="1"/>
  <c r="AD63" i="123"/>
  <c r="AD70" i="123" s="1"/>
  <c r="AC6" i="123"/>
  <c r="AC5" i="123" s="1"/>
  <c r="AG8" i="124" l="1"/>
  <c r="B215" i="126"/>
  <c r="B221" i="126" s="1"/>
  <c r="C240" i="126" s="1"/>
  <c r="C247" i="126" s="1"/>
  <c r="D304" i="124"/>
  <c r="D311" i="124" s="1"/>
  <c r="C9" i="124"/>
  <c r="AF9" i="123"/>
  <c r="AG304" i="123"/>
  <c r="AG311" i="123" s="1"/>
  <c r="AG9" i="123" s="1"/>
  <c r="AE63" i="123"/>
  <c r="AE70" i="123" s="1"/>
  <c r="AD6" i="123"/>
  <c r="AD5" i="123" s="1"/>
  <c r="D240" i="126" l="1"/>
  <c r="D247" i="126" s="1"/>
  <c r="C8" i="126"/>
  <c r="D9" i="124"/>
  <c r="E304" i="124"/>
  <c r="E311" i="124" s="1"/>
  <c r="AE6" i="123"/>
  <c r="AE5" i="123" s="1"/>
  <c r="AF63" i="123"/>
  <c r="AF70" i="123" s="1"/>
  <c r="B34" i="124" s="1"/>
  <c r="B40" i="124" s="1"/>
  <c r="C63" i="124" s="1"/>
  <c r="C70" i="124" s="1"/>
  <c r="E240" i="126" l="1"/>
  <c r="E247" i="126" s="1"/>
  <c r="D8" i="126"/>
  <c r="F304" i="124"/>
  <c r="F311" i="124" s="1"/>
  <c r="E9" i="124"/>
  <c r="C6" i="124"/>
  <c r="C5" i="124" s="1"/>
  <c r="D63" i="124"/>
  <c r="D70" i="124" s="1"/>
  <c r="AF6" i="123"/>
  <c r="AF5" i="123" s="1"/>
  <c r="AG63" i="123"/>
  <c r="AG70" i="123" s="1"/>
  <c r="AG6" i="123" s="1"/>
  <c r="AG5" i="123" s="1"/>
  <c r="AH14" i="123" s="1"/>
  <c r="E8" i="126" l="1"/>
  <c r="F240" i="126"/>
  <c r="F247" i="126" s="1"/>
  <c r="F9" i="124"/>
  <c r="G304" i="124"/>
  <c r="G311" i="124" s="1"/>
  <c r="D6" i="124"/>
  <c r="D5" i="124" s="1"/>
  <c r="E63" i="124"/>
  <c r="E70" i="124" s="1"/>
  <c r="G240" i="126" l="1"/>
  <c r="G247" i="126" s="1"/>
  <c r="F8" i="126"/>
  <c r="G9" i="124"/>
  <c r="H304" i="124"/>
  <c r="H311" i="124" s="1"/>
  <c r="F63" i="124"/>
  <c r="F70" i="124" s="1"/>
  <c r="E6" i="124"/>
  <c r="E5" i="124" s="1"/>
  <c r="G8" i="126" l="1"/>
  <c r="H240" i="126"/>
  <c r="H247" i="126" s="1"/>
  <c r="H9" i="124"/>
  <c r="I304" i="124"/>
  <c r="I311" i="124" s="1"/>
  <c r="F6" i="124"/>
  <c r="F5" i="124" s="1"/>
  <c r="G63" i="124"/>
  <c r="G70" i="124" s="1"/>
  <c r="H8" i="126" l="1"/>
  <c r="I240" i="126"/>
  <c r="I247" i="126" s="1"/>
  <c r="J304" i="124"/>
  <c r="J311" i="124" s="1"/>
  <c r="I9" i="124"/>
  <c r="G6" i="124"/>
  <c r="G5" i="124" s="1"/>
  <c r="H63" i="124"/>
  <c r="H70" i="124" s="1"/>
  <c r="J240" i="126" l="1"/>
  <c r="J247" i="126" s="1"/>
  <c r="I8" i="126"/>
  <c r="J9" i="124"/>
  <c r="K304" i="124"/>
  <c r="K311" i="124" s="1"/>
  <c r="I63" i="124"/>
  <c r="I70" i="124" s="1"/>
  <c r="H6" i="124"/>
  <c r="H5" i="124" s="1"/>
  <c r="J8" i="126" l="1"/>
  <c r="K240" i="126"/>
  <c r="K247" i="126" s="1"/>
  <c r="L304" i="124"/>
  <c r="L311" i="124" s="1"/>
  <c r="K9" i="124"/>
  <c r="I6" i="124"/>
  <c r="I5" i="124" s="1"/>
  <c r="J63" i="124"/>
  <c r="J70" i="124" s="1"/>
  <c r="K8" i="126" l="1"/>
  <c r="L240" i="126"/>
  <c r="L247" i="126" s="1"/>
  <c r="L9" i="124"/>
  <c r="M304" i="124"/>
  <c r="M311" i="124" s="1"/>
  <c r="K63" i="124"/>
  <c r="K70" i="124" s="1"/>
  <c r="J6" i="124"/>
  <c r="J5" i="124" s="1"/>
  <c r="L8" i="126" l="1"/>
  <c r="M240" i="126"/>
  <c r="M247" i="126" s="1"/>
  <c r="M9" i="124"/>
  <c r="N304" i="124"/>
  <c r="N311" i="124" s="1"/>
  <c r="K6" i="124"/>
  <c r="K5" i="124" s="1"/>
  <c r="L63" i="124"/>
  <c r="L70" i="124" s="1"/>
  <c r="N240" i="126" l="1"/>
  <c r="N247" i="126" s="1"/>
  <c r="M8" i="126"/>
  <c r="N9" i="124"/>
  <c r="O304" i="124"/>
  <c r="O311" i="124" s="1"/>
  <c r="L6" i="124"/>
  <c r="L5" i="124" s="1"/>
  <c r="M63" i="124"/>
  <c r="M70" i="124" s="1"/>
  <c r="N8" i="126" l="1"/>
  <c r="O240" i="126"/>
  <c r="O247" i="126" s="1"/>
  <c r="O9" i="124"/>
  <c r="P304" i="124"/>
  <c r="P311" i="124" s="1"/>
  <c r="M6" i="124"/>
  <c r="M5" i="124" s="1"/>
  <c r="N63" i="124"/>
  <c r="N70" i="124" s="1"/>
  <c r="P240" i="126" l="1"/>
  <c r="P247" i="126" s="1"/>
  <c r="O8" i="126"/>
  <c r="P9" i="124"/>
  <c r="Q304" i="124"/>
  <c r="Q311" i="124" s="1"/>
  <c r="N6" i="124"/>
  <c r="N5" i="124" s="1"/>
  <c r="O63" i="124"/>
  <c r="O70" i="124" s="1"/>
  <c r="P8" i="126" l="1"/>
  <c r="Q240" i="126"/>
  <c r="Q247" i="126" s="1"/>
  <c r="R304" i="124"/>
  <c r="R311" i="124" s="1"/>
  <c r="Q9" i="124"/>
  <c r="O6" i="124"/>
  <c r="O5" i="124" s="1"/>
  <c r="P63" i="124"/>
  <c r="P70" i="124" s="1"/>
  <c r="R240" i="126" l="1"/>
  <c r="R247" i="126" s="1"/>
  <c r="Q8" i="126"/>
  <c r="S304" i="124"/>
  <c r="S311" i="124" s="1"/>
  <c r="R9" i="124"/>
  <c r="Q63" i="124"/>
  <c r="Q70" i="124" s="1"/>
  <c r="P6" i="124"/>
  <c r="P5" i="124" s="1"/>
  <c r="S240" i="126" l="1"/>
  <c r="S247" i="126" s="1"/>
  <c r="R8" i="126"/>
  <c r="S9" i="124"/>
  <c r="T304" i="124"/>
  <c r="T311" i="124" s="1"/>
  <c r="R63" i="124"/>
  <c r="R70" i="124" s="1"/>
  <c r="Q6" i="124"/>
  <c r="Q5" i="124" s="1"/>
  <c r="T240" i="126" l="1"/>
  <c r="T247" i="126" s="1"/>
  <c r="S8" i="126"/>
  <c r="T9" i="124"/>
  <c r="U304" i="124"/>
  <c r="U311" i="124" s="1"/>
  <c r="S63" i="124"/>
  <c r="S70" i="124" s="1"/>
  <c r="R6" i="124"/>
  <c r="R5" i="124" s="1"/>
  <c r="U240" i="126" l="1"/>
  <c r="U247" i="126" s="1"/>
  <c r="T8" i="126"/>
  <c r="V304" i="124"/>
  <c r="V311" i="124" s="1"/>
  <c r="U9" i="124"/>
  <c r="T63" i="124"/>
  <c r="T70" i="124" s="1"/>
  <c r="S6" i="124"/>
  <c r="S5" i="124" s="1"/>
  <c r="V240" i="126" l="1"/>
  <c r="V247" i="126" s="1"/>
  <c r="U8" i="126"/>
  <c r="V9" i="124"/>
  <c r="W304" i="124"/>
  <c r="W311" i="124" s="1"/>
  <c r="T6" i="124"/>
  <c r="T5" i="124" s="1"/>
  <c r="U63" i="124"/>
  <c r="U70" i="124" s="1"/>
  <c r="V8" i="126" l="1"/>
  <c r="W240" i="126"/>
  <c r="W247" i="126" s="1"/>
  <c r="W9" i="124"/>
  <c r="X304" i="124"/>
  <c r="X311" i="124" s="1"/>
  <c r="U6" i="124"/>
  <c r="U5" i="124" s="1"/>
  <c r="V63" i="124"/>
  <c r="V70" i="124" s="1"/>
  <c r="W8" i="126" l="1"/>
  <c r="X240" i="126"/>
  <c r="X247" i="126" s="1"/>
  <c r="Y304" i="124"/>
  <c r="Y311" i="124" s="1"/>
  <c r="X9" i="124"/>
  <c r="V6" i="124"/>
  <c r="V5" i="124" s="1"/>
  <c r="W63" i="124"/>
  <c r="W70" i="124" s="1"/>
  <c r="Y240" i="126" l="1"/>
  <c r="Y247" i="126" s="1"/>
  <c r="X8" i="126"/>
  <c r="Y9" i="124"/>
  <c r="Z304" i="124"/>
  <c r="Z311" i="124" s="1"/>
  <c r="W6" i="124"/>
  <c r="W5" i="124" s="1"/>
  <c r="X63" i="124"/>
  <c r="X70" i="124" s="1"/>
  <c r="Z240" i="126" l="1"/>
  <c r="Z247" i="126" s="1"/>
  <c r="Y8" i="126"/>
  <c r="Z9" i="124"/>
  <c r="AA304" i="124"/>
  <c r="AA311" i="124" s="1"/>
  <c r="X6" i="124"/>
  <c r="X5" i="124" s="1"/>
  <c r="Y63" i="124"/>
  <c r="Y70" i="124" s="1"/>
  <c r="AA240" i="126" l="1"/>
  <c r="AA247" i="126" s="1"/>
  <c r="Z8" i="126"/>
  <c r="AA9" i="124"/>
  <c r="AB304" i="124"/>
  <c r="AB311" i="124" s="1"/>
  <c r="Y6" i="124"/>
  <c r="Y5" i="124" s="1"/>
  <c r="Z63" i="124"/>
  <c r="Z70" i="124" s="1"/>
  <c r="AA8" i="126" l="1"/>
  <c r="AB240" i="126"/>
  <c r="AB247" i="126" s="1"/>
  <c r="AB9" i="124"/>
  <c r="AC304" i="124"/>
  <c r="AC311" i="124" s="1"/>
  <c r="Z6" i="124"/>
  <c r="Z5" i="124" s="1"/>
  <c r="AA63" i="124"/>
  <c r="AA70" i="124" s="1"/>
  <c r="AB8" i="126" l="1"/>
  <c r="AC240" i="126"/>
  <c r="AC247" i="126" s="1"/>
  <c r="AD304" i="124"/>
  <c r="AD311" i="124" s="1"/>
  <c r="AC9" i="124"/>
  <c r="AB63" i="124"/>
  <c r="AB70" i="124" s="1"/>
  <c r="AA6" i="124"/>
  <c r="AA5" i="124" s="1"/>
  <c r="AC8" i="126" l="1"/>
  <c r="AD240" i="126"/>
  <c r="AD247" i="126" s="1"/>
  <c r="AE304" i="124"/>
  <c r="AE311" i="124" s="1"/>
  <c r="AD9" i="124"/>
  <c r="AB6" i="124"/>
  <c r="AB5" i="124" s="1"/>
  <c r="AC63" i="124"/>
  <c r="AC70" i="124" s="1"/>
  <c r="AE240" i="126" l="1"/>
  <c r="AE247" i="126" s="1"/>
  <c r="AD8" i="126"/>
  <c r="AF304" i="124"/>
  <c r="AF311" i="124" s="1"/>
  <c r="AE9" i="124"/>
  <c r="AD63" i="124"/>
  <c r="AD70" i="124" s="1"/>
  <c r="AC6" i="124"/>
  <c r="AC5" i="124" s="1"/>
  <c r="AF240" i="126" l="1"/>
  <c r="AF247" i="126" s="1"/>
  <c r="B215" i="127" s="1"/>
  <c r="B221" i="127" s="1"/>
  <c r="C240" i="127" s="1"/>
  <c r="C247" i="127" s="1"/>
  <c r="AE8" i="126"/>
  <c r="AG304" i="124"/>
  <c r="AG311" i="124" s="1"/>
  <c r="AF9" i="124"/>
  <c r="AE63" i="124"/>
  <c r="AE70" i="124" s="1"/>
  <c r="AD6" i="124"/>
  <c r="AD5" i="124" s="1"/>
  <c r="D240" i="127" l="1"/>
  <c r="D247" i="127" s="1"/>
  <c r="C8" i="127"/>
  <c r="AF8" i="126"/>
  <c r="AG240" i="126"/>
  <c r="AG247" i="126" s="1"/>
  <c r="AG8" i="126" s="1"/>
  <c r="AG9" i="124"/>
  <c r="B279" i="126"/>
  <c r="B285" i="126" s="1"/>
  <c r="C304" i="126" s="1"/>
  <c r="C311" i="126" s="1"/>
  <c r="AF63" i="124"/>
  <c r="AF70" i="124" s="1"/>
  <c r="AE6" i="124"/>
  <c r="AE5" i="124" s="1"/>
  <c r="D8" i="127" l="1"/>
  <c r="E240" i="127"/>
  <c r="E247" i="127" s="1"/>
  <c r="C9" i="126"/>
  <c r="D304" i="126"/>
  <c r="D311" i="126" s="1"/>
  <c r="AF6" i="124"/>
  <c r="AF5" i="124" s="1"/>
  <c r="AG63" i="124"/>
  <c r="AG70" i="124" s="1"/>
  <c r="F240" i="127" l="1"/>
  <c r="F247" i="127" s="1"/>
  <c r="E8" i="127"/>
  <c r="AG6" i="124"/>
  <c r="AG5" i="124" s="1"/>
  <c r="AH14" i="124" s="1"/>
  <c r="B34" i="126"/>
  <c r="B40" i="126" s="1"/>
  <c r="C63" i="126" s="1"/>
  <c r="C70" i="126" s="1"/>
  <c r="D9" i="126"/>
  <c r="E304" i="126"/>
  <c r="E311" i="126" s="1"/>
  <c r="F8" i="127" l="1"/>
  <c r="G240" i="127"/>
  <c r="G247" i="127" s="1"/>
  <c r="C6" i="126"/>
  <c r="C5" i="126" s="1"/>
  <c r="D63" i="126"/>
  <c r="D70" i="126" s="1"/>
  <c r="F304" i="126"/>
  <c r="F311" i="126" s="1"/>
  <c r="E9" i="126"/>
  <c r="H240" i="127" l="1"/>
  <c r="H247" i="127" s="1"/>
  <c r="G8" i="127"/>
  <c r="E63" i="126"/>
  <c r="E70" i="126" s="1"/>
  <c r="D6" i="126"/>
  <c r="D5" i="126" s="1"/>
  <c r="G304" i="126"/>
  <c r="G311" i="126" s="1"/>
  <c r="F9" i="126"/>
  <c r="H8" i="127" l="1"/>
  <c r="I240" i="127"/>
  <c r="I247" i="127" s="1"/>
  <c r="F63" i="126"/>
  <c r="F70" i="126" s="1"/>
  <c r="E6" i="126"/>
  <c r="E5" i="126" s="1"/>
  <c r="H304" i="126"/>
  <c r="H311" i="126" s="1"/>
  <c r="G9" i="126"/>
  <c r="I8" i="127" l="1"/>
  <c r="J240" i="127"/>
  <c r="J247" i="127" s="1"/>
  <c r="G63" i="126"/>
  <c r="G70" i="126" s="1"/>
  <c r="F6" i="126"/>
  <c r="F5" i="126" s="1"/>
  <c r="I304" i="126"/>
  <c r="I311" i="126" s="1"/>
  <c r="H9" i="126"/>
  <c r="K240" i="127" l="1"/>
  <c r="K247" i="127" s="1"/>
  <c r="J8" i="127"/>
  <c r="G6" i="126"/>
  <c r="G5" i="126" s="1"/>
  <c r="H63" i="126"/>
  <c r="H70" i="126" s="1"/>
  <c r="I9" i="126"/>
  <c r="J304" i="126"/>
  <c r="J311" i="126" s="1"/>
  <c r="K8" i="127" l="1"/>
  <c r="L240" i="127"/>
  <c r="L247" i="127" s="1"/>
  <c r="H6" i="126"/>
  <c r="H5" i="126" s="1"/>
  <c r="I63" i="126"/>
  <c r="I70" i="126" s="1"/>
  <c r="J9" i="126"/>
  <c r="K304" i="126"/>
  <c r="K311" i="126" s="1"/>
  <c r="M240" i="127" l="1"/>
  <c r="M247" i="127" s="1"/>
  <c r="L8" i="127"/>
  <c r="J63" i="126"/>
  <c r="J70" i="126" s="1"/>
  <c r="I6" i="126"/>
  <c r="I5" i="126" s="1"/>
  <c r="L304" i="126"/>
  <c r="L311" i="126" s="1"/>
  <c r="K9" i="126"/>
  <c r="N240" i="127" l="1"/>
  <c r="N247" i="127" s="1"/>
  <c r="M8" i="127"/>
  <c r="K63" i="126"/>
  <c r="K70" i="126" s="1"/>
  <c r="J6" i="126"/>
  <c r="J5" i="126" s="1"/>
  <c r="M304" i="126"/>
  <c r="M311" i="126" s="1"/>
  <c r="L9" i="126"/>
  <c r="N8" i="127" l="1"/>
  <c r="O240" i="127"/>
  <c r="O247" i="127" s="1"/>
  <c r="K6" i="126"/>
  <c r="K5" i="126" s="1"/>
  <c r="L63" i="126"/>
  <c r="L70" i="126" s="1"/>
  <c r="N304" i="126"/>
  <c r="N311" i="126" s="1"/>
  <c r="M9" i="126"/>
  <c r="O8" i="127" l="1"/>
  <c r="P240" i="127"/>
  <c r="P247" i="127" s="1"/>
  <c r="M63" i="126"/>
  <c r="M70" i="126" s="1"/>
  <c r="L6" i="126"/>
  <c r="L5" i="126" s="1"/>
  <c r="N9" i="126"/>
  <c r="O304" i="126"/>
  <c r="O311" i="126" s="1"/>
  <c r="P8" i="127" l="1"/>
  <c r="Q240" i="127"/>
  <c r="Q247" i="127" s="1"/>
  <c r="N63" i="126"/>
  <c r="N70" i="126" s="1"/>
  <c r="M6" i="126"/>
  <c r="M5" i="126" s="1"/>
  <c r="P304" i="126"/>
  <c r="P311" i="126" s="1"/>
  <c r="O9" i="126"/>
  <c r="Q8" i="127" l="1"/>
  <c r="R240" i="127"/>
  <c r="R247" i="127" s="1"/>
  <c r="O63" i="126"/>
  <c r="O70" i="126" s="1"/>
  <c r="N6" i="126"/>
  <c r="N5" i="126" s="1"/>
  <c r="Q304" i="126"/>
  <c r="Q311" i="126" s="1"/>
  <c r="P9" i="126"/>
  <c r="R8" i="127" l="1"/>
  <c r="S240" i="127"/>
  <c r="S247" i="127" s="1"/>
  <c r="P63" i="126"/>
  <c r="P70" i="126" s="1"/>
  <c r="O6" i="126"/>
  <c r="O5" i="126" s="1"/>
  <c r="R304" i="126"/>
  <c r="R311" i="126" s="1"/>
  <c r="Q9" i="126"/>
  <c r="S8" i="127" l="1"/>
  <c r="T240" i="127"/>
  <c r="T247" i="127" s="1"/>
  <c r="P6" i="126"/>
  <c r="P5" i="126" s="1"/>
  <c r="Q63" i="126"/>
  <c r="Q70" i="126" s="1"/>
  <c r="R9" i="126"/>
  <c r="S304" i="126"/>
  <c r="S311" i="126" s="1"/>
  <c r="T8" i="127" l="1"/>
  <c r="U240" i="127"/>
  <c r="U247" i="127" s="1"/>
  <c r="Q6" i="126"/>
  <c r="Q5" i="126" s="1"/>
  <c r="R63" i="126"/>
  <c r="R70" i="126" s="1"/>
  <c r="T304" i="126"/>
  <c r="T311" i="126" s="1"/>
  <c r="S9" i="126"/>
  <c r="V240" i="127" l="1"/>
  <c r="V247" i="127" s="1"/>
  <c r="U8" i="127"/>
  <c r="S63" i="126"/>
  <c r="S70" i="126" s="1"/>
  <c r="R6" i="126"/>
  <c r="R5" i="126" s="1"/>
  <c r="U304" i="126"/>
  <c r="U311" i="126" s="1"/>
  <c r="T9" i="126"/>
  <c r="W240" i="127" l="1"/>
  <c r="W247" i="127" s="1"/>
  <c r="V8" i="127"/>
  <c r="S6" i="126"/>
  <c r="S5" i="126" s="1"/>
  <c r="T63" i="126"/>
  <c r="T70" i="126" s="1"/>
  <c r="U9" i="126"/>
  <c r="V304" i="126"/>
  <c r="V311" i="126" s="1"/>
  <c r="W8" i="127" l="1"/>
  <c r="X240" i="127"/>
  <c r="X247" i="127" s="1"/>
  <c r="U63" i="126"/>
  <c r="U70" i="126" s="1"/>
  <c r="T6" i="126"/>
  <c r="T5" i="126" s="1"/>
  <c r="V9" i="126"/>
  <c r="W304" i="126"/>
  <c r="W311" i="126" s="1"/>
  <c r="Y240" i="127" l="1"/>
  <c r="Y247" i="127" s="1"/>
  <c r="X8" i="127"/>
  <c r="V63" i="126"/>
  <c r="V70" i="126" s="1"/>
  <c r="U6" i="126"/>
  <c r="U5" i="126" s="1"/>
  <c r="X304" i="126"/>
  <c r="X311" i="126" s="1"/>
  <c r="W9" i="126"/>
  <c r="Z240" i="127" l="1"/>
  <c r="Z247" i="127" s="1"/>
  <c r="Y8" i="127"/>
  <c r="V6" i="126"/>
  <c r="V5" i="126" s="1"/>
  <c r="W63" i="126"/>
  <c r="W70" i="126" s="1"/>
  <c r="X9" i="126"/>
  <c r="Y304" i="126"/>
  <c r="Y311" i="126" s="1"/>
  <c r="Z8" i="127" l="1"/>
  <c r="AA240" i="127"/>
  <c r="AA247" i="127" s="1"/>
  <c r="W6" i="126"/>
  <c r="W5" i="126" s="1"/>
  <c r="X63" i="126"/>
  <c r="X70" i="126" s="1"/>
  <c r="Z304" i="126"/>
  <c r="Z311" i="126" s="1"/>
  <c r="Y9" i="126"/>
  <c r="AB240" i="127" l="1"/>
  <c r="AB247" i="127" s="1"/>
  <c r="AA8" i="127"/>
  <c r="Y63" i="126"/>
  <c r="Y70" i="126" s="1"/>
  <c r="X6" i="126"/>
  <c r="X5" i="126" s="1"/>
  <c r="Z9" i="126"/>
  <c r="AA304" i="126"/>
  <c r="AA311" i="126" s="1"/>
  <c r="AC240" i="127" l="1"/>
  <c r="AC247" i="127" s="1"/>
  <c r="AB8" i="127"/>
  <c r="Y6" i="126"/>
  <c r="Y5" i="126" s="1"/>
  <c r="Z63" i="126"/>
  <c r="Z70" i="126" s="1"/>
  <c r="AA9" i="126"/>
  <c r="AB304" i="126"/>
  <c r="AB311" i="126" s="1"/>
  <c r="AC8" i="127" l="1"/>
  <c r="AD240" i="127"/>
  <c r="AD247" i="127" s="1"/>
  <c r="AA63" i="126"/>
  <c r="AA70" i="126" s="1"/>
  <c r="Z6" i="126"/>
  <c r="Z5" i="126" s="1"/>
  <c r="AC304" i="126"/>
  <c r="AC311" i="126" s="1"/>
  <c r="AB9" i="126"/>
  <c r="AE240" i="127" l="1"/>
  <c r="AE247" i="127" s="1"/>
  <c r="AD8" i="127"/>
  <c r="AA6" i="126"/>
  <c r="AA5" i="126" s="1"/>
  <c r="AB63" i="126"/>
  <c r="AB70" i="126" s="1"/>
  <c r="AC9" i="126"/>
  <c r="AD304" i="126"/>
  <c r="AD311" i="126" s="1"/>
  <c r="AE8" i="127" l="1"/>
  <c r="AF240" i="127"/>
  <c r="AF247" i="127" s="1"/>
  <c r="AB6" i="126"/>
  <c r="AB5" i="126" s="1"/>
  <c r="AC63" i="126"/>
  <c r="AC70" i="126" s="1"/>
  <c r="AD9" i="126"/>
  <c r="AE304" i="126"/>
  <c r="AE311" i="126" s="1"/>
  <c r="AG240" i="127" l="1"/>
  <c r="AG247" i="127" s="1"/>
  <c r="AF8" i="127"/>
  <c r="AD63" i="126"/>
  <c r="AD70" i="126" s="1"/>
  <c r="AC6" i="126"/>
  <c r="AC5" i="126" s="1"/>
  <c r="AF304" i="126"/>
  <c r="AF311" i="126" s="1"/>
  <c r="B279" i="127" s="1"/>
  <c r="B285" i="127" s="1"/>
  <c r="C304" i="127" s="1"/>
  <c r="C311" i="127" s="1"/>
  <c r="AE9" i="126"/>
  <c r="AG8" i="127" l="1"/>
  <c r="B215" i="128"/>
  <c r="B221" i="128" s="1"/>
  <c r="C240" i="128" s="1"/>
  <c r="C247" i="128" s="1"/>
  <c r="D304" i="127"/>
  <c r="D311" i="127" s="1"/>
  <c r="C9" i="127"/>
  <c r="AE63" i="126"/>
  <c r="AE70" i="126" s="1"/>
  <c r="AD6" i="126"/>
  <c r="AD5" i="126" s="1"/>
  <c r="AG304" i="126"/>
  <c r="AG311" i="126" s="1"/>
  <c r="AG9" i="126" s="1"/>
  <c r="AF9" i="126"/>
  <c r="D240" i="128" l="1"/>
  <c r="D247" i="128" s="1"/>
  <c r="C8" i="128"/>
  <c r="D9" i="127"/>
  <c r="E304" i="127"/>
  <c r="E311" i="127" s="1"/>
  <c r="AF63" i="126"/>
  <c r="AF70" i="126" s="1"/>
  <c r="AE6" i="126"/>
  <c r="AE5" i="126" s="1"/>
  <c r="D8" i="128" l="1"/>
  <c r="E240" i="128"/>
  <c r="E247" i="128" s="1"/>
  <c r="F304" i="127"/>
  <c r="F311" i="127" s="1"/>
  <c r="E9" i="127"/>
  <c r="AF6" i="126"/>
  <c r="AF5" i="126" s="1"/>
  <c r="AG63" i="126"/>
  <c r="AG70" i="126" s="1"/>
  <c r="B34" i="127" s="1"/>
  <c r="B40" i="127" s="1"/>
  <c r="C63" i="127" s="1"/>
  <c r="C70" i="127" s="1"/>
  <c r="C6" i="127" s="1"/>
  <c r="C5" i="127" s="1"/>
  <c r="E8" i="128" l="1"/>
  <c r="F240" i="128"/>
  <c r="F247" i="128" s="1"/>
  <c r="D63" i="127"/>
  <c r="D70" i="127" s="1"/>
  <c r="E63" i="127" s="1"/>
  <c r="E70" i="127" s="1"/>
  <c r="F9" i="127"/>
  <c r="G304" i="127"/>
  <c r="G311" i="127" s="1"/>
  <c r="AG6" i="126"/>
  <c r="AG5" i="126" s="1"/>
  <c r="AH14" i="126" s="1"/>
  <c r="F8" i="128" l="1"/>
  <c r="G240" i="128"/>
  <c r="G247" i="128" s="1"/>
  <c r="D6" i="127"/>
  <c r="D5" i="127" s="1"/>
  <c r="G9" i="127"/>
  <c r="H304" i="127"/>
  <c r="H311" i="127" s="1"/>
  <c r="F63" i="127"/>
  <c r="F70" i="127" s="1"/>
  <c r="E6" i="127"/>
  <c r="E5" i="127" s="1"/>
  <c r="H240" i="128" l="1"/>
  <c r="H247" i="128" s="1"/>
  <c r="G8" i="128"/>
  <c r="H9" i="127"/>
  <c r="I304" i="127"/>
  <c r="I311" i="127" s="1"/>
  <c r="F6" i="127"/>
  <c r="F5" i="127" s="1"/>
  <c r="G63" i="127"/>
  <c r="G70" i="127" s="1"/>
  <c r="H8" i="128" l="1"/>
  <c r="I240" i="128"/>
  <c r="I247" i="128" s="1"/>
  <c r="I9" i="127"/>
  <c r="J304" i="127"/>
  <c r="J311" i="127" s="1"/>
  <c r="H63" i="127"/>
  <c r="H70" i="127" s="1"/>
  <c r="G6" i="127"/>
  <c r="G5" i="127" s="1"/>
  <c r="I8" i="128" l="1"/>
  <c r="J240" i="128"/>
  <c r="J247" i="128" s="1"/>
  <c r="K304" i="127"/>
  <c r="K311" i="127" s="1"/>
  <c r="J9" i="127"/>
  <c r="I63" i="127"/>
  <c r="I70" i="127" s="1"/>
  <c r="H6" i="127"/>
  <c r="H5" i="127" s="1"/>
  <c r="K240" i="128" l="1"/>
  <c r="K247" i="128" s="1"/>
  <c r="J8" i="128"/>
  <c r="L304" i="127"/>
  <c r="L311" i="127" s="1"/>
  <c r="K9" i="127"/>
  <c r="I6" i="127"/>
  <c r="I5" i="127" s="1"/>
  <c r="J63" i="127"/>
  <c r="J70" i="127" s="1"/>
  <c r="K8" i="128" l="1"/>
  <c r="L240" i="128"/>
  <c r="L247" i="128" s="1"/>
  <c r="L9" i="127"/>
  <c r="M304" i="127"/>
  <c r="M311" i="127" s="1"/>
  <c r="J6" i="127"/>
  <c r="J5" i="127" s="1"/>
  <c r="K63" i="127"/>
  <c r="K70" i="127" s="1"/>
  <c r="M240" i="128" l="1"/>
  <c r="M247" i="128" s="1"/>
  <c r="L8" i="128"/>
  <c r="N304" i="127"/>
  <c r="N311" i="127" s="1"/>
  <c r="M9" i="127"/>
  <c r="L63" i="127"/>
  <c r="L70" i="127" s="1"/>
  <c r="K6" i="127"/>
  <c r="K5" i="127" s="1"/>
  <c r="M8" i="128" l="1"/>
  <c r="N240" i="128"/>
  <c r="N247" i="128" s="1"/>
  <c r="N9" i="127"/>
  <c r="O304" i="127"/>
  <c r="O311" i="127" s="1"/>
  <c r="M63" i="127"/>
  <c r="M70" i="127" s="1"/>
  <c r="L6" i="127"/>
  <c r="L5" i="127" s="1"/>
  <c r="O240" i="128" l="1"/>
  <c r="O247" i="128" s="1"/>
  <c r="N8" i="128"/>
  <c r="P304" i="127"/>
  <c r="P311" i="127" s="1"/>
  <c r="O9" i="127"/>
  <c r="N63" i="127"/>
  <c r="N70" i="127" s="1"/>
  <c r="M6" i="127"/>
  <c r="M5" i="127" s="1"/>
  <c r="P240" i="128" l="1"/>
  <c r="P247" i="128" s="1"/>
  <c r="O8" i="128"/>
  <c r="P9" i="127"/>
  <c r="Q304" i="127"/>
  <c r="Q311" i="127" s="1"/>
  <c r="N6" i="127"/>
  <c r="N5" i="127" s="1"/>
  <c r="O63" i="127"/>
  <c r="O70" i="127" s="1"/>
  <c r="P8" i="128" l="1"/>
  <c r="Q240" i="128"/>
  <c r="Q247" i="128" s="1"/>
  <c r="Q9" i="127"/>
  <c r="R304" i="127"/>
  <c r="R311" i="127" s="1"/>
  <c r="P63" i="127"/>
  <c r="P70" i="127" s="1"/>
  <c r="O6" i="127"/>
  <c r="O5" i="127" s="1"/>
  <c r="Q8" i="128" l="1"/>
  <c r="R240" i="128"/>
  <c r="R247" i="128" s="1"/>
  <c r="S304" i="127"/>
  <c r="S311" i="127" s="1"/>
  <c r="R9" i="127"/>
  <c r="P6" i="127"/>
  <c r="P5" i="127" s="1"/>
  <c r="Q63" i="127"/>
  <c r="Q70" i="127" s="1"/>
  <c r="S240" i="128" l="1"/>
  <c r="S247" i="128" s="1"/>
  <c r="R8" i="128"/>
  <c r="T304" i="127"/>
  <c r="T311" i="127" s="1"/>
  <c r="S9" i="127"/>
  <c r="Q6" i="127"/>
  <c r="Q5" i="127" s="1"/>
  <c r="R63" i="127"/>
  <c r="R70" i="127" s="1"/>
  <c r="T240" i="128" l="1"/>
  <c r="T247" i="128" s="1"/>
  <c r="S8" i="128"/>
  <c r="T9" i="127"/>
  <c r="U304" i="127"/>
  <c r="U311" i="127" s="1"/>
  <c r="R6" i="127"/>
  <c r="R5" i="127" s="1"/>
  <c r="S63" i="127"/>
  <c r="S70" i="127" s="1"/>
  <c r="T8" i="128" l="1"/>
  <c r="U240" i="128"/>
  <c r="U247" i="128" s="1"/>
  <c r="V304" i="127"/>
  <c r="V311" i="127" s="1"/>
  <c r="U9" i="127"/>
  <c r="S6" i="127"/>
  <c r="S5" i="127" s="1"/>
  <c r="T63" i="127"/>
  <c r="T70" i="127" s="1"/>
  <c r="U8" i="128" l="1"/>
  <c r="V240" i="128"/>
  <c r="V247" i="128" s="1"/>
  <c r="V9" i="127"/>
  <c r="W304" i="127"/>
  <c r="W311" i="127" s="1"/>
  <c r="U63" i="127"/>
  <c r="U70" i="127" s="1"/>
  <c r="T6" i="127"/>
  <c r="T5" i="127" s="1"/>
  <c r="W240" i="128" l="1"/>
  <c r="W247" i="128" s="1"/>
  <c r="V8" i="128"/>
  <c r="X304" i="127"/>
  <c r="X311" i="127" s="1"/>
  <c r="W9" i="127"/>
  <c r="U6" i="127"/>
  <c r="U5" i="127" s="1"/>
  <c r="V63" i="127"/>
  <c r="V70" i="127" s="1"/>
  <c r="X240" i="128" l="1"/>
  <c r="X247" i="128" s="1"/>
  <c r="W8" i="128"/>
  <c r="X9" i="127"/>
  <c r="Y304" i="127"/>
  <c r="Y311" i="127" s="1"/>
  <c r="V6" i="127"/>
  <c r="V5" i="127" s="1"/>
  <c r="W63" i="127"/>
  <c r="W70" i="127" s="1"/>
  <c r="X8" i="128" l="1"/>
  <c r="Y240" i="128"/>
  <c r="Y247" i="128" s="1"/>
  <c r="Y9" i="127"/>
  <c r="Z304" i="127"/>
  <c r="Z311" i="127" s="1"/>
  <c r="X63" i="127"/>
  <c r="X70" i="127" s="1"/>
  <c r="W6" i="127"/>
  <c r="W5" i="127" s="1"/>
  <c r="Y8" i="128" l="1"/>
  <c r="Z240" i="128"/>
  <c r="Z247" i="128" s="1"/>
  <c r="Z9" i="127"/>
  <c r="AA304" i="127"/>
  <c r="AA311" i="127" s="1"/>
  <c r="X6" i="127"/>
  <c r="X5" i="127" s="1"/>
  <c r="Y63" i="127"/>
  <c r="Y70" i="127" s="1"/>
  <c r="AA240" i="128" l="1"/>
  <c r="AA247" i="128" s="1"/>
  <c r="Z8" i="128"/>
  <c r="AB304" i="127"/>
  <c r="AB311" i="127" s="1"/>
  <c r="AA9" i="127"/>
  <c r="Z63" i="127"/>
  <c r="Z70" i="127" s="1"/>
  <c r="Y6" i="127"/>
  <c r="Y5" i="127" s="1"/>
  <c r="AB240" i="128" l="1"/>
  <c r="AB247" i="128" s="1"/>
  <c r="AA8" i="128"/>
  <c r="AB9" i="127"/>
  <c r="AC304" i="127"/>
  <c r="AC311" i="127" s="1"/>
  <c r="Z6" i="127"/>
  <c r="Z5" i="127" s="1"/>
  <c r="AA63" i="127"/>
  <c r="AA70" i="127" s="1"/>
  <c r="AB8" i="128" l="1"/>
  <c r="AC240" i="128"/>
  <c r="AC247" i="128" s="1"/>
  <c r="AC9" i="127"/>
  <c r="AD304" i="127"/>
  <c r="AD311" i="127" s="1"/>
  <c r="AB63" i="127"/>
  <c r="AB70" i="127" s="1"/>
  <c r="AA6" i="127"/>
  <c r="AA5" i="127" s="1"/>
  <c r="AC8" i="128" l="1"/>
  <c r="AD240" i="128"/>
  <c r="AD247" i="128" s="1"/>
  <c r="AE304" i="127"/>
  <c r="AE311" i="127" s="1"/>
  <c r="AD9" i="127"/>
  <c r="AB6" i="127"/>
  <c r="AB5" i="127" s="1"/>
  <c r="AC63" i="127"/>
  <c r="AC70" i="127" s="1"/>
  <c r="AE240" i="128" l="1"/>
  <c r="AE247" i="128" s="1"/>
  <c r="AD8" i="128"/>
  <c r="AF304" i="127"/>
  <c r="AF311" i="127" s="1"/>
  <c r="AE9" i="127"/>
  <c r="AD63" i="127"/>
  <c r="AD70" i="127" s="1"/>
  <c r="AC6" i="127"/>
  <c r="AC5" i="127" s="1"/>
  <c r="AE8" i="128" l="1"/>
  <c r="AF240" i="128"/>
  <c r="AF247" i="128" s="1"/>
  <c r="AG304" i="127"/>
  <c r="AG311" i="127" s="1"/>
  <c r="AF9" i="127"/>
  <c r="AD6" i="127"/>
  <c r="AD5" i="127" s="1"/>
  <c r="AE63" i="127"/>
  <c r="AE70" i="127" s="1"/>
  <c r="AG9" i="127" l="1"/>
  <c r="B279" i="128"/>
  <c r="B285" i="128" s="1"/>
  <c r="C304" i="128" s="1"/>
  <c r="C311" i="128" s="1"/>
  <c r="AG240" i="128"/>
  <c r="AG247" i="128" s="1"/>
  <c r="AF8" i="128"/>
  <c r="AE6" i="127"/>
  <c r="AE5" i="127" s="1"/>
  <c r="AF63" i="127"/>
  <c r="AF70" i="127" s="1"/>
  <c r="AG8" i="128" l="1"/>
  <c r="B215" i="136"/>
  <c r="B221" i="136" s="1"/>
  <c r="C240" i="136" s="1"/>
  <c r="C247" i="136" s="1"/>
  <c r="C9" i="128"/>
  <c r="D304" i="128"/>
  <c r="D311" i="128" s="1"/>
  <c r="AG63" i="127"/>
  <c r="AG70" i="127" s="1"/>
  <c r="AF6" i="127"/>
  <c r="AF5" i="127" s="1"/>
  <c r="C8" i="136" l="1"/>
  <c r="D240" i="136"/>
  <c r="D247" i="136" s="1"/>
  <c r="AG6" i="127"/>
  <c r="AG5" i="127" s="1"/>
  <c r="AH14" i="127" s="1"/>
  <c r="B34" i="128"/>
  <c r="B40" i="128" s="1"/>
  <c r="C63" i="128" s="1"/>
  <c r="C70" i="128" s="1"/>
  <c r="E304" i="128"/>
  <c r="E311" i="128" s="1"/>
  <c r="D9" i="128"/>
  <c r="E240" i="136" l="1"/>
  <c r="E247" i="136" s="1"/>
  <c r="D8" i="136"/>
  <c r="D63" i="128"/>
  <c r="D70" i="128" s="1"/>
  <c r="C6" i="128"/>
  <c r="C5" i="128" s="1"/>
  <c r="E9" i="128"/>
  <c r="F304" i="128"/>
  <c r="F311" i="128" s="1"/>
  <c r="E8" i="136" l="1"/>
  <c r="F240" i="136"/>
  <c r="F247" i="136" s="1"/>
  <c r="E63" i="128"/>
  <c r="E70" i="128" s="1"/>
  <c r="D6" i="128"/>
  <c r="D5" i="128" s="1"/>
  <c r="F9" i="128"/>
  <c r="G304" i="128"/>
  <c r="G311" i="128" s="1"/>
  <c r="F8" i="136" l="1"/>
  <c r="G240" i="136"/>
  <c r="G247" i="136" s="1"/>
  <c r="F63" i="128"/>
  <c r="F70" i="128" s="1"/>
  <c r="E6" i="128"/>
  <c r="E5" i="128" s="1"/>
  <c r="H304" i="128"/>
  <c r="H311" i="128" s="1"/>
  <c r="G9" i="128"/>
  <c r="G8" i="136" l="1"/>
  <c r="H240" i="136"/>
  <c r="H247" i="136" s="1"/>
  <c r="F6" i="128"/>
  <c r="F5" i="128" s="1"/>
  <c r="G63" i="128"/>
  <c r="G70" i="128" s="1"/>
  <c r="I304" i="128"/>
  <c r="I311" i="128" s="1"/>
  <c r="H9" i="128"/>
  <c r="I240" i="136" l="1"/>
  <c r="I247" i="136" s="1"/>
  <c r="H8" i="136"/>
  <c r="G6" i="128"/>
  <c r="G5" i="128" s="1"/>
  <c r="H63" i="128"/>
  <c r="H70" i="128" s="1"/>
  <c r="I9" i="128"/>
  <c r="J304" i="128"/>
  <c r="J311" i="128" s="1"/>
  <c r="I8" i="136" l="1"/>
  <c r="J240" i="136"/>
  <c r="J247" i="136" s="1"/>
  <c r="H6" i="128"/>
  <c r="H5" i="128" s="1"/>
  <c r="I63" i="128"/>
  <c r="I70" i="128" s="1"/>
  <c r="J9" i="128"/>
  <c r="K304" i="128"/>
  <c r="K311" i="128" s="1"/>
  <c r="K240" i="136" l="1"/>
  <c r="K247" i="136" s="1"/>
  <c r="J8" i="136"/>
  <c r="I6" i="128"/>
  <c r="I5" i="128" s="1"/>
  <c r="J63" i="128"/>
  <c r="J70" i="128" s="1"/>
  <c r="L304" i="128"/>
  <c r="L311" i="128" s="1"/>
  <c r="K9" i="128"/>
  <c r="K8" i="136" l="1"/>
  <c r="L240" i="136"/>
  <c r="L247" i="136" s="1"/>
  <c r="K63" i="128"/>
  <c r="K70" i="128" s="1"/>
  <c r="J6" i="128"/>
  <c r="J5" i="128" s="1"/>
  <c r="L9" i="128"/>
  <c r="M304" i="128"/>
  <c r="M311" i="128" s="1"/>
  <c r="L8" i="136" l="1"/>
  <c r="M240" i="136"/>
  <c r="M247" i="136" s="1"/>
  <c r="L63" i="128"/>
  <c r="L70" i="128" s="1"/>
  <c r="K6" i="128"/>
  <c r="K5" i="128" s="1"/>
  <c r="M9" i="128"/>
  <c r="N304" i="128"/>
  <c r="N311" i="128" s="1"/>
  <c r="N240" i="136" l="1"/>
  <c r="N247" i="136" s="1"/>
  <c r="M8" i="136"/>
  <c r="L6" i="128"/>
  <c r="L5" i="128" s="1"/>
  <c r="M63" i="128"/>
  <c r="M70" i="128" s="1"/>
  <c r="N9" i="128"/>
  <c r="O304" i="128"/>
  <c r="O311" i="128" s="1"/>
  <c r="O240" i="136" l="1"/>
  <c r="O247" i="136" s="1"/>
  <c r="N8" i="136"/>
  <c r="N63" i="128"/>
  <c r="N70" i="128" s="1"/>
  <c r="M6" i="128"/>
  <c r="M5" i="128" s="1"/>
  <c r="O9" i="128"/>
  <c r="P304" i="128"/>
  <c r="P311" i="128" s="1"/>
  <c r="P240" i="136" l="1"/>
  <c r="P247" i="136" s="1"/>
  <c r="O8" i="136"/>
  <c r="N6" i="128"/>
  <c r="N5" i="128" s="1"/>
  <c r="O63" i="128"/>
  <c r="O70" i="128" s="1"/>
  <c r="P9" i="128"/>
  <c r="Q304" i="128"/>
  <c r="Q311" i="128" s="1"/>
  <c r="P8" i="136" l="1"/>
  <c r="Q240" i="136"/>
  <c r="Q247" i="136" s="1"/>
  <c r="P63" i="128"/>
  <c r="P70" i="128" s="1"/>
  <c r="O6" i="128"/>
  <c r="O5" i="128" s="1"/>
  <c r="R304" i="128"/>
  <c r="R311" i="128" s="1"/>
  <c r="Q9" i="128"/>
  <c r="Q8" i="136" l="1"/>
  <c r="R240" i="136"/>
  <c r="R247" i="136" s="1"/>
  <c r="Q63" i="128"/>
  <c r="Q70" i="128" s="1"/>
  <c r="P6" i="128"/>
  <c r="P5" i="128" s="1"/>
  <c r="S304" i="128"/>
  <c r="S311" i="128" s="1"/>
  <c r="R9" i="128"/>
  <c r="S240" i="136" l="1"/>
  <c r="S247" i="136" s="1"/>
  <c r="R8" i="136"/>
  <c r="Q6" i="128"/>
  <c r="Q5" i="128" s="1"/>
  <c r="R63" i="128"/>
  <c r="R70" i="128" s="1"/>
  <c r="T304" i="128"/>
  <c r="T311" i="128" s="1"/>
  <c r="S9" i="128"/>
  <c r="T240" i="136" l="1"/>
  <c r="T247" i="136" s="1"/>
  <c r="S8" i="136"/>
  <c r="S63" i="128"/>
  <c r="S70" i="128" s="1"/>
  <c r="R6" i="128"/>
  <c r="R5" i="128" s="1"/>
  <c r="T9" i="128"/>
  <c r="U304" i="128"/>
  <c r="U311" i="128" s="1"/>
  <c r="T8" i="136" l="1"/>
  <c r="U240" i="136"/>
  <c r="U247" i="136" s="1"/>
  <c r="T63" i="128"/>
  <c r="T70" i="128" s="1"/>
  <c r="S6" i="128"/>
  <c r="S5" i="128" s="1"/>
  <c r="V304" i="128"/>
  <c r="V311" i="128" s="1"/>
  <c r="U9" i="128"/>
  <c r="U8" i="136" l="1"/>
  <c r="V240" i="136"/>
  <c r="V247" i="136" s="1"/>
  <c r="U63" i="128"/>
  <c r="U70" i="128" s="1"/>
  <c r="T6" i="128"/>
  <c r="T5" i="128" s="1"/>
  <c r="W304" i="128"/>
  <c r="W311" i="128" s="1"/>
  <c r="V9" i="128"/>
  <c r="V8" i="136" l="1"/>
  <c r="W240" i="136"/>
  <c r="W247" i="136" s="1"/>
  <c r="V63" i="128"/>
  <c r="V70" i="128" s="1"/>
  <c r="U6" i="128"/>
  <c r="U5" i="128" s="1"/>
  <c r="W9" i="128"/>
  <c r="X304" i="128"/>
  <c r="X311" i="128" s="1"/>
  <c r="W8" i="136" l="1"/>
  <c r="X240" i="136"/>
  <c r="X247" i="136" s="1"/>
  <c r="V6" i="128"/>
  <c r="V5" i="128" s="1"/>
  <c r="W63" i="128"/>
  <c r="W70" i="128" s="1"/>
  <c r="Y304" i="128"/>
  <c r="Y311" i="128" s="1"/>
  <c r="X9" i="128"/>
  <c r="Y240" i="136" l="1"/>
  <c r="Y247" i="136" s="1"/>
  <c r="X8" i="136"/>
  <c r="W6" i="128"/>
  <c r="W5" i="128" s="1"/>
  <c r="X63" i="128"/>
  <c r="X70" i="128" s="1"/>
  <c r="Y9" i="128"/>
  <c r="Z304" i="128"/>
  <c r="Z311" i="128" s="1"/>
  <c r="Z240" i="136" l="1"/>
  <c r="Z247" i="136" s="1"/>
  <c r="Y8" i="136"/>
  <c r="Y63" i="128"/>
  <c r="Y70" i="128" s="1"/>
  <c r="X6" i="128"/>
  <c r="X5" i="128" s="1"/>
  <c r="AA304" i="128"/>
  <c r="AA311" i="128" s="1"/>
  <c r="Z9" i="128"/>
  <c r="Z8" i="136" l="1"/>
  <c r="AA240" i="136"/>
  <c r="AA247" i="136" s="1"/>
  <c r="Y6" i="128"/>
  <c r="Y5" i="128" s="1"/>
  <c r="Z63" i="128"/>
  <c r="Z70" i="128" s="1"/>
  <c r="AB304" i="128"/>
  <c r="AB311" i="128" s="1"/>
  <c r="AA9" i="128"/>
  <c r="AB240" i="136" l="1"/>
  <c r="AB247" i="136" s="1"/>
  <c r="AA8" i="136"/>
  <c r="AA63" i="128"/>
  <c r="AA70" i="128" s="1"/>
  <c r="Z6" i="128"/>
  <c r="Z5" i="128" s="1"/>
  <c r="AB9" i="128"/>
  <c r="AC304" i="128"/>
  <c r="AC311" i="128" s="1"/>
  <c r="AC240" i="136" l="1"/>
  <c r="AC247" i="136" s="1"/>
  <c r="AB8" i="136"/>
  <c r="AA6" i="128"/>
  <c r="AA5" i="128" s="1"/>
  <c r="AB63" i="128"/>
  <c r="AB70" i="128" s="1"/>
  <c r="AD304" i="128"/>
  <c r="AD311" i="128" s="1"/>
  <c r="AC9" i="128"/>
  <c r="AD240" i="136" l="1"/>
  <c r="AD247" i="136" s="1"/>
  <c r="AC8" i="136"/>
  <c r="AB6" i="128"/>
  <c r="AB5" i="128" s="1"/>
  <c r="AC63" i="128"/>
  <c r="AC70" i="128" s="1"/>
  <c r="AD9" i="128"/>
  <c r="AE304" i="128"/>
  <c r="AE311" i="128" s="1"/>
  <c r="AE240" i="136" l="1"/>
  <c r="AE247" i="136" s="1"/>
  <c r="AD8" i="136"/>
  <c r="AD63" i="128"/>
  <c r="AD70" i="128" s="1"/>
  <c r="AC6" i="128"/>
  <c r="AC5" i="128" s="1"/>
  <c r="AE9" i="128"/>
  <c r="AF304" i="128"/>
  <c r="AF311" i="128" s="1"/>
  <c r="AF240" i="136" l="1"/>
  <c r="AF247" i="136" s="1"/>
  <c r="AE8" i="136"/>
  <c r="AE63" i="128"/>
  <c r="AE70" i="128" s="1"/>
  <c r="AD6" i="128"/>
  <c r="AD5" i="128" s="1"/>
  <c r="AG304" i="128"/>
  <c r="AG311" i="128" s="1"/>
  <c r="AF9" i="128"/>
  <c r="AF8" i="136" l="1"/>
  <c r="AG240" i="136"/>
  <c r="AG247" i="136" s="1"/>
  <c r="AG8" i="136" s="1"/>
  <c r="AG9" i="128"/>
  <c r="B279" i="136"/>
  <c r="B285" i="136" s="1"/>
  <c r="C304" i="136" s="1"/>
  <c r="C311" i="136" s="1"/>
  <c r="AE6" i="128"/>
  <c r="AE5" i="128" s="1"/>
  <c r="AF63" i="128"/>
  <c r="AF70" i="128" s="1"/>
  <c r="D304" i="136" l="1"/>
  <c r="D311" i="136" s="1"/>
  <c r="C9" i="136"/>
  <c r="AF6" i="128"/>
  <c r="AF5" i="128" s="1"/>
  <c r="AG63" i="128"/>
  <c r="AG70" i="128" s="1"/>
  <c r="D9" i="136" l="1"/>
  <c r="E304" i="136"/>
  <c r="E311" i="136" s="1"/>
  <c r="AG6" i="128"/>
  <c r="AG5" i="128" s="1"/>
  <c r="AH14" i="128" s="1"/>
  <c r="B25" i="136"/>
  <c r="B34" i="136" s="1"/>
  <c r="B40" i="136" s="1"/>
  <c r="C63" i="136" s="1"/>
  <c r="C70" i="136" s="1"/>
  <c r="E9" i="136" l="1"/>
  <c r="F304" i="136"/>
  <c r="F311" i="136" s="1"/>
  <c r="C6" i="136"/>
  <c r="C5" i="136" s="1"/>
  <c r="D63" i="136"/>
  <c r="D70" i="136" s="1"/>
  <c r="G304" i="136" l="1"/>
  <c r="G311" i="136" s="1"/>
  <c r="F9" i="136"/>
  <c r="D6" i="136"/>
  <c r="D5" i="136" s="1"/>
  <c r="E63" i="136"/>
  <c r="E70" i="136" s="1"/>
  <c r="G9" i="136" l="1"/>
  <c r="H304" i="136"/>
  <c r="H311" i="136" s="1"/>
  <c r="E6" i="136"/>
  <c r="E5" i="136" s="1"/>
  <c r="F63" i="136"/>
  <c r="F70" i="136" s="1"/>
  <c r="H9" i="136" l="1"/>
  <c r="I304" i="136"/>
  <c r="I311" i="136" s="1"/>
  <c r="F6" i="136"/>
  <c r="F5" i="136" s="1"/>
  <c r="G63" i="136"/>
  <c r="G70" i="136" s="1"/>
  <c r="J304" i="136" l="1"/>
  <c r="J311" i="136" s="1"/>
  <c r="I9" i="136"/>
  <c r="G6" i="136"/>
  <c r="G5" i="136" s="1"/>
  <c r="H63" i="136"/>
  <c r="H70" i="136" s="1"/>
  <c r="J9" i="136" l="1"/>
  <c r="K304" i="136"/>
  <c r="K311" i="136" s="1"/>
  <c r="H6" i="136"/>
  <c r="H5" i="136" s="1"/>
  <c r="I63" i="136"/>
  <c r="I70" i="136" s="1"/>
  <c r="L304" i="136" l="1"/>
  <c r="L311" i="136" s="1"/>
  <c r="K9" i="136"/>
  <c r="I6" i="136"/>
  <c r="I5" i="136" s="1"/>
  <c r="J63" i="136"/>
  <c r="J70" i="136" s="1"/>
  <c r="L9" i="136" l="1"/>
  <c r="M304" i="136"/>
  <c r="M311" i="136" s="1"/>
  <c r="J6" i="136"/>
  <c r="J5" i="136" s="1"/>
  <c r="K63" i="136"/>
  <c r="K70" i="136" s="1"/>
  <c r="M9" i="136" l="1"/>
  <c r="N304" i="136"/>
  <c r="N311" i="136" s="1"/>
  <c r="L63" i="136"/>
  <c r="L70" i="136" s="1"/>
  <c r="K6" i="136"/>
  <c r="K5" i="136" s="1"/>
  <c r="O304" i="136" l="1"/>
  <c r="O311" i="136" s="1"/>
  <c r="N9" i="136"/>
  <c r="M63" i="136"/>
  <c r="M70" i="136" s="1"/>
  <c r="L6" i="136"/>
  <c r="L5" i="136" s="1"/>
  <c r="O9" i="136" l="1"/>
  <c r="P304" i="136"/>
  <c r="P311" i="136" s="1"/>
  <c r="M6" i="136"/>
  <c r="M5" i="136" s="1"/>
  <c r="N63" i="136"/>
  <c r="N70" i="136" s="1"/>
  <c r="P9" i="136" l="1"/>
  <c r="Q304" i="136"/>
  <c r="Q311" i="136" s="1"/>
  <c r="N6" i="136"/>
  <c r="N5" i="136" s="1"/>
  <c r="O63" i="136"/>
  <c r="O70" i="136" s="1"/>
  <c r="R304" i="136" l="1"/>
  <c r="R311" i="136" s="1"/>
  <c r="Q9" i="136"/>
  <c r="O6" i="136"/>
  <c r="O5" i="136" s="1"/>
  <c r="P63" i="136"/>
  <c r="P70" i="136" s="1"/>
  <c r="R9" i="136" l="1"/>
  <c r="S304" i="136"/>
  <c r="S311" i="136" s="1"/>
  <c r="P6" i="136"/>
  <c r="P5" i="136" s="1"/>
  <c r="Q63" i="136"/>
  <c r="Q70" i="136" s="1"/>
  <c r="T304" i="136" l="1"/>
  <c r="T311" i="136" s="1"/>
  <c r="S9" i="136"/>
  <c r="Q6" i="136"/>
  <c r="Q5" i="136" s="1"/>
  <c r="R63" i="136"/>
  <c r="R70" i="136" s="1"/>
  <c r="U304" i="136" l="1"/>
  <c r="U311" i="136" s="1"/>
  <c r="T9" i="136"/>
  <c r="R6" i="136"/>
  <c r="R5" i="136" s="1"/>
  <c r="S63" i="136"/>
  <c r="S70" i="136" s="1"/>
  <c r="V304" i="136" l="1"/>
  <c r="V311" i="136" s="1"/>
  <c r="U9" i="136"/>
  <c r="S6" i="136"/>
  <c r="S5" i="136" s="1"/>
  <c r="T63" i="136"/>
  <c r="T70" i="136" s="1"/>
  <c r="V9" i="136" l="1"/>
  <c r="W304" i="136"/>
  <c r="W311" i="136" s="1"/>
  <c r="T6" i="136"/>
  <c r="T5" i="136" s="1"/>
  <c r="U63" i="136"/>
  <c r="U70" i="136" s="1"/>
  <c r="X304" i="136" l="1"/>
  <c r="X311" i="136" s="1"/>
  <c r="W9" i="136"/>
  <c r="U6" i="136"/>
  <c r="U5" i="136" s="1"/>
  <c r="V63" i="136"/>
  <c r="V70" i="136" s="1"/>
  <c r="X9" i="136" l="1"/>
  <c r="Y304" i="136"/>
  <c r="Y311" i="136" s="1"/>
  <c r="W63" i="136"/>
  <c r="W70" i="136" s="1"/>
  <c r="V6" i="136"/>
  <c r="V5" i="136" s="1"/>
  <c r="Z304" i="136" l="1"/>
  <c r="Z311" i="136" s="1"/>
  <c r="Y9" i="136"/>
  <c r="X63" i="136"/>
  <c r="X70" i="136" s="1"/>
  <c r="W6" i="136"/>
  <c r="W5" i="136" s="1"/>
  <c r="AA304" i="136" l="1"/>
  <c r="AA311" i="136" s="1"/>
  <c r="Z9" i="136"/>
  <c r="Y63" i="136"/>
  <c r="Y70" i="136" s="1"/>
  <c r="X6" i="136"/>
  <c r="X5" i="136" s="1"/>
  <c r="AA9" i="136" l="1"/>
  <c r="AB304" i="136"/>
  <c r="AB311" i="136" s="1"/>
  <c r="Y6" i="136"/>
  <c r="Y5" i="136" s="1"/>
  <c r="Z63" i="136"/>
  <c r="Z70" i="136" s="1"/>
  <c r="AB9" i="136" l="1"/>
  <c r="AC304" i="136"/>
  <c r="AC311" i="136" s="1"/>
  <c r="AA63" i="136"/>
  <c r="AA70" i="136" s="1"/>
  <c r="Z6" i="136"/>
  <c r="Z5" i="136" s="1"/>
  <c r="AD304" i="136" l="1"/>
  <c r="AD311" i="136" s="1"/>
  <c r="AC9" i="136"/>
  <c r="AB63" i="136"/>
  <c r="AB70" i="136" s="1"/>
  <c r="AA6" i="136"/>
  <c r="AA5" i="136" s="1"/>
  <c r="AE304" i="136" l="1"/>
  <c r="AE311" i="136" s="1"/>
  <c r="AD9" i="136"/>
  <c r="AB6" i="136"/>
  <c r="AB5" i="136" s="1"/>
  <c r="AC63" i="136"/>
  <c r="AC70" i="136" s="1"/>
  <c r="AE9" i="136" l="1"/>
  <c r="AF304" i="136"/>
  <c r="AF311" i="136" s="1"/>
  <c r="AC6" i="136"/>
  <c r="AC5" i="136" s="1"/>
  <c r="AD63" i="136"/>
  <c r="AD70" i="136" s="1"/>
  <c r="AF9" i="136" l="1"/>
  <c r="AG304" i="136"/>
  <c r="AG311" i="136" s="1"/>
  <c r="AG9" i="136" s="1"/>
  <c r="AD6" i="136"/>
  <c r="AD5" i="136" s="1"/>
  <c r="AE63" i="136"/>
  <c r="AE70" i="136" s="1"/>
  <c r="AE6" i="136" l="1"/>
  <c r="AE5" i="136" s="1"/>
  <c r="AF63" i="136"/>
  <c r="AF70" i="136" s="1"/>
  <c r="AF6" i="136" l="1"/>
  <c r="AF5" i="136" s="1"/>
  <c r="AG63" i="136"/>
  <c r="AG70" i="136" s="1"/>
  <c r="AG6" i="136" s="1"/>
  <c r="AG5" i="136" s="1"/>
  <c r="AH14" i="136" s="1"/>
</calcChain>
</file>

<file path=xl/comments1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10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11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12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13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14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15.xml><?xml version="1.0" encoding="utf-8"?>
<comments xmlns="http://schemas.openxmlformats.org/spreadsheetml/2006/main">
  <authors>
    <author>.</author>
  </authors>
  <commentList>
    <comment ref="R29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16.xml><?xml version="1.0" encoding="utf-8"?>
<comments xmlns="http://schemas.openxmlformats.org/spreadsheetml/2006/main">
  <authors>
    <author>.</author>
  </authors>
  <commentList>
    <comment ref="R29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17.xml><?xml version="1.0" encoding="utf-8"?>
<comments xmlns="http://schemas.openxmlformats.org/spreadsheetml/2006/main">
  <authors>
    <author>.</author>
  </authors>
  <commentList>
    <comment ref="Q22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le règlement le 15/10/2014
</t>
        </r>
      </text>
    </comment>
    <comment ref="R29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18.xml><?xml version="1.0" encoding="utf-8"?>
<comments xmlns="http://schemas.openxmlformats.org/spreadsheetml/2006/main">
  <authors>
    <author>.</author>
  </authors>
  <commentList>
    <comment ref="Q22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le règlement le 15/10/2014
</t>
        </r>
      </text>
    </comment>
    <comment ref="R29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19.xml><?xml version="1.0" encoding="utf-8"?>
<comments xmlns="http://schemas.openxmlformats.org/spreadsheetml/2006/main">
  <authors>
    <author>.</author>
  </authors>
  <commentList>
    <comment ref="Q220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le règlement le 15/10/2014
</t>
        </r>
      </text>
    </comment>
    <comment ref="R290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2.xml><?xml version="1.0" encoding="utf-8"?>
<comments xmlns="http://schemas.openxmlformats.org/spreadsheetml/2006/main">
  <authors>
    <author>jawaher</author>
    <author>.</author>
  </authors>
  <commentList>
    <comment ref="A46" authorId="0" shapeId="0">
      <text>
        <r>
          <rPr>
            <b/>
            <sz val="9"/>
            <color indexed="81"/>
            <rFont val="Tahoma"/>
            <family val="2"/>
          </rPr>
          <t>jawaher:</t>
        </r>
        <r>
          <rPr>
            <sz val="9"/>
            <color indexed="81"/>
            <rFont val="Tahoma"/>
            <family val="2"/>
          </rPr>
          <t xml:space="preserve">
BEST LEASE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jawaher:</t>
        </r>
        <r>
          <rPr>
            <sz val="9"/>
            <color indexed="81"/>
            <rFont val="Tahoma"/>
            <family val="2"/>
          </rPr>
          <t xml:space="preserve">
ATL
</t>
        </r>
      </text>
    </comment>
    <comment ref="R291" authorId="1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  <comment ref="R366" authorId="1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20.xml><?xml version="1.0" encoding="utf-8"?>
<comments xmlns="http://schemas.openxmlformats.org/spreadsheetml/2006/main">
  <authors>
    <author>.</author>
  </authors>
  <commentList>
    <comment ref="Q22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le règlement le 15/10/2014
</t>
        </r>
      </text>
    </comment>
    <comment ref="R29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21.xml><?xml version="1.0" encoding="utf-8"?>
<comments xmlns="http://schemas.openxmlformats.org/spreadsheetml/2006/main">
  <authors>
    <author>.</author>
  </authors>
  <commentList>
    <comment ref="Q22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le règlement le 15/10/2014
</t>
        </r>
      </text>
    </comment>
    <comment ref="R29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22.xml><?xml version="1.0" encoding="utf-8"?>
<comments xmlns="http://schemas.openxmlformats.org/spreadsheetml/2006/main">
  <authors>
    <author>.</author>
    <author>jawaher</author>
  </authors>
  <commentList>
    <comment ref="J827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Marchandise arrivée le 09/7/2014
</t>
        </r>
      </text>
    </comment>
    <comment ref="J849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Marchandise arrivée le 30/07/2014
</t>
        </r>
      </text>
    </comment>
    <comment ref="C948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030" authorId="1" shapeId="0">
      <text>
        <r>
          <rPr>
            <b/>
            <sz val="9"/>
            <color indexed="81"/>
            <rFont val="Tahoma"/>
            <family val="2"/>
          </rPr>
          <t>jawaher: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32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438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Marchandise arrivée le 30/07/2014
</t>
        </r>
      </text>
    </comment>
  </commentList>
</comments>
</file>

<file path=xl/comments3.xml><?xml version="1.0" encoding="utf-8"?>
<comments xmlns="http://schemas.openxmlformats.org/spreadsheetml/2006/main">
  <authors>
    <author>jawaher</author>
    <author>.</author>
  </authors>
  <commentList>
    <comment ref="A46" authorId="0" shapeId="0">
      <text>
        <r>
          <rPr>
            <b/>
            <sz val="9"/>
            <color indexed="81"/>
            <rFont val="Tahoma"/>
            <family val="2"/>
          </rPr>
          <t>jawaher:</t>
        </r>
        <r>
          <rPr>
            <sz val="9"/>
            <color indexed="81"/>
            <rFont val="Tahoma"/>
            <family val="2"/>
          </rPr>
          <t xml:space="preserve">
BEST LEASE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jawaher:</t>
        </r>
        <r>
          <rPr>
            <sz val="9"/>
            <color indexed="81"/>
            <rFont val="Tahoma"/>
            <family val="2"/>
          </rPr>
          <t xml:space="preserve">
ATL
</t>
        </r>
      </text>
    </comment>
    <comment ref="R291" authorId="1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4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5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6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7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8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comments9.xml><?xml version="1.0" encoding="utf-8"?>
<comments xmlns="http://schemas.openxmlformats.org/spreadsheetml/2006/main">
  <authors>
    <author>.</author>
  </authors>
  <commentList>
    <comment ref="R291" authorId="0" shapeId="0">
      <text>
        <r>
          <rPr>
            <b/>
            <sz val="8"/>
            <color indexed="81"/>
            <rFont val="Tahoma"/>
            <family val="2"/>
          </rPr>
          <t>.:</t>
        </r>
        <r>
          <rPr>
            <sz val="8"/>
            <color indexed="81"/>
            <rFont val="Tahoma"/>
            <family val="2"/>
          </rPr>
          <t xml:space="preserve">
1/2 le  13/02
1/2 le  25/04</t>
        </r>
      </text>
    </comment>
  </commentList>
</comments>
</file>

<file path=xl/sharedStrings.xml><?xml version="1.0" encoding="utf-8"?>
<sst xmlns="http://schemas.openxmlformats.org/spreadsheetml/2006/main" count="14264" uniqueCount="1504">
  <si>
    <t>Solde à ce jour</t>
  </si>
  <si>
    <t>Versements non positionnés</t>
  </si>
  <si>
    <t xml:space="preserve">     Total bordereaux</t>
  </si>
  <si>
    <t xml:space="preserve">     Autres</t>
  </si>
  <si>
    <t>Nouveau solde (1)</t>
  </si>
  <si>
    <t>Nouveau solde (2)</t>
  </si>
  <si>
    <t>( en dinars)</t>
  </si>
  <si>
    <t xml:space="preserve">          Echéancier reglements</t>
  </si>
  <si>
    <t xml:space="preserve">               Chèques</t>
  </si>
  <si>
    <t xml:space="preserve">               Effets</t>
  </si>
  <si>
    <t xml:space="preserve">               Etrangers</t>
  </si>
  <si>
    <t xml:space="preserve">               Autres</t>
  </si>
  <si>
    <t xml:space="preserve">          Echéancier encaissements</t>
  </si>
  <si>
    <t xml:space="preserve">          Ecart : reglements/encaissements</t>
  </si>
  <si>
    <t>Trésorerie réelle</t>
  </si>
  <si>
    <t>Trésorerie théorique</t>
  </si>
  <si>
    <t xml:space="preserve">         Période</t>
  </si>
  <si>
    <t>Réglements échus non positionnés</t>
  </si>
  <si>
    <t>Solde début du mois</t>
  </si>
  <si>
    <t xml:space="preserve">          Banque</t>
  </si>
  <si>
    <t xml:space="preserve">          Caisse</t>
  </si>
  <si>
    <t>Octobre</t>
  </si>
  <si>
    <t>Novembre</t>
  </si>
  <si>
    <t>Décembre</t>
  </si>
  <si>
    <t>Janvier</t>
  </si>
  <si>
    <t xml:space="preserve">     Décaissements</t>
  </si>
  <si>
    <t xml:space="preserve">               Espèces</t>
  </si>
  <si>
    <t xml:space="preserve">     Ecarts :Encaissements/ Décaissements</t>
  </si>
  <si>
    <t>Solde fin du mois</t>
  </si>
  <si>
    <t xml:space="preserve">               Effets à l'encaissements</t>
  </si>
  <si>
    <t>Versements Espèces du</t>
  </si>
  <si>
    <t>Versements Chèques du</t>
  </si>
  <si>
    <t>Chèques</t>
  </si>
  <si>
    <t>Traites</t>
  </si>
  <si>
    <t>Échéance</t>
  </si>
  <si>
    <t>Février</t>
  </si>
  <si>
    <t>Mars</t>
  </si>
  <si>
    <t>Tableau de Trésorerie du mois de  :</t>
  </si>
  <si>
    <t xml:space="preserve">     Total bordereaux chèques</t>
  </si>
  <si>
    <t xml:space="preserve">     Total bordereaux Effets</t>
  </si>
  <si>
    <t>Escompte chèques</t>
  </si>
  <si>
    <t xml:space="preserve">               Escompte chèques</t>
  </si>
  <si>
    <t>Escompte traites</t>
  </si>
  <si>
    <t>juillet</t>
  </si>
  <si>
    <t>Septembre</t>
  </si>
  <si>
    <t>Fournisseurs</t>
  </si>
  <si>
    <t>Dossier N°</t>
  </si>
  <si>
    <t>SPITALERI  1</t>
  </si>
  <si>
    <t>SPITALERI  2</t>
  </si>
  <si>
    <t>ECEF</t>
  </si>
  <si>
    <t>CUATRO GASA</t>
  </si>
  <si>
    <t>PROVIDUS</t>
  </si>
  <si>
    <t>N° Cde</t>
  </si>
  <si>
    <t>Devises</t>
  </si>
  <si>
    <t>Dinars</t>
  </si>
  <si>
    <t xml:space="preserve">                   Montant</t>
  </si>
  <si>
    <t>Banque</t>
  </si>
  <si>
    <t>Mode</t>
  </si>
  <si>
    <t>Paiement</t>
  </si>
  <si>
    <t>Date</t>
  </si>
  <si>
    <t>BL / Facture</t>
  </si>
  <si>
    <t>N°</t>
  </si>
  <si>
    <t>Assurance</t>
  </si>
  <si>
    <t>Prévisionnelle</t>
  </si>
  <si>
    <t>AREF</t>
  </si>
  <si>
    <t>IBFM 2</t>
  </si>
  <si>
    <t>SECURYSTAR</t>
  </si>
  <si>
    <t>IBFM 1</t>
  </si>
  <si>
    <t>SAICOLI</t>
  </si>
  <si>
    <t>SPARKY</t>
  </si>
  <si>
    <t>ATB</t>
  </si>
  <si>
    <t>VT 90 jours</t>
  </si>
  <si>
    <t>BIAT</t>
  </si>
  <si>
    <t>A B</t>
  </si>
  <si>
    <t>CD à Vue</t>
  </si>
  <si>
    <t>Traite 90 Jours</t>
  </si>
  <si>
    <t>LC  à Vue</t>
  </si>
  <si>
    <t>VT 60 jours</t>
  </si>
  <si>
    <t>LC à 90 jours</t>
  </si>
  <si>
    <t>LC à 60 jours</t>
  </si>
  <si>
    <t>Ordre</t>
  </si>
  <si>
    <t>Règt</t>
  </si>
  <si>
    <t xml:space="preserve">A déduire versements traites </t>
  </si>
  <si>
    <t>A déduire versement creance prof.</t>
  </si>
  <si>
    <t>Bostik</t>
  </si>
  <si>
    <t>Représentant</t>
  </si>
  <si>
    <t>Bineau</t>
  </si>
  <si>
    <t>Angelo</t>
  </si>
  <si>
    <t>Spitaleri</t>
  </si>
  <si>
    <t>Tecfi</t>
  </si>
  <si>
    <t>Prymetal</t>
  </si>
  <si>
    <t>Tatay</t>
  </si>
  <si>
    <t>Valex</t>
  </si>
  <si>
    <t>Bellota</t>
  </si>
  <si>
    <t>Olive</t>
  </si>
  <si>
    <t>A T B</t>
  </si>
  <si>
    <t>B I A T</t>
  </si>
  <si>
    <t>Loris</t>
  </si>
  <si>
    <t>Eurocom</t>
  </si>
  <si>
    <t>Geko tre emme</t>
  </si>
  <si>
    <t>Medasa</t>
  </si>
  <si>
    <t>Olympic Electric</t>
  </si>
  <si>
    <t>Domiciliation</t>
  </si>
  <si>
    <t>19562/81</t>
  </si>
  <si>
    <t>19559/50</t>
  </si>
  <si>
    <t>19579/35</t>
  </si>
  <si>
    <t>Rep</t>
  </si>
  <si>
    <t>1) Dossiers  dédouanés  et reglés</t>
  </si>
  <si>
    <t>2) Dossiers  dédouanés  et non reglés</t>
  </si>
  <si>
    <t>19574/14</t>
  </si>
  <si>
    <t>3) Dossiers  en dédouanements</t>
  </si>
  <si>
    <t>19563/27</t>
  </si>
  <si>
    <t>19558/07</t>
  </si>
  <si>
    <t>AB</t>
  </si>
  <si>
    <t>LC à vue</t>
  </si>
  <si>
    <t>LC / 90 jours</t>
  </si>
  <si>
    <t>Delta</t>
  </si>
  <si>
    <t>Sortie</t>
  </si>
  <si>
    <t>Ahram</t>
  </si>
  <si>
    <t>MTF</t>
  </si>
  <si>
    <t>Max Technology</t>
  </si>
  <si>
    <t>C R</t>
  </si>
  <si>
    <t>Lavor</t>
  </si>
  <si>
    <t>Plasticos Tatay</t>
  </si>
  <si>
    <t>Altuna</t>
  </si>
  <si>
    <t>Juba</t>
  </si>
  <si>
    <t>Ideal Gaz</t>
  </si>
  <si>
    <t>Cuatro Gaza</t>
  </si>
  <si>
    <t>Sparky</t>
  </si>
  <si>
    <t>Ivars</t>
  </si>
  <si>
    <t>Fecin</t>
  </si>
  <si>
    <t>ECH</t>
  </si>
  <si>
    <t>Total</t>
  </si>
  <si>
    <t xml:space="preserve">     Fournisseurs locaux</t>
  </si>
  <si>
    <t xml:space="preserve">     Fournisseurs Etrangers</t>
  </si>
  <si>
    <t xml:space="preserve">     Charges d'exploitation</t>
  </si>
  <si>
    <t xml:space="preserve">     Encaissements</t>
  </si>
  <si>
    <t xml:space="preserve">           Hors Escompte</t>
  </si>
  <si>
    <t xml:space="preserve">          Trésorerie/Escompte effets </t>
  </si>
  <si>
    <t>SPITALERI</t>
  </si>
  <si>
    <t>AMEN  BANK</t>
  </si>
  <si>
    <t>Delta industrial</t>
  </si>
  <si>
    <t>CR</t>
  </si>
  <si>
    <t>Raouf</t>
  </si>
  <si>
    <t>Ideal gaz</t>
  </si>
  <si>
    <t>IBFM</t>
  </si>
  <si>
    <t>CD à vue</t>
  </si>
  <si>
    <t>Plastire</t>
  </si>
  <si>
    <t>MIV</t>
  </si>
  <si>
    <t>du    30</t>
  </si>
  <si>
    <t>04/012008</t>
  </si>
  <si>
    <t>Securystar</t>
  </si>
  <si>
    <t>CD/ 90 jours</t>
  </si>
  <si>
    <t>Idealgas</t>
  </si>
  <si>
    <t>CD/ à vue</t>
  </si>
  <si>
    <t>CD/ à 60 jours</t>
  </si>
  <si>
    <t>Traite à 90 jours</t>
  </si>
  <si>
    <t>Tood Sogenex</t>
  </si>
  <si>
    <t>Vt à 90 jours</t>
  </si>
  <si>
    <t>C&amp;F</t>
  </si>
  <si>
    <t>FOB</t>
  </si>
  <si>
    <t>EX-W</t>
  </si>
  <si>
    <t>4GAZA</t>
  </si>
  <si>
    <t>CD à  60 jours</t>
  </si>
  <si>
    <t>Vt 90 jours</t>
  </si>
  <si>
    <t>Vt à 60 jours</t>
  </si>
  <si>
    <t>AHRAM</t>
  </si>
  <si>
    <t>L/C à vue</t>
  </si>
  <si>
    <t>GIMAP</t>
  </si>
  <si>
    <t>19539/76</t>
  </si>
  <si>
    <t>EINHELL</t>
  </si>
  <si>
    <t>ASCADA</t>
  </si>
  <si>
    <t>TECFI</t>
  </si>
  <si>
    <t>VULCANIA</t>
  </si>
  <si>
    <t>ANTIPANIC</t>
  </si>
  <si>
    <t>GEKO TREEMME</t>
  </si>
  <si>
    <t>SCAIOLI</t>
  </si>
  <si>
    <t>ARIEX</t>
  </si>
  <si>
    <t>EUROCOM</t>
  </si>
  <si>
    <t>Trésorerie à l'encaissement</t>
  </si>
  <si>
    <t>TATAY</t>
  </si>
  <si>
    <t>ALTUNA</t>
  </si>
  <si>
    <t>01/062008</t>
  </si>
  <si>
    <t>PLASTIRE</t>
  </si>
  <si>
    <t>BOSTIK</t>
  </si>
  <si>
    <t>FECIN</t>
  </si>
  <si>
    <t>IDEALGAS</t>
  </si>
  <si>
    <t>SVEDEN</t>
  </si>
  <si>
    <t>FIV</t>
  </si>
  <si>
    <t>15/062008</t>
  </si>
  <si>
    <t>C/D à vue</t>
  </si>
  <si>
    <t>Charradi</t>
  </si>
  <si>
    <t>VALEX</t>
  </si>
  <si>
    <t>MEDASA</t>
  </si>
  <si>
    <t>PRYMETAL</t>
  </si>
  <si>
    <t>60 j fin du mois</t>
  </si>
  <si>
    <t>MIC  ART</t>
  </si>
  <si>
    <t>belgaied</t>
  </si>
  <si>
    <t>OLIVE</t>
  </si>
  <si>
    <t>ARMACK</t>
  </si>
  <si>
    <t>KAPRIOL</t>
  </si>
  <si>
    <t>SACTO</t>
  </si>
  <si>
    <t>IFAM</t>
  </si>
  <si>
    <t>OUTILS PARFAITS</t>
  </si>
  <si>
    <t>NUOVA PHILIP</t>
  </si>
  <si>
    <t>GEKO TREMME</t>
  </si>
  <si>
    <t>Divers</t>
  </si>
  <si>
    <t>WELDAL</t>
  </si>
  <si>
    <t>DIAGER</t>
  </si>
  <si>
    <t>Farid laouni</t>
  </si>
  <si>
    <t>du    31</t>
  </si>
  <si>
    <t>du    13</t>
  </si>
  <si>
    <t>MIC ART</t>
  </si>
  <si>
    <t>El gaied</t>
  </si>
  <si>
    <t>Vt à 30 jours</t>
  </si>
  <si>
    <t xml:space="preserve">               Effets à l'escompte AMB</t>
  </si>
  <si>
    <t>du   10</t>
  </si>
  <si>
    <t>Aref</t>
  </si>
  <si>
    <t>L/C à 90 jours</t>
  </si>
  <si>
    <t>International Drops</t>
  </si>
  <si>
    <t>Caltageroni</t>
  </si>
  <si>
    <t>Traite à 60 jours</t>
  </si>
  <si>
    <t>Gaied</t>
  </si>
  <si>
    <t>SEDAL</t>
  </si>
  <si>
    <t>Ascada</t>
  </si>
  <si>
    <t>60 J D/ Facture</t>
  </si>
  <si>
    <t>-</t>
  </si>
  <si>
    <t>tatay</t>
  </si>
  <si>
    <t>90 J D/ Facture</t>
  </si>
  <si>
    <t>tecfi</t>
  </si>
  <si>
    <t>F.LLI RIOLO</t>
  </si>
  <si>
    <t>TOTAL 2008</t>
  </si>
  <si>
    <t>TOTAL 2007</t>
  </si>
  <si>
    <t>CUATRO  GASA</t>
  </si>
  <si>
    <t xml:space="preserve">AHRAM  </t>
  </si>
  <si>
    <t>CACHENG</t>
  </si>
  <si>
    <t>20/04/209</t>
  </si>
  <si>
    <t>RIELLO</t>
  </si>
  <si>
    <t>60 j date facture</t>
  </si>
  <si>
    <t>raouf</t>
  </si>
  <si>
    <t>90 J D/ bl</t>
  </si>
  <si>
    <t>NUOVA FILP</t>
  </si>
  <si>
    <t>tee</t>
  </si>
  <si>
    <t>GO PLAST</t>
  </si>
  <si>
    <t>Albert Meissner</t>
  </si>
  <si>
    <t>MESTRINER</t>
  </si>
  <si>
    <t>valex</t>
  </si>
  <si>
    <t>ALBERT MEISSNER</t>
  </si>
  <si>
    <t>INAREL</t>
  </si>
  <si>
    <t>IVARS</t>
  </si>
  <si>
    <t>C/D</t>
  </si>
  <si>
    <t>Produits d'exploitation</t>
  </si>
  <si>
    <t xml:space="preserve">     Revenus</t>
  </si>
  <si>
    <t>Charges d'exploitation</t>
  </si>
  <si>
    <t xml:space="preserve">     Variation des stocks</t>
  </si>
  <si>
    <t>Résultat d'exploitation</t>
  </si>
  <si>
    <t>Résultat des activités ordinaires avant impôts</t>
  </si>
  <si>
    <t>Résultat net de l'exercice</t>
  </si>
  <si>
    <t xml:space="preserve">     Achats de marchandises</t>
  </si>
  <si>
    <t xml:space="preserve">     Achats d'approvisionnements consommés</t>
  </si>
  <si>
    <t xml:space="preserve">     Charges du personnel</t>
  </si>
  <si>
    <t xml:space="preserve">     Autres charges d'exploitation</t>
  </si>
  <si>
    <t xml:space="preserve">     Charges financières nettes</t>
  </si>
  <si>
    <t xml:space="preserve">     Autres gains ordinaires</t>
  </si>
  <si>
    <t xml:space="preserve">     Autres pertes ordinaires</t>
  </si>
  <si>
    <t xml:space="preserve">     Impôts sur les sociétés</t>
  </si>
  <si>
    <t xml:space="preserve">     Total des produits d'exploitation</t>
  </si>
  <si>
    <t xml:space="preserve">     Total des charges d'exploitation</t>
  </si>
  <si>
    <t xml:space="preserve">     Dotations aux amortissements &amp; provisions</t>
  </si>
  <si>
    <t>( en  milliers de  dinars)</t>
  </si>
  <si>
    <t>du   14</t>
  </si>
  <si>
    <t>TANG'S METAL</t>
  </si>
  <si>
    <t>L/C</t>
  </si>
  <si>
    <t>Chaines</t>
  </si>
  <si>
    <t>Vases press.</t>
  </si>
  <si>
    <t>FEIDA</t>
  </si>
  <si>
    <t>Roues</t>
  </si>
  <si>
    <t>90 JOURS</t>
  </si>
  <si>
    <t>60 jours</t>
  </si>
  <si>
    <t>idealgas</t>
  </si>
  <si>
    <t>EPOCA</t>
  </si>
  <si>
    <t>AURIBIS</t>
  </si>
  <si>
    <t>¨PLASTIRE</t>
  </si>
  <si>
    <t>60 JOURS</t>
  </si>
  <si>
    <t>ARMANDO  VICARIO</t>
  </si>
  <si>
    <t>CAR</t>
  </si>
  <si>
    <t>VARO</t>
  </si>
  <si>
    <t>Escompte</t>
  </si>
  <si>
    <t>vulcania</t>
  </si>
  <si>
    <t>baton colle</t>
  </si>
  <si>
    <t>ARTIGLIO</t>
  </si>
  <si>
    <t>L/C  60 j</t>
  </si>
  <si>
    <t xml:space="preserve">     Droits des douanes / importations</t>
  </si>
  <si>
    <t>BOMA</t>
  </si>
  <si>
    <t>30 jours</t>
  </si>
  <si>
    <t>ULTRAS</t>
  </si>
  <si>
    <t>TRE EMME</t>
  </si>
  <si>
    <t>du   12</t>
  </si>
  <si>
    <t>URKO</t>
  </si>
  <si>
    <t>chaines</t>
  </si>
  <si>
    <t>imperm.</t>
  </si>
  <si>
    <t>FAT</t>
  </si>
  <si>
    <t>(*)</t>
  </si>
  <si>
    <t>CD</t>
  </si>
  <si>
    <t>AXIAL</t>
  </si>
  <si>
    <t>Bouzid</t>
  </si>
  <si>
    <t>YOUYOU  INTERNATIONAL</t>
  </si>
  <si>
    <t>ASCADA/LITAN</t>
  </si>
  <si>
    <t>DELTA INTERNATIONAL</t>
  </si>
  <si>
    <t>VIS</t>
  </si>
  <si>
    <t>Coulisses tiroir</t>
  </si>
  <si>
    <t>TANG'METALS</t>
  </si>
  <si>
    <t>JINLI  METALS</t>
  </si>
  <si>
    <t>Toile moutiquaire</t>
  </si>
  <si>
    <t>PATOURET  DUBOIS</t>
  </si>
  <si>
    <t>FEIDA  CASTER</t>
  </si>
  <si>
    <t xml:space="preserve">AHRAM/ HI-TECH </t>
  </si>
  <si>
    <t>NEILL  TOOLS</t>
  </si>
  <si>
    <t>SPRAY  SOLUTION</t>
  </si>
  <si>
    <t>BELLOTA</t>
  </si>
  <si>
    <t>30 JOURS</t>
  </si>
  <si>
    <t>COMPA</t>
  </si>
  <si>
    <t>SOGENEX/TOOD</t>
  </si>
  <si>
    <t>GEKO TRE EMME</t>
  </si>
  <si>
    <t>IGI</t>
  </si>
  <si>
    <t>Regléee</t>
  </si>
  <si>
    <t>7 bis</t>
  </si>
  <si>
    <t>L/C 60 J</t>
  </si>
  <si>
    <t xml:space="preserve"> TOTAL     2009</t>
  </si>
  <si>
    <t>ALBERT  MEISSNER</t>
  </si>
  <si>
    <t>ATTIJARI</t>
  </si>
  <si>
    <t>PUJIANG</t>
  </si>
  <si>
    <t>Toiles moustiquaire</t>
  </si>
  <si>
    <t>HITACHI</t>
  </si>
  <si>
    <t>90 jours</t>
  </si>
  <si>
    <t>ULTRAS  NOVA</t>
  </si>
  <si>
    <t xml:space="preserve"> C/D  à  60 J</t>
  </si>
  <si>
    <t>JIS   NADAL  BADAL</t>
  </si>
  <si>
    <t>STAMPLAST</t>
  </si>
  <si>
    <t>TRADING  BUSINESS</t>
  </si>
  <si>
    <t>ATTIJARI  BANK</t>
  </si>
  <si>
    <t>LAVOR</t>
  </si>
  <si>
    <t>FLORIANO MENDES</t>
  </si>
  <si>
    <t>L/C  60 J</t>
  </si>
  <si>
    <t xml:space="preserve">BANDINI </t>
  </si>
  <si>
    <t>IDEAL GAS</t>
  </si>
  <si>
    <t>le 20/06/2010</t>
  </si>
  <si>
    <t xml:space="preserve">                                                           Exploitations   2008- 2009</t>
  </si>
  <si>
    <t xml:space="preserve">                                                             Et  Prévisionnelle  2010</t>
  </si>
  <si>
    <t xml:space="preserve">     Prévisions</t>
  </si>
  <si>
    <t xml:space="preserve">                        Réalisations</t>
  </si>
  <si>
    <t>(*) il est tenu compte de 06 mois de loyer leasing immobilier (nouvelle charge qui commencera à partir du 01/07/2010)</t>
  </si>
  <si>
    <t>AURUBIS</t>
  </si>
  <si>
    <t>CENTAURE</t>
  </si>
  <si>
    <t>MERONI</t>
  </si>
  <si>
    <t>C / D</t>
  </si>
  <si>
    <t xml:space="preserve">               Financement devises</t>
  </si>
  <si>
    <t xml:space="preserve">               Financement  D.D.</t>
  </si>
  <si>
    <t xml:space="preserve">     Financement Droits des douanes </t>
  </si>
  <si>
    <t xml:space="preserve">     Financement  en devises </t>
  </si>
  <si>
    <t>FAC</t>
  </si>
  <si>
    <t>L/C 45 J</t>
  </si>
  <si>
    <t>Reglé 100%</t>
  </si>
  <si>
    <t>traite</t>
  </si>
  <si>
    <t>120 jours</t>
  </si>
  <si>
    <t>Réalisations</t>
  </si>
  <si>
    <t>au 30/06/2010</t>
  </si>
  <si>
    <t>Probable</t>
  </si>
  <si>
    <t>Travaux  et  fournitures  d'électricité</t>
  </si>
  <si>
    <t>Travaux  ,  fournitures  et  pose :</t>
  </si>
  <si>
    <t>T O T A L</t>
  </si>
  <si>
    <t>Loyer</t>
  </si>
  <si>
    <t>Prévisions</t>
  </si>
  <si>
    <t>Emprunts</t>
  </si>
  <si>
    <t>EMMETTI</t>
  </si>
  <si>
    <t>GEKO  TRE EMME</t>
  </si>
  <si>
    <t>90  jours</t>
  </si>
  <si>
    <t>le 03/11/2010</t>
  </si>
  <si>
    <t>FEIDA CASTER</t>
  </si>
  <si>
    <t>ULTRA</t>
  </si>
  <si>
    <t>FLORIANO  MENDES</t>
  </si>
  <si>
    <t>4 GAZA</t>
  </si>
  <si>
    <t>GO  PLAST</t>
  </si>
  <si>
    <t>ATTIJARI  B</t>
  </si>
  <si>
    <t>90 J</t>
  </si>
  <si>
    <t>30 J</t>
  </si>
  <si>
    <t>JINLI 'METALS</t>
  </si>
  <si>
    <t>METROPLAST</t>
  </si>
  <si>
    <t>L/C 60JOURS</t>
  </si>
  <si>
    <t>au 30/09/2010</t>
  </si>
  <si>
    <t>du   04</t>
  </si>
  <si>
    <t>Résultats cumulés</t>
  </si>
  <si>
    <t>Années</t>
  </si>
  <si>
    <t>Variante 1</t>
  </si>
  <si>
    <t>Variante 2</t>
  </si>
  <si>
    <t>KAPRIOL/OMEC</t>
  </si>
  <si>
    <t>Avril</t>
  </si>
  <si>
    <t>Attijari</t>
  </si>
  <si>
    <t>BANDINI</t>
  </si>
  <si>
    <t>4 Gasa</t>
  </si>
  <si>
    <t>TOTAL  GENERAL  2010</t>
  </si>
  <si>
    <t>120 j</t>
  </si>
  <si>
    <t>L/C 60 j</t>
  </si>
  <si>
    <t>L/C  à  vue</t>
  </si>
  <si>
    <t xml:space="preserve">                                             Réalisations</t>
  </si>
  <si>
    <t>Marge  commerciale</t>
  </si>
  <si>
    <t xml:space="preserve">     Coût  des  marchandises  vendues</t>
  </si>
  <si>
    <t xml:space="preserve">                                                    Marge commerciale  en %</t>
  </si>
  <si>
    <t>A demander finan.Dev.</t>
  </si>
  <si>
    <t>WALLY</t>
  </si>
  <si>
    <t>SOGENEX  TOOD</t>
  </si>
  <si>
    <t>EMMETI</t>
  </si>
  <si>
    <t>NADAL  BADAL  JIS</t>
  </si>
  <si>
    <t>Financement devises</t>
  </si>
  <si>
    <t>Facilités de caisse</t>
  </si>
  <si>
    <t xml:space="preserve">                                                   Autorisation  Totale                                  </t>
  </si>
  <si>
    <t>L/C 90 J</t>
  </si>
  <si>
    <t>Blocage  30 000</t>
  </si>
  <si>
    <t>CATRO GASA</t>
  </si>
  <si>
    <t>Reglée</t>
  </si>
  <si>
    <t>Blocage 100000</t>
  </si>
  <si>
    <t>DELTA  INTERNATIONAL</t>
  </si>
  <si>
    <t>60 jours date F.</t>
  </si>
  <si>
    <t>C/D  à vue</t>
  </si>
  <si>
    <t>OXYTURBO</t>
  </si>
  <si>
    <t>GNALI  BOCIA</t>
  </si>
  <si>
    <t>C/D  60 J</t>
  </si>
  <si>
    <t xml:space="preserve">ASCADA </t>
  </si>
  <si>
    <t>OMEC/KAPRIOL</t>
  </si>
  <si>
    <t>du   29</t>
  </si>
  <si>
    <t>M.R</t>
  </si>
  <si>
    <t>ULTRA  NOVA</t>
  </si>
  <si>
    <t>C.R.</t>
  </si>
  <si>
    <t>PLASTICOS  TATAY</t>
  </si>
  <si>
    <t>du   3</t>
  </si>
  <si>
    <t>du    26</t>
  </si>
  <si>
    <t xml:space="preserve">à l'encaissement </t>
  </si>
  <si>
    <t>vis*</t>
  </si>
  <si>
    <t>toile moustiquaire</t>
  </si>
  <si>
    <t>A.S.G.</t>
  </si>
  <si>
    <t xml:space="preserve">MIC  ART </t>
  </si>
  <si>
    <t>Crédit  documentaire</t>
  </si>
  <si>
    <t>du    18</t>
  </si>
  <si>
    <t>FLORIANO</t>
  </si>
  <si>
    <t>SARTEX</t>
  </si>
  <si>
    <t xml:space="preserve">  Prévisions</t>
  </si>
  <si>
    <t>NADAL  BADAL</t>
  </si>
  <si>
    <t>4 GASA</t>
  </si>
  <si>
    <t>ULTRA NOVA</t>
  </si>
  <si>
    <t>Traites à l'encaissement</t>
  </si>
  <si>
    <t>WALLY  TRADE MARK</t>
  </si>
  <si>
    <t>Echantillons</t>
  </si>
  <si>
    <t xml:space="preserve">du   01  </t>
  </si>
  <si>
    <t>du   2</t>
  </si>
  <si>
    <t>du    5</t>
  </si>
  <si>
    <t>du    06</t>
  </si>
  <si>
    <t>du   07</t>
  </si>
  <si>
    <t xml:space="preserve">du   08 </t>
  </si>
  <si>
    <t>du   09</t>
  </si>
  <si>
    <t>du   11</t>
  </si>
  <si>
    <t>du    16</t>
  </si>
  <si>
    <t>du     17</t>
  </si>
  <si>
    <t>du    19</t>
  </si>
  <si>
    <t>du    23</t>
  </si>
  <si>
    <t xml:space="preserve">du  28 </t>
  </si>
  <si>
    <t>du    24</t>
  </si>
  <si>
    <t>du    25</t>
  </si>
  <si>
    <t>du    27</t>
  </si>
  <si>
    <t>A.T.B</t>
  </si>
  <si>
    <t>du  15 au 16</t>
  </si>
  <si>
    <t xml:space="preserve">du   20 </t>
  </si>
  <si>
    <t xml:space="preserve">du  21 </t>
  </si>
  <si>
    <t>du   22</t>
  </si>
  <si>
    <t>AURALL</t>
  </si>
  <si>
    <t>L/C 60 jours</t>
  </si>
  <si>
    <t>L/C 60 Jours</t>
  </si>
  <si>
    <t>JINLI   METALS</t>
  </si>
  <si>
    <t>MR</t>
  </si>
  <si>
    <t>INYECTOMETAL</t>
  </si>
  <si>
    <t>ROMEO</t>
  </si>
  <si>
    <t>CAPI</t>
  </si>
  <si>
    <t>JINCHUA</t>
  </si>
  <si>
    <t>GEKO</t>
  </si>
  <si>
    <t>TOTAL  GENERAL     2012</t>
  </si>
  <si>
    <t>L/C  60 JOURS</t>
  </si>
  <si>
    <t>Fin.Dev.</t>
  </si>
  <si>
    <t>Juin</t>
  </si>
  <si>
    <t>L/C  à vue</t>
  </si>
  <si>
    <t>MATTRIGRAP</t>
  </si>
  <si>
    <t>OTOTOP</t>
  </si>
  <si>
    <t>du  15</t>
  </si>
  <si>
    <t>agrochim</t>
  </si>
  <si>
    <t>ben kadri mourad</t>
  </si>
  <si>
    <t>VIRAX</t>
  </si>
  <si>
    <t>C/D 60 J</t>
  </si>
  <si>
    <t>Factoring</t>
  </si>
  <si>
    <t xml:space="preserve">                                                                                   Exploitations   2008- 2009-2010-2011</t>
  </si>
  <si>
    <t xml:space="preserve">                                                                                            Et  Prévisionnelle  2012</t>
  </si>
  <si>
    <t>Le 03/04/2012</t>
  </si>
  <si>
    <t xml:space="preserve"> Année   2012</t>
  </si>
  <si>
    <t>60 J</t>
  </si>
  <si>
    <t>GENERAL  EXPRESS</t>
  </si>
  <si>
    <t>EMETTI</t>
  </si>
  <si>
    <t xml:space="preserve">                                                                                   Exploitations   Prévisionnelles  2012  - 2018</t>
  </si>
  <si>
    <t xml:space="preserve">     Revenus  SIX   SEVEN  1</t>
  </si>
  <si>
    <t xml:space="preserve">     Revenus  SIX   SEVEN  2</t>
  </si>
  <si>
    <t>Résultat  avant impôts</t>
  </si>
  <si>
    <t xml:space="preserve">     Impôts </t>
  </si>
  <si>
    <t>Les  agencements et  les travaux  pour  le  nouveau  local  (SIX  SEVEN  2)  sont à  réaliser  sur  fonds  propres courant  l'année  2013.L'entrée  en exploitation  est prévue pour l'année 2014.</t>
  </si>
  <si>
    <t>Tombées</t>
  </si>
  <si>
    <t>Bordereau</t>
  </si>
  <si>
    <t>Castolin</t>
  </si>
  <si>
    <t>Brazure</t>
  </si>
  <si>
    <t>Hypothèses d'étude:</t>
  </si>
  <si>
    <t>I / Revenus:</t>
  </si>
  <si>
    <t>SIX  SEVEN  1</t>
  </si>
  <si>
    <t>3500 dinars par jour . A partir de 2013  il est prévu une augmentation de l'ordre de 5 % par année.</t>
  </si>
  <si>
    <t>L'entrée en exploitation est prévue  à partir du 1 er janvier 2014 . Il est prévue  un revenu journalier de 3500 dinars par jour pour l'année 2014 .</t>
  </si>
  <si>
    <t>Pour les années suivantes, il est prévue : 2015  : 4 000 DT / 2016 :  4 500 DT / 2016 : 5 000DT / 2018 : 5 000DT .</t>
  </si>
  <si>
    <t>26 % du C.A</t>
  </si>
  <si>
    <t>16 % du C.A.</t>
  </si>
  <si>
    <t xml:space="preserve">                Amortissement /  acquisition nouveau local</t>
  </si>
  <si>
    <t>2012 :  6 mois :30 000 DT</t>
  </si>
  <si>
    <t>à partir de 2013 il est prévu un total de 45 000 DT</t>
  </si>
  <si>
    <t xml:space="preserve">                Amortissement /  Construction  au nouveau local</t>
  </si>
  <si>
    <t>Il est prévu une enveloppe de  120 000 DT. La charge annuelle d'amortissent est de 6 000 DT</t>
  </si>
  <si>
    <t xml:space="preserve">                Amortissement /  Agencements  nouveau local</t>
  </si>
  <si>
    <t>Il est prévu des agencements pour une enveloppe de 230 000 DT . La charge annuelle d'amortissent est de 23 000 DT</t>
  </si>
  <si>
    <t>Ces investissements  consistent en : Mtériel de cuisine, Matériel de comptoir, Décoration, et divers matériel tables, chaises couverts…</t>
  </si>
  <si>
    <t>Cette rubrique est réservée essentiellement à la charge de loyer des locaux actuels qui s'élèvent à:</t>
  </si>
  <si>
    <t>2012 :  2 500 DT / mois</t>
  </si>
  <si>
    <t xml:space="preserve">à partir de 2013 , la charge du loyer devient de 4 500 DT / mois </t>
  </si>
  <si>
    <t>Ce poste tient compte des chrges financières découlant de l'opération de leasing immobilier estimée à :</t>
  </si>
  <si>
    <t>2012  :  40 000 DT</t>
  </si>
  <si>
    <t>à partir de 2013 : 108 000 DT</t>
  </si>
  <si>
    <t>I I / Charges :</t>
  </si>
  <si>
    <t>I I / Financement :</t>
  </si>
  <si>
    <t xml:space="preserve">                 Prix d'achat</t>
  </si>
  <si>
    <t xml:space="preserve">                 Enregistrement</t>
  </si>
  <si>
    <t xml:space="preserve">                 Aménagement &amp; agencements nouveau local</t>
  </si>
  <si>
    <t>I I / Investissement :</t>
  </si>
  <si>
    <t xml:space="preserve">                 Fonds propres</t>
  </si>
  <si>
    <t xml:space="preserve">                 Leasing</t>
  </si>
  <si>
    <t>(*) Ces investissements sont à réaliser courant l'année 2013 , pèriode à laquelle nous estimons que la zone soit totalement aménagée.</t>
  </si>
  <si>
    <t>Tableau  de  Financement :</t>
  </si>
  <si>
    <t>d'un salon de thé  et d'un espace  de restauration</t>
  </si>
  <si>
    <t>JENIFFEN   Sofiène</t>
  </si>
  <si>
    <t xml:space="preserve">        Etude  de  rentabilité  pour l'acquisition</t>
  </si>
  <si>
    <t xml:space="preserve">                        au  Lac  II - Tunis</t>
  </si>
  <si>
    <t>Agencements Extérieurs &amp; Intérieurs</t>
  </si>
  <si>
    <t>Architecte</t>
  </si>
  <si>
    <t>Maçonnerie</t>
  </si>
  <si>
    <t>Fournitures ( grés, sable ,ciment et divers)</t>
  </si>
  <si>
    <t>Plomberie sanitaire ( fourniture + pose )</t>
  </si>
  <si>
    <t>Peinture décorative</t>
  </si>
  <si>
    <t>Faux plafond</t>
  </si>
  <si>
    <t>Eclairage + Electricité</t>
  </si>
  <si>
    <t>Verrerie + bacs à fleurs</t>
  </si>
  <si>
    <t>Aluminium</t>
  </si>
  <si>
    <t>Climatisation</t>
  </si>
  <si>
    <t>Charte graphique et enseigne</t>
  </si>
  <si>
    <t>Equipements &amp; Matériels</t>
  </si>
  <si>
    <t>Equipement cuisine</t>
  </si>
  <si>
    <t>Four</t>
  </si>
  <si>
    <t>Gaz</t>
  </si>
  <si>
    <t>Friteuse</t>
  </si>
  <si>
    <t>Grillade</t>
  </si>
  <si>
    <t>Machine Panini</t>
  </si>
  <si>
    <t>Machine goffre</t>
  </si>
  <si>
    <t>Machine crèpe</t>
  </si>
  <si>
    <t>Congélateur</t>
  </si>
  <si>
    <t>Armoir</t>
  </si>
  <si>
    <t>Frigidaire</t>
  </si>
  <si>
    <t>Comptoir Pizza</t>
  </si>
  <si>
    <t>Hotte</t>
  </si>
  <si>
    <t>Assiettes + couverts</t>
  </si>
  <si>
    <t>Equipement comptoir</t>
  </si>
  <si>
    <t>Comptoir refrigéré</t>
  </si>
  <si>
    <t>Machine à café</t>
  </si>
  <si>
    <t>Moulin à café</t>
  </si>
  <si>
    <t>Machine à glaçon</t>
  </si>
  <si>
    <t>Robots</t>
  </si>
  <si>
    <t>Comptoir croissant</t>
  </si>
  <si>
    <t>Comptoir gateaux</t>
  </si>
  <si>
    <t>Vitrine glace</t>
  </si>
  <si>
    <t>Divers matériels ( tasses, sous tasses et cuillères )</t>
  </si>
  <si>
    <t>Autres équipements</t>
  </si>
  <si>
    <t>Tables</t>
  </si>
  <si>
    <t>Chaises</t>
  </si>
  <si>
    <t>Caisses enregistreuses</t>
  </si>
  <si>
    <t>Téléviseurs</t>
  </si>
  <si>
    <t>Caméras de surveillance</t>
  </si>
  <si>
    <t>Sonorisation</t>
  </si>
  <si>
    <t>Parasols</t>
  </si>
  <si>
    <t>Quantité</t>
  </si>
  <si>
    <t>Percolateur</t>
  </si>
  <si>
    <t>Machine à jux</t>
  </si>
  <si>
    <t>Divers &amp; Imprévus</t>
  </si>
  <si>
    <t>Total Général</t>
  </si>
  <si>
    <t xml:space="preserve">          Totaux</t>
  </si>
  <si>
    <t xml:space="preserve"> Détails travaux : Agencements, aménagements, et équipements</t>
  </si>
  <si>
    <t>L/C à 60 j</t>
  </si>
  <si>
    <t>MORGANTI / KAPRIOL</t>
  </si>
  <si>
    <t>MARTIGRAP</t>
  </si>
  <si>
    <t>ARCO</t>
  </si>
  <si>
    <t>ROMA</t>
  </si>
  <si>
    <t>TERMET</t>
  </si>
  <si>
    <t>60 j</t>
  </si>
  <si>
    <t>Août</t>
  </si>
  <si>
    <t>PRESENTOIRS</t>
  </si>
  <si>
    <t>CNP</t>
  </si>
  <si>
    <t>GILBERT  EXPRESS</t>
  </si>
  <si>
    <t>KANAT</t>
  </si>
  <si>
    <t>F/D</t>
  </si>
  <si>
    <t>UNIVERSAL PLAST</t>
  </si>
  <si>
    <t>EMILE PEYRON</t>
  </si>
  <si>
    <t>CPE  SCHARK</t>
  </si>
  <si>
    <t>L/C   60 J</t>
  </si>
  <si>
    <t>OLIVE  QUIMICA</t>
  </si>
  <si>
    <t>04/01/212</t>
  </si>
  <si>
    <t>TOTAL   GENERAL   2011</t>
  </si>
  <si>
    <t>TOTAL GENERAL  05/06/07/08/09/10/11/12</t>
  </si>
  <si>
    <t>SOUS TOTAL 1     2012</t>
  </si>
  <si>
    <t xml:space="preserve">  SOUS TOTAL   5     2012</t>
  </si>
  <si>
    <t>Blocage:</t>
  </si>
  <si>
    <t>Mois de</t>
  </si>
  <si>
    <t>A) Situation de la trésorerie à la fin du mois</t>
  </si>
  <si>
    <t>précédent</t>
  </si>
  <si>
    <t>DEPENSES  D'EXPLOITATION</t>
  </si>
  <si>
    <t>Achats +  Frais  sur Achats</t>
  </si>
  <si>
    <t>Droits et taxes douanières</t>
  </si>
  <si>
    <t>Frais du personnel</t>
  </si>
  <si>
    <t>F/F de fonctionnement</t>
  </si>
  <si>
    <t>DEPENSES  HORS  EXPLOITATION</t>
  </si>
  <si>
    <t>Investissements</t>
  </si>
  <si>
    <t>Remboursement Ech. CMT</t>
  </si>
  <si>
    <t>Autres</t>
  </si>
  <si>
    <t>B)  TOTAL   DEPENSES</t>
  </si>
  <si>
    <t>RECETTES   SUR  VENTES</t>
  </si>
  <si>
    <t>Ventes  au  comptant</t>
  </si>
  <si>
    <t>Rentrées  sur ventes à crédit</t>
  </si>
  <si>
    <t>Produits  de l'escompte</t>
  </si>
  <si>
    <t>RECETTES   HORS  EXPLOITATION</t>
  </si>
  <si>
    <t>Augmentation  du  capital</t>
  </si>
  <si>
    <t>Apports  en C.C Associés</t>
  </si>
  <si>
    <t>Cession  actifs</t>
  </si>
  <si>
    <t>C)  TOTAL   RECETTES</t>
  </si>
  <si>
    <t>D)  ECART  MENSUEL (C-B)  +ou -</t>
  </si>
  <si>
    <t>E)  TRESORERIE  CUMULEE  FIN  DE  MOIS</t>
  </si>
  <si>
    <t xml:space="preserve">          Année  2012</t>
  </si>
  <si>
    <t>Année  2013</t>
  </si>
  <si>
    <t>Mai</t>
  </si>
  <si>
    <t>Juillet</t>
  </si>
  <si>
    <t>PLAN   DE   TRESORERIE   PREVISIONNELLE</t>
  </si>
  <si>
    <t xml:space="preserve">          ( en  Dinars)</t>
  </si>
  <si>
    <t>Financement en devises</t>
  </si>
  <si>
    <t>Financement droits des douanes</t>
  </si>
  <si>
    <t>Remboursement  Loyers leasing Matériel</t>
  </si>
  <si>
    <t>Remboursement  Loyers leasing Immobilier</t>
  </si>
  <si>
    <t>(**)</t>
  </si>
  <si>
    <t>Etranger</t>
  </si>
  <si>
    <t>Crédits</t>
  </si>
  <si>
    <t>Fournissurs</t>
  </si>
  <si>
    <t>Créance P.</t>
  </si>
  <si>
    <t xml:space="preserve">          Chèques</t>
  </si>
  <si>
    <t>Amen B.</t>
  </si>
  <si>
    <t>A.T.B.</t>
  </si>
  <si>
    <t>B.I.A.T.</t>
  </si>
  <si>
    <t xml:space="preserve">            Escompte</t>
  </si>
  <si>
    <t>Clients</t>
  </si>
  <si>
    <t>Fin.D.D.</t>
  </si>
  <si>
    <t>TOTAUX</t>
  </si>
  <si>
    <t>Décaissements</t>
  </si>
  <si>
    <t>Encaissements</t>
  </si>
  <si>
    <t>Déficit/Excédent</t>
  </si>
  <si>
    <t>Recommandations:</t>
  </si>
  <si>
    <t xml:space="preserve">A prororger </t>
  </si>
  <si>
    <t>F.D. /Attijari</t>
  </si>
  <si>
    <t>F.D. /A.T.B.</t>
  </si>
  <si>
    <t>F.D. /B.I.A.T.</t>
  </si>
  <si>
    <t>Salaires</t>
  </si>
  <si>
    <t>JINLI</t>
  </si>
  <si>
    <t>Moustiquaires</t>
  </si>
  <si>
    <t>GILBERT EXPRESS</t>
  </si>
  <si>
    <t>BOSSINI</t>
  </si>
  <si>
    <t>4) Dossiers  embarqués</t>
  </si>
  <si>
    <t xml:space="preserve">          Le 05/10/2012</t>
  </si>
  <si>
    <t>FLORIANO/ DIKALOFER</t>
  </si>
  <si>
    <t>ALMAPLAST</t>
  </si>
  <si>
    <t>Situation  Globale des 04  banques</t>
  </si>
  <si>
    <t>Amen  Bank</t>
  </si>
  <si>
    <t>ATTIJARI BANK</t>
  </si>
  <si>
    <t>Tombées  Escompte</t>
  </si>
  <si>
    <t>Décaissements hors prévisions</t>
  </si>
  <si>
    <t>Déclaration mensuelle</t>
  </si>
  <si>
    <t>Chauffe eau</t>
  </si>
  <si>
    <t>UNIFACTOR</t>
  </si>
  <si>
    <t>TUNISE  FACTORING</t>
  </si>
  <si>
    <t>90 j</t>
  </si>
  <si>
    <t>INDUITS</t>
  </si>
  <si>
    <t>90J</t>
  </si>
  <si>
    <t>Unifactor</t>
  </si>
  <si>
    <t>Tunisie</t>
  </si>
  <si>
    <t xml:space="preserve">               Traites fournisseurs</t>
  </si>
  <si>
    <t xml:space="preserve">               Traites leasing voitures</t>
  </si>
  <si>
    <t xml:space="preserve">               Traites leasing immobilier</t>
  </si>
  <si>
    <t>Reglé</t>
  </si>
  <si>
    <t>RBM</t>
  </si>
  <si>
    <t>Avoir</t>
  </si>
  <si>
    <t>ROMEO MAESTRI</t>
  </si>
  <si>
    <t>GRIP WELL</t>
  </si>
  <si>
    <t>MOGANTI KAPRIOL</t>
  </si>
  <si>
    <t>AIRGAMA</t>
  </si>
  <si>
    <t>MCM</t>
  </si>
  <si>
    <t>I.G.I</t>
  </si>
  <si>
    <t>SOGENEX</t>
  </si>
  <si>
    <t>VAREM</t>
  </si>
  <si>
    <t>Chutes multicouches</t>
  </si>
  <si>
    <t>AHRAM S. G.</t>
  </si>
  <si>
    <t>F.D</t>
  </si>
  <si>
    <t>A.B</t>
  </si>
  <si>
    <t>Sans paiement</t>
  </si>
  <si>
    <t>4GASA</t>
  </si>
  <si>
    <t>ROMEO  MAESTRI</t>
  </si>
  <si>
    <t>V 180 J</t>
  </si>
  <si>
    <t>TELWIN</t>
  </si>
  <si>
    <t>V 60 J</t>
  </si>
  <si>
    <t>AMEN   BANK</t>
  </si>
  <si>
    <t>BANK</t>
  </si>
  <si>
    <t>Facilités  de caisse</t>
  </si>
  <si>
    <t>Escompte effets</t>
  </si>
  <si>
    <t>Accréditifs</t>
  </si>
  <si>
    <t>Financement Droits des douanes</t>
  </si>
  <si>
    <t>Créance professionnelle</t>
  </si>
  <si>
    <t>TUNISIE</t>
  </si>
  <si>
    <t>FACTORING</t>
  </si>
  <si>
    <t>CREDITS</t>
  </si>
  <si>
    <t>AUTORISATIONS  CREDITS  DE  GESTION  PAR  BANQUE</t>
  </si>
  <si>
    <t>(en Dinars)</t>
  </si>
  <si>
    <t>GEKO  TREMME</t>
  </si>
  <si>
    <t>5) Dossiers  Confirmés</t>
  </si>
  <si>
    <t>ASCADA / LITAN</t>
  </si>
  <si>
    <t>DEZHOU</t>
  </si>
  <si>
    <t>6) Dossiers en instance de confirmation</t>
  </si>
  <si>
    <t>7) Dossiers  facture pro forma non parvenues</t>
  </si>
  <si>
    <t>8) Nouvelles  demandes à faire</t>
  </si>
  <si>
    <t>MATRIGRAP</t>
  </si>
  <si>
    <t>D D</t>
  </si>
  <si>
    <t>MORGANTI</t>
  </si>
  <si>
    <t>ROMTUN</t>
  </si>
  <si>
    <t>FIN.DEV</t>
  </si>
  <si>
    <t xml:space="preserve">D.S.I </t>
  </si>
  <si>
    <t>Catalogues</t>
  </si>
  <si>
    <t>SOUS TOTAL     2    2013</t>
  </si>
  <si>
    <t xml:space="preserve"> TOTAL    GENERAL       2013</t>
  </si>
  <si>
    <t>SOUS TOTAL 1     2013</t>
  </si>
  <si>
    <t>Le 04/06/2013</t>
  </si>
  <si>
    <t xml:space="preserve">   Les  réalisations  du 01/01/2013 au 31/05/2013   s'élèvent  à  : 7 389 131,144  Dinars H.T.V.A. pour l'activité Gros et   125 514,449   Dinars H.T.V.A. pour l'activité Détails </t>
  </si>
  <si>
    <t>(*)  L'évolution provient  essentiellement  du  loyer des nouveaux  locaux et des commissions du factoring</t>
  </si>
  <si>
    <t>(**)  L'augmentation de ces charges  provient  essentiellement  des charges financières du leasing  immobilier  qui a commencé à courir à partir du mois de juillet 2011</t>
  </si>
  <si>
    <t xml:space="preserve">    soit un total de : 7 514 645,593 Dinars H.TV.A.  Contre  6 254 695,928  Dinars H.TV.A.  Pour la même période en 2012,  soit une évolution de 20,14%.</t>
  </si>
  <si>
    <t xml:space="preserve">                                                                                                Exploitations   2008- 2009-2010-2011-2012</t>
  </si>
  <si>
    <t xml:space="preserve">                                                                                                             et  Prévisionnelle  2013</t>
  </si>
  <si>
    <t xml:space="preserve">                                                                              Réalisations</t>
  </si>
  <si>
    <t>OMR</t>
  </si>
  <si>
    <t>Présentoir</t>
  </si>
  <si>
    <t>A.S.G</t>
  </si>
  <si>
    <t>VMD</t>
  </si>
  <si>
    <t>LITAN</t>
  </si>
  <si>
    <t>VMD / SPRAY SOLUTION</t>
  </si>
  <si>
    <t>ALUBOX</t>
  </si>
  <si>
    <t>Le 20/09/2013</t>
  </si>
  <si>
    <t xml:space="preserve">   Les  réalisations  du 01/01/2013 au 31/08/2013   s'élèvent  à  : 11 331 353  Dinars H.T.V.A. pour l'activité Gros et   369 297   Dinars H.T.V.A. pour l'activité Détails </t>
  </si>
  <si>
    <t xml:space="preserve">    soit un total de : 11 700 650 Dinars H.TV.A.  Contre  9 917 884  Dinars H.TV.A.  Pour la même période en 2012,  soit une évolution de 17,9 %.</t>
  </si>
  <si>
    <t xml:space="preserve">      et des charges financières découlant de l'augmentation des engagements bancaires et des pertes de change.</t>
  </si>
  <si>
    <t xml:space="preserve">               Effets à l'escompte</t>
  </si>
  <si>
    <t>60J Facture</t>
  </si>
  <si>
    <t>60 J/Facture</t>
  </si>
  <si>
    <t>90 J FM</t>
  </si>
  <si>
    <t>60  FM</t>
  </si>
  <si>
    <t>TRE  EMME</t>
  </si>
  <si>
    <t>Attijari Bank</t>
  </si>
  <si>
    <t xml:space="preserve">Engagements par signatures et Financements bancaires </t>
  </si>
  <si>
    <t>(en dinars)</t>
  </si>
  <si>
    <t>Financements en devises</t>
  </si>
  <si>
    <t>Financements Droits Des douanes</t>
  </si>
  <si>
    <t xml:space="preserve">                                               UTILISATIONS  /  AUTORISATIONS</t>
  </si>
  <si>
    <t>Autorisations</t>
  </si>
  <si>
    <t>Utilisations</t>
  </si>
  <si>
    <t>Dépassements</t>
  </si>
  <si>
    <t xml:space="preserve">    *  Lettre de crédit</t>
  </si>
  <si>
    <t xml:space="preserve">    *  Financement en devises</t>
  </si>
  <si>
    <t xml:space="preserve">    *  Droits des douanes     </t>
  </si>
  <si>
    <t xml:space="preserve">    *   Lettre de crédit</t>
  </si>
  <si>
    <t xml:space="preserve">    *   Financement en devises</t>
  </si>
  <si>
    <t>Conditions</t>
  </si>
  <si>
    <t xml:space="preserve">    *  Escompte L.C. REFIN.    </t>
  </si>
  <si>
    <t xml:space="preserve">    *  Cession créance professionnelle    </t>
  </si>
  <si>
    <t xml:space="preserve">    *  Découvert en compte    </t>
  </si>
  <si>
    <t>TMM + 2,5</t>
  </si>
  <si>
    <t>T . Utilisations</t>
  </si>
  <si>
    <t>Passagère</t>
  </si>
  <si>
    <t>DELTA</t>
  </si>
  <si>
    <t>Aout</t>
  </si>
  <si>
    <t xml:space="preserve">     Leasing voiture</t>
  </si>
  <si>
    <t xml:space="preserve">     Leasing immobilier</t>
  </si>
  <si>
    <t xml:space="preserve">     Remboursement prêt</t>
  </si>
  <si>
    <t>à vue</t>
  </si>
  <si>
    <t>L/C à 60J</t>
  </si>
  <si>
    <t>SCAIOLI CATENE</t>
  </si>
  <si>
    <t xml:space="preserve">90 j </t>
  </si>
  <si>
    <t>L/C 60</t>
  </si>
  <si>
    <t>Trésorerie  Prévisionnelle  du  08/02/2014  au  31/08/2014</t>
  </si>
  <si>
    <t xml:space="preserve"> </t>
  </si>
  <si>
    <t>GUILBERT EXPRESS</t>
  </si>
  <si>
    <t>GRIPWELL</t>
  </si>
  <si>
    <t>MAI</t>
  </si>
  <si>
    <t>Contre Document</t>
  </si>
  <si>
    <t>GARLAND</t>
  </si>
  <si>
    <t xml:space="preserve">  Lettre de crédit  </t>
  </si>
  <si>
    <t>AVRIL</t>
  </si>
  <si>
    <t>C/D à 60 J</t>
  </si>
  <si>
    <t>réglé</t>
  </si>
  <si>
    <t>JUIN</t>
  </si>
  <si>
    <t>JUILLET</t>
  </si>
  <si>
    <t>REGLEE</t>
  </si>
  <si>
    <t>GNALI BOCIA</t>
  </si>
  <si>
    <t>RO-MA</t>
  </si>
  <si>
    <t>Traite à 60 J</t>
  </si>
  <si>
    <t>I.C.S.A</t>
  </si>
  <si>
    <t>ECHANTILLON</t>
  </si>
  <si>
    <t>DM</t>
  </si>
  <si>
    <t>TUNISIE FACTORING</t>
  </si>
  <si>
    <t>Autorisations Bancaires au  30/04/2014</t>
  </si>
  <si>
    <t>Autorisations actuelles</t>
  </si>
  <si>
    <t>Nouvelles autorisations à mettre en place</t>
  </si>
  <si>
    <t>PEKPAN</t>
  </si>
  <si>
    <t>AOUT</t>
  </si>
  <si>
    <t>SEPTEMBRE</t>
  </si>
  <si>
    <t>L/C à 30 J</t>
  </si>
  <si>
    <t>traite acceptée</t>
  </si>
  <si>
    <t>738</t>
  </si>
  <si>
    <t>739</t>
  </si>
  <si>
    <t>SANIPLAST</t>
  </si>
  <si>
    <t>OLIVE QUIMICA</t>
  </si>
  <si>
    <t>ENGAGEMENT</t>
  </si>
  <si>
    <t>LINCE</t>
  </si>
  <si>
    <t>757</t>
  </si>
  <si>
    <t>AHRAM SECURITY GROUP</t>
  </si>
  <si>
    <t>BO MA</t>
  </si>
  <si>
    <t>759</t>
  </si>
  <si>
    <t>6 mois 2014</t>
  </si>
  <si>
    <t>OCTOBRE</t>
  </si>
  <si>
    <t xml:space="preserve">                                                                             Exploitation Magasin Détail</t>
  </si>
  <si>
    <t>Année 2013</t>
  </si>
  <si>
    <t>Probable 2014</t>
  </si>
  <si>
    <t xml:space="preserve">    1/ Achats d'approvisionnements consommés</t>
  </si>
  <si>
    <t>Gaz :</t>
  </si>
  <si>
    <t xml:space="preserve">Carburant : </t>
  </si>
  <si>
    <t xml:space="preserve">    2/ Charges du personnel</t>
  </si>
  <si>
    <t>Salaire brut :</t>
  </si>
  <si>
    <t>Charge Patronale :</t>
  </si>
  <si>
    <t xml:space="preserve">    3/ Dotations aux amortissements &amp; provisions</t>
  </si>
  <si>
    <t xml:space="preserve">    4/ Autres charges d'exploitation</t>
  </si>
  <si>
    <t>Entretien et reparation</t>
  </si>
  <si>
    <t xml:space="preserve">Fourniture de bureau : </t>
  </si>
  <si>
    <t xml:space="preserve">Achat non stocké   :  </t>
  </si>
  <si>
    <t xml:space="preserve">Steg    :  </t>
  </si>
  <si>
    <t xml:space="preserve">Sonede : </t>
  </si>
  <si>
    <t xml:space="preserve">Telecom : </t>
  </si>
  <si>
    <t>MAESTRO</t>
  </si>
  <si>
    <t>764</t>
  </si>
  <si>
    <t>766</t>
  </si>
  <si>
    <t>771</t>
  </si>
  <si>
    <t>NOVEMBRE</t>
  </si>
  <si>
    <t>772</t>
  </si>
  <si>
    <t>773</t>
  </si>
  <si>
    <t>774</t>
  </si>
  <si>
    <t>775</t>
  </si>
  <si>
    <t>776</t>
  </si>
  <si>
    <t>777</t>
  </si>
  <si>
    <t>MAGICUT TOOL</t>
  </si>
  <si>
    <t>778</t>
  </si>
  <si>
    <t>779</t>
  </si>
  <si>
    <t>780</t>
  </si>
  <si>
    <t>782</t>
  </si>
  <si>
    <t>784</t>
  </si>
  <si>
    <t>AJOUTER TR 08</t>
  </si>
  <si>
    <t>TOTAL</t>
  </si>
  <si>
    <t>60J</t>
  </si>
  <si>
    <t>Prorogation</t>
  </si>
  <si>
    <t>les docts  arrivées le 19/08/2014</t>
  </si>
  <si>
    <t>787</t>
  </si>
  <si>
    <t>1/2 le 28/09/2014 et 1/2 le 28/10/2014</t>
  </si>
  <si>
    <t>1/2 le 25/09 et 1/2 le 25/10</t>
  </si>
  <si>
    <t>AMB</t>
  </si>
  <si>
    <t>VIREMENT</t>
  </si>
  <si>
    <t>FINANCEMENT</t>
  </si>
  <si>
    <t>engagement</t>
  </si>
  <si>
    <t>mdise non arrivées</t>
  </si>
  <si>
    <t>Trésorerie  Prévisionnelle  du  25/08/2014  au  28/02/2015</t>
  </si>
  <si>
    <t>AJOUTER</t>
  </si>
  <si>
    <t>Engagement</t>
  </si>
  <si>
    <t>794</t>
  </si>
  <si>
    <t>01/10 et 03/11 et 01/12/2014</t>
  </si>
  <si>
    <t>DECEMBRE</t>
  </si>
  <si>
    <t>796</t>
  </si>
  <si>
    <t>797</t>
  </si>
  <si>
    <t>798</t>
  </si>
  <si>
    <t>prorogation</t>
  </si>
  <si>
    <t>JANVIER</t>
  </si>
  <si>
    <t>Trésorerie  Prévisionnelle  du  08/10/2014  au  31/10/2015</t>
  </si>
  <si>
    <t>FEVRIER</t>
  </si>
  <si>
    <t>Règlements échus non positionnés</t>
  </si>
  <si>
    <t xml:space="preserve">          Echéancier règlements</t>
  </si>
  <si>
    <t xml:space="preserve">          Ecart : règlements/encaissements</t>
  </si>
  <si>
    <t>Autre frais de siége</t>
  </si>
  <si>
    <t>Frais postaux et frais télécommunication</t>
  </si>
  <si>
    <t>Amortissement</t>
  </si>
  <si>
    <t>810</t>
  </si>
  <si>
    <t>ATTIJATI</t>
  </si>
  <si>
    <t>PAIE</t>
  </si>
  <si>
    <t>23 396,50 Euros</t>
  </si>
  <si>
    <t>EXPRESS</t>
  </si>
  <si>
    <t>à voir</t>
  </si>
  <si>
    <t>Trésorerie  Prévisionnelle  du  19/12/2014  au  30/06/2015</t>
  </si>
  <si>
    <t>REGLEMENT FOURNISSEUR ETRANGER MARS</t>
  </si>
  <si>
    <t>RECAPITULATIF ENGAGEMENTS PAR SIGNATURES</t>
  </si>
  <si>
    <t xml:space="preserve">BANQUES </t>
  </si>
  <si>
    <t>NATURE</t>
  </si>
  <si>
    <t>Lettre de crédit</t>
  </si>
  <si>
    <t>DEPASSEMENTS</t>
  </si>
  <si>
    <t>AUTORISATIONS</t>
  </si>
  <si>
    <t>MARS</t>
  </si>
  <si>
    <t>T.UTILISATIONS</t>
  </si>
  <si>
    <t>NADAL BADAL</t>
  </si>
  <si>
    <t>CTL</t>
  </si>
  <si>
    <t>FRE 14/11/2014</t>
  </si>
  <si>
    <t>LC à 30 J</t>
  </si>
  <si>
    <t>Sedal</t>
  </si>
  <si>
    <t>12 884,86 Euros</t>
  </si>
  <si>
    <t xml:space="preserve">Date </t>
  </si>
  <si>
    <t xml:space="preserve">Demande </t>
  </si>
  <si>
    <t>Guillaume</t>
  </si>
  <si>
    <t>L/C à 60 J</t>
  </si>
  <si>
    <t>16 311,85 Euros</t>
  </si>
  <si>
    <t>TECNORESINE</t>
  </si>
  <si>
    <t>Financement</t>
  </si>
  <si>
    <t>Virement</t>
  </si>
  <si>
    <t>TOTAL BIAT</t>
  </si>
  <si>
    <t>TOTAL ATTIJARI</t>
  </si>
  <si>
    <t>TOTAL BIAT + ATTIJARI</t>
  </si>
  <si>
    <t>sveden</t>
  </si>
  <si>
    <t>prêt</t>
  </si>
  <si>
    <t>6 232,38 Euros</t>
  </si>
  <si>
    <t>KASA</t>
  </si>
  <si>
    <t>CHINFAST</t>
  </si>
  <si>
    <t>842</t>
  </si>
  <si>
    <t>844</t>
  </si>
  <si>
    <t>Trésorerie  AVRIL 2015</t>
  </si>
  <si>
    <t>REGLEMENT FOURNISSEUR ETRANGER AVRIL 2015</t>
  </si>
  <si>
    <t>Paie</t>
  </si>
  <si>
    <t>REGLEMENT FOURNISSEUR ETRANGER MAI 2015</t>
  </si>
  <si>
    <t>Airimex</t>
  </si>
  <si>
    <t>Autorisations Bancaires au  30/04/2015</t>
  </si>
  <si>
    <t>Le,10/04/2015</t>
  </si>
  <si>
    <t xml:space="preserve">Autorisations </t>
  </si>
  <si>
    <t>Encours au 10/04/2015</t>
  </si>
  <si>
    <t>Normale</t>
  </si>
  <si>
    <t>DM+PAIE</t>
  </si>
  <si>
    <t>Trésorerie  Mai 2015</t>
  </si>
  <si>
    <t xml:space="preserve">Travaux  et  fournitures  de  maçonnerie et peinture  </t>
  </si>
  <si>
    <t>Habillage , Extension Façade</t>
  </si>
  <si>
    <t xml:space="preserve">   - Rayonnage pour stockage</t>
  </si>
  <si>
    <t xml:space="preserve">   - Monte charge</t>
  </si>
  <si>
    <t xml:space="preserve">   - Sous pente</t>
  </si>
  <si>
    <t xml:space="preserve">   - Echelles et Plateaux</t>
  </si>
  <si>
    <t>Travaux et  fournitures  de  boiserie  et  aluminium</t>
  </si>
  <si>
    <t xml:space="preserve">   - Porte, Fenêtre et Séparation grillagé</t>
  </si>
  <si>
    <t xml:space="preserve">   - Longerons</t>
  </si>
  <si>
    <t xml:space="preserve">Montants </t>
  </si>
  <si>
    <t>Justificatifs en Annexe</t>
  </si>
  <si>
    <t xml:space="preserve">      Fournitures</t>
  </si>
  <si>
    <t xml:space="preserve">      Main d' œuvre</t>
  </si>
  <si>
    <t>5 Factures (A1)</t>
  </si>
  <si>
    <t>8 Factures (A2)</t>
  </si>
  <si>
    <t>2 Factures (A3)</t>
  </si>
  <si>
    <t>5 Factures (A4)</t>
  </si>
  <si>
    <t>1 Factures (A5)</t>
  </si>
  <si>
    <t xml:space="preserve">                       TABLEAU   RECAPITULATIF   DES  INVESTISSEMENTS</t>
  </si>
  <si>
    <t>Nature</t>
  </si>
  <si>
    <t>Peinture</t>
  </si>
  <si>
    <t>Electricité</t>
  </si>
  <si>
    <t>Agencements</t>
  </si>
  <si>
    <t>Décoration</t>
  </si>
  <si>
    <t>Le, 22/04/2015</t>
  </si>
  <si>
    <t>19 710,84 USD</t>
  </si>
  <si>
    <t>le 28/04/2015</t>
  </si>
  <si>
    <t xml:space="preserve">                                                                                                Exploitations   2008- 2009-2010-2011-2012-2013-2014</t>
  </si>
  <si>
    <t xml:space="preserve">                                                                                                             et  Prévisionnelle  2015</t>
  </si>
  <si>
    <t xml:space="preserve">   Les  réalisations  du 01/01/2015 au 27/04/2015   s'élèvent  à  : 4 744 709,082 Dinars H.T.V.A. pour l'activité Gros et   1 026 763,575  Dinars H.T.V.A. pour l'activité Détails </t>
  </si>
  <si>
    <t xml:space="preserve">    soit un total de : 5 771 472,657 Dinars H.TV.A.  Contre  5 891 510,773 Dinars H.TV.A.  Pour la même période en 2014.</t>
  </si>
  <si>
    <t>(**)  L'augmentation de ces charges  provient  essentiellement  des charges financières du leasing  immobilier (dépôt  charguia 2) qui a commencé à courir à partir du mois de juillet 2011.</t>
  </si>
  <si>
    <t>du 01/01 au 27/04</t>
  </si>
  <si>
    <t>Les  réalisations  du magasin détails  (en milliers de  dinars) se détaillent comme suit:</t>
  </si>
  <si>
    <t>( C.A en H.T )</t>
  </si>
  <si>
    <t>855</t>
  </si>
  <si>
    <t>857</t>
  </si>
  <si>
    <t>28/03/2015</t>
  </si>
  <si>
    <t>28/06/2015</t>
  </si>
  <si>
    <t>852</t>
  </si>
  <si>
    <t>851</t>
  </si>
  <si>
    <t>C/D GNALI BOCIA</t>
  </si>
  <si>
    <t>GOPLAST</t>
  </si>
  <si>
    <t>21 057,00 USD</t>
  </si>
  <si>
    <t>Trésorerie  JUIN 2015</t>
  </si>
  <si>
    <t>REMER</t>
  </si>
  <si>
    <t>CATALOGUE</t>
  </si>
  <si>
    <t>MAI/JUIN</t>
  </si>
  <si>
    <t>Certification</t>
  </si>
  <si>
    <t>certification</t>
  </si>
  <si>
    <t>SOPAL</t>
  </si>
  <si>
    <t xml:space="preserve">IPA </t>
  </si>
  <si>
    <t>B.I.A.T</t>
  </si>
  <si>
    <t>870</t>
  </si>
  <si>
    <t>7 796.39 Euros</t>
  </si>
  <si>
    <t>5 228.43 Euros</t>
  </si>
  <si>
    <t xml:space="preserve">STQ </t>
  </si>
  <si>
    <t>OK</t>
  </si>
  <si>
    <t>OK CEG</t>
  </si>
  <si>
    <t>Trésorerie  JUILLET 2015</t>
  </si>
  <si>
    <t xml:space="preserve">  SOUS TOTAL    4   2015</t>
  </si>
  <si>
    <t xml:space="preserve">  SOUS TOTAL    5   2015</t>
  </si>
  <si>
    <t xml:space="preserve">  SOUS TOTAL    6   2015</t>
  </si>
  <si>
    <t xml:space="preserve">4-1) Dossiers en Instance </t>
  </si>
  <si>
    <t>REGLEMENT FOURNISSEUR ETRANGER JUILLET</t>
  </si>
  <si>
    <t>ENC Traites</t>
  </si>
  <si>
    <t>Trésorerie  AOUT 2015</t>
  </si>
  <si>
    <t>MICART</t>
  </si>
  <si>
    <t>REGLEMENT FOURNISSEUR ETRANGER AOUT 2015</t>
  </si>
  <si>
    <t xml:space="preserve">Ets Srairi Noureddine </t>
  </si>
  <si>
    <t>Comptoir du sud</t>
  </si>
  <si>
    <t>ets srairi Noureddine</t>
  </si>
  <si>
    <t>compagnie generale construction</t>
  </si>
  <si>
    <t>PRÊT</t>
  </si>
  <si>
    <t>Trésorerie  SEPTEMBRE 2015</t>
  </si>
  <si>
    <t>Prêt</t>
  </si>
  <si>
    <t>REGLEMENT FOURNISSEUR ETRANGER SEPTEMBRE 2015</t>
  </si>
  <si>
    <t>EMM</t>
  </si>
  <si>
    <t>22 735,00 Euros</t>
  </si>
  <si>
    <t xml:space="preserve">  - Financement</t>
  </si>
  <si>
    <t xml:space="preserve"> - Virement </t>
  </si>
  <si>
    <t xml:space="preserve">         * Vulcania     5 228,43 Euros    Le 30/09/2015  (à proroger)</t>
  </si>
  <si>
    <t xml:space="preserve">         * Almaplast  38 231,92 Euros    Le 21/09/2015  (à régler)</t>
  </si>
  <si>
    <t xml:space="preserve">         * Morganti       13 290,08 Euros    Le 27/09/2015  (à régler )</t>
  </si>
  <si>
    <t xml:space="preserve">         * Inyectometal  5 249,48 Euros    Le 30/09/2015   (à régler)</t>
  </si>
  <si>
    <t xml:space="preserve">         * Sedal       10 241,37 Euros    Le 04/10/2015 (financement)</t>
  </si>
  <si>
    <t xml:space="preserve">         * Diager      10 888,76 Euros    Le 05/10/2015 (financement)</t>
  </si>
  <si>
    <t xml:space="preserve">         * Spitaleri  16 311,85 Euros    Le 12/11/2015  (à régler)</t>
  </si>
  <si>
    <t xml:space="preserve">         * Ahram    54 790,60 Euros     Le 16/11/2015  (à proroger)</t>
  </si>
  <si>
    <t xml:space="preserve">         * IBFM       12 884,86 Euros    Le 23/11/2015  (à régler)</t>
  </si>
  <si>
    <t xml:space="preserve">         * Litan    22 735,00 Euros    Le27/11/2015  (à proroger)</t>
  </si>
  <si>
    <t xml:space="preserve">         * Litan    23 396,50 Euros    Le 30/11/2015  (à régler)</t>
  </si>
  <si>
    <t xml:space="preserve">         * Vulcania     5 228,43 Euros    Le 30/12/2015  </t>
  </si>
  <si>
    <t xml:space="preserve">         * Morganti   7 796,39 Euros      Le 22/12/2015  </t>
  </si>
  <si>
    <t xml:space="preserve">         * Ultra  16 619,85 Euros            Le 15/12/2015  </t>
  </si>
  <si>
    <t>certification ECEF</t>
  </si>
  <si>
    <t>32 668,15 Euros</t>
  </si>
  <si>
    <t>Trésorerie  Prévisionnelle  du  18/09/2015  au  31/03/2016</t>
  </si>
  <si>
    <t xml:space="preserve">     Remboursement dette fiscale</t>
  </si>
  <si>
    <t>REGLEMENT FOURNISSEUR ETRANGER OCTOBRE 2015</t>
  </si>
  <si>
    <t>TOTAL VIREMENT</t>
  </si>
  <si>
    <t>TOTAL FINANCEMENT</t>
  </si>
  <si>
    <t>REGLEMENT FOURNISSEUR ETRANGER NOVEMBRE 2015</t>
  </si>
  <si>
    <t>REGLEMENT FOURNISSEUR ETRANGER DECEMBRE 2015</t>
  </si>
  <si>
    <t>Trésorerie  OCTOBRE 2015</t>
  </si>
  <si>
    <t xml:space="preserve">Frais financier </t>
  </si>
  <si>
    <t>Eau</t>
  </si>
  <si>
    <t>Electriciré</t>
  </si>
  <si>
    <t>carburant</t>
  </si>
  <si>
    <t>Fourniture de bureau</t>
  </si>
  <si>
    <t>loyer</t>
  </si>
  <si>
    <t>Entretien et réparation</t>
  </si>
  <si>
    <t xml:space="preserve">Assurance </t>
  </si>
  <si>
    <t>Honoraire</t>
  </si>
  <si>
    <t>Télèphone</t>
  </si>
  <si>
    <t>Frais bancaire</t>
  </si>
  <si>
    <t xml:space="preserve">Charges d' exploitation </t>
  </si>
  <si>
    <t>ANNUEL</t>
  </si>
  <si>
    <t>MENSUEL</t>
  </si>
  <si>
    <t>Cnss</t>
  </si>
  <si>
    <t>Déclaration</t>
  </si>
  <si>
    <t>Tableau de Vérifications</t>
  </si>
  <si>
    <t>TM/TP</t>
  </si>
  <si>
    <t>Mois : Septembre</t>
  </si>
  <si>
    <t>CL</t>
  </si>
  <si>
    <t>Totaux</t>
  </si>
  <si>
    <t>Ecarts</t>
  </si>
  <si>
    <t xml:space="preserve">               Escompte </t>
  </si>
  <si>
    <t>Trésorerie  Prévisionnelle  du  22/09/2015  au  31/03/2016</t>
  </si>
  <si>
    <t>Solde début periode</t>
  </si>
  <si>
    <t xml:space="preserve">     Echeance créance professionnelle</t>
  </si>
  <si>
    <t xml:space="preserve">    Tombées créance professionnelle</t>
  </si>
  <si>
    <t>Observation</t>
  </si>
  <si>
    <t>RAS</t>
  </si>
  <si>
    <t>Ecart estimation autre charge</t>
  </si>
  <si>
    <t>DD non prise en compte à l'échéancier</t>
  </si>
  <si>
    <t>recette espèces non prévu dans l' échéancier</t>
  </si>
  <si>
    <t>tombée escompte autre que AMB inclus au tableau prévisionnelle et non inclus dans l' échéancier</t>
  </si>
  <si>
    <t>Créance prof non prévu dans tre prévu</t>
  </si>
  <si>
    <t>Trésorerie  Prévisionnelle  du  22/09/2015</t>
  </si>
  <si>
    <t>TRSORERIE FINALE</t>
  </si>
  <si>
    <t xml:space="preserve"> Mois de Septembre :</t>
  </si>
  <si>
    <t>* Fournisseurs Etrangers :</t>
  </si>
  <si>
    <t>13 290,08 Euros</t>
  </si>
  <si>
    <t xml:space="preserve">         *  Morganti               </t>
  </si>
  <si>
    <t xml:space="preserve">         *  Inyectometal    </t>
  </si>
  <si>
    <t xml:space="preserve">  5 249,48 Euros</t>
  </si>
  <si>
    <t>Montant</t>
  </si>
  <si>
    <t xml:space="preserve"> 11 548,856 DT</t>
  </si>
  <si>
    <t xml:space="preserve"> 29 238,176 DT</t>
  </si>
  <si>
    <t>* Financement en devises :</t>
  </si>
  <si>
    <t>5 228,43 Euros</t>
  </si>
  <si>
    <t xml:space="preserve">         * Vulcania     </t>
  </si>
  <si>
    <t>11 502,546 DT</t>
  </si>
  <si>
    <t xml:space="preserve">Échéance </t>
  </si>
  <si>
    <t>**** Il est à noter que nous avons prévu des prorogations sur les financements en devises :</t>
  </si>
  <si>
    <t xml:space="preserve"> Mois d' Octobre :</t>
  </si>
  <si>
    <t xml:space="preserve"> Mois de Novembre :</t>
  </si>
  <si>
    <t xml:space="preserve"> 54 790,60 Euros</t>
  </si>
  <si>
    <t xml:space="preserve">         * Ahram    </t>
  </si>
  <si>
    <t>120 539,320 DT</t>
  </si>
  <si>
    <t>1/2 à 60 J et 1/2 à 90 J</t>
  </si>
  <si>
    <t xml:space="preserve">         * Litan    </t>
  </si>
  <si>
    <t xml:space="preserve">  50 017,000 DT</t>
  </si>
  <si>
    <t xml:space="preserve"> 22 735,00 Euros</t>
  </si>
  <si>
    <t>**** Aussi il est prévu de demander des nouveaux financements en devises :</t>
  </si>
  <si>
    <t xml:space="preserve"> 10 241,37 Euros</t>
  </si>
  <si>
    <t xml:space="preserve">         * Sedal       </t>
  </si>
  <si>
    <t xml:space="preserve"> 10 888,76 Euros</t>
  </si>
  <si>
    <t xml:space="preserve">         * Diager      </t>
  </si>
  <si>
    <t>22 531,014 DT</t>
  </si>
  <si>
    <t>23 955,272 DT</t>
  </si>
  <si>
    <t xml:space="preserve"> Les dites prévisions tiennent compte de ce qui suit :</t>
  </si>
  <si>
    <t>1/ Nouvelles demandes de financement en devises :</t>
  </si>
  <si>
    <t>2/ Prorogation de financement en devises :</t>
  </si>
  <si>
    <t xml:space="preserve">  10 888,76 Euros</t>
  </si>
  <si>
    <t>Détails des financements en devises sur ATTIJARI BANK , et des prorogations prévisionnelles .</t>
  </si>
  <si>
    <t>SEDAL0</t>
  </si>
  <si>
    <t xml:space="preserve"> 20 241,37 Euros</t>
  </si>
  <si>
    <t xml:space="preserve">  20 241,37 Euros</t>
  </si>
  <si>
    <t>44 531,014 DT</t>
  </si>
  <si>
    <t>IMPAYEE</t>
  </si>
  <si>
    <t>115 210,76 Euros</t>
  </si>
  <si>
    <t>CNSS</t>
  </si>
  <si>
    <t>Morganti</t>
  </si>
  <si>
    <t>FINANCEMENT LORS DU REGLEMENT DU 133 AIRGAMA</t>
  </si>
  <si>
    <t>Trésorerie  NOVEMBRE 2015</t>
  </si>
  <si>
    <t>Trésorerie  Prévisionnelle  du  23/10/2015  au  30/04/2016</t>
  </si>
  <si>
    <t>IMP</t>
  </si>
  <si>
    <t>LOYER RAOUDHA +MAAMER</t>
  </si>
  <si>
    <t>ASSURANCE</t>
  </si>
  <si>
    <t>Loyer Maamer</t>
  </si>
  <si>
    <t>EJIM+AMECAP</t>
  </si>
  <si>
    <t>ASSURANCE COMAR</t>
  </si>
  <si>
    <t xml:space="preserve">4 GASA </t>
  </si>
  <si>
    <t>le 05/11/2015</t>
  </si>
  <si>
    <t xml:space="preserve">   Les  réalisations  du 01/01/2015 au 13/11/2015   s'élèvent  à  : 12 484 337,361 Dinars H.T.V.A. pour l'activité Gros et   2 649 348,010  Dinars H.T.V.A. pour l'activité Détails </t>
  </si>
  <si>
    <t xml:space="preserve">    soit un total de : 15 133 685,371 Dinars H.TV.A.  Contre 15 785 156,746 Dinars H.TV.A.  Pour la même période en 2014.</t>
  </si>
  <si>
    <t>du 01/01 au 13/11</t>
  </si>
  <si>
    <t>VIREMENT ATB</t>
  </si>
  <si>
    <t>VIREMENT BIAT</t>
  </si>
  <si>
    <t>VIREMENT AB</t>
  </si>
  <si>
    <t>VIREMENT ATTIJARI</t>
  </si>
  <si>
    <t>RETARD DE PAIEMENT FOURNISSEUR ETRANGER</t>
  </si>
  <si>
    <t>TOTAL GENERAL</t>
  </si>
  <si>
    <t>REG IMP Détail INOPLAST</t>
  </si>
  <si>
    <t>SOTUCEP</t>
  </si>
  <si>
    <t xml:space="preserve">IMPAYEE REGLEE 02/11 NON PARVENU </t>
  </si>
  <si>
    <t>le 17/11/2015</t>
  </si>
  <si>
    <t xml:space="preserve">                                                                                                             et  Prévisionnelles  2015-2016</t>
  </si>
  <si>
    <t xml:space="preserve">   Les  réalisations  du 01/01/2015 au 17/11/2015   s'élèvent  à  :12 593 984,308 Dinars H.T.V.A. pour l'activité Gros et   2 677 402,803  Dinars H.T.V.A. pour l'activité Détails </t>
  </si>
  <si>
    <t xml:space="preserve">    soit un total de : 15 271 387,111 Dinars H.TV.A.  Contre  15 975 782,733  Dinars H.TV.A.  pour la même période en 2014.</t>
  </si>
  <si>
    <t>du 01/01 au 17/11</t>
  </si>
  <si>
    <t>Amine confort</t>
  </si>
  <si>
    <t>STC</t>
  </si>
  <si>
    <t>16 756,48 Euros</t>
  </si>
  <si>
    <t>LOYER SIALA</t>
  </si>
  <si>
    <t>11 807,62 Euros</t>
  </si>
  <si>
    <t>21 567,04 Euros</t>
  </si>
  <si>
    <t>17 843,48 Euros</t>
  </si>
  <si>
    <t>C/D VALEX</t>
  </si>
  <si>
    <t>914</t>
  </si>
  <si>
    <t>Trésorerie  DECEMBRE 2015</t>
  </si>
  <si>
    <t>DEMANDE DE FINANCEMENT</t>
  </si>
  <si>
    <t>CR du 15/10/2015</t>
  </si>
  <si>
    <t>C/D AURALL ARRIVEE LE 28/11</t>
  </si>
  <si>
    <t>TRAITE</t>
  </si>
  <si>
    <t>imp Henkel</t>
  </si>
  <si>
    <t>IMPAYEE  REGLEE</t>
  </si>
  <si>
    <t xml:space="preserve">STC </t>
  </si>
  <si>
    <t>Blocage PROJECT 03</t>
  </si>
  <si>
    <t xml:space="preserve">GO PAST </t>
  </si>
  <si>
    <t>REGLEE JUSTE 25000 / BLOCAGE 15000</t>
  </si>
  <si>
    <t>IMP SCIPP</t>
  </si>
  <si>
    <t>IMP EJIM</t>
  </si>
  <si>
    <t>Déblocage</t>
  </si>
  <si>
    <t>impayee versable</t>
  </si>
  <si>
    <t>CREANCE PROFESSIONNEL du 30/11/2015</t>
  </si>
  <si>
    <t>ENC DROIT DE DOUANE du 17/11/2015</t>
  </si>
  <si>
    <t>CREANCE PROFESSIONNEL du 01/12/2015</t>
  </si>
  <si>
    <t>ENC 2 CHQ du 11/12/2015</t>
  </si>
  <si>
    <t>ENC 1 CHQ du 11/12/2015</t>
  </si>
  <si>
    <t>TRAITE A L' ENCAISSEMENT du 09/11/2015</t>
  </si>
  <si>
    <t>C/D GEKO</t>
  </si>
  <si>
    <t xml:space="preserve">TRAITE </t>
  </si>
  <si>
    <t>LOYER</t>
  </si>
  <si>
    <t>LEASING</t>
  </si>
  <si>
    <t>PAIE+DEC</t>
  </si>
  <si>
    <t>MAJIMPEX</t>
  </si>
  <si>
    <t>TECNOPOLISH</t>
  </si>
  <si>
    <t>SRAIRI NOUREDDINE</t>
  </si>
  <si>
    <t>LIBERTY CHQ</t>
  </si>
  <si>
    <t>Trésorerie  Prévisionnelle  du  07/01/2016  au  31/07/2016</t>
  </si>
  <si>
    <t>LC à 60 J</t>
  </si>
  <si>
    <t>ANGELO</t>
  </si>
  <si>
    <t>GAIED</t>
  </si>
  <si>
    <t>BLOCAGE</t>
  </si>
  <si>
    <t>MOIS FEVRIER</t>
  </si>
  <si>
    <t xml:space="preserve"> Mois de Février :</t>
  </si>
  <si>
    <t xml:space="preserve">         * IBFM     </t>
  </si>
  <si>
    <t xml:space="preserve">  19 275,72 Euros</t>
  </si>
  <si>
    <t>42 406,584 DT</t>
  </si>
  <si>
    <t xml:space="preserve">         * AIRGAMA   </t>
  </si>
  <si>
    <t xml:space="preserve">  31 000,00 Euros</t>
  </si>
  <si>
    <t>70 000,000 DT</t>
  </si>
  <si>
    <t xml:space="preserve">         * AHRAM    </t>
  </si>
  <si>
    <t>85 000,000 DT</t>
  </si>
  <si>
    <t xml:space="preserve">         * VALEX</t>
  </si>
  <si>
    <t>36 864,000 DT</t>
  </si>
  <si>
    <t xml:space="preserve">         * ARCO    </t>
  </si>
  <si>
    <t>47 447,000 DT</t>
  </si>
  <si>
    <t xml:space="preserve">         * IBFM    </t>
  </si>
  <si>
    <t>39 255,660 DT</t>
  </si>
  <si>
    <t>2/ Nouvelles demandes de financement en devises :</t>
  </si>
  <si>
    <t>3/ Prorogation de financement en devises :</t>
  </si>
  <si>
    <t>1/  Financement en devises à régler :</t>
  </si>
  <si>
    <t xml:space="preserve">  54 790,60 Euros</t>
  </si>
  <si>
    <t>ETRANGER</t>
  </si>
  <si>
    <t>FINANCEMENT A REGLER</t>
  </si>
  <si>
    <t>FINANCEMENT A PROROGER</t>
  </si>
  <si>
    <t>NOUVELLE FINANCEMEMT</t>
  </si>
  <si>
    <t xml:space="preserve"> Mois de MARS :</t>
  </si>
  <si>
    <t xml:space="preserve">         * ULTRA    </t>
  </si>
  <si>
    <t xml:space="preserve">  10 619,85 Euros</t>
  </si>
  <si>
    <t>23 363,000 DT</t>
  </si>
  <si>
    <t>MOIS MARS</t>
  </si>
  <si>
    <t xml:space="preserve">         * DIAGER    </t>
  </si>
  <si>
    <t>10 888,76 Euros</t>
  </si>
  <si>
    <t>23 955,000 DT</t>
  </si>
  <si>
    <t xml:space="preserve">         * ASCADA</t>
  </si>
  <si>
    <t xml:space="preserve">         * PEKPAN    </t>
  </si>
  <si>
    <t>32 668,33 Euros</t>
  </si>
  <si>
    <t>71 870,000 DT</t>
  </si>
  <si>
    <t xml:space="preserve">         * IGI    </t>
  </si>
  <si>
    <t>21 057,00 Euros</t>
  </si>
  <si>
    <t>25 000,000 DT</t>
  </si>
  <si>
    <t>50 017,000 DT</t>
  </si>
  <si>
    <t xml:space="preserve">         * AHRAM</t>
  </si>
  <si>
    <t>Détails des financements en devises , et des prorogations prévisionnelles .</t>
  </si>
  <si>
    <t>JIS</t>
  </si>
  <si>
    <t>FINANCEMENT LORSQUE ON VA REGLER 120</t>
  </si>
  <si>
    <t>Enc TRAITE</t>
  </si>
  <si>
    <t>CEG</t>
  </si>
  <si>
    <t>CHIKRI KARRAY</t>
  </si>
  <si>
    <t>54 548,60 Euros</t>
  </si>
  <si>
    <t>51 220,80 Euros</t>
  </si>
  <si>
    <t>Trésorerie  Prévisionnelle  du  25/01/2016  au  31/07/2016</t>
  </si>
  <si>
    <t>Les versements prévisionnels pour la pèriode 26/01/2016 au 15/02/2016 totaliseront 700 000 dinars.</t>
  </si>
  <si>
    <t>Reste DM 15000</t>
  </si>
  <si>
    <t>CER ECEF</t>
  </si>
  <si>
    <t>IMPAYEE SANA</t>
  </si>
  <si>
    <t>C/D LINCE</t>
  </si>
  <si>
    <t>Enc Traite</t>
  </si>
  <si>
    <t>DURAVIT DISTRIBUTION</t>
  </si>
  <si>
    <t>18 349,83 Euros</t>
  </si>
  <si>
    <t>SCIPP 9263,404</t>
  </si>
  <si>
    <t>STE AYADI ET FILS 591,632</t>
  </si>
  <si>
    <t>INYECTOMETAL+MARTIGRAP</t>
  </si>
  <si>
    <t>leasing</t>
  </si>
  <si>
    <t>19 275,72 Euros</t>
  </si>
  <si>
    <t>Autorisations Bancaires au  31/01/2016</t>
  </si>
  <si>
    <t>Le, 22/02/2016</t>
  </si>
  <si>
    <t>Auto tringle 5012,097</t>
  </si>
  <si>
    <t>C/D OXYTURBO</t>
  </si>
  <si>
    <t>MTMP</t>
  </si>
  <si>
    <t>BLO ECEF</t>
  </si>
  <si>
    <t>STE QUIN GHADDAB</t>
  </si>
  <si>
    <t>DEC RECTIFICATIF</t>
  </si>
  <si>
    <t>Duravit</t>
  </si>
  <si>
    <t>911</t>
  </si>
  <si>
    <t>CER ROMEO</t>
  </si>
  <si>
    <t>deblocageC/D VALEX</t>
  </si>
  <si>
    <t>ENERGAS</t>
  </si>
  <si>
    <t>CERT MARTIGRAP</t>
  </si>
  <si>
    <t>L/C à 60 J date facture</t>
  </si>
  <si>
    <t>TECNOPOLE</t>
  </si>
  <si>
    <t>MCLAND</t>
  </si>
  <si>
    <t>Ets srairi Nourredine</t>
  </si>
  <si>
    <t>SEGEMO</t>
  </si>
  <si>
    <t>28 223,85 Euros</t>
  </si>
  <si>
    <t>BLOC TECFI</t>
  </si>
  <si>
    <t xml:space="preserve"> ARIEX</t>
  </si>
  <si>
    <t>C/D MR</t>
  </si>
  <si>
    <t>C/D AURALL</t>
  </si>
  <si>
    <t>Arco</t>
  </si>
  <si>
    <t>Diager</t>
  </si>
  <si>
    <t>à faire financement en devise CACHENG</t>
  </si>
  <si>
    <t>Vulcania</t>
  </si>
  <si>
    <t>C/D 0 60 J</t>
  </si>
  <si>
    <t>Trésorerie  Prévisionnelle  du  22/04/2016  au  31/07/2016</t>
  </si>
  <si>
    <t>*</t>
  </si>
  <si>
    <t xml:space="preserve"> ANTIPANIC</t>
  </si>
  <si>
    <t xml:space="preserve"> ROMEO</t>
  </si>
  <si>
    <t>ECHEANCIER MOIS MAI FOURNISSEUR ETRANGER</t>
  </si>
  <si>
    <t>SHIP</t>
  </si>
  <si>
    <t xml:space="preserve"> TATAY</t>
  </si>
  <si>
    <t>97 986,20 Euros</t>
  </si>
  <si>
    <t xml:space="preserve"> MCM</t>
  </si>
  <si>
    <t>RIGO</t>
  </si>
  <si>
    <t xml:space="preserve"> ECEF</t>
  </si>
  <si>
    <t>1ére tranche</t>
  </si>
  <si>
    <t>L/C ENERGAS</t>
  </si>
  <si>
    <t>Le 27/05/2016</t>
  </si>
  <si>
    <t>Ayadi et Fils</t>
  </si>
  <si>
    <t>SME</t>
  </si>
  <si>
    <t xml:space="preserve"> Guilbert express</t>
  </si>
  <si>
    <t>LEAING</t>
  </si>
  <si>
    <t>DEMANDE DE FINANCEMENT SPARKY</t>
  </si>
  <si>
    <t>DEMANDE DE FINANCEMENT CR</t>
  </si>
  <si>
    <t>cert ENERGAS</t>
  </si>
  <si>
    <t xml:space="preserve"> EPOCA</t>
  </si>
  <si>
    <t xml:space="preserve"> SCAIOLI CATENE</t>
  </si>
  <si>
    <t>SIMEP</t>
  </si>
  <si>
    <t>19 437,75 Euros</t>
  </si>
  <si>
    <t>11 250,22 Euros</t>
  </si>
  <si>
    <t>9 101,64 Euros</t>
  </si>
  <si>
    <t>978</t>
  </si>
  <si>
    <t>ARTICLES GRATUIT</t>
  </si>
  <si>
    <t>Leasing</t>
  </si>
  <si>
    <t>duravit</t>
  </si>
  <si>
    <t xml:space="preserve">  SECURYSTAR</t>
  </si>
  <si>
    <t xml:space="preserve"> LAVOR</t>
  </si>
  <si>
    <t>Dde de financement</t>
  </si>
  <si>
    <t>Dde de prorogation</t>
  </si>
  <si>
    <t>TBA + CEG</t>
  </si>
  <si>
    <t>COGES+HALF</t>
  </si>
  <si>
    <t>CEG+HALF</t>
  </si>
  <si>
    <t xml:space="preserve">          CEG+GLOBAL EQUIP &amp; DISTR+FATNASSI FRERES</t>
  </si>
  <si>
    <t>STE EURO EQUIP+TBA</t>
  </si>
  <si>
    <t>Impayée</t>
  </si>
  <si>
    <t>29 024,00 USD</t>
  </si>
  <si>
    <t>57 198,65 Euros</t>
  </si>
  <si>
    <t xml:space="preserve"> TECNORESINE</t>
  </si>
  <si>
    <t>MONTANT EN DEVISE</t>
  </si>
  <si>
    <t>MONTANT EN DINARS</t>
  </si>
  <si>
    <t>ECHEANCE</t>
  </si>
  <si>
    <t>FINANCEMENT EN DEVISE JUIULLET</t>
  </si>
  <si>
    <t>REGLEMENT FOURNISSEUR ETRANGER AOUT</t>
  </si>
  <si>
    <t>FINANCEMENT EN DEVISE AOUT</t>
  </si>
  <si>
    <t>FINANCEMENT EN DEVISE SEPTEMBRE</t>
  </si>
  <si>
    <t>FINANCEMENT EN DEVISE OCTOBRE</t>
  </si>
  <si>
    <t>ECHEANCIER FOURNISSEUR ETRANGER</t>
  </si>
  <si>
    <t>KOPRAM</t>
  </si>
  <si>
    <t>7 500,00 Euros</t>
  </si>
  <si>
    <t>14 206,08 Euros</t>
  </si>
  <si>
    <t>6 300,00 Euros</t>
  </si>
  <si>
    <t>11 280,00 Euros</t>
  </si>
  <si>
    <t>DURAVIT</t>
  </si>
  <si>
    <t xml:space="preserve"> SPITALERI</t>
  </si>
  <si>
    <t>ACCEPTATION TRAITE</t>
  </si>
  <si>
    <t>MEDI CLEAN NEGOCE</t>
  </si>
  <si>
    <t>C/D KOPRAM</t>
  </si>
  <si>
    <t>ATTIJARI LEASING</t>
  </si>
  <si>
    <t>MEDI CLEAN NEGOCE 28/06</t>
  </si>
  <si>
    <t>IMPAYEE NON PREVU</t>
  </si>
  <si>
    <t>BLO CAR</t>
  </si>
  <si>
    <t>CERT AHRAM</t>
  </si>
  <si>
    <t>cert TECFI</t>
  </si>
  <si>
    <t>L'ABRASIF INDUSTRIEL</t>
  </si>
  <si>
    <t>98 055,40 Euros</t>
  </si>
  <si>
    <t>BLO C/D TRE EMME</t>
  </si>
  <si>
    <t>BLOC VULCANIA</t>
  </si>
  <si>
    <t>MODERNE PLAST</t>
  </si>
  <si>
    <t>ETS SRAIRI NOURE</t>
  </si>
  <si>
    <t>BLOC C/D MEDASA</t>
  </si>
  <si>
    <t>11 424,50 Euros</t>
  </si>
  <si>
    <t xml:space="preserve">                         Date  mise à jour 04/08/2016</t>
  </si>
  <si>
    <t>galion distri</t>
  </si>
  <si>
    <t>Le,10/08/2016</t>
  </si>
  <si>
    <t>LIBOR + 2,75</t>
  </si>
  <si>
    <t>TMM + 3 %</t>
  </si>
  <si>
    <t>TMM + 2,75 %</t>
  </si>
  <si>
    <t>TMM + 3,25 %</t>
  </si>
  <si>
    <t>LIBOR + 2 %</t>
  </si>
  <si>
    <t>TMM + 2,5 %</t>
  </si>
  <si>
    <t>1,5%°</t>
  </si>
  <si>
    <t>2,5 %°</t>
  </si>
  <si>
    <t>TMM + 2,8125 %</t>
  </si>
  <si>
    <t>2%°</t>
  </si>
  <si>
    <t>LIBOR + 2 %°</t>
  </si>
  <si>
    <t>TMM+3 %</t>
  </si>
  <si>
    <t>TMM+3,5 %</t>
  </si>
  <si>
    <t>Conditions des Banques et des Factorings au  10/08/2016</t>
  </si>
  <si>
    <t>cert cheque</t>
  </si>
  <si>
    <t>BESOIN ATB</t>
  </si>
  <si>
    <t>BESOIN BIAT</t>
  </si>
  <si>
    <t>DECLARATION MENSUEL</t>
  </si>
  <si>
    <t>BESOIN ATTIJARI</t>
  </si>
  <si>
    <t>TOTAL BESOIN DES BANQUES</t>
  </si>
  <si>
    <t>MONTANT</t>
  </si>
  <si>
    <t>NATURE DE L'OPERATION</t>
  </si>
  <si>
    <t>CONTRE DOCUMENT</t>
  </si>
  <si>
    <t>ECHEANCE PRÊT</t>
  </si>
  <si>
    <t>Remarque :</t>
  </si>
  <si>
    <t>VIREMENT LOYER</t>
  </si>
  <si>
    <t>BESOIN DE VERSEMENT PAR BANQUE</t>
  </si>
  <si>
    <t>Le, 13/08/2016</t>
  </si>
  <si>
    <t>ECHEANCE ATTIJARI LEASING</t>
  </si>
  <si>
    <t>d'un montant de 29 024,00 USD, échéance le 30/08/2016</t>
  </si>
  <si>
    <t xml:space="preserve">Prévu à faire une demande de prorogation d'un financement en devises à ATTIJARI BANK en faveur de notre fournisseur CACHENG </t>
  </si>
  <si>
    <t>DESIGNIATION</t>
  </si>
  <si>
    <t>BESOIN AMEN BANK</t>
  </si>
  <si>
    <t>ATL</t>
  </si>
  <si>
    <t>REGLEMENT FOURNISSEURS LOCAUX</t>
  </si>
  <si>
    <t>ECHEANCE ATL DEPOT CHARGUIA 2</t>
  </si>
  <si>
    <t>NOM ET PRENOM</t>
  </si>
  <si>
    <t>SIGNATURE</t>
  </si>
  <si>
    <t>LES ORDINATEURS PORTABLES DE SONOTEM</t>
  </si>
  <si>
    <t>WAEL EL AYECH</t>
  </si>
  <si>
    <t>NABIL BEN CHAABANE</t>
  </si>
  <si>
    <t>TAOUFIK EZZEDDINE</t>
  </si>
  <si>
    <t xml:space="preserve">Un ordinateur portable dans le bureau de direction de SONOTEM GROS </t>
  </si>
  <si>
    <t>Un ordinateur portable dans le bureau de direction de SONOTEM DETAIL</t>
  </si>
  <si>
    <t>CERTIFICATION CHEQUE</t>
  </si>
  <si>
    <t>STQ</t>
  </si>
  <si>
    <t>Le, 18/08/2016</t>
  </si>
  <si>
    <t>TOTAL DECAISSEMENT AMEN BANK</t>
  </si>
  <si>
    <t>Solde au 18/08/2016 : -639 131,683</t>
  </si>
  <si>
    <t>Chèque à payer 201 404 et traite à payer 573 730</t>
  </si>
  <si>
    <t>Solde au 18/08/2016 : -11 313,769</t>
  </si>
  <si>
    <t>à prendre en considération versement 30000,000</t>
  </si>
  <si>
    <t>TOTAL DECAISSEMENT BIAT</t>
  </si>
  <si>
    <t>BESOIN VERSEMENT AMB : 1 100 000,0000</t>
  </si>
  <si>
    <t>BESOIN VERSEMENT BIAT : 20 000,0000</t>
  </si>
  <si>
    <t>Solde au 18/08/2016 : -23 557,580</t>
  </si>
  <si>
    <t>CERTIFICATION</t>
  </si>
  <si>
    <t>CERTIFICATION INAREL+MARTIGRAP</t>
  </si>
  <si>
    <t>TOTAL DECAISSEMENT ATTIJARI</t>
  </si>
  <si>
    <t>BESOIN VERSEMENT ATTIJARI : 50 000,0000</t>
  </si>
  <si>
    <t>Solde au 18/08/2016 : -12 091,115</t>
  </si>
  <si>
    <t>FISQUE</t>
  </si>
  <si>
    <t>TOTAL DECAISSEMENT ATB</t>
  </si>
  <si>
    <t>BESOIN VERSEMENT ATB : 90 000,0000</t>
  </si>
  <si>
    <t>STE JMAL DE COMMERCE</t>
  </si>
  <si>
    <t xml:space="preserve"> IBFM</t>
  </si>
  <si>
    <t>Retard de paiement</t>
  </si>
  <si>
    <t>* CNSS : 65 000,000</t>
  </si>
  <si>
    <t>* DECLARATION MENSUEL : 115 000,000</t>
  </si>
  <si>
    <t>*ATL : 48 884,000</t>
  </si>
  <si>
    <t>*ARRANGEMENT FISCAL : 70 000,000</t>
  </si>
  <si>
    <r>
      <rPr>
        <b/>
        <sz val="10"/>
        <rFont val="Arial"/>
        <family val="2"/>
      </rPr>
      <t>TOTAL</t>
    </r>
    <r>
      <rPr>
        <sz val="10"/>
        <rFont val="Arial"/>
        <family val="2"/>
      </rPr>
      <t xml:space="preserve"> :                             298 000,000</t>
    </r>
  </si>
  <si>
    <t>EMPRUNT</t>
  </si>
  <si>
    <t>ETS KETARI</t>
  </si>
  <si>
    <t>997</t>
  </si>
  <si>
    <t>998</t>
  </si>
  <si>
    <t>PROJECT 03</t>
  </si>
  <si>
    <r>
      <t xml:space="preserve">Solde </t>
    </r>
    <r>
      <rPr>
        <b/>
        <sz val="14"/>
        <rFont val="Arial"/>
        <family val="2"/>
      </rPr>
      <t>AMEN BANK</t>
    </r>
    <r>
      <rPr>
        <sz val="14"/>
        <rFont val="Arial"/>
        <family val="2"/>
      </rPr>
      <t xml:space="preserve"> au 24/08/2016 : -763 277,303</t>
    </r>
  </si>
  <si>
    <r>
      <t>Solde</t>
    </r>
    <r>
      <rPr>
        <b/>
        <sz val="14"/>
        <rFont val="Arial"/>
        <family val="2"/>
      </rPr>
      <t xml:space="preserve"> ATB</t>
    </r>
    <r>
      <rPr>
        <sz val="14"/>
        <rFont val="Arial"/>
        <family val="2"/>
      </rPr>
      <t xml:space="preserve"> au 24/08/2016 : -20 595,182</t>
    </r>
  </si>
  <si>
    <r>
      <t xml:space="preserve">Solde </t>
    </r>
    <r>
      <rPr>
        <b/>
        <sz val="14"/>
        <rFont val="Arial"/>
        <family val="2"/>
      </rPr>
      <t>BIAT</t>
    </r>
    <r>
      <rPr>
        <sz val="14"/>
        <rFont val="Arial"/>
        <family val="2"/>
      </rPr>
      <t xml:space="preserve"> au 24/08/2016 : 16 924,631</t>
    </r>
  </si>
  <si>
    <r>
      <t xml:space="preserve">Solde </t>
    </r>
    <r>
      <rPr>
        <b/>
        <sz val="14"/>
        <rFont val="Arial"/>
        <family val="2"/>
      </rPr>
      <t>ATTIJARI</t>
    </r>
    <r>
      <rPr>
        <sz val="14"/>
        <rFont val="Arial"/>
        <family val="2"/>
      </rPr>
      <t xml:space="preserve"> au 24/08/2016 : -9 418,489</t>
    </r>
  </si>
  <si>
    <t>SOLDE DES BANQUES AU 24/08/2016</t>
  </si>
  <si>
    <t xml:space="preserve">                                                                                                                                                                                                  </t>
  </si>
  <si>
    <t>Le, 24/08/2016</t>
  </si>
  <si>
    <t>Solde au 24/08/2016 : -763 277,303</t>
  </si>
  <si>
    <t>ECHEANCE ATL  JUIN</t>
  </si>
  <si>
    <t>BESOIN VERSEMENT AMB : 532 000,0000</t>
  </si>
  <si>
    <t>Solde au 24/08/2016 : -20 595,182</t>
  </si>
  <si>
    <t>ACEM</t>
  </si>
  <si>
    <t>FATNASSI FRERE</t>
  </si>
  <si>
    <t>salaire</t>
  </si>
  <si>
    <t>BLO MIC ART</t>
  </si>
  <si>
    <t>ETS SRAIRI NOUREDDINE</t>
  </si>
  <si>
    <t xml:space="preserve">AHRAM </t>
  </si>
  <si>
    <t>Fifa distribution</t>
  </si>
  <si>
    <t>chq</t>
  </si>
  <si>
    <t>BH</t>
  </si>
  <si>
    <t>BLO TECNORESINE</t>
  </si>
  <si>
    <t>BLO SCAIOLI CATENE</t>
  </si>
  <si>
    <t>DM JUILLET</t>
  </si>
  <si>
    <t>chq ATL</t>
  </si>
  <si>
    <t>IMP SIAM</t>
  </si>
  <si>
    <t>CNSS CAVIS</t>
  </si>
  <si>
    <t>CHEQUE CERTIFIEE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</si>
</sst>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\ _€_-;\-* #,##0\ _€_-;_-* &quot;-&quot;\ _€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_-* #,##0.000\ _€_-;\-* #,##0.000\ _€_-;_-* &quot;-&quot;??\ _€_-;_-@_-"/>
    <numFmt numFmtId="166" formatCode="_-* #,##0.000\ _€_-;\-* #,##0.000\ _€_-;_-* &quot;-&quot;???\ _€_-;_-@_-"/>
    <numFmt numFmtId="167" formatCode="_-* #,##0.0000\ _€_-;\-* #,##0.0000\ _€_-;_-* &quot;-&quot;??\ _€_-;_-@_-"/>
    <numFmt numFmtId="168" formatCode="0.000"/>
    <numFmt numFmtId="169" formatCode="#,##0.000"/>
    <numFmt numFmtId="170" formatCode="#,##0_ ;\-#,##0\ "/>
  </numFmts>
  <fonts count="1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u/>
      <sz val="14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u/>
      <sz val="16"/>
      <name val="Arial"/>
      <family val="2"/>
    </font>
    <font>
      <b/>
      <u val="singleAccounting"/>
      <sz val="14"/>
      <name val="Arial"/>
      <family val="2"/>
    </font>
    <font>
      <sz val="10"/>
      <name val="Arial Black"/>
      <family val="2"/>
    </font>
    <font>
      <sz val="16"/>
      <name val="Arial Black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00B050"/>
      <name val="Arial"/>
      <family val="2"/>
    </font>
    <font>
      <sz val="10"/>
      <color rgb="FF00B0F0"/>
      <name val="Arial"/>
      <family val="2"/>
    </font>
    <font>
      <sz val="8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FFC000"/>
      <name val="Arial"/>
      <family val="2"/>
    </font>
    <font>
      <b/>
      <sz val="10"/>
      <color rgb="FFFFC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3" tint="0.39997558519241921"/>
      <name val="Arial"/>
      <family val="2"/>
    </font>
    <font>
      <sz val="8"/>
      <color rgb="FF00B0F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name val="Arial"/>
      <family val="2"/>
    </font>
    <font>
      <sz val="10"/>
      <color theme="8" tint="-0.249977111117893"/>
      <name val="Arial"/>
      <family val="2"/>
    </font>
    <font>
      <sz val="10"/>
      <color theme="9" tint="-0.249977111117893"/>
      <name val="Arial"/>
      <family val="2"/>
    </font>
    <font>
      <sz val="11"/>
      <name val="Calibri"/>
      <family val="2"/>
      <scheme val="minor"/>
    </font>
    <font>
      <sz val="8"/>
      <color theme="3" tint="0.59999389629810485"/>
      <name val="Arial"/>
      <family val="2"/>
    </font>
    <font>
      <sz val="10"/>
      <color rgb="FF00B050"/>
      <name val="Arial"/>
      <family val="2"/>
    </font>
    <font>
      <sz val="10"/>
      <color rgb="FF92D050"/>
      <name val="Arial"/>
      <family val="2"/>
    </font>
    <font>
      <b/>
      <sz val="16"/>
      <name val="Arial"/>
      <family val="2"/>
    </font>
    <font>
      <sz val="10"/>
      <color theme="5"/>
      <name val="Arial"/>
      <family val="2"/>
    </font>
    <font>
      <sz val="16"/>
      <name val="Arial"/>
      <family val="2"/>
    </font>
    <font>
      <sz val="8"/>
      <color theme="5"/>
      <name val="Arial"/>
      <family val="2"/>
    </font>
    <font>
      <b/>
      <sz val="10"/>
      <color rgb="FF00B0F0"/>
      <name val="Arial"/>
      <family val="2"/>
    </font>
    <font>
      <b/>
      <sz val="10"/>
      <color rgb="FF00B050"/>
      <name val="Arial"/>
      <family val="2"/>
    </font>
    <font>
      <b/>
      <sz val="10"/>
      <color rgb="FF92D050"/>
      <name val="Arial"/>
      <family val="2"/>
    </font>
    <font>
      <sz val="8"/>
      <color rgb="FF0070C0"/>
      <name val="Arial"/>
      <family val="2"/>
    </font>
    <font>
      <sz val="8"/>
      <color theme="8" tint="0.39997558519241921"/>
      <name val="Arial"/>
      <family val="2"/>
    </font>
    <font>
      <sz val="8"/>
      <color theme="5" tint="-0.249977111117893"/>
      <name val="Arial"/>
      <family val="2"/>
    </font>
    <font>
      <b/>
      <u/>
      <sz val="16"/>
      <name val="Arial"/>
      <family val="2"/>
    </font>
    <font>
      <b/>
      <i/>
      <sz val="16"/>
      <name val="Arial"/>
      <family val="2"/>
    </font>
    <font>
      <sz val="8"/>
      <color theme="4" tint="0.39997558519241921"/>
      <name val="Arial"/>
      <family val="2"/>
    </font>
    <font>
      <sz val="8"/>
      <color theme="6" tint="-0.249977111117893"/>
      <name val="Arial"/>
      <family val="2"/>
    </font>
    <font>
      <sz val="8"/>
      <color theme="9" tint="-0.249977111117893"/>
      <name val="Arial"/>
      <family val="2"/>
    </font>
    <font>
      <sz val="8"/>
      <color theme="3"/>
      <name val="Arial"/>
      <family val="2"/>
    </font>
    <font>
      <sz val="8"/>
      <color theme="8"/>
      <name val="Arial"/>
      <family val="2"/>
    </font>
    <font>
      <sz val="10"/>
      <color theme="8"/>
      <name val="Arial"/>
      <family val="2"/>
    </font>
    <font>
      <b/>
      <sz val="18"/>
      <name val="Arial"/>
      <family val="2"/>
    </font>
    <font>
      <sz val="8"/>
      <color theme="2" tint="-0.499984740745262"/>
      <name val="Arial"/>
      <family val="2"/>
    </font>
    <font>
      <sz val="8"/>
      <color theme="3" tint="0.39997558519241921"/>
      <name val="Arial"/>
      <family val="2"/>
    </font>
    <font>
      <sz val="8"/>
      <color rgb="FFFFC000"/>
      <name val="Arial"/>
      <family val="2"/>
    </font>
    <font>
      <sz val="18"/>
      <color rgb="FFFF0000"/>
      <name val="Arial"/>
      <family val="2"/>
    </font>
    <font>
      <sz val="14"/>
      <color rgb="FFFF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i/>
      <u/>
      <sz val="10"/>
      <name val="Arial"/>
      <family val="2"/>
    </font>
    <font>
      <sz val="11"/>
      <name val="Arial"/>
      <family val="2"/>
    </font>
    <font>
      <sz val="16"/>
      <color rgb="FFFF0000"/>
      <name val="Arial"/>
      <family val="2"/>
    </font>
    <font>
      <sz val="8"/>
      <color theme="6"/>
      <name val="Arial"/>
      <family val="2"/>
    </font>
    <font>
      <sz val="8"/>
      <color rgb="FF7030A0"/>
      <name val="Arial"/>
      <family val="2"/>
    </font>
    <font>
      <sz val="14"/>
      <color rgb="FFFFC000"/>
      <name val="Arial"/>
      <family val="2"/>
    </font>
    <font>
      <sz val="20"/>
      <name val="Arial"/>
      <family val="2"/>
    </font>
    <font>
      <sz val="8"/>
      <color theme="4"/>
      <name val="Arial"/>
      <family val="2"/>
    </font>
    <font>
      <sz val="8"/>
      <color theme="5" tint="0.39997558519241921"/>
      <name val="Arial"/>
      <family val="2"/>
    </font>
    <font>
      <sz val="8"/>
      <color rgb="FF92D050"/>
      <name val="Arial"/>
      <family val="2"/>
    </font>
    <font>
      <sz val="10"/>
      <name val="Arial"/>
      <family val="2"/>
    </font>
    <font>
      <b/>
      <sz val="10"/>
      <color theme="5"/>
      <name val="Arial"/>
      <family val="2"/>
    </font>
    <font>
      <b/>
      <u/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name val="Arial"/>
      <family val="2"/>
    </font>
    <font>
      <sz val="8"/>
      <color theme="9"/>
      <name val="Arial"/>
      <family val="2"/>
    </font>
    <font>
      <sz val="10"/>
      <color rgb="FF7030A0"/>
      <name val="Arial"/>
      <family val="2"/>
    </font>
    <font>
      <b/>
      <sz val="16"/>
      <color rgb="FFFF0000"/>
      <name val="Arial"/>
      <family val="2"/>
    </font>
    <font>
      <sz val="9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2">
    <xf numFmtId="0" fontId="0" fillId="0" borderId="0"/>
    <xf numFmtId="43" fontId="33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2" fillId="0" borderId="53" applyNumberFormat="0" applyFill="0" applyAlignment="0" applyProtection="0"/>
    <xf numFmtId="0" fontId="83" fillId="0" borderId="54" applyNumberFormat="0" applyFill="0" applyAlignment="0" applyProtection="0"/>
    <xf numFmtId="0" fontId="83" fillId="0" borderId="0" applyNumberFormat="0" applyFill="0" applyBorder="0" applyAlignment="0" applyProtection="0"/>
    <xf numFmtId="0" fontId="84" fillId="11" borderId="0" applyNumberFormat="0" applyBorder="0" applyAlignment="0" applyProtection="0"/>
    <xf numFmtId="0" fontId="85" fillId="12" borderId="0" applyNumberFormat="0" applyBorder="0" applyAlignment="0" applyProtection="0"/>
    <xf numFmtId="0" fontId="86" fillId="13" borderId="0" applyNumberFormat="0" applyBorder="0" applyAlignment="0" applyProtection="0"/>
    <xf numFmtId="0" fontId="87" fillId="14" borderId="55" applyNumberFormat="0" applyAlignment="0" applyProtection="0"/>
    <xf numFmtId="0" fontId="88" fillId="15" borderId="56" applyNumberFormat="0" applyAlignment="0" applyProtection="0"/>
    <xf numFmtId="0" fontId="89" fillId="15" borderId="55" applyNumberFormat="0" applyAlignment="0" applyProtection="0"/>
    <xf numFmtId="0" fontId="90" fillId="0" borderId="57" applyNumberFormat="0" applyFill="0" applyAlignment="0" applyProtection="0"/>
    <xf numFmtId="0" fontId="91" fillId="16" borderId="58" applyNumberFormat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9" fillId="0" borderId="60" applyNumberFormat="0" applyFill="0" applyAlignment="0" applyProtection="0"/>
    <xf numFmtId="0" fontId="94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94" fillId="25" borderId="0" applyNumberFormat="0" applyBorder="0" applyAlignment="0" applyProtection="0"/>
    <xf numFmtId="0" fontId="94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94" fillId="29" borderId="0" applyNumberFormat="0" applyBorder="0" applyAlignment="0" applyProtection="0"/>
    <xf numFmtId="0" fontId="94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94" fillId="33" borderId="0" applyNumberFormat="0" applyBorder="0" applyAlignment="0" applyProtection="0"/>
    <xf numFmtId="0" fontId="94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94" fillId="37" borderId="0" applyNumberFormat="0" applyBorder="0" applyAlignment="0" applyProtection="0"/>
    <xf numFmtId="0" fontId="94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94" fillId="41" borderId="0" applyNumberFormat="0" applyBorder="0" applyAlignment="0" applyProtection="0"/>
    <xf numFmtId="0" fontId="29" fillId="0" borderId="0"/>
    <xf numFmtId="0" fontId="29" fillId="17" borderId="59" applyNumberFormat="0" applyFont="0" applyAlignment="0" applyProtection="0"/>
    <xf numFmtId="9" fontId="126" fillId="0" borderId="0" applyFont="0" applyFill="0" applyBorder="0" applyAlignment="0" applyProtection="0"/>
    <xf numFmtId="0" fontId="16" fillId="17" borderId="59" applyNumberFormat="0" applyFont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38" fillId="0" borderId="0"/>
    <xf numFmtId="43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</cellStyleXfs>
  <cellXfs count="1873">
    <xf numFmtId="0" fontId="0" fillId="0" borderId="0" xfId="0"/>
    <xf numFmtId="0" fontId="34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0" xfId="0" applyBorder="1" applyAlignment="1">
      <alignment horizontal="center"/>
    </xf>
    <xf numFmtId="0" fontId="34" fillId="0" borderId="4" xfId="0" applyFont="1" applyBorder="1"/>
    <xf numFmtId="0" fontId="36" fillId="0" borderId="4" xfId="0" applyFont="1" applyBorder="1"/>
    <xf numFmtId="0" fontId="0" fillId="0" borderId="6" xfId="0" applyBorder="1"/>
    <xf numFmtId="0" fontId="0" fillId="0" borderId="7" xfId="0" applyBorder="1"/>
    <xf numFmtId="0" fontId="0" fillId="0" borderId="10" xfId="0" applyBorder="1"/>
    <xf numFmtId="0" fontId="34" fillId="0" borderId="11" xfId="0" applyFont="1" applyBorder="1"/>
    <xf numFmtId="0" fontId="0" fillId="0" borderId="11" xfId="0" applyBorder="1"/>
    <xf numFmtId="0" fontId="0" fillId="0" borderId="12" xfId="0" applyBorder="1"/>
    <xf numFmtId="16" fontId="0" fillId="0" borderId="0" xfId="0" applyNumberFormat="1"/>
    <xf numFmtId="0" fontId="36" fillId="0" borderId="0" xfId="0" applyFont="1" applyBorder="1"/>
    <xf numFmtId="164" fontId="0" fillId="0" borderId="17" xfId="1" applyNumberFormat="1" applyFont="1" applyBorder="1"/>
    <xf numFmtId="164" fontId="0" fillId="0" borderId="18" xfId="1" applyNumberFormat="1" applyFont="1" applyBorder="1"/>
    <xf numFmtId="164" fontId="0" fillId="0" borderId="9" xfId="1" applyNumberFormat="1" applyFont="1" applyBorder="1"/>
    <xf numFmtId="164" fontId="0" fillId="0" borderId="20" xfId="1" applyNumberFormat="1" applyFont="1" applyBorder="1"/>
    <xf numFmtId="164" fontId="0" fillId="0" borderId="22" xfId="1" applyNumberFormat="1" applyFont="1" applyBorder="1"/>
    <xf numFmtId="14" fontId="34" fillId="0" borderId="0" xfId="0" applyNumberFormat="1" applyFont="1" applyBorder="1"/>
    <xf numFmtId="165" fontId="0" fillId="0" borderId="0" xfId="1" applyNumberFormat="1" applyFont="1"/>
    <xf numFmtId="0" fontId="34" fillId="0" borderId="10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164" fontId="0" fillId="0" borderId="23" xfId="1" applyNumberFormat="1" applyFont="1" applyBorder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0" borderId="5" xfId="1" applyNumberFormat="1" applyFont="1" applyBorder="1"/>
    <xf numFmtId="164" fontId="0" fillId="0" borderId="20" xfId="1" applyNumberFormat="1" applyFont="1" applyFill="1" applyBorder="1"/>
    <xf numFmtId="164" fontId="0" fillId="0" borderId="10" xfId="1" applyNumberFormat="1" applyFont="1" applyBorder="1"/>
    <xf numFmtId="164" fontId="0" fillId="0" borderId="11" xfId="1" applyNumberFormat="1" applyFont="1" applyBorder="1"/>
    <xf numFmtId="164" fontId="0" fillId="0" borderId="12" xfId="1" applyNumberFormat="1" applyFont="1" applyBorder="1"/>
    <xf numFmtId="0" fontId="34" fillId="0" borderId="6" xfId="0" applyFont="1" applyBorder="1"/>
    <xf numFmtId="164" fontId="0" fillId="0" borderId="7" xfId="1" applyNumberFormat="1" applyFont="1" applyBorder="1"/>
    <xf numFmtId="164" fontId="0" fillId="0" borderId="26" xfId="1" applyNumberFormat="1" applyFont="1" applyBorder="1"/>
    <xf numFmtId="164" fontId="0" fillId="0" borderId="4" xfId="1" applyNumberFormat="1" applyFont="1" applyBorder="1"/>
    <xf numFmtId="164" fontId="0" fillId="0" borderId="1" xfId="1" applyNumberFormat="1" applyFont="1" applyBorder="1"/>
    <xf numFmtId="164" fontId="34" fillId="0" borderId="12" xfId="1" applyNumberFormat="1" applyFont="1" applyBorder="1"/>
    <xf numFmtId="164" fontId="0" fillId="0" borderId="0" xfId="0" applyNumberFormat="1"/>
    <xf numFmtId="0" fontId="38" fillId="0" borderId="4" xfId="0" applyFont="1" applyBorder="1"/>
    <xf numFmtId="164" fontId="38" fillId="0" borderId="17" xfId="1" applyNumberFormat="1" applyFont="1" applyBorder="1"/>
    <xf numFmtId="164" fontId="38" fillId="0" borderId="11" xfId="1" applyNumberFormat="1" applyFont="1" applyBorder="1"/>
    <xf numFmtId="164" fontId="38" fillId="0" borderId="5" xfId="1" applyNumberFormat="1" applyFont="1" applyBorder="1"/>
    <xf numFmtId="43" fontId="34" fillId="0" borderId="0" xfId="1" applyFont="1"/>
    <xf numFmtId="43" fontId="0" fillId="0" borderId="0" xfId="1" applyFont="1"/>
    <xf numFmtId="43" fontId="0" fillId="0" borderId="0" xfId="0" applyNumberFormat="1"/>
    <xf numFmtId="164" fontId="0" fillId="0" borderId="0" xfId="1" applyNumberFormat="1" applyFont="1"/>
    <xf numFmtId="165" fontId="0" fillId="0" borderId="0" xfId="1" applyNumberFormat="1" applyFont="1" applyBorder="1"/>
    <xf numFmtId="0" fontId="0" fillId="0" borderId="0" xfId="0" applyAlignment="1">
      <alignment horizontal="right"/>
    </xf>
    <xf numFmtId="16" fontId="0" fillId="0" borderId="0" xfId="0" applyNumberFormat="1" applyBorder="1"/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34" fillId="0" borderId="0" xfId="1" applyNumberFormat="1" applyFont="1"/>
    <xf numFmtId="165" fontId="0" fillId="0" borderId="0" xfId="1" applyNumberFormat="1" applyFont="1" applyFill="1"/>
    <xf numFmtId="0" fontId="0" fillId="0" borderId="0" xfId="0" applyFill="1"/>
    <xf numFmtId="16" fontId="0" fillId="0" borderId="0" xfId="0" applyNumberFormat="1" applyFill="1"/>
    <xf numFmtId="14" fontId="0" fillId="0" borderId="0" xfId="0" applyNumberFormat="1" applyBorder="1"/>
    <xf numFmtId="0" fontId="0" fillId="2" borderId="0" xfId="0" applyFill="1"/>
    <xf numFmtId="0" fontId="40" fillId="0" borderId="0" xfId="0" applyFont="1"/>
    <xf numFmtId="43" fontId="0" fillId="0" borderId="0" xfId="1" applyNumberFormat="1" applyFont="1"/>
    <xf numFmtId="0" fontId="34" fillId="0" borderId="27" xfId="0" applyFont="1" applyBorder="1" applyAlignment="1">
      <alignment horizontal="center"/>
    </xf>
    <xf numFmtId="0" fontId="34" fillId="0" borderId="28" xfId="0" applyFont="1" applyBorder="1" applyAlignment="1">
      <alignment horizontal="center"/>
    </xf>
    <xf numFmtId="0" fontId="0" fillId="0" borderId="20" xfId="0" applyBorder="1"/>
    <xf numFmtId="0" fontId="34" fillId="0" borderId="29" xfId="0" applyFont="1" applyBorder="1" applyAlignment="1">
      <alignment horizontal="center"/>
    </xf>
    <xf numFmtId="0" fontId="0" fillId="0" borderId="30" xfId="0" applyBorder="1"/>
    <xf numFmtId="0" fontId="34" fillId="0" borderId="31" xfId="0" applyFont="1" applyBorder="1" applyAlignment="1">
      <alignment horizontal="center"/>
    </xf>
    <xf numFmtId="0" fontId="0" fillId="0" borderId="28" xfId="0" applyBorder="1"/>
    <xf numFmtId="0" fontId="34" fillId="0" borderId="28" xfId="0" applyFont="1" applyBorder="1"/>
    <xf numFmtId="0" fontId="34" fillId="0" borderId="27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8" xfId="0" applyBorder="1" applyAlignment="1">
      <alignment horizontal="center"/>
    </xf>
    <xf numFmtId="165" fontId="0" fillId="0" borderId="20" xfId="1" applyNumberFormat="1" applyFont="1" applyBorder="1"/>
    <xf numFmtId="165" fontId="34" fillId="0" borderId="28" xfId="1" applyNumberFormat="1" applyFont="1" applyBorder="1"/>
    <xf numFmtId="165" fontId="34" fillId="0" borderId="27" xfId="1" applyNumberFormat="1" applyFont="1" applyBorder="1"/>
    <xf numFmtId="165" fontId="0" fillId="0" borderId="20" xfId="0" applyNumberFormat="1" applyBorder="1"/>
    <xf numFmtId="16" fontId="0" fillId="0" borderId="20" xfId="0" applyNumberFormat="1" applyBorder="1"/>
    <xf numFmtId="0" fontId="0" fillId="0" borderId="32" xfId="0" applyBorder="1"/>
    <xf numFmtId="0" fontId="0" fillId="0" borderId="33" xfId="0" applyBorder="1"/>
    <xf numFmtId="0" fontId="0" fillId="0" borderId="33" xfId="0" applyBorder="1" applyAlignment="1">
      <alignment horizontal="right"/>
    </xf>
    <xf numFmtId="0" fontId="0" fillId="0" borderId="33" xfId="0" applyBorder="1" applyAlignment="1">
      <alignment horizontal="center"/>
    </xf>
    <xf numFmtId="0" fontId="0" fillId="0" borderId="34" xfId="0" applyBorder="1"/>
    <xf numFmtId="16" fontId="0" fillId="0" borderId="0" xfId="0" applyNumberFormat="1" applyAlignment="1">
      <alignment horizontal="center"/>
    </xf>
    <xf numFmtId="0" fontId="34" fillId="0" borderId="0" xfId="0" applyFont="1" applyBorder="1"/>
    <xf numFmtId="0" fontId="0" fillId="0" borderId="35" xfId="0" applyBorder="1"/>
    <xf numFmtId="0" fontId="0" fillId="0" borderId="23" xfId="0" applyBorder="1"/>
    <xf numFmtId="0" fontId="0" fillId="0" borderId="36" xfId="0" applyBorder="1"/>
    <xf numFmtId="0" fontId="0" fillId="0" borderId="37" xfId="0" applyBorder="1"/>
    <xf numFmtId="165" fontId="34" fillId="0" borderId="0" xfId="1" applyNumberFormat="1" applyFont="1" applyBorder="1"/>
    <xf numFmtId="165" fontId="0" fillId="0" borderId="27" xfId="0" applyNumberFormat="1" applyBorder="1"/>
    <xf numFmtId="0" fontId="34" fillId="0" borderId="0" xfId="0" applyFont="1" applyBorder="1" applyAlignment="1">
      <alignment horizontal="center"/>
    </xf>
    <xf numFmtId="14" fontId="0" fillId="0" borderId="0" xfId="0" applyNumberFormat="1"/>
    <xf numFmtId="0" fontId="0" fillId="0" borderId="33" xfId="0" applyBorder="1" applyAlignment="1">
      <alignment horizontal="left"/>
    </xf>
    <xf numFmtId="0" fontId="34" fillId="0" borderId="0" xfId="0" applyFont="1" applyFill="1" applyBorder="1" applyAlignment="1">
      <alignment horizontal="center"/>
    </xf>
    <xf numFmtId="0" fontId="41" fillId="0" borderId="0" xfId="0" applyFont="1"/>
    <xf numFmtId="14" fontId="0" fillId="3" borderId="0" xfId="0" applyNumberFormat="1" applyFill="1"/>
    <xf numFmtId="0" fontId="34" fillId="0" borderId="20" xfId="0" applyFont="1" applyBorder="1" applyAlignment="1">
      <alignment horizontal="center"/>
    </xf>
    <xf numFmtId="43" fontId="36" fillId="0" borderId="0" xfId="1" applyFont="1" applyBorder="1" applyAlignment="1">
      <alignment horizontal="center"/>
    </xf>
    <xf numFmtId="165" fontId="36" fillId="0" borderId="0" xfId="1" applyNumberFormat="1" applyFont="1" applyBorder="1" applyAlignment="1">
      <alignment horizontal="center"/>
    </xf>
    <xf numFmtId="0" fontId="0" fillId="0" borderId="38" xfId="0" applyBorder="1"/>
    <xf numFmtId="0" fontId="34" fillId="0" borderId="35" xfId="0" applyFont="1" applyBorder="1" applyAlignment="1">
      <alignment horizontal="center"/>
    </xf>
    <xf numFmtId="0" fontId="34" fillId="0" borderId="35" xfId="0" applyFont="1" applyBorder="1"/>
    <xf numFmtId="14" fontId="0" fillId="0" borderId="23" xfId="0" applyNumberFormat="1" applyBorder="1"/>
    <xf numFmtId="0" fontId="0" fillId="0" borderId="0" xfId="0" applyBorder="1" applyAlignment="1">
      <alignment horizontal="right"/>
    </xf>
    <xf numFmtId="14" fontId="0" fillId="0" borderId="36" xfId="0" applyNumberFormat="1" applyBorder="1"/>
    <xf numFmtId="0" fontId="34" fillId="0" borderId="37" xfId="0" applyFont="1" applyBorder="1" applyAlignment="1">
      <alignment horizontal="center"/>
    </xf>
    <xf numFmtId="43" fontId="36" fillId="0" borderId="37" xfId="1" applyFont="1" applyBorder="1" applyAlignment="1">
      <alignment horizontal="center"/>
    </xf>
    <xf numFmtId="0" fontId="0" fillId="0" borderId="37" xfId="0" applyBorder="1" applyAlignment="1">
      <alignment horizontal="right"/>
    </xf>
    <xf numFmtId="0" fontId="34" fillId="0" borderId="37" xfId="0" applyFont="1" applyBorder="1"/>
    <xf numFmtId="165" fontId="34" fillId="0" borderId="31" xfId="1" applyNumberFormat="1" applyFont="1" applyBorder="1" applyAlignment="1">
      <alignment horizontal="center"/>
    </xf>
    <xf numFmtId="43" fontId="34" fillId="0" borderId="35" xfId="1" applyFont="1" applyBorder="1" applyAlignment="1">
      <alignment horizontal="center"/>
    </xf>
    <xf numFmtId="165" fontId="34" fillId="0" borderId="35" xfId="1" applyNumberFormat="1" applyFont="1" applyBorder="1" applyAlignment="1">
      <alignment horizontal="center"/>
    </xf>
    <xf numFmtId="0" fontId="0" fillId="0" borderId="35" xfId="0" applyBorder="1" applyAlignment="1">
      <alignment horizontal="right"/>
    </xf>
    <xf numFmtId="14" fontId="0" fillId="3" borderId="23" xfId="0" applyNumberFormat="1" applyFill="1" applyBorder="1"/>
    <xf numFmtId="0" fontId="41" fillId="0" borderId="0" xfId="0" applyFont="1" applyBorder="1"/>
    <xf numFmtId="0" fontId="34" fillId="0" borderId="20" xfId="0" applyFont="1" applyFill="1" applyBorder="1" applyAlignment="1">
      <alignment horizontal="center"/>
    </xf>
    <xf numFmtId="14" fontId="0" fillId="0" borderId="3" xfId="0" applyNumberFormat="1" applyBorder="1"/>
    <xf numFmtId="164" fontId="36" fillId="0" borderId="11" xfId="1" applyNumberFormat="1" applyFont="1" applyBorder="1"/>
    <xf numFmtId="0" fontId="42" fillId="0" borderId="4" xfId="0" applyFont="1" applyBorder="1"/>
    <xf numFmtId="164" fontId="38" fillId="0" borderId="0" xfId="1" applyNumberFormat="1" applyFont="1" applyBorder="1"/>
    <xf numFmtId="164" fontId="34" fillId="0" borderId="0" xfId="1" applyNumberFormat="1" applyFont="1" applyBorder="1"/>
    <xf numFmtId="0" fontId="0" fillId="0" borderId="20" xfId="0" applyFill="1" applyBorder="1"/>
    <xf numFmtId="165" fontId="33" fillId="0" borderId="0" xfId="1" applyNumberFormat="1" applyFont="1" applyFill="1" applyAlignment="1">
      <alignment horizontal="center"/>
    </xf>
    <xf numFmtId="0" fontId="34" fillId="0" borderId="20" xfId="0" applyFont="1" applyBorder="1"/>
    <xf numFmtId="0" fontId="34" fillId="0" borderId="33" xfId="0" applyFont="1" applyBorder="1"/>
    <xf numFmtId="16" fontId="34" fillId="0" borderId="20" xfId="0" applyNumberFormat="1" applyFont="1" applyBorder="1"/>
    <xf numFmtId="165" fontId="34" fillId="0" borderId="20" xfId="1" applyNumberFormat="1" applyFont="1" applyBorder="1" applyAlignment="1">
      <alignment horizontal="center"/>
    </xf>
    <xf numFmtId="0" fontId="0" fillId="0" borderId="26" xfId="0" applyBorder="1"/>
    <xf numFmtId="0" fontId="0" fillId="0" borderId="20" xfId="0" applyFill="1" applyBorder="1" applyAlignment="1">
      <alignment horizontal="center"/>
    </xf>
    <xf numFmtId="165" fontId="0" fillId="0" borderId="20" xfId="1" applyNumberFormat="1" applyFont="1" applyFill="1" applyBorder="1"/>
    <xf numFmtId="0" fontId="0" fillId="0" borderId="33" xfId="0" applyFill="1" applyBorder="1" applyAlignment="1">
      <alignment horizontal="center"/>
    </xf>
    <xf numFmtId="0" fontId="36" fillId="0" borderId="0" xfId="0" applyFont="1" applyBorder="1" applyAlignment="1">
      <alignment horizontal="left"/>
    </xf>
    <xf numFmtId="0" fontId="0" fillId="0" borderId="0" xfId="0" applyFill="1" applyBorder="1" applyAlignment="1">
      <alignment horizontal="center"/>
    </xf>
    <xf numFmtId="165" fontId="0" fillId="0" borderId="0" xfId="1" applyNumberFormat="1" applyFont="1" applyFill="1" applyBorder="1"/>
    <xf numFmtId="16" fontId="0" fillId="0" borderId="0" xfId="0" applyNumberFormat="1" applyFill="1" applyBorder="1"/>
    <xf numFmtId="0" fontId="36" fillId="0" borderId="0" xfId="0" applyFont="1" applyFill="1" applyBorder="1" applyAlignment="1">
      <alignment horizontal="left"/>
    </xf>
    <xf numFmtId="17" fontId="34" fillId="0" borderId="20" xfId="0" applyNumberFormat="1" applyFont="1" applyBorder="1"/>
    <xf numFmtId="43" fontId="34" fillId="0" borderId="20" xfId="1" applyFont="1" applyBorder="1" applyAlignment="1">
      <alignment horizontal="center"/>
    </xf>
    <xf numFmtId="43" fontId="0" fillId="0" borderId="20" xfId="1" applyFont="1" applyBorder="1"/>
    <xf numFmtId="14" fontId="0" fillId="0" borderId="0" xfId="0" applyNumberFormat="1" applyAlignment="1">
      <alignment horizontal="right"/>
    </xf>
    <xf numFmtId="16" fontId="0" fillId="2" borderId="20" xfId="0" applyNumberFormat="1" applyFill="1" applyBorder="1"/>
    <xf numFmtId="16" fontId="0" fillId="2" borderId="0" xfId="0" applyNumberFormat="1" applyFill="1" applyBorder="1"/>
    <xf numFmtId="16" fontId="34" fillId="2" borderId="0" xfId="0" applyNumberFormat="1" applyFont="1" applyFill="1" applyBorder="1"/>
    <xf numFmtId="14" fontId="34" fillId="0" borderId="20" xfId="0" applyNumberFormat="1" applyFont="1" applyBorder="1"/>
    <xf numFmtId="43" fontId="34" fillId="0" borderId="0" xfId="1" applyFont="1" applyBorder="1" applyAlignment="1">
      <alignment horizontal="center"/>
    </xf>
    <xf numFmtId="0" fontId="36" fillId="0" borderId="20" xfId="0" applyFont="1" applyBorder="1" applyAlignment="1">
      <alignment horizontal="center"/>
    </xf>
    <xf numFmtId="0" fontId="36" fillId="0" borderId="20" xfId="0" applyFont="1" applyBorder="1" applyAlignment="1">
      <alignment horizontal="left"/>
    </xf>
    <xf numFmtId="16" fontId="34" fillId="0" borderId="20" xfId="0" applyNumberFormat="1" applyFont="1" applyFill="1" applyBorder="1"/>
    <xf numFmtId="16" fontId="34" fillId="0" borderId="0" xfId="0" applyNumberFormat="1" applyFont="1" applyFill="1" applyBorder="1"/>
    <xf numFmtId="14" fontId="34" fillId="2" borderId="20" xfId="0" applyNumberFormat="1" applyFont="1" applyFill="1" applyBorder="1"/>
    <xf numFmtId="0" fontId="34" fillId="4" borderId="20" xfId="0" applyFont="1" applyFill="1" applyBorder="1" applyAlignment="1">
      <alignment horizontal="center"/>
    </xf>
    <xf numFmtId="14" fontId="34" fillId="2" borderId="20" xfId="0" applyNumberFormat="1" applyFont="1" applyFill="1" applyBorder="1" applyAlignment="1">
      <alignment horizontal="center"/>
    </xf>
    <xf numFmtId="0" fontId="34" fillId="5" borderId="20" xfId="0" applyFont="1" applyFill="1" applyBorder="1" applyAlignment="1">
      <alignment horizontal="center"/>
    </xf>
    <xf numFmtId="0" fontId="34" fillId="0" borderId="20" xfId="0" applyFont="1" applyFill="1" applyBorder="1" applyAlignment="1">
      <alignment horizontal="left"/>
    </xf>
    <xf numFmtId="43" fontId="34" fillId="0" borderId="20" xfId="1" applyFont="1" applyBorder="1"/>
    <xf numFmtId="43" fontId="0" fillId="0" borderId="0" xfId="1" applyFont="1" applyBorder="1"/>
    <xf numFmtId="17" fontId="34" fillId="0" borderId="0" xfId="0" applyNumberFormat="1" applyFont="1" applyBorder="1"/>
    <xf numFmtId="43" fontId="34" fillId="0" borderId="0" xfId="0" applyNumberFormat="1" applyFont="1"/>
    <xf numFmtId="14" fontId="43" fillId="0" borderId="20" xfId="0" applyNumberFormat="1" applyFont="1" applyBorder="1"/>
    <xf numFmtId="14" fontId="34" fillId="0" borderId="0" xfId="0" applyNumberFormat="1" applyFont="1"/>
    <xf numFmtId="0" fontId="0" fillId="0" borderId="0" xfId="0" applyFill="1" applyBorder="1"/>
    <xf numFmtId="14" fontId="43" fillId="0" borderId="0" xfId="0" applyNumberFormat="1" applyFont="1" applyBorder="1"/>
    <xf numFmtId="14" fontId="0" fillId="0" borderId="20" xfId="0" applyNumberFormat="1" applyBorder="1"/>
    <xf numFmtId="43" fontId="34" fillId="2" borderId="20" xfId="1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165" fontId="34" fillId="2" borderId="20" xfId="1" applyNumberFormat="1" applyFont="1" applyFill="1" applyBorder="1"/>
    <xf numFmtId="0" fontId="34" fillId="2" borderId="20" xfId="0" applyFont="1" applyFill="1" applyBorder="1"/>
    <xf numFmtId="0" fontId="34" fillId="2" borderId="0" xfId="0" applyFont="1" applyFill="1"/>
    <xf numFmtId="164" fontId="38" fillId="0" borderId="12" xfId="1" applyNumberFormat="1" applyFont="1" applyBorder="1"/>
    <xf numFmtId="164" fontId="34" fillId="0" borderId="10" xfId="1" applyNumberFormat="1" applyFont="1" applyBorder="1"/>
    <xf numFmtId="164" fontId="34" fillId="0" borderId="11" xfId="1" applyNumberFormat="1" applyFont="1" applyBorder="1"/>
    <xf numFmtId="43" fontId="34" fillId="0" borderId="0" xfId="1" applyFont="1" applyBorder="1"/>
    <xf numFmtId="43" fontId="0" fillId="2" borderId="20" xfId="1" applyFont="1" applyFill="1" applyBorder="1"/>
    <xf numFmtId="0" fontId="43" fillId="0" borderId="0" xfId="0" applyFont="1" applyBorder="1" applyAlignment="1">
      <alignment horizontal="center"/>
    </xf>
    <xf numFmtId="16" fontId="34" fillId="0" borderId="0" xfId="0" applyNumberFormat="1" applyFont="1" applyBorder="1"/>
    <xf numFmtId="43" fontId="34" fillId="0" borderId="0" xfId="1" applyFont="1" applyFill="1" applyBorder="1" applyAlignment="1">
      <alignment horizontal="center"/>
    </xf>
    <xf numFmtId="14" fontId="34" fillId="6" borderId="20" xfId="0" applyNumberFormat="1" applyFont="1" applyFill="1" applyBorder="1"/>
    <xf numFmtId="14" fontId="0" fillId="6" borderId="20" xfId="0" applyNumberFormat="1" applyFill="1" applyBorder="1"/>
    <xf numFmtId="0" fontId="34" fillId="6" borderId="0" xfId="0" applyFont="1" applyFill="1" applyBorder="1" applyAlignment="1">
      <alignment horizontal="center"/>
    </xf>
    <xf numFmtId="43" fontId="34" fillId="6" borderId="0" xfId="1" applyFont="1" applyFill="1" applyBorder="1" applyAlignment="1">
      <alignment horizontal="center"/>
    </xf>
    <xf numFmtId="0" fontId="36" fillId="0" borderId="0" xfId="0" applyFont="1"/>
    <xf numFmtId="0" fontId="38" fillId="0" borderId="0" xfId="0" applyFont="1"/>
    <xf numFmtId="0" fontId="44" fillId="0" borderId="0" xfId="0" applyFont="1"/>
    <xf numFmtId="0" fontId="36" fillId="0" borderId="0" xfId="0" applyFont="1" applyAlignment="1">
      <alignment horizontal="right"/>
    </xf>
    <xf numFmtId="164" fontId="34" fillId="0" borderId="31" xfId="1" applyNumberFormat="1" applyFont="1" applyBorder="1"/>
    <xf numFmtId="0" fontId="39" fillId="0" borderId="23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164" fontId="36" fillId="0" borderId="0" xfId="1" applyNumberFormat="1" applyFont="1" applyAlignment="1">
      <alignment horizontal="right"/>
    </xf>
    <xf numFmtId="0" fontId="36" fillId="0" borderId="0" xfId="0" applyFont="1" applyFill="1" applyBorder="1"/>
    <xf numFmtId="0" fontId="39" fillId="0" borderId="29" xfId="0" applyFont="1" applyBorder="1"/>
    <xf numFmtId="0" fontId="34" fillId="7" borderId="0" xfId="0" applyFont="1" applyFill="1" applyBorder="1" applyAlignment="1">
      <alignment horizontal="center"/>
    </xf>
    <xf numFmtId="166" fontId="0" fillId="0" borderId="0" xfId="0" applyNumberFormat="1"/>
    <xf numFmtId="0" fontId="0" fillId="7" borderId="0" xfId="0" applyFill="1"/>
    <xf numFmtId="14" fontId="36" fillId="0" borderId="0" xfId="0" applyNumberFormat="1" applyFont="1"/>
    <xf numFmtId="43" fontId="0" fillId="0" borderId="0" xfId="1" applyFont="1" applyFill="1" applyBorder="1"/>
    <xf numFmtId="43" fontId="34" fillId="7" borderId="0" xfId="1" applyFont="1" applyFill="1" applyBorder="1" applyAlignment="1">
      <alignment horizontal="center"/>
    </xf>
    <xf numFmtId="0" fontId="34" fillId="7" borderId="0" xfId="0" applyFont="1" applyFill="1"/>
    <xf numFmtId="43" fontId="36" fillId="0" borderId="0" xfId="1" applyFont="1" applyBorder="1"/>
    <xf numFmtId="0" fontId="36" fillId="0" borderId="33" xfId="0" applyFont="1" applyBorder="1"/>
    <xf numFmtId="14" fontId="0" fillId="7" borderId="0" xfId="0" applyNumberFormat="1" applyFill="1"/>
    <xf numFmtId="0" fontId="34" fillId="7" borderId="20" xfId="0" applyFont="1" applyFill="1" applyBorder="1" applyAlignment="1">
      <alignment horizontal="center"/>
    </xf>
    <xf numFmtId="0" fontId="36" fillId="0" borderId="20" xfId="0" applyFont="1" applyBorder="1"/>
    <xf numFmtId="0" fontId="34" fillId="0" borderId="11" xfId="0" applyFont="1" applyBorder="1" applyAlignment="1">
      <alignment horizontal="center"/>
    </xf>
    <xf numFmtId="0" fontId="0" fillId="0" borderId="33" xfId="0" applyFont="1" applyFill="1" applyBorder="1" applyAlignment="1">
      <alignment horizontal="right"/>
    </xf>
    <xf numFmtId="14" fontId="36" fillId="7" borderId="0" xfId="0" applyNumberFormat="1" applyFont="1" applyFill="1"/>
    <xf numFmtId="0" fontId="35" fillId="0" borderId="0" xfId="0" applyFont="1"/>
    <xf numFmtId="43" fontId="45" fillId="6" borderId="0" xfId="1" applyFont="1" applyFill="1" applyBorder="1"/>
    <xf numFmtId="43" fontId="0" fillId="0" borderId="0" xfId="1" applyFont="1" applyBorder="1" applyAlignment="1">
      <alignment horizontal="center"/>
    </xf>
    <xf numFmtId="16" fontId="60" fillId="0" borderId="0" xfId="0" applyNumberFormat="1" applyFont="1" applyBorder="1"/>
    <xf numFmtId="0" fontId="39" fillId="0" borderId="0" xfId="0" applyFont="1" applyFill="1" applyBorder="1" applyAlignment="1">
      <alignment horizontal="center"/>
    </xf>
    <xf numFmtId="43" fontId="36" fillId="0" borderId="0" xfId="1" applyNumberFormat="1" applyFont="1"/>
    <xf numFmtId="165" fontId="34" fillId="0" borderId="0" xfId="1" applyNumberFormat="1" applyFont="1" applyBorder="1" applyAlignment="1">
      <alignment horizontal="center"/>
    </xf>
    <xf numFmtId="0" fontId="37" fillId="0" borderId="0" xfId="0" applyFont="1"/>
    <xf numFmtId="0" fontId="39" fillId="0" borderId="39" xfId="0" applyFont="1" applyBorder="1"/>
    <xf numFmtId="0" fontId="39" fillId="0" borderId="30" xfId="0" applyFont="1" applyBorder="1"/>
    <xf numFmtId="16" fontId="36" fillId="0" borderId="0" xfId="0" applyNumberFormat="1" applyFont="1" applyBorder="1"/>
    <xf numFmtId="0" fontId="0" fillId="0" borderId="40" xfId="0" applyBorder="1"/>
    <xf numFmtId="164" fontId="34" fillId="0" borderId="41" xfId="1" applyNumberFormat="1" applyFont="1" applyBorder="1"/>
    <xf numFmtId="43" fontId="0" fillId="0" borderId="4" xfId="1" applyFont="1" applyBorder="1"/>
    <xf numFmtId="43" fontId="0" fillId="0" borderId="5" xfId="1" applyFont="1" applyBorder="1"/>
    <xf numFmtId="164" fontId="34" fillId="0" borderId="42" xfId="1" applyNumberFormat="1" applyFont="1" applyBorder="1"/>
    <xf numFmtId="164" fontId="36" fillId="0" borderId="4" xfId="1" applyNumberFormat="1" applyFont="1" applyBorder="1" applyAlignment="1">
      <alignment horizontal="right"/>
    </xf>
    <xf numFmtId="43" fontId="0" fillId="0" borderId="43" xfId="1" applyFont="1" applyBorder="1"/>
    <xf numFmtId="43" fontId="0" fillId="0" borderId="44" xfId="1" applyFont="1" applyBorder="1"/>
    <xf numFmtId="43" fontId="0" fillId="0" borderId="26" xfId="1" applyFont="1" applyBorder="1"/>
    <xf numFmtId="43" fontId="34" fillId="0" borderId="45" xfId="1" applyFont="1" applyBorder="1"/>
    <xf numFmtId="0" fontId="0" fillId="6" borderId="40" xfId="0" applyFill="1" applyBorder="1"/>
    <xf numFmtId="0" fontId="0" fillId="6" borderId="37" xfId="0" applyFill="1" applyBorder="1"/>
    <xf numFmtId="43" fontId="46" fillId="6" borderId="43" xfId="1" applyFont="1" applyFill="1" applyBorder="1"/>
    <xf numFmtId="0" fontId="0" fillId="6" borderId="4" xfId="0" applyFill="1" applyBorder="1"/>
    <xf numFmtId="0" fontId="0" fillId="6" borderId="0" xfId="0" applyFill="1" applyBorder="1"/>
    <xf numFmtId="43" fontId="46" fillId="6" borderId="5" xfId="1" applyFont="1" applyFill="1" applyBorder="1"/>
    <xf numFmtId="164" fontId="46" fillId="6" borderId="4" xfId="1" applyNumberFormat="1" applyFont="1" applyFill="1" applyBorder="1"/>
    <xf numFmtId="164" fontId="46" fillId="6" borderId="0" xfId="1" applyNumberFormat="1" applyFont="1" applyFill="1" applyBorder="1"/>
    <xf numFmtId="164" fontId="34" fillId="6" borderId="41" xfId="1" applyNumberFormat="1" applyFont="1" applyFill="1" applyBorder="1"/>
    <xf numFmtId="164" fontId="34" fillId="6" borderId="0" xfId="1" applyNumberFormat="1" applyFont="1" applyFill="1" applyBorder="1"/>
    <xf numFmtId="43" fontId="46" fillId="6" borderId="4" xfId="1" applyFont="1" applyFill="1" applyBorder="1"/>
    <xf numFmtId="43" fontId="46" fillId="6" borderId="0" xfId="1" applyFont="1" applyFill="1" applyBorder="1"/>
    <xf numFmtId="43" fontId="46" fillId="6" borderId="44" xfId="1" applyFont="1" applyFill="1" applyBorder="1"/>
    <xf numFmtId="43" fontId="46" fillId="6" borderId="45" xfId="1" applyFont="1" applyFill="1" applyBorder="1"/>
    <xf numFmtId="164" fontId="36" fillId="6" borderId="4" xfId="1" applyNumberFormat="1" applyFont="1" applyFill="1" applyBorder="1" applyAlignment="1">
      <alignment horizontal="right"/>
    </xf>
    <xf numFmtId="164" fontId="34" fillId="6" borderId="42" xfId="1" applyNumberFormat="1" applyFont="1" applyFill="1" applyBorder="1"/>
    <xf numFmtId="164" fontId="34" fillId="6" borderId="7" xfId="1" applyNumberFormat="1" applyFont="1" applyFill="1" applyBorder="1"/>
    <xf numFmtId="43" fontId="46" fillId="6" borderId="26" xfId="1" applyFont="1" applyFill="1" applyBorder="1"/>
    <xf numFmtId="0" fontId="39" fillId="0" borderId="4" xfId="0" applyFont="1" applyBorder="1" applyAlignment="1">
      <alignment horizontal="center"/>
    </xf>
    <xf numFmtId="0" fontId="39" fillId="6" borderId="4" xfId="0" applyFont="1" applyFill="1" applyBorder="1" applyAlignment="1">
      <alignment horizontal="center"/>
    </xf>
    <xf numFmtId="0" fontId="39" fillId="6" borderId="0" xfId="0" applyFont="1" applyFill="1" applyBorder="1" applyAlignment="1">
      <alignment horizontal="center"/>
    </xf>
    <xf numFmtId="0" fontId="39" fillId="6" borderId="29" xfId="0" applyFont="1" applyFill="1" applyBorder="1"/>
    <xf numFmtId="0" fontId="39" fillId="6" borderId="39" xfId="0" applyFont="1" applyFill="1" applyBorder="1"/>
    <xf numFmtId="43" fontId="46" fillId="6" borderId="30" xfId="1" applyFont="1" applyFill="1" applyBorder="1"/>
    <xf numFmtId="0" fontId="39" fillId="0" borderId="29" xfId="0" applyFont="1" applyBorder="1" applyAlignment="1">
      <alignment horizontal="center"/>
    </xf>
    <xf numFmtId="43" fontId="0" fillId="0" borderId="30" xfId="1" applyFont="1" applyBorder="1"/>
    <xf numFmtId="0" fontId="0" fillId="0" borderId="27" xfId="0" applyBorder="1"/>
    <xf numFmtId="0" fontId="39" fillId="0" borderId="20" xfId="0" applyFont="1" applyBorder="1" applyAlignment="1">
      <alignment horizontal="center"/>
    </xf>
    <xf numFmtId="0" fontId="47" fillId="0" borderId="0" xfId="0" applyFont="1"/>
    <xf numFmtId="165" fontId="34" fillId="0" borderId="20" xfId="1" applyNumberFormat="1" applyFont="1" applyBorder="1"/>
    <xf numFmtId="0" fontId="34" fillId="0" borderId="31" xfId="0" applyFont="1" applyBorder="1" applyAlignment="1">
      <alignment horizontal="center" vertical="center"/>
    </xf>
    <xf numFmtId="0" fontId="34" fillId="0" borderId="31" xfId="0" applyFont="1" applyBorder="1"/>
    <xf numFmtId="0" fontId="36" fillId="0" borderId="28" xfId="0" applyFont="1" applyBorder="1"/>
    <xf numFmtId="165" fontId="37" fillId="0" borderId="0" xfId="1" applyNumberFormat="1" applyFont="1"/>
    <xf numFmtId="0" fontId="37" fillId="0" borderId="1" xfId="0" applyFont="1" applyBorder="1"/>
    <xf numFmtId="0" fontId="37" fillId="0" borderId="2" xfId="0" applyFont="1" applyBorder="1"/>
    <xf numFmtId="0" fontId="37" fillId="0" borderId="4" xfId="0" applyFont="1" applyBorder="1"/>
    <xf numFmtId="0" fontId="37" fillId="0" borderId="0" xfId="0" applyFont="1" applyBorder="1"/>
    <xf numFmtId="14" fontId="37" fillId="0" borderId="0" xfId="0" applyNumberFormat="1" applyFont="1" applyBorder="1" applyAlignment="1">
      <alignment horizontal="center"/>
    </xf>
    <xf numFmtId="14" fontId="37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15" xfId="0" applyFont="1" applyBorder="1"/>
    <xf numFmtId="0" fontId="37" fillId="0" borderId="16" xfId="0" applyFont="1" applyBorder="1"/>
    <xf numFmtId="0" fontId="37" fillId="0" borderId="6" xfId="0" applyFont="1" applyBorder="1" applyAlignment="1">
      <alignment horizontal="center"/>
    </xf>
    <xf numFmtId="0" fontId="37" fillId="0" borderId="9" xfId="0" applyFont="1" applyBorder="1"/>
    <xf numFmtId="164" fontId="37" fillId="0" borderId="17" xfId="1" applyNumberFormat="1" applyFont="1" applyBorder="1"/>
    <xf numFmtId="0" fontId="37" fillId="0" borderId="6" xfId="0" applyFont="1" applyBorder="1"/>
    <xf numFmtId="164" fontId="37" fillId="0" borderId="18" xfId="1" applyNumberFormat="1" applyFont="1" applyBorder="1"/>
    <xf numFmtId="164" fontId="37" fillId="0" borderId="0" xfId="0" applyNumberFormat="1" applyFont="1" applyBorder="1"/>
    <xf numFmtId="164" fontId="37" fillId="0" borderId="9" xfId="1" applyNumberFormat="1" applyFont="1" applyBorder="1"/>
    <xf numFmtId="0" fontId="37" fillId="0" borderId="0" xfId="0" applyFont="1" applyFill="1" applyBorder="1"/>
    <xf numFmtId="0" fontId="61" fillId="7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37" fillId="0" borderId="10" xfId="0" applyFont="1" applyBorder="1"/>
    <xf numFmtId="0" fontId="37" fillId="0" borderId="13" xfId="0" applyFont="1" applyBorder="1"/>
    <xf numFmtId="0" fontId="37" fillId="0" borderId="24" xfId="0" applyFont="1" applyBorder="1"/>
    <xf numFmtId="0" fontId="37" fillId="0" borderId="14" xfId="0" applyFont="1" applyBorder="1"/>
    <xf numFmtId="164" fontId="37" fillId="0" borderId="0" xfId="0" applyNumberFormat="1" applyFont="1"/>
    <xf numFmtId="0" fontId="37" fillId="0" borderId="11" xfId="0" applyFont="1" applyBorder="1"/>
    <xf numFmtId="164" fontId="37" fillId="0" borderId="19" xfId="1" applyNumberFormat="1" applyFont="1" applyBorder="1"/>
    <xf numFmtId="164" fontId="37" fillId="0" borderId="20" xfId="1" applyNumberFormat="1" applyFont="1" applyFill="1" applyBorder="1"/>
    <xf numFmtId="164" fontId="37" fillId="0" borderId="23" xfId="1" applyNumberFormat="1" applyFont="1" applyBorder="1"/>
    <xf numFmtId="164" fontId="37" fillId="0" borderId="20" xfId="1" applyNumberFormat="1" applyFont="1" applyBorder="1"/>
    <xf numFmtId="164" fontId="37" fillId="0" borderId="23" xfId="1" applyNumberFormat="1" applyFont="1" applyFill="1" applyBorder="1"/>
    <xf numFmtId="164" fontId="61" fillId="7" borderId="23" xfId="1" applyNumberFormat="1" applyFont="1" applyFill="1" applyBorder="1"/>
    <xf numFmtId="164" fontId="61" fillId="0" borderId="20" xfId="1" applyNumberFormat="1" applyFont="1" applyFill="1" applyBorder="1"/>
    <xf numFmtId="164" fontId="37" fillId="7" borderId="23" xfId="1" applyNumberFormat="1" applyFont="1" applyFill="1" applyBorder="1"/>
    <xf numFmtId="0" fontId="37" fillId="0" borderId="12" xfId="0" applyFont="1" applyBorder="1"/>
    <xf numFmtId="164" fontId="37" fillId="0" borderId="13" xfId="1" applyNumberFormat="1" applyFont="1" applyBorder="1"/>
    <xf numFmtId="164" fontId="37" fillId="0" borderId="14" xfId="1" applyNumberFormat="1" applyFont="1" applyBorder="1"/>
    <xf numFmtId="164" fontId="37" fillId="0" borderId="24" xfId="1" applyNumberFormat="1" applyFont="1" applyBorder="1"/>
    <xf numFmtId="164" fontId="37" fillId="0" borderId="21" xfId="1" applyNumberFormat="1" applyFont="1" applyBorder="1"/>
    <xf numFmtId="164" fontId="37" fillId="0" borderId="22" xfId="1" applyNumberFormat="1" applyFont="1" applyBorder="1"/>
    <xf numFmtId="0" fontId="37" fillId="0" borderId="7" xfId="0" applyFont="1" applyBorder="1"/>
    <xf numFmtId="164" fontId="37" fillId="0" borderId="8" xfId="1" applyNumberFormat="1" applyFont="1" applyBorder="1"/>
    <xf numFmtId="164" fontId="37" fillId="0" borderId="25" xfId="1" applyNumberFormat="1" applyFont="1" applyBorder="1"/>
    <xf numFmtId="164" fontId="48" fillId="0" borderId="0" xfId="0" applyNumberFormat="1" applyFont="1"/>
    <xf numFmtId="0" fontId="37" fillId="0" borderId="8" xfId="0" applyFont="1" applyBorder="1"/>
    <xf numFmtId="0" fontId="37" fillId="0" borderId="25" xfId="0" applyFont="1" applyBorder="1"/>
    <xf numFmtId="164" fontId="37" fillId="0" borderId="0" xfId="0" applyNumberFormat="1" applyFont="1" applyFill="1"/>
    <xf numFmtId="0" fontId="37" fillId="0" borderId="0" xfId="0" applyFont="1" applyFill="1"/>
    <xf numFmtId="0" fontId="37" fillId="0" borderId="0" xfId="0" applyFont="1" applyAlignment="1">
      <alignment horizontal="right"/>
    </xf>
    <xf numFmtId="164" fontId="37" fillId="0" borderId="0" xfId="1" applyNumberFormat="1" applyFont="1"/>
    <xf numFmtId="0" fontId="37" fillId="7" borderId="0" xfId="0" applyFont="1" applyFill="1" applyAlignment="1">
      <alignment horizontal="right"/>
    </xf>
    <xf numFmtId="0" fontId="37" fillId="7" borderId="0" xfId="0" applyFont="1" applyFill="1"/>
    <xf numFmtId="164" fontId="37" fillId="7" borderId="0" xfId="1" applyNumberFormat="1" applyFont="1" applyFill="1"/>
    <xf numFmtId="164" fontId="37" fillId="7" borderId="0" xfId="0" applyNumberFormat="1" applyFont="1" applyFill="1"/>
    <xf numFmtId="165" fontId="37" fillId="7" borderId="0" xfId="1" applyNumberFormat="1" applyFont="1" applyFill="1"/>
    <xf numFmtId="165" fontId="37" fillId="0" borderId="0" xfId="1" applyNumberFormat="1" applyFont="1" applyAlignment="1">
      <alignment horizontal="center"/>
    </xf>
    <xf numFmtId="165" fontId="37" fillId="0" borderId="0" xfId="1" applyNumberFormat="1" applyFont="1" applyFill="1"/>
    <xf numFmtId="43" fontId="37" fillId="0" borderId="0" xfId="1" applyFont="1" applyAlignment="1">
      <alignment horizontal="center"/>
    </xf>
    <xf numFmtId="16" fontId="37" fillId="0" borderId="0" xfId="0" applyNumberFormat="1" applyFont="1"/>
    <xf numFmtId="16" fontId="37" fillId="0" borderId="0" xfId="0" applyNumberFormat="1" applyFont="1" applyFill="1"/>
    <xf numFmtId="43" fontId="37" fillId="0" borderId="0" xfId="1" applyFont="1"/>
    <xf numFmtId="166" fontId="37" fillId="0" borderId="0" xfId="0" applyNumberFormat="1" applyFont="1"/>
    <xf numFmtId="165" fontId="61" fillId="0" borderId="0" xfId="1" applyNumberFormat="1" applyFont="1" applyFill="1" applyAlignment="1">
      <alignment horizontal="center"/>
    </xf>
    <xf numFmtId="165" fontId="37" fillId="0" borderId="0" xfId="1" applyNumberFormat="1" applyFont="1" applyFill="1" applyAlignment="1">
      <alignment horizontal="center"/>
    </xf>
    <xf numFmtId="43" fontId="37" fillId="0" borderId="0" xfId="0" applyNumberFormat="1" applyFont="1"/>
    <xf numFmtId="0" fontId="37" fillId="0" borderId="0" xfId="0" applyFont="1" applyFill="1" applyAlignment="1">
      <alignment horizontal="right"/>
    </xf>
    <xf numFmtId="164" fontId="48" fillId="0" borderId="4" xfId="0" applyNumberFormat="1" applyFont="1" applyBorder="1"/>
    <xf numFmtId="164" fontId="37" fillId="0" borderId="0" xfId="1" applyNumberFormat="1" applyFont="1" applyAlignment="1">
      <alignment horizontal="center"/>
    </xf>
    <xf numFmtId="0" fontId="61" fillId="0" borderId="0" xfId="0" applyFont="1" applyBorder="1"/>
    <xf numFmtId="0" fontId="37" fillId="0" borderId="0" xfId="0" applyFont="1" applyBorder="1" applyAlignment="1">
      <alignment horizontal="right"/>
    </xf>
    <xf numFmtId="0" fontId="39" fillId="6" borderId="29" xfId="0" applyFont="1" applyFill="1" applyBorder="1" applyAlignment="1">
      <alignment horizontal="center"/>
    </xf>
    <xf numFmtId="43" fontId="49" fillId="6" borderId="5" xfId="1" applyFont="1" applyFill="1" applyBorder="1"/>
    <xf numFmtId="164" fontId="49" fillId="6" borderId="1" xfId="1" applyNumberFormat="1" applyFont="1" applyFill="1" applyBorder="1"/>
    <xf numFmtId="43" fontId="49" fillId="6" borderId="3" xfId="1" applyFont="1" applyFill="1" applyBorder="1"/>
    <xf numFmtId="164" fontId="49" fillId="6" borderId="4" xfId="1" applyNumberFormat="1" applyFont="1" applyFill="1" applyBorder="1"/>
    <xf numFmtId="43" fontId="34" fillId="6" borderId="5" xfId="1" applyFont="1" applyFill="1" applyBorder="1"/>
    <xf numFmtId="43" fontId="49" fillId="6" borderId="26" xfId="1" applyFont="1" applyFill="1" applyBorder="1"/>
    <xf numFmtId="43" fontId="49" fillId="6" borderId="39" xfId="1" applyFont="1" applyFill="1" applyBorder="1"/>
    <xf numFmtId="43" fontId="49" fillId="6" borderId="0" xfId="1" applyFont="1" applyFill="1" applyBorder="1"/>
    <xf numFmtId="0" fontId="39" fillId="6" borderId="46" xfId="0" applyFont="1" applyFill="1" applyBorder="1"/>
    <xf numFmtId="0" fontId="39" fillId="6" borderId="47" xfId="0" applyFont="1" applyFill="1" applyBorder="1"/>
    <xf numFmtId="0" fontId="39" fillId="6" borderId="5" xfId="0" applyFont="1" applyFill="1" applyBorder="1" applyAlignment="1">
      <alignment horizontal="center"/>
    </xf>
    <xf numFmtId="0" fontId="0" fillId="6" borderId="6" xfId="0" applyFill="1" applyBorder="1"/>
    <xf numFmtId="0" fontId="0" fillId="6" borderId="26" xfId="0" applyFill="1" applyBorder="1"/>
    <xf numFmtId="164" fontId="34" fillId="0" borderId="4" xfId="1" applyNumberFormat="1" applyFont="1" applyBorder="1"/>
    <xf numFmtId="164" fontId="60" fillId="6" borderId="4" xfId="1" applyNumberFormat="1" applyFont="1" applyFill="1" applyBorder="1"/>
    <xf numFmtId="167" fontId="0" fillId="0" borderId="0" xfId="1" applyNumberFormat="1" applyFont="1"/>
    <xf numFmtId="164" fontId="39" fillId="0" borderId="0" xfId="1" applyNumberFormat="1" applyFont="1"/>
    <xf numFmtId="164" fontId="0" fillId="0" borderId="0" xfId="1" applyNumberFormat="1" applyFont="1" applyAlignment="1"/>
    <xf numFmtId="164" fontId="39" fillId="0" borderId="48" xfId="0" applyNumberFormat="1" applyFont="1" applyBorder="1"/>
    <xf numFmtId="0" fontId="34" fillId="0" borderId="27" xfId="0" applyFont="1" applyBorder="1"/>
    <xf numFmtId="166" fontId="37" fillId="7" borderId="0" xfId="0" applyNumberFormat="1" applyFont="1" applyFill="1" applyAlignment="1">
      <alignment horizontal="center"/>
    </xf>
    <xf numFmtId="16" fontId="0" fillId="8" borderId="0" xfId="0" applyNumberFormat="1" applyFill="1" applyBorder="1"/>
    <xf numFmtId="0" fontId="39" fillId="0" borderId="27" xfId="0" applyFont="1" applyBorder="1" applyAlignment="1">
      <alignment horizontal="center"/>
    </xf>
    <xf numFmtId="0" fontId="39" fillId="0" borderId="27" xfId="0" applyFont="1" applyFill="1" applyBorder="1" applyAlignment="1">
      <alignment horizontal="center"/>
    </xf>
    <xf numFmtId="16" fontId="0" fillId="7" borderId="0" xfId="0" applyNumberFormat="1" applyFill="1" applyBorder="1"/>
    <xf numFmtId="0" fontId="50" fillId="0" borderId="0" xfId="0" applyFont="1" applyAlignment="1">
      <alignment horizontal="right"/>
    </xf>
    <xf numFmtId="164" fontId="50" fillId="0" borderId="0" xfId="1" applyNumberFormat="1" applyFont="1"/>
    <xf numFmtId="0" fontId="0" fillId="6" borderId="0" xfId="0" applyFill="1"/>
    <xf numFmtId="0" fontId="36" fillId="6" borderId="0" xfId="0" applyFont="1" applyFill="1" applyBorder="1"/>
    <xf numFmtId="164" fontId="37" fillId="7" borderId="20" xfId="1" applyNumberFormat="1" applyFont="1" applyFill="1" applyBorder="1"/>
    <xf numFmtId="164" fontId="61" fillId="7" borderId="0" xfId="1" applyNumberFormat="1" applyFont="1" applyFill="1" applyAlignment="1">
      <alignment horizontal="center"/>
    </xf>
    <xf numFmtId="0" fontId="0" fillId="6" borderId="0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36" fillId="0" borderId="33" xfId="0" applyFont="1" applyBorder="1" applyAlignment="1">
      <alignment horizontal="right"/>
    </xf>
    <xf numFmtId="0" fontId="39" fillId="0" borderId="0" xfId="0" applyFont="1" applyBorder="1" applyAlignment="1">
      <alignment horizontal="center"/>
    </xf>
    <xf numFmtId="0" fontId="39" fillId="0" borderId="31" xfId="0" applyFont="1" applyBorder="1" applyAlignment="1">
      <alignment horizontal="center"/>
    </xf>
    <xf numFmtId="164" fontId="34" fillId="0" borderId="0" xfId="1" applyNumberFormat="1" applyFont="1" applyBorder="1" applyAlignment="1">
      <alignment horizontal="center"/>
    </xf>
    <xf numFmtId="0" fontId="36" fillId="0" borderId="0" xfId="0" applyFont="1" applyBorder="1" applyAlignment="1">
      <alignment horizontal="right"/>
    </xf>
    <xf numFmtId="165" fontId="37" fillId="7" borderId="0" xfId="1" applyNumberFormat="1" applyFont="1" applyFill="1" applyAlignment="1">
      <alignment horizontal="center"/>
    </xf>
    <xf numFmtId="0" fontId="0" fillId="6" borderId="0" xfId="0" applyFill="1" applyBorder="1" applyAlignment="1">
      <alignment horizontal="right"/>
    </xf>
    <xf numFmtId="0" fontId="0" fillId="0" borderId="27" xfId="0" applyBorder="1" applyAlignment="1">
      <alignment horizontal="center"/>
    </xf>
    <xf numFmtId="164" fontId="0" fillId="0" borderId="27" xfId="1" applyNumberFormat="1" applyFont="1" applyBorder="1"/>
    <xf numFmtId="164" fontId="0" fillId="0" borderId="28" xfId="1" applyNumberFormat="1" applyFont="1" applyBorder="1"/>
    <xf numFmtId="0" fontId="51" fillId="0" borderId="0" xfId="0" applyFont="1"/>
    <xf numFmtId="165" fontId="49" fillId="7" borderId="0" xfId="1" applyNumberFormat="1" applyFont="1" applyFill="1"/>
    <xf numFmtId="165" fontId="49" fillId="6" borderId="0" xfId="1" applyNumberFormat="1" applyFont="1" applyFill="1"/>
    <xf numFmtId="164" fontId="37" fillId="6" borderId="0" xfId="0" applyNumberFormat="1" applyFont="1" applyFill="1"/>
    <xf numFmtId="164" fontId="61" fillId="6" borderId="23" xfId="1" applyNumberFormat="1" applyFont="1" applyFill="1" applyBorder="1"/>
    <xf numFmtId="0" fontId="50" fillId="0" borderId="1" xfId="0" applyFont="1" applyBorder="1" applyAlignment="1">
      <alignment horizontal="right"/>
    </xf>
    <xf numFmtId="0" fontId="50" fillId="0" borderId="3" xfId="0" applyFont="1" applyBorder="1" applyAlignment="1">
      <alignment horizontal="right"/>
    </xf>
    <xf numFmtId="0" fontId="50" fillId="7" borderId="6" xfId="0" applyFont="1" applyFill="1" applyBorder="1" applyAlignment="1">
      <alignment horizontal="right"/>
    </xf>
    <xf numFmtId="0" fontId="50" fillId="7" borderId="26" xfId="0" applyFont="1" applyFill="1" applyBorder="1" applyAlignment="1">
      <alignment horizontal="right"/>
    </xf>
    <xf numFmtId="164" fontId="50" fillId="0" borderId="1" xfId="1" applyNumberFormat="1" applyFont="1" applyBorder="1"/>
    <xf numFmtId="164" fontId="50" fillId="0" borderId="2" xfId="1" applyNumberFormat="1" applyFont="1" applyBorder="1"/>
    <xf numFmtId="164" fontId="50" fillId="7" borderId="2" xfId="1" applyNumberFormat="1" applyFont="1" applyFill="1" applyBorder="1"/>
    <xf numFmtId="164" fontId="50" fillId="7" borderId="2" xfId="1" applyNumberFormat="1" applyFont="1" applyFill="1" applyBorder="1" applyAlignment="1">
      <alignment horizontal="center"/>
    </xf>
    <xf numFmtId="164" fontId="50" fillId="0" borderId="3" xfId="0" applyNumberFormat="1" applyFont="1" applyBorder="1"/>
    <xf numFmtId="164" fontId="50" fillId="7" borderId="6" xfId="1" applyNumberFormat="1" applyFont="1" applyFill="1" applyBorder="1"/>
    <xf numFmtId="164" fontId="50" fillId="7" borderId="7" xfId="1" applyNumberFormat="1" applyFont="1" applyFill="1" applyBorder="1"/>
    <xf numFmtId="164" fontId="50" fillId="7" borderId="7" xfId="1" applyNumberFormat="1" applyFont="1" applyFill="1" applyBorder="1" applyAlignment="1">
      <alignment horizontal="center"/>
    </xf>
    <xf numFmtId="164" fontId="50" fillId="7" borderId="26" xfId="0" applyNumberFormat="1" applyFont="1" applyFill="1" applyBorder="1"/>
    <xf numFmtId="0" fontId="39" fillId="0" borderId="0" xfId="0" applyFont="1"/>
    <xf numFmtId="164" fontId="36" fillId="0" borderId="0" xfId="1" applyNumberFormat="1" applyFont="1"/>
    <xf numFmtId="0" fontId="34" fillId="0" borderId="4" xfId="0" applyFont="1" applyBorder="1" applyAlignment="1">
      <alignment horizontal="center"/>
    </xf>
    <xf numFmtId="0" fontId="36" fillId="0" borderId="10" xfId="0" applyFont="1" applyBorder="1"/>
    <xf numFmtId="0" fontId="52" fillId="0" borderId="0" xfId="0" applyFont="1"/>
    <xf numFmtId="17" fontId="39" fillId="0" borderId="0" xfId="0" applyNumberFormat="1" applyFont="1"/>
    <xf numFmtId="0" fontId="54" fillId="0" borderId="0" xfId="0" applyFont="1"/>
    <xf numFmtId="0" fontId="53" fillId="0" borderId="0" xfId="0" applyFont="1"/>
    <xf numFmtId="0" fontId="39" fillId="0" borderId="0" xfId="0" applyFont="1" applyAlignment="1">
      <alignment horizontal="center"/>
    </xf>
    <xf numFmtId="164" fontId="55" fillId="0" borderId="0" xfId="1" applyNumberFormat="1" applyFont="1"/>
    <xf numFmtId="0" fontId="56" fillId="0" borderId="0" xfId="0" applyFont="1"/>
    <xf numFmtId="0" fontId="57" fillId="0" borderId="0" xfId="0" applyFont="1"/>
    <xf numFmtId="16" fontId="37" fillId="0" borderId="0" xfId="0" applyNumberFormat="1" applyFont="1" applyBorder="1" applyAlignment="1">
      <alignment horizontal="center"/>
    </xf>
    <xf numFmtId="0" fontId="37" fillId="7" borderId="0" xfId="0" applyFont="1" applyFill="1" applyBorder="1" applyAlignment="1">
      <alignment horizontal="center"/>
    </xf>
    <xf numFmtId="164" fontId="61" fillId="7" borderId="0" xfId="1" applyNumberFormat="1" applyFont="1" applyFill="1"/>
    <xf numFmtId="0" fontId="37" fillId="0" borderId="0" xfId="0" applyFont="1" applyAlignment="1">
      <alignment horizontal="center"/>
    </xf>
    <xf numFmtId="164" fontId="62" fillId="7" borderId="7" xfId="1" applyNumberFormat="1" applyFont="1" applyFill="1" applyBorder="1"/>
    <xf numFmtId="16" fontId="0" fillId="6" borderId="0" xfId="0" applyNumberFormat="1" applyFill="1" applyBorder="1"/>
    <xf numFmtId="0" fontId="0" fillId="0" borderId="0" xfId="0" applyFill="1" applyBorder="1" applyAlignment="1">
      <alignment horizontal="right"/>
    </xf>
    <xf numFmtId="164" fontId="34" fillId="6" borderId="0" xfId="1" applyNumberFormat="1" applyFont="1" applyFill="1" applyBorder="1" applyAlignment="1">
      <alignment horizontal="center"/>
    </xf>
    <xf numFmtId="0" fontId="36" fillId="0" borderId="11" xfId="0" applyFont="1" applyBorder="1"/>
    <xf numFmtId="0" fontId="40" fillId="0" borderId="11" xfId="0" applyFont="1" applyBorder="1"/>
    <xf numFmtId="0" fontId="40" fillId="0" borderId="11" xfId="0" applyFont="1" applyBorder="1" applyAlignment="1">
      <alignment horizontal="center"/>
    </xf>
    <xf numFmtId="0" fontId="34" fillId="0" borderId="1" xfId="0" applyFont="1" applyBorder="1"/>
    <xf numFmtId="0" fontId="34" fillId="0" borderId="2" xfId="0" applyFont="1" applyBorder="1"/>
    <xf numFmtId="0" fontId="34" fillId="0" borderId="3" xfId="0" applyFont="1" applyBorder="1"/>
    <xf numFmtId="0" fontId="34" fillId="0" borderId="7" xfId="0" applyFont="1" applyBorder="1"/>
    <xf numFmtId="0" fontId="34" fillId="0" borderId="26" xfId="0" applyFont="1" applyBorder="1"/>
    <xf numFmtId="46" fontId="0" fillId="0" borderId="0" xfId="0" applyNumberFormat="1"/>
    <xf numFmtId="4" fontId="0" fillId="0" borderId="0" xfId="0" applyNumberFormat="1"/>
    <xf numFmtId="0" fontId="0" fillId="0" borderId="3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9" xfId="0" applyBorder="1"/>
    <xf numFmtId="0" fontId="34" fillId="0" borderId="10" xfId="0" applyFont="1" applyBorder="1"/>
    <xf numFmtId="0" fontId="34" fillId="0" borderId="49" xfId="0" applyFont="1" applyBorder="1" applyAlignment="1">
      <alignment horizontal="center"/>
    </xf>
    <xf numFmtId="0" fontId="39" fillId="0" borderId="35" xfId="0" applyFont="1" applyBorder="1"/>
    <xf numFmtId="0" fontId="39" fillId="0" borderId="32" xfId="0" applyFont="1" applyBorder="1"/>
    <xf numFmtId="0" fontId="39" fillId="0" borderId="38" xfId="0" applyFont="1" applyBorder="1"/>
    <xf numFmtId="164" fontId="0" fillId="0" borderId="35" xfId="1" applyNumberFormat="1" applyFont="1" applyBorder="1"/>
    <xf numFmtId="164" fontId="0" fillId="0" borderId="50" xfId="1" applyNumberFormat="1" applyFont="1" applyBorder="1"/>
    <xf numFmtId="164" fontId="0" fillId="0" borderId="38" xfId="1" applyNumberFormat="1" applyFont="1" applyBorder="1"/>
    <xf numFmtId="164" fontId="0" fillId="0" borderId="37" xfId="1" applyNumberFormat="1" applyFont="1" applyBorder="1"/>
    <xf numFmtId="164" fontId="0" fillId="0" borderId="49" xfId="1" applyNumberFormat="1" applyFont="1" applyBorder="1"/>
    <xf numFmtId="164" fontId="0" fillId="0" borderId="36" xfId="1" applyNumberFormat="1" applyFont="1" applyBorder="1"/>
    <xf numFmtId="164" fontId="0" fillId="0" borderId="2" xfId="1" applyNumberFormat="1" applyFont="1" applyBorder="1"/>
    <xf numFmtId="164" fontId="0" fillId="0" borderId="6" xfId="1" applyNumberFormat="1" applyFont="1" applyBorder="1"/>
    <xf numFmtId="164" fontId="58" fillId="6" borderId="11" xfId="1" applyNumberFormat="1" applyFont="1" applyFill="1" applyBorder="1"/>
    <xf numFmtId="164" fontId="58" fillId="6" borderId="0" xfId="1" applyNumberFormat="1" applyFont="1" applyFill="1" applyBorder="1"/>
    <xf numFmtId="0" fontId="36" fillId="0" borderId="27" xfId="0" applyFont="1" applyBorder="1"/>
    <xf numFmtId="164" fontId="0" fillId="0" borderId="32" xfId="1" applyNumberFormat="1" applyFont="1" applyBorder="1"/>
    <xf numFmtId="164" fontId="0" fillId="0" borderId="33" xfId="1" applyNumberFormat="1" applyFont="1" applyBorder="1"/>
    <xf numFmtId="164" fontId="58" fillId="9" borderId="11" xfId="1" applyNumberFormat="1" applyFont="1" applyFill="1" applyBorder="1"/>
    <xf numFmtId="164" fontId="58" fillId="9" borderId="23" xfId="1" applyNumberFormat="1" applyFont="1" applyFill="1" applyBorder="1"/>
    <xf numFmtId="164" fontId="58" fillId="9" borderId="20" xfId="1" applyNumberFormat="1" applyFont="1" applyFill="1" applyBorder="1"/>
    <xf numFmtId="164" fontId="34" fillId="0" borderId="0" xfId="0" applyNumberFormat="1" applyFont="1" applyAlignment="1">
      <alignment horizontal="right"/>
    </xf>
    <xf numFmtId="0" fontId="0" fillId="7" borderId="20" xfId="0" applyFill="1" applyBorder="1"/>
    <xf numFmtId="0" fontId="50" fillId="0" borderId="0" xfId="0" applyFont="1" applyAlignment="1">
      <alignment horizontal="center"/>
    </xf>
    <xf numFmtId="164" fontId="50" fillId="0" borderId="0" xfId="0" applyNumberFormat="1" applyFont="1"/>
    <xf numFmtId="164" fontId="50" fillId="7" borderId="0" xfId="1" applyNumberFormat="1" applyFont="1" applyFill="1"/>
    <xf numFmtId="164" fontId="50" fillId="7" borderId="0" xfId="0" applyNumberFormat="1" applyFont="1" applyFill="1"/>
    <xf numFmtId="164" fontId="61" fillId="0" borderId="23" xfId="1" applyNumberFormat="1" applyFont="1" applyFill="1" applyBorder="1"/>
    <xf numFmtId="0" fontId="37" fillId="7" borderId="0" xfId="0" applyFont="1" applyFill="1" applyAlignment="1">
      <alignment horizontal="center"/>
    </xf>
    <xf numFmtId="16" fontId="37" fillId="7" borderId="0" xfId="0" applyNumberFormat="1" applyFont="1" applyFill="1"/>
    <xf numFmtId="14" fontId="37" fillId="7" borderId="0" xfId="0" applyNumberFormat="1" applyFont="1" applyFill="1"/>
    <xf numFmtId="164" fontId="50" fillId="7" borderId="0" xfId="1" applyNumberFormat="1" applyFont="1" applyFill="1" applyBorder="1"/>
    <xf numFmtId="164" fontId="62" fillId="7" borderId="0" xfId="1" applyNumberFormat="1" applyFont="1" applyFill="1" applyBorder="1"/>
    <xf numFmtId="164" fontId="50" fillId="7" borderId="0" xfId="1" applyNumberFormat="1" applyFont="1" applyFill="1" applyBorder="1" applyAlignment="1">
      <alignment horizontal="center"/>
    </xf>
    <xf numFmtId="164" fontId="50" fillId="7" borderId="0" xfId="0" applyNumberFormat="1" applyFont="1" applyFill="1" applyBorder="1"/>
    <xf numFmtId="164" fontId="58" fillId="7" borderId="0" xfId="1" applyNumberFormat="1" applyFont="1" applyFill="1" applyBorder="1"/>
    <xf numFmtId="164" fontId="58" fillId="7" borderId="35" xfId="1" applyNumberFormat="1" applyFont="1" applyFill="1" applyBorder="1"/>
    <xf numFmtId="164" fontId="58" fillId="7" borderId="27" xfId="1" applyNumberFormat="1" applyFont="1" applyFill="1" applyBorder="1"/>
    <xf numFmtId="0" fontId="0" fillId="7" borderId="28" xfId="0" applyFill="1" applyBorder="1"/>
    <xf numFmtId="0" fontId="36" fillId="6" borderId="0" xfId="0" applyFont="1" applyFill="1" applyBorder="1" applyAlignment="1">
      <alignment horizontal="center"/>
    </xf>
    <xf numFmtId="16" fontId="36" fillId="6" borderId="0" xfId="0" applyNumberFormat="1" applyFont="1" applyFill="1" applyBorder="1" applyAlignment="1">
      <alignment horizontal="center"/>
    </xf>
    <xf numFmtId="14" fontId="0" fillId="6" borderId="0" xfId="0" applyNumberFormat="1" applyFill="1"/>
    <xf numFmtId="164" fontId="37" fillId="7" borderId="0" xfId="0" applyNumberFormat="1" applyFont="1" applyFill="1" applyBorder="1"/>
    <xf numFmtId="0" fontId="36" fillId="7" borderId="0" xfId="0" applyFont="1" applyFill="1" applyBorder="1" applyAlignment="1">
      <alignment horizontal="center"/>
    </xf>
    <xf numFmtId="16" fontId="34" fillId="0" borderId="0" xfId="0" applyNumberFormat="1" applyFont="1" applyBorder="1" applyAlignment="1">
      <alignment horizontal="center"/>
    </xf>
    <xf numFmtId="4" fontId="39" fillId="0" borderId="0" xfId="0" applyNumberFormat="1" applyFont="1"/>
    <xf numFmtId="164" fontId="38" fillId="0" borderId="4" xfId="1" applyNumberFormat="1" applyFont="1" applyFill="1" applyBorder="1"/>
    <xf numFmtId="164" fontId="50" fillId="7" borderId="0" xfId="1" applyNumberFormat="1" applyFont="1" applyFill="1" applyAlignment="1">
      <alignment horizontal="center"/>
    </xf>
    <xf numFmtId="0" fontId="33" fillId="0" borderId="0" xfId="0" applyFont="1" applyBorder="1" applyAlignment="1">
      <alignment horizontal="right"/>
    </xf>
    <xf numFmtId="0" fontId="0" fillId="0" borderId="0" xfId="0" applyBorder="1" applyAlignment="1">
      <alignment horizontal="left"/>
    </xf>
    <xf numFmtId="0" fontId="33" fillId="0" borderId="0" xfId="0" applyFont="1" applyBorder="1" applyAlignment="1">
      <alignment horizontal="center"/>
    </xf>
    <xf numFmtId="0" fontId="33" fillId="0" borderId="0" xfId="0" applyFont="1" applyAlignment="1">
      <alignment horizontal="right"/>
    </xf>
    <xf numFmtId="164" fontId="0" fillId="0" borderId="0" xfId="1" applyNumberFormat="1" applyFont="1" applyAlignment="1">
      <alignment horizontal="right"/>
    </xf>
    <xf numFmtId="16" fontId="33" fillId="0" borderId="0" xfId="0" applyNumberFormat="1" applyFont="1" applyBorder="1"/>
    <xf numFmtId="0" fontId="33" fillId="0" borderId="0" xfId="0" applyFont="1" applyBorder="1"/>
    <xf numFmtId="0" fontId="33" fillId="0" borderId="0" xfId="0" applyFont="1"/>
    <xf numFmtId="0" fontId="33" fillId="0" borderId="0" xfId="0" applyFont="1" applyBorder="1" applyAlignment="1">
      <alignment horizontal="left"/>
    </xf>
    <xf numFmtId="0" fontId="33" fillId="0" borderId="0" xfId="0" applyFont="1" applyFill="1" applyBorder="1"/>
    <xf numFmtId="0" fontId="0" fillId="0" borderId="0" xfId="0" applyFont="1" applyFill="1" applyBorder="1" applyAlignment="1">
      <alignment horizontal="right"/>
    </xf>
    <xf numFmtId="43" fontId="0" fillId="6" borderId="0" xfId="1" applyFont="1" applyFill="1" applyBorder="1"/>
    <xf numFmtId="0" fontId="33" fillId="6" borderId="0" xfId="0" applyFont="1" applyFill="1"/>
    <xf numFmtId="43" fontId="36" fillId="10" borderId="0" xfId="0" applyNumberFormat="1" applyFont="1" applyFill="1" applyBorder="1" applyAlignment="1">
      <alignment horizontal="center"/>
    </xf>
    <xf numFmtId="164" fontId="61" fillId="0" borderId="0" xfId="1" applyNumberFormat="1" applyFont="1"/>
    <xf numFmtId="0" fontId="33" fillId="0" borderId="4" xfId="0" applyFont="1" applyBorder="1"/>
    <xf numFmtId="164" fontId="0" fillId="0" borderId="11" xfId="1" applyNumberFormat="1" applyFont="1" applyFill="1" applyBorder="1"/>
    <xf numFmtId="0" fontId="39" fillId="0" borderId="30" xfId="0" applyFont="1" applyBorder="1" applyAlignment="1">
      <alignment horizontal="center"/>
    </xf>
    <xf numFmtId="0" fontId="36" fillId="0" borderId="0" xfId="0" applyFont="1" applyFill="1" applyBorder="1" applyAlignment="1">
      <alignment horizontal="right"/>
    </xf>
    <xf numFmtId="165" fontId="0" fillId="0" borderId="0" xfId="0" applyNumberFormat="1"/>
    <xf numFmtId="43" fontId="36" fillId="7" borderId="0" xfId="0" applyNumberFormat="1" applyFont="1" applyFill="1" applyBorder="1" applyAlignment="1">
      <alignment horizontal="center"/>
    </xf>
    <xf numFmtId="43" fontId="60" fillId="7" borderId="0" xfId="0" applyNumberFormat="1" applyFont="1" applyFill="1" applyBorder="1" applyAlignment="1">
      <alignment horizontal="center"/>
    </xf>
    <xf numFmtId="43" fontId="64" fillId="7" borderId="0" xfId="0" applyNumberFormat="1" applyFont="1" applyFill="1" applyBorder="1" applyAlignment="1">
      <alignment horizontal="center"/>
    </xf>
    <xf numFmtId="0" fontId="33" fillId="6" borderId="0" xfId="0" applyFont="1" applyFill="1" applyBorder="1"/>
    <xf numFmtId="165" fontId="37" fillId="0" borderId="0" xfId="0" applyNumberFormat="1" applyFont="1"/>
    <xf numFmtId="165" fontId="65" fillId="0" borderId="0" xfId="1" applyNumberFormat="1" applyFont="1" applyFill="1" applyAlignment="1">
      <alignment horizontal="center"/>
    </xf>
    <xf numFmtId="0" fontId="0" fillId="0" borderId="0" xfId="0" applyFont="1" applyFill="1" applyBorder="1"/>
    <xf numFmtId="43" fontId="0" fillId="7" borderId="0" xfId="1" applyFont="1" applyFill="1" applyBorder="1"/>
    <xf numFmtId="164" fontId="34" fillId="0" borderId="2" xfId="1" applyNumberFormat="1" applyFont="1" applyBorder="1"/>
    <xf numFmtId="0" fontId="47" fillId="0" borderId="0" xfId="0" applyFont="1" applyBorder="1"/>
    <xf numFmtId="0" fontId="69" fillId="0" borderId="0" xfId="0" applyFont="1"/>
    <xf numFmtId="164" fontId="59" fillId="0" borderId="31" xfId="0" applyNumberFormat="1" applyFont="1" applyBorder="1"/>
    <xf numFmtId="164" fontId="59" fillId="0" borderId="28" xfId="0" applyNumberFormat="1" applyFont="1" applyBorder="1"/>
    <xf numFmtId="0" fontId="59" fillId="0" borderId="23" xfId="0" applyFont="1" applyBorder="1" applyAlignment="1">
      <alignment horizontal="left" vertical="center"/>
    </xf>
    <xf numFmtId="0" fontId="59" fillId="0" borderId="0" xfId="0" applyFont="1" applyBorder="1" applyAlignment="1">
      <alignment horizontal="left" vertical="center"/>
    </xf>
    <xf numFmtId="0" fontId="59" fillId="0" borderId="33" xfId="0" applyFont="1" applyBorder="1" applyAlignment="1">
      <alignment horizontal="left" vertical="center"/>
    </xf>
    <xf numFmtId="0" fontId="59" fillId="0" borderId="23" xfId="0" applyFont="1" applyBorder="1"/>
    <xf numFmtId="164" fontId="59" fillId="0" borderId="20" xfId="1" applyNumberFormat="1" applyFont="1" applyBorder="1"/>
    <xf numFmtId="164" fontId="0" fillId="0" borderId="20" xfId="1" applyNumberFormat="1" applyFont="1" applyBorder="1" applyAlignment="1">
      <alignment horizontal="center"/>
    </xf>
    <xf numFmtId="164" fontId="59" fillId="0" borderId="31" xfId="1" applyNumberFormat="1" applyFont="1" applyBorder="1"/>
    <xf numFmtId="0" fontId="59" fillId="0" borderId="38" xfId="0" applyFont="1" applyBorder="1" applyAlignment="1">
      <alignment horizontal="left" vertical="center"/>
    </xf>
    <xf numFmtId="0" fontId="59" fillId="0" borderId="35" xfId="0" applyFont="1" applyBorder="1" applyAlignment="1">
      <alignment horizontal="left" vertical="center"/>
    </xf>
    <xf numFmtId="0" fontId="59" fillId="0" borderId="32" xfId="0" applyFont="1" applyBorder="1" applyAlignment="1">
      <alignment horizontal="left" vertical="center"/>
    </xf>
    <xf numFmtId="164" fontId="59" fillId="0" borderId="20" xfId="0" applyNumberFormat="1" applyFont="1" applyBorder="1"/>
    <xf numFmtId="164" fontId="0" fillId="0" borderId="20" xfId="0" applyNumberFormat="1" applyBorder="1"/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34" xfId="0" applyBorder="1" applyAlignment="1">
      <alignment horizontal="left"/>
    </xf>
    <xf numFmtId="164" fontId="0" fillId="0" borderId="28" xfId="1" applyNumberFormat="1" applyFont="1" applyBorder="1" applyAlignment="1">
      <alignment horizontal="center"/>
    </xf>
    <xf numFmtId="0" fontId="59" fillId="0" borderId="0" xfId="0" applyFont="1" applyBorder="1"/>
    <xf numFmtId="0" fontId="59" fillId="0" borderId="33" xfId="0" applyFont="1" applyBorder="1"/>
    <xf numFmtId="0" fontId="0" fillId="0" borderId="36" xfId="0" applyBorder="1" applyAlignment="1"/>
    <xf numFmtId="0" fontId="0" fillId="0" borderId="37" xfId="0" applyBorder="1" applyAlignment="1"/>
    <xf numFmtId="0" fontId="0" fillId="0" borderId="34" xfId="0" applyBorder="1" applyAlignment="1"/>
    <xf numFmtId="0" fontId="0" fillId="0" borderId="38" xfId="0" applyBorder="1" applyAlignment="1"/>
    <xf numFmtId="0" fontId="0" fillId="0" borderId="35" xfId="0" applyBorder="1" applyAlignment="1"/>
    <xf numFmtId="0" fontId="0" fillId="0" borderId="32" xfId="0" applyBorder="1" applyAlignment="1"/>
    <xf numFmtId="164" fontId="0" fillId="0" borderId="27" xfId="1" applyNumberFormat="1" applyFont="1" applyBorder="1" applyAlignment="1">
      <alignment horizontal="center"/>
    </xf>
    <xf numFmtId="0" fontId="0" fillId="0" borderId="23" xfId="0" applyBorder="1" applyAlignment="1"/>
    <xf numFmtId="0" fontId="0" fillId="0" borderId="0" xfId="0" applyBorder="1" applyAlignment="1"/>
    <xf numFmtId="0" fontId="0" fillId="0" borderId="33" xfId="0" applyBorder="1" applyAlignment="1"/>
    <xf numFmtId="0" fontId="68" fillId="0" borderId="23" xfId="0" applyFont="1" applyBorder="1" applyAlignment="1">
      <alignment horizontal="center"/>
    </xf>
    <xf numFmtId="0" fontId="68" fillId="0" borderId="0" xfId="0" applyFont="1" applyBorder="1" applyAlignment="1">
      <alignment horizontal="center"/>
    </xf>
    <xf numFmtId="0" fontId="68" fillId="0" borderId="33" xfId="0" applyFont="1" applyBorder="1" applyAlignment="1">
      <alignment horizontal="center"/>
    </xf>
    <xf numFmtId="0" fontId="59" fillId="0" borderId="23" xfId="0" applyFont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59" fillId="0" borderId="33" xfId="0" applyFont="1" applyBorder="1" applyAlignment="1">
      <alignment horizontal="center"/>
    </xf>
    <xf numFmtId="164" fontId="0" fillId="0" borderId="20" xfId="0" applyNumberFormat="1" applyFont="1" applyBorder="1"/>
    <xf numFmtId="0" fontId="0" fillId="0" borderId="0" xfId="0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0" xfId="0" applyFont="1" applyBorder="1" applyAlignment="1">
      <alignment vertical="center"/>
    </xf>
    <xf numFmtId="0" fontId="70" fillId="0" borderId="29" xfId="0" applyFont="1" applyBorder="1" applyAlignment="1">
      <alignment vertical="center"/>
    </xf>
    <xf numFmtId="0" fontId="67" fillId="0" borderId="32" xfId="0" applyFont="1" applyBorder="1"/>
    <xf numFmtId="0" fontId="67" fillId="0" borderId="31" xfId="0" applyFont="1" applyBorder="1"/>
    <xf numFmtId="164" fontId="67" fillId="0" borderId="33" xfId="0" applyNumberFormat="1" applyFont="1" applyBorder="1"/>
    <xf numFmtId="164" fontId="0" fillId="0" borderId="33" xfId="0" applyNumberFormat="1" applyBorder="1"/>
    <xf numFmtId="164" fontId="0" fillId="0" borderId="51" xfId="1" applyNumberFormat="1" applyFont="1" applyBorder="1"/>
    <xf numFmtId="164" fontId="59" fillId="0" borderId="33" xfId="1" applyNumberFormat="1" applyFont="1" applyBorder="1"/>
    <xf numFmtId="164" fontId="59" fillId="0" borderId="33" xfId="0" applyNumberFormat="1" applyFont="1" applyBorder="1"/>
    <xf numFmtId="164" fontId="0" fillId="0" borderId="34" xfId="1" applyNumberFormat="1" applyFont="1" applyBorder="1"/>
    <xf numFmtId="164" fontId="34" fillId="0" borderId="31" xfId="0" applyNumberFormat="1" applyFont="1" applyBorder="1"/>
    <xf numFmtId="164" fontId="34" fillId="0" borderId="20" xfId="0" applyNumberFormat="1" applyFont="1" applyBorder="1"/>
    <xf numFmtId="0" fontId="33" fillId="0" borderId="33" xfId="0" applyFont="1" applyBorder="1"/>
    <xf numFmtId="0" fontId="34" fillId="0" borderId="23" xfId="0" applyFont="1" applyBorder="1" applyAlignment="1">
      <alignment horizontal="center"/>
    </xf>
    <xf numFmtId="164" fontId="37" fillId="6" borderId="23" xfId="1" applyNumberFormat="1" applyFont="1" applyFill="1" applyBorder="1"/>
    <xf numFmtId="0" fontId="34" fillId="0" borderId="11" xfId="0" applyFont="1" applyFill="1" applyBorder="1" applyAlignment="1">
      <alignment horizontal="center"/>
    </xf>
    <xf numFmtId="14" fontId="60" fillId="0" borderId="0" xfId="0" applyNumberFormat="1" applyFont="1"/>
    <xf numFmtId="0" fontId="60" fillId="0" borderId="0" xfId="0" applyFont="1"/>
    <xf numFmtId="0" fontId="71" fillId="0" borderId="0" xfId="0" applyFont="1" applyFill="1" applyBorder="1" applyAlignment="1">
      <alignment horizontal="center"/>
    </xf>
    <xf numFmtId="164" fontId="37" fillId="6" borderId="20" xfId="1" applyNumberFormat="1" applyFont="1" applyFill="1" applyBorder="1"/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/>
    </xf>
    <xf numFmtId="14" fontId="33" fillId="0" borderId="0" xfId="0" applyNumberFormat="1" applyFont="1"/>
    <xf numFmtId="164" fontId="0" fillId="0" borderId="0" xfId="0" applyNumberFormat="1" applyBorder="1"/>
    <xf numFmtId="43" fontId="34" fillId="0" borderId="0" xfId="0" applyNumberFormat="1" applyFont="1" applyBorder="1" applyAlignment="1">
      <alignment horizontal="center"/>
    </xf>
    <xf numFmtId="0" fontId="60" fillId="0" borderId="0" xfId="0" applyFont="1" applyBorder="1"/>
    <xf numFmtId="0" fontId="60" fillId="0" borderId="0" xfId="0" applyFont="1" applyFill="1" applyBorder="1"/>
    <xf numFmtId="43" fontId="76" fillId="0" borderId="0" xfId="1" applyFont="1" applyBorder="1" applyAlignment="1">
      <alignment horizontal="center"/>
    </xf>
    <xf numFmtId="0" fontId="33" fillId="0" borderId="0" xfId="0" applyFont="1" applyFill="1"/>
    <xf numFmtId="165" fontId="34" fillId="0" borderId="0" xfId="1" applyNumberFormat="1" applyFont="1" applyFill="1" applyBorder="1" applyAlignment="1">
      <alignment horizontal="center"/>
    </xf>
    <xf numFmtId="0" fontId="34" fillId="0" borderId="0" xfId="0" applyFont="1" applyFill="1" applyBorder="1"/>
    <xf numFmtId="14" fontId="33" fillId="0" borderId="0" xfId="0" applyNumberFormat="1" applyFont="1" applyFill="1"/>
    <xf numFmtId="14" fontId="34" fillId="0" borderId="0" xfId="0" applyNumberFormat="1" applyFont="1" applyFill="1" applyBorder="1"/>
    <xf numFmtId="0" fontId="31" fillId="0" borderId="33" xfId="0" applyFont="1" applyBorder="1" applyAlignment="1">
      <alignment horizontal="left"/>
    </xf>
    <xf numFmtId="164" fontId="65" fillId="7" borderId="23" xfId="1" applyNumberFormat="1" applyFont="1" applyFill="1" applyBorder="1"/>
    <xf numFmtId="14" fontId="77" fillId="0" borderId="0" xfId="0" applyNumberFormat="1" applyFont="1"/>
    <xf numFmtId="0" fontId="76" fillId="0" borderId="0" xfId="0" applyFont="1" applyBorder="1"/>
    <xf numFmtId="0" fontId="77" fillId="0" borderId="0" xfId="0" applyFont="1" applyAlignment="1">
      <alignment horizontal="center"/>
    </xf>
    <xf numFmtId="43" fontId="77" fillId="0" borderId="0" xfId="1" applyNumberFormat="1" applyFont="1"/>
    <xf numFmtId="165" fontId="76" fillId="0" borderId="0" xfId="1" applyNumberFormat="1" applyFont="1" applyBorder="1" applyAlignment="1">
      <alignment horizontal="center"/>
    </xf>
    <xf numFmtId="0" fontId="77" fillId="0" borderId="0" xfId="0" applyFont="1"/>
    <xf numFmtId="165" fontId="76" fillId="0" borderId="0" xfId="1" applyNumberFormat="1" applyFont="1" applyBorder="1"/>
    <xf numFmtId="0" fontId="76" fillId="0" borderId="0" xfId="0" applyFont="1" applyAlignment="1">
      <alignment horizontal="center"/>
    </xf>
    <xf numFmtId="0" fontId="76" fillId="0" borderId="0" xfId="0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30" fillId="0" borderId="33" xfId="0" applyFont="1" applyBorder="1" applyAlignment="1">
      <alignment horizontal="left"/>
    </xf>
    <xf numFmtId="14" fontId="0" fillId="0" borderId="0" xfId="0" applyNumberFormat="1" applyFill="1"/>
    <xf numFmtId="0" fontId="33" fillId="0" borderId="0" xfId="0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75" fillId="0" borderId="0" xfId="0" applyFont="1" applyFill="1" applyBorder="1"/>
    <xf numFmtId="43" fontId="33" fillId="0" borderId="0" xfId="1" applyFont="1" applyFill="1" applyBorder="1" applyAlignment="1">
      <alignment horizontal="center"/>
    </xf>
    <xf numFmtId="165" fontId="33" fillId="0" borderId="0" xfId="1" applyNumberFormat="1" applyFont="1" applyFill="1" applyBorder="1" applyAlignment="1">
      <alignment horizontal="center"/>
    </xf>
    <xf numFmtId="14" fontId="33" fillId="0" borderId="0" xfId="0" applyNumberFormat="1" applyFont="1" applyFill="1" applyBorder="1"/>
    <xf numFmtId="0" fontId="74" fillId="0" borderId="0" xfId="0" applyFont="1" applyFill="1"/>
    <xf numFmtId="43" fontId="75" fillId="0" borderId="0" xfId="1" applyFont="1" applyFill="1" applyBorder="1" applyAlignment="1">
      <alignment horizontal="center"/>
    </xf>
    <xf numFmtId="165" fontId="75" fillId="0" borderId="0" xfId="1" applyNumberFormat="1" applyFont="1" applyFill="1" applyBorder="1" applyAlignment="1">
      <alignment horizontal="center"/>
    </xf>
    <xf numFmtId="0" fontId="74" fillId="0" borderId="0" xfId="0" applyFont="1" applyFill="1" applyBorder="1"/>
    <xf numFmtId="14" fontId="77" fillId="0" borderId="0" xfId="0" applyNumberFormat="1" applyFont="1" applyFill="1"/>
    <xf numFmtId="14" fontId="76" fillId="0" borderId="0" xfId="0" applyNumberFormat="1" applyFont="1" applyFill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77" fillId="0" borderId="0" xfId="0" applyFont="1" applyFill="1" applyBorder="1"/>
    <xf numFmtId="0" fontId="77" fillId="0" borderId="0" xfId="0" applyFont="1" applyFill="1"/>
    <xf numFmtId="0" fontId="77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70" fillId="0" borderId="0" xfId="0" applyFont="1" applyBorder="1" applyAlignment="1">
      <alignment horizontal="center" vertical="center"/>
    </xf>
    <xf numFmtId="0" fontId="67" fillId="0" borderId="0" xfId="0" applyFont="1" applyBorder="1"/>
    <xf numFmtId="3" fontId="0" fillId="0" borderId="20" xfId="0" applyNumberFormat="1" applyBorder="1" applyAlignment="1">
      <alignment horizontal="center"/>
    </xf>
    <xf numFmtId="3" fontId="34" fillId="0" borderId="20" xfId="0" applyNumberFormat="1" applyFont="1" applyBorder="1" applyAlignment="1">
      <alignment horizontal="center"/>
    </xf>
    <xf numFmtId="0" fontId="67" fillId="0" borderId="31" xfId="0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49" fontId="34" fillId="0" borderId="0" xfId="0" applyNumberFormat="1" applyFont="1" applyFill="1" applyBorder="1" applyAlignment="1">
      <alignment horizontal="center"/>
    </xf>
    <xf numFmtId="0" fontId="77" fillId="0" borderId="0" xfId="0" applyFont="1" applyBorder="1" applyAlignment="1">
      <alignment horizontal="center"/>
    </xf>
    <xf numFmtId="14" fontId="76" fillId="0" borderId="0" xfId="0" applyNumberFormat="1" applyFont="1" applyBorder="1" applyAlignment="1">
      <alignment horizontal="center"/>
    </xf>
    <xf numFmtId="14" fontId="77" fillId="0" borderId="0" xfId="1" applyNumberFormat="1" applyFont="1"/>
    <xf numFmtId="43" fontId="76" fillId="0" borderId="0" xfId="1" applyFont="1" applyFill="1" applyBorder="1" applyAlignment="1">
      <alignment horizontal="center"/>
    </xf>
    <xf numFmtId="0" fontId="76" fillId="0" borderId="0" xfId="0" applyFont="1" applyFill="1" applyBorder="1"/>
    <xf numFmtId="14" fontId="76" fillId="0" borderId="0" xfId="0" applyNumberFormat="1" applyFont="1" applyFill="1" applyBorder="1"/>
    <xf numFmtId="0" fontId="77" fillId="0" borderId="0" xfId="0" applyFont="1" applyFill="1" applyAlignment="1">
      <alignment horizontal="center"/>
    </xf>
    <xf numFmtId="164" fontId="37" fillId="0" borderId="0" xfId="1" applyNumberFormat="1" applyFont="1" applyFill="1"/>
    <xf numFmtId="14" fontId="76" fillId="0" borderId="0" xfId="0" applyNumberFormat="1" applyFont="1"/>
    <xf numFmtId="0" fontId="76" fillId="0" borderId="0" xfId="0" applyFont="1"/>
    <xf numFmtId="0" fontId="0" fillId="0" borderId="23" xfId="0" applyFill="1" applyBorder="1"/>
    <xf numFmtId="0" fontId="34" fillId="0" borderId="20" xfId="0" applyFont="1" applyFill="1" applyBorder="1"/>
    <xf numFmtId="165" fontId="79" fillId="0" borderId="0" xfId="1" applyNumberFormat="1" applyFont="1" applyFill="1" applyAlignment="1">
      <alignment horizontal="center"/>
    </xf>
    <xf numFmtId="0" fontId="64" fillId="0" borderId="0" xfId="0" applyFont="1" applyFill="1" applyBorder="1"/>
    <xf numFmtId="0" fontId="64" fillId="0" borderId="0" xfId="0" applyFont="1" applyFill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4" fontId="33" fillId="0" borderId="0" xfId="0" applyNumberFormat="1" applyFont="1" applyFill="1" applyBorder="1" applyAlignment="1">
      <alignment horizontal="center"/>
    </xf>
    <xf numFmtId="49" fontId="33" fillId="0" borderId="0" xfId="0" applyNumberFormat="1" applyFont="1" applyFill="1" applyBorder="1" applyAlignment="1">
      <alignment horizontal="center"/>
    </xf>
    <xf numFmtId="43" fontId="33" fillId="0" borderId="0" xfId="1" applyFont="1" applyBorder="1" applyAlignment="1">
      <alignment horizontal="center"/>
    </xf>
    <xf numFmtId="14" fontId="33" fillId="0" borderId="0" xfId="0" applyNumberFormat="1" applyFont="1" applyBorder="1"/>
    <xf numFmtId="14" fontId="33" fillId="0" borderId="0" xfId="0" applyNumberFormat="1" applyFont="1" applyBorder="1" applyAlignment="1">
      <alignment horizontal="center"/>
    </xf>
    <xf numFmtId="43" fontId="33" fillId="7" borderId="0" xfId="1" applyFont="1" applyFill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4" fontId="60" fillId="0" borderId="0" xfId="0" applyNumberFormat="1" applyFont="1" applyBorder="1"/>
    <xf numFmtId="0" fontId="60" fillId="0" borderId="0" xfId="0" applyFont="1" applyAlignment="1">
      <alignment horizontal="center"/>
    </xf>
    <xf numFmtId="14" fontId="60" fillId="0" borderId="0" xfId="0" applyNumberFormat="1" applyFont="1" applyFill="1"/>
    <xf numFmtId="43" fontId="60" fillId="0" borderId="0" xfId="1" applyFont="1" applyFill="1" applyBorder="1" applyAlignment="1">
      <alignment horizontal="center"/>
    </xf>
    <xf numFmtId="14" fontId="60" fillId="0" borderId="0" xfId="0" applyNumberFormat="1" applyFont="1" applyFill="1" applyBorder="1"/>
    <xf numFmtId="0" fontId="60" fillId="0" borderId="0" xfId="0" applyFont="1" applyFill="1"/>
    <xf numFmtId="43" fontId="60" fillId="7" borderId="0" xfId="1" applyFont="1" applyFill="1" applyBorder="1" applyAlignment="1">
      <alignment horizontal="center"/>
    </xf>
    <xf numFmtId="0" fontId="33" fillId="0" borderId="33" xfId="0" applyFont="1" applyFill="1" applyBorder="1" applyAlignment="1">
      <alignment horizontal="left"/>
    </xf>
    <xf numFmtId="14" fontId="34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left"/>
    </xf>
    <xf numFmtId="49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Alignment="1">
      <alignment horizontal="center"/>
    </xf>
    <xf numFmtId="165" fontId="60" fillId="0" borderId="0" xfId="1" applyNumberFormat="1" applyFont="1" applyFill="1" applyBorder="1" applyAlignment="1">
      <alignment horizontal="center"/>
    </xf>
    <xf numFmtId="14" fontId="60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7" fillId="6" borderId="11" xfId="0" applyFont="1" applyFill="1" applyBorder="1"/>
    <xf numFmtId="164" fontId="37" fillId="6" borderId="0" xfId="0" applyNumberFormat="1" applyFont="1" applyFill="1" applyBorder="1"/>
    <xf numFmtId="164" fontId="61" fillId="6" borderId="20" xfId="1" applyNumberFormat="1" applyFont="1" applyFill="1" applyBorder="1"/>
    <xf numFmtId="164" fontId="65" fillId="6" borderId="23" xfId="1" applyNumberFormat="1" applyFont="1" applyFill="1" applyBorder="1"/>
    <xf numFmtId="164" fontId="0" fillId="6" borderId="0" xfId="0" applyNumberFormat="1" applyFill="1"/>
    <xf numFmtId="165" fontId="0" fillId="6" borderId="0" xfId="1" applyNumberFormat="1" applyFont="1" applyFill="1"/>
    <xf numFmtId="16" fontId="37" fillId="6" borderId="0" xfId="0" applyNumberFormat="1" applyFont="1" applyFill="1" applyBorder="1"/>
    <xf numFmtId="0" fontId="37" fillId="6" borderId="0" xfId="0" applyFont="1" applyFill="1" applyBorder="1"/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43" fontId="33" fillId="0" borderId="0" xfId="0" applyNumberFormat="1" applyFont="1" applyFill="1"/>
    <xf numFmtId="0" fontId="0" fillId="0" borderId="0" xfId="0" applyFill="1" applyBorder="1" applyAlignment="1"/>
    <xf numFmtId="164" fontId="36" fillId="0" borderId="0" xfId="1" applyNumberFormat="1" applyFont="1" applyBorder="1" applyAlignment="1">
      <alignment horizontal="right"/>
    </xf>
    <xf numFmtId="164" fontId="0" fillId="0" borderId="0" xfId="1" applyNumberFormat="1" applyFont="1" applyBorder="1" applyAlignment="1">
      <alignment horizontal="right"/>
    </xf>
    <xf numFmtId="0" fontId="33" fillId="0" borderId="31" xfId="0" applyFont="1" applyBorder="1"/>
    <xf numFmtId="168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0" fontId="32" fillId="0" borderId="0" xfId="0" applyFont="1" applyFill="1" applyBorder="1" applyAlignment="1">
      <alignment horizontal="left"/>
    </xf>
    <xf numFmtId="0" fontId="59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164" fontId="59" fillId="0" borderId="31" xfId="1" applyNumberFormat="1" applyFont="1" applyBorder="1" applyAlignment="1">
      <alignment horizontal="center"/>
    </xf>
    <xf numFmtId="14" fontId="60" fillId="0" borderId="0" xfId="0" applyNumberFormat="1" applyFont="1" applyFill="1" applyBorder="1" applyAlignment="1">
      <alignment horizontal="center"/>
    </xf>
    <xf numFmtId="164" fontId="65" fillId="0" borderId="23" xfId="1" applyNumberFormat="1" applyFont="1" applyFill="1" applyBorder="1"/>
    <xf numFmtId="0" fontId="96" fillId="0" borderId="0" xfId="0" applyFont="1" applyFill="1"/>
    <xf numFmtId="0" fontId="96" fillId="8" borderId="0" xfId="0" applyFont="1" applyFill="1"/>
    <xf numFmtId="43" fontId="77" fillId="0" borderId="0" xfId="1" applyFont="1" applyFill="1" applyBorder="1" applyAlignment="1">
      <alignment horizontal="center"/>
    </xf>
    <xf numFmtId="14" fontId="77" fillId="0" borderId="0" xfId="0" applyNumberFormat="1" applyFont="1" applyFill="1" applyBorder="1"/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33" fillId="42" borderId="0" xfId="0" applyFont="1" applyFill="1" applyBorder="1" applyAlignment="1">
      <alignment horizontal="center"/>
    </xf>
    <xf numFmtId="43" fontId="0" fillId="0" borderId="0" xfId="0" applyNumberFormat="1" applyFill="1"/>
    <xf numFmtId="0" fontId="97" fillId="0" borderId="0" xfId="0" applyFont="1" applyFill="1" applyBorder="1" applyAlignment="1">
      <alignment horizontal="center"/>
    </xf>
    <xf numFmtId="14" fontId="33" fillId="0" borderId="0" xfId="0" applyNumberFormat="1" applyFont="1" applyFill="1" applyAlignment="1">
      <alignment horizontal="center"/>
    </xf>
    <xf numFmtId="14" fontId="97" fillId="0" borderId="0" xfId="0" applyNumberFormat="1" applyFont="1" applyFill="1"/>
    <xf numFmtId="49" fontId="97" fillId="0" borderId="0" xfId="0" applyNumberFormat="1" applyFont="1" applyFill="1" applyBorder="1" applyAlignment="1">
      <alignment horizontal="center"/>
    </xf>
    <xf numFmtId="0" fontId="97" fillId="0" borderId="0" xfId="0" applyFont="1" applyFill="1"/>
    <xf numFmtId="0" fontId="97" fillId="0" borderId="0" xfId="0" applyFont="1" applyFill="1" applyAlignment="1">
      <alignment horizontal="center"/>
    </xf>
    <xf numFmtId="43" fontId="97" fillId="0" borderId="0" xfId="1" applyFont="1" applyFill="1" applyBorder="1" applyAlignment="1">
      <alignment horizontal="center"/>
    </xf>
    <xf numFmtId="43" fontId="97" fillId="0" borderId="0" xfId="0" applyNumberFormat="1" applyFont="1" applyFill="1"/>
    <xf numFmtId="14" fontId="97" fillId="0" borderId="0" xfId="0" applyNumberFormat="1" applyFont="1" applyFill="1" applyAlignment="1">
      <alignment horizontal="center"/>
    </xf>
    <xf numFmtId="0" fontId="98" fillId="0" borderId="0" xfId="0" applyFont="1" applyFill="1" applyBorder="1" applyAlignment="1">
      <alignment horizontal="left"/>
    </xf>
    <xf numFmtId="0" fontId="99" fillId="0" borderId="0" xfId="0" applyFont="1" applyBorder="1"/>
    <xf numFmtId="43" fontId="60" fillId="0" borderId="0" xfId="1" applyNumberFormat="1" applyFont="1" applyFill="1"/>
    <xf numFmtId="0" fontId="63" fillId="0" borderId="0" xfId="0" applyFont="1" applyBorder="1" applyAlignment="1">
      <alignment horizontal="center"/>
    </xf>
    <xf numFmtId="164" fontId="63" fillId="6" borderId="23" xfId="1" applyNumberFormat="1" applyFont="1" applyFill="1" applyBorder="1"/>
    <xf numFmtId="0" fontId="63" fillId="0" borderId="0" xfId="0" applyFont="1" applyFill="1" applyBorder="1" applyAlignment="1">
      <alignment horizontal="center"/>
    </xf>
    <xf numFmtId="0" fontId="63" fillId="0" borderId="0" xfId="0" applyFont="1" applyBorder="1"/>
    <xf numFmtId="0" fontId="100" fillId="0" borderId="0" xfId="0" applyFont="1" applyFill="1" applyBorder="1" applyAlignment="1">
      <alignment horizontal="center"/>
    </xf>
    <xf numFmtId="16" fontId="33" fillId="0" borderId="0" xfId="0" applyNumberFormat="1" applyFont="1" applyFill="1"/>
    <xf numFmtId="14" fontId="100" fillId="0" borderId="0" xfId="0" applyNumberFormat="1" applyFont="1" applyFill="1"/>
    <xf numFmtId="0" fontId="39" fillId="0" borderId="0" xfId="0" applyFont="1" applyFill="1" applyBorder="1" applyAlignment="1">
      <alignment horizontal="center"/>
    </xf>
    <xf numFmtId="0" fontId="0" fillId="43" borderId="0" xfId="0" applyFill="1"/>
    <xf numFmtId="165" fontId="71" fillId="0" borderId="0" xfId="1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left"/>
    </xf>
    <xf numFmtId="14" fontId="71" fillId="0" borderId="0" xfId="0" applyNumberFormat="1" applyFont="1" applyFill="1" applyBorder="1" applyAlignment="1">
      <alignment horizontal="center"/>
    </xf>
    <xf numFmtId="43" fontId="71" fillId="0" borderId="0" xfId="1" applyFont="1" applyFill="1" applyBorder="1" applyAlignment="1">
      <alignment horizontal="center"/>
    </xf>
    <xf numFmtId="0" fontId="71" fillId="0" borderId="0" xfId="0" applyFont="1" applyFill="1" applyBorder="1"/>
    <xf numFmtId="14" fontId="71" fillId="0" borderId="0" xfId="0" applyNumberFormat="1" applyFont="1" applyFill="1" applyBorder="1"/>
    <xf numFmtId="164" fontId="38" fillId="0" borderId="0" xfId="1" applyNumberFormat="1" applyFont="1" applyFill="1" applyBorder="1"/>
    <xf numFmtId="0" fontId="102" fillId="0" borderId="0" xfId="0" applyFont="1"/>
    <xf numFmtId="0" fontId="59" fillId="0" borderId="23" xfId="0" applyFont="1" applyFill="1" applyBorder="1" applyAlignment="1">
      <alignment horizontal="center"/>
    </xf>
    <xf numFmtId="164" fontId="0" fillId="0" borderId="20" xfId="0" applyNumberFormat="1" applyFont="1" applyFill="1" applyBorder="1"/>
    <xf numFmtId="164" fontId="34" fillId="0" borderId="20" xfId="0" applyNumberFormat="1" applyFont="1" applyFill="1" applyBorder="1"/>
    <xf numFmtId="0" fontId="36" fillId="0" borderId="4" xfId="0" applyFont="1" applyFill="1" applyBorder="1"/>
    <xf numFmtId="164" fontId="36" fillId="0" borderId="11" xfId="1" applyNumberFormat="1" applyFont="1" applyFill="1" applyBorder="1"/>
    <xf numFmtId="164" fontId="77" fillId="0" borderId="11" xfId="1" applyNumberFormat="1" applyFont="1" applyBorder="1"/>
    <xf numFmtId="164" fontId="37" fillId="8" borderId="23" xfId="1" applyNumberFormat="1" applyFont="1" applyFill="1" applyBorder="1"/>
    <xf numFmtId="0" fontId="67" fillId="0" borderId="0" xfId="0" applyFont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14" fontId="0" fillId="42" borderId="0" xfId="0" applyNumberFormat="1" applyFill="1"/>
    <xf numFmtId="0" fontId="34" fillId="42" borderId="0" xfId="0" applyFont="1" applyFill="1" applyBorder="1" applyAlignment="1">
      <alignment horizontal="center"/>
    </xf>
    <xf numFmtId="43" fontId="34" fillId="42" borderId="0" xfId="1" applyFont="1" applyFill="1" applyBorder="1" applyAlignment="1">
      <alignment horizontal="center"/>
    </xf>
    <xf numFmtId="165" fontId="34" fillId="42" borderId="0" xfId="1" applyNumberFormat="1" applyFont="1" applyFill="1" applyBorder="1" applyAlignment="1">
      <alignment horizontal="center"/>
    </xf>
    <xf numFmtId="0" fontId="33" fillId="42" borderId="0" xfId="0" applyFont="1" applyFill="1" applyBorder="1"/>
    <xf numFmtId="0" fontId="34" fillId="42" borderId="0" xfId="0" applyFont="1" applyFill="1" applyBorder="1"/>
    <xf numFmtId="14" fontId="34" fillId="42" borderId="0" xfId="0" applyNumberFormat="1" applyFont="1" applyFill="1" applyBorder="1"/>
    <xf numFmtId="0" fontId="0" fillId="42" borderId="0" xfId="0" applyFill="1"/>
    <xf numFmtId="0" fontId="0" fillId="42" borderId="0" xfId="0" applyFill="1" applyBorder="1"/>
    <xf numFmtId="0" fontId="33" fillId="42" borderId="0" xfId="0" applyFont="1" applyFill="1"/>
    <xf numFmtId="0" fontId="103" fillId="0" borderId="0" xfId="0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99" fillId="0" borderId="0" xfId="0" applyFont="1" applyFill="1" applyBorder="1" applyAlignment="1">
      <alignment horizontal="center"/>
    </xf>
    <xf numFmtId="164" fontId="99" fillId="6" borderId="23" xfId="1" applyNumberFormat="1" applyFont="1" applyFill="1" applyBorder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49" fontId="71" fillId="0" borderId="0" xfId="0" applyNumberFormat="1" applyFont="1" applyFill="1" applyBorder="1" applyAlignment="1">
      <alignment horizontal="center"/>
    </xf>
    <xf numFmtId="0" fontId="33" fillId="0" borderId="31" xfId="0" applyFont="1" applyBorder="1" applyAlignment="1">
      <alignment horizontal="center"/>
    </xf>
    <xf numFmtId="164" fontId="105" fillId="0" borderId="23" xfId="1" applyNumberFormat="1" applyFont="1" applyFill="1" applyBorder="1"/>
    <xf numFmtId="165" fontId="33" fillId="0" borderId="31" xfId="1" applyNumberFormat="1" applyFont="1" applyFill="1" applyBorder="1" applyAlignment="1">
      <alignment horizontal="center"/>
    </xf>
    <xf numFmtId="14" fontId="64" fillId="0" borderId="0" xfId="0" applyNumberFormat="1" applyFont="1" applyFill="1"/>
    <xf numFmtId="49" fontId="64" fillId="0" borderId="0" xfId="0" applyNumberFormat="1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106" fillId="0" borderId="0" xfId="0" applyFont="1" applyFill="1" applyBorder="1" applyAlignment="1">
      <alignment horizontal="center"/>
    </xf>
    <xf numFmtId="165" fontId="106" fillId="0" borderId="0" xfId="1" applyNumberFormat="1" applyFont="1" applyFill="1" applyBorder="1" applyAlignment="1">
      <alignment horizontal="center"/>
    </xf>
    <xf numFmtId="0" fontId="106" fillId="0" borderId="0" xfId="0" applyFont="1" applyFill="1" applyBorder="1"/>
    <xf numFmtId="14" fontId="106" fillId="0" borderId="0" xfId="0" applyNumberFormat="1" applyFont="1" applyFill="1" applyBorder="1"/>
    <xf numFmtId="14" fontId="0" fillId="0" borderId="2" xfId="0" applyNumberFormat="1" applyBorder="1"/>
    <xf numFmtId="0" fontId="34" fillId="0" borderId="10" xfId="0" applyFont="1" applyFill="1" applyBorder="1" applyAlignment="1">
      <alignment horizontal="center"/>
    </xf>
    <xf numFmtId="164" fontId="0" fillId="0" borderId="48" xfId="1" applyNumberFormat="1" applyFont="1" applyBorder="1"/>
    <xf numFmtId="0" fontId="34" fillId="0" borderId="0" xfId="0" applyFont="1" applyFill="1" applyAlignment="1">
      <alignment horizontal="center"/>
    </xf>
    <xf numFmtId="14" fontId="77" fillId="0" borderId="0" xfId="0" applyNumberFormat="1" applyFont="1" applyFill="1" applyBorder="1" applyAlignment="1">
      <alignment horizontal="center"/>
    </xf>
    <xf numFmtId="0" fontId="61" fillId="0" borderId="0" xfId="0" applyFont="1" applyBorder="1" applyAlignment="1">
      <alignment horizontal="left"/>
    </xf>
    <xf numFmtId="0" fontId="79" fillId="0" borderId="4" xfId="0" applyFont="1" applyFill="1" applyBorder="1"/>
    <xf numFmtId="14" fontId="60" fillId="0" borderId="0" xfId="1" applyNumberFormat="1" applyFont="1" applyFill="1"/>
    <xf numFmtId="169" fontId="0" fillId="0" borderId="0" xfId="0" applyNumberFormat="1" applyBorder="1" applyAlignment="1">
      <alignment horizontal="center"/>
    </xf>
    <xf numFmtId="165" fontId="76" fillId="0" borderId="0" xfId="1" applyNumberFormat="1" applyFont="1" applyFill="1" applyBorder="1" applyAlignment="1">
      <alignment horizontal="center"/>
    </xf>
    <xf numFmtId="49" fontId="77" fillId="0" borderId="0" xfId="0" applyNumberFormat="1" applyFont="1" applyFill="1" applyBorder="1" applyAlignment="1">
      <alignment horizontal="center"/>
    </xf>
    <xf numFmtId="165" fontId="77" fillId="0" borderId="0" xfId="1" applyNumberFormat="1" applyFont="1" applyFill="1" applyBorder="1" applyAlignment="1">
      <alignment horizontal="center"/>
    </xf>
    <xf numFmtId="49" fontId="60" fillId="0" borderId="0" xfId="0" applyNumberFormat="1" applyFont="1" applyFill="1" applyAlignment="1">
      <alignment horizontal="center"/>
    </xf>
    <xf numFmtId="0" fontId="108" fillId="0" borderId="0" xfId="0" applyFont="1" applyFill="1" applyBorder="1" applyAlignment="1">
      <alignment horizontal="center"/>
    </xf>
    <xf numFmtId="0" fontId="101" fillId="0" borderId="0" xfId="0" applyFont="1" applyFill="1" applyBorder="1"/>
    <xf numFmtId="0" fontId="108" fillId="0" borderId="0" xfId="0" applyFont="1" applyFill="1" applyBorder="1"/>
    <xf numFmtId="0" fontId="101" fillId="0" borderId="0" xfId="0" applyFont="1" applyFill="1"/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164" fontId="65" fillId="0" borderId="23" xfId="1" applyNumberFormat="1" applyFont="1" applyBorder="1"/>
    <xf numFmtId="164" fontId="65" fillId="0" borderId="0" xfId="1" applyNumberFormat="1" applyFont="1"/>
    <xf numFmtId="4" fontId="60" fillId="0" borderId="0" xfId="0" applyNumberFormat="1" applyFont="1" applyFill="1" applyAlignment="1">
      <alignment horizontal="center"/>
    </xf>
    <xf numFmtId="0" fontId="33" fillId="0" borderId="23" xfId="0" applyFont="1" applyBorder="1" applyAlignment="1"/>
    <xf numFmtId="43" fontId="33" fillId="0" borderId="0" xfId="1" applyNumberFormat="1" applyFont="1" applyFill="1"/>
    <xf numFmtId="49" fontId="76" fillId="0" borderId="0" xfId="0" applyNumberFormat="1" applyFont="1" applyFill="1" applyBorder="1" applyAlignment="1">
      <alignment horizontal="center"/>
    </xf>
    <xf numFmtId="43" fontId="60" fillId="0" borderId="0" xfId="0" applyNumberFormat="1" applyFont="1" applyFill="1"/>
    <xf numFmtId="0" fontId="33" fillId="0" borderId="33" xfId="0" applyFont="1" applyFill="1" applyBorder="1"/>
    <xf numFmtId="168" fontId="53" fillId="0" borderId="0" xfId="0" applyNumberFormat="1" applyFont="1"/>
    <xf numFmtId="165" fontId="33" fillId="0" borderId="0" xfId="1" applyNumberFormat="1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65" fillId="0" borderId="0" xfId="0" applyFont="1" applyBorder="1" applyAlignment="1">
      <alignment horizontal="center"/>
    </xf>
    <xf numFmtId="164" fontId="65" fillId="6" borderId="20" xfId="1" applyNumberFormat="1" applyFont="1" applyFill="1" applyBorder="1"/>
    <xf numFmtId="0" fontId="65" fillId="0" borderId="0" xfId="0" applyFont="1" applyFill="1" applyBorder="1" applyAlignment="1">
      <alignment horizontal="center"/>
    </xf>
    <xf numFmtId="14" fontId="0" fillId="0" borderId="0" xfId="0" applyNumberFormat="1" applyFill="1" applyBorder="1"/>
    <xf numFmtId="43" fontId="33" fillId="0" borderId="0" xfId="0" applyNumberFormat="1" applyFont="1" applyFill="1" applyBorder="1"/>
    <xf numFmtId="0" fontId="67" fillId="0" borderId="0" xfId="0" applyFont="1" applyAlignment="1">
      <alignment horizontal="center"/>
    </xf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0" fontId="109" fillId="0" borderId="0" xfId="0" applyFont="1" applyBorder="1" applyAlignment="1">
      <alignment horizontal="center"/>
    </xf>
    <xf numFmtId="164" fontId="109" fillId="6" borderId="23" xfId="1" applyNumberFormat="1" applyFont="1" applyFill="1" applyBorder="1"/>
    <xf numFmtId="165" fontId="33" fillId="0" borderId="0" xfId="1" applyNumberFormat="1" applyFont="1" applyFill="1" applyBorder="1" applyAlignment="1"/>
    <xf numFmtId="0" fontId="60" fillId="7" borderId="0" xfId="0" applyFont="1" applyFill="1" applyBorder="1" applyAlignment="1">
      <alignment horizontal="center"/>
    </xf>
    <xf numFmtId="0" fontId="33" fillId="7" borderId="0" xfId="0" applyFont="1" applyFill="1" applyBorder="1" applyAlignment="1">
      <alignment horizontal="center"/>
    </xf>
    <xf numFmtId="0" fontId="104" fillId="0" borderId="0" xfId="0" applyFont="1"/>
    <xf numFmtId="165" fontId="110" fillId="0" borderId="0" xfId="1" applyNumberFormat="1" applyFont="1" applyFill="1" applyAlignment="1">
      <alignment horizontal="center"/>
    </xf>
    <xf numFmtId="43" fontId="33" fillId="0" borderId="0" xfId="1" applyFont="1" applyFill="1" applyBorder="1" applyAlignment="1"/>
    <xf numFmtId="0" fontId="79" fillId="0" borderId="0" xfId="0" applyFont="1" applyBorder="1" applyAlignment="1">
      <alignment horizontal="center"/>
    </xf>
    <xf numFmtId="164" fontId="79" fillId="6" borderId="23" xfId="1" applyNumberFormat="1" applyFont="1" applyFill="1" applyBorder="1"/>
    <xf numFmtId="43" fontId="60" fillId="0" borderId="0" xfId="0" applyNumberFormat="1" applyFont="1" applyFill="1" applyBorder="1"/>
    <xf numFmtId="168" fontId="60" fillId="0" borderId="0" xfId="0" applyNumberFormat="1" applyFont="1" applyFill="1" applyAlignment="1">
      <alignment horizontal="center"/>
    </xf>
    <xf numFmtId="166" fontId="60" fillId="0" borderId="0" xfId="0" applyNumberFormat="1" applyFont="1"/>
    <xf numFmtId="164" fontId="36" fillId="6" borderId="11" xfId="1" applyNumberFormat="1" applyFont="1" applyFill="1" applyBorder="1"/>
    <xf numFmtId="0" fontId="0" fillId="0" borderId="0" xfId="0" applyBorder="1" applyAlignment="1">
      <alignment horizontal="center" vertical="center"/>
    </xf>
    <xf numFmtId="0" fontId="102" fillId="0" borderId="0" xfId="0" applyFont="1" applyAlignment="1">
      <alignment horizontal="center"/>
    </xf>
    <xf numFmtId="0" fontId="104" fillId="0" borderId="0" xfId="0" applyFont="1" applyBorder="1" applyAlignment="1"/>
    <xf numFmtId="3" fontId="0" fillId="0" borderId="0" xfId="0" applyNumberFormat="1" applyBorder="1" applyAlignment="1">
      <alignment horizontal="center"/>
    </xf>
    <xf numFmtId="43" fontId="0" fillId="0" borderId="0" xfId="0" applyNumberFormat="1" applyBorder="1"/>
    <xf numFmtId="43" fontId="33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6" fontId="0" fillId="0" borderId="0" xfId="0" applyNumberFormat="1" applyBorder="1"/>
    <xf numFmtId="2" fontId="0" fillId="0" borderId="0" xfId="0" applyNumberFormat="1" applyBorder="1"/>
    <xf numFmtId="14" fontId="0" fillId="0" borderId="0" xfId="0" applyNumberFormat="1" applyBorder="1" applyAlignment="1">
      <alignment horizontal="center"/>
    </xf>
    <xf numFmtId="0" fontId="77" fillId="0" borderId="0" xfId="0" applyFont="1" applyBorder="1"/>
    <xf numFmtId="0" fontId="77" fillId="0" borderId="0" xfId="0" applyFont="1" applyFill="1" applyBorder="1" applyAlignment="1">
      <alignment horizontal="left"/>
    </xf>
    <xf numFmtId="43" fontId="34" fillId="0" borderId="0" xfId="0" applyNumberFormat="1" applyFont="1" applyFill="1" applyBorder="1"/>
    <xf numFmtId="0" fontId="34" fillId="0" borderId="31" xfId="0" applyFont="1" applyFill="1" applyBorder="1"/>
    <xf numFmtId="165" fontId="0" fillId="0" borderId="0" xfId="0" applyNumberFormat="1" applyFill="1" applyBorder="1"/>
    <xf numFmtId="0" fontId="34" fillId="0" borderId="0" xfId="0" applyFont="1" applyFill="1" applyBorder="1" applyAlignment="1">
      <alignment horizontal="left"/>
    </xf>
    <xf numFmtId="0" fontId="34" fillId="0" borderId="0" xfId="0" applyFont="1" applyFill="1"/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164" fontId="59" fillId="0" borderId="28" xfId="1" applyNumberFormat="1" applyFont="1" applyBorder="1"/>
    <xf numFmtId="164" fontId="34" fillId="0" borderId="28" xfId="0" applyNumberFormat="1" applyFont="1" applyBorder="1"/>
    <xf numFmtId="14" fontId="0" fillId="0" borderId="0" xfId="0" applyNumberFormat="1" applyFill="1" applyAlignment="1">
      <alignment horizontal="center"/>
    </xf>
    <xf numFmtId="164" fontId="111" fillId="7" borderId="23" xfId="1" applyNumberFormat="1" applyFont="1" applyFill="1" applyBorder="1"/>
    <xf numFmtId="165" fontId="111" fillId="0" borderId="0" xfId="1" applyNumberFormat="1" applyFont="1" applyFill="1" applyAlignment="1">
      <alignment horizontal="center"/>
    </xf>
    <xf numFmtId="0" fontId="0" fillId="0" borderId="28" xfId="0" applyBorder="1" applyAlignment="1">
      <alignment horizontal="center"/>
    </xf>
    <xf numFmtId="0" fontId="100" fillId="0" borderId="0" xfId="0" applyFont="1" applyFill="1"/>
    <xf numFmtId="0" fontId="33" fillId="0" borderId="20" xfId="0" applyFont="1" applyBorder="1"/>
    <xf numFmtId="164" fontId="60" fillId="0" borderId="20" xfId="1" applyNumberFormat="1" applyFont="1" applyBorder="1"/>
    <xf numFmtId="164" fontId="60" fillId="7" borderId="20" xfId="1" applyNumberFormat="1" applyFont="1" applyFill="1" applyBorder="1"/>
    <xf numFmtId="164" fontId="60" fillId="0" borderId="33" xfId="1" applyNumberFormat="1" applyFont="1" applyBorder="1"/>
    <xf numFmtId="164" fontId="60" fillId="0" borderId="11" xfId="1" applyNumberFormat="1" applyFont="1" applyBorder="1"/>
    <xf numFmtId="164" fontId="60" fillId="0" borderId="0" xfId="1" applyNumberFormat="1" applyFont="1" applyBorder="1"/>
    <xf numFmtId="164" fontId="60" fillId="0" borderId="4" xfId="1" applyNumberFormat="1" applyFont="1" applyBorder="1"/>
    <xf numFmtId="0" fontId="60" fillId="0" borderId="33" xfId="0" applyFont="1" applyBorder="1"/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164" fontId="37" fillId="42" borderId="20" xfId="1" applyNumberFormat="1" applyFont="1" applyFill="1" applyBorder="1"/>
    <xf numFmtId="14" fontId="71" fillId="0" borderId="0" xfId="0" applyNumberFormat="1" applyFont="1" applyFill="1" applyBorder="1" applyAlignment="1">
      <alignment horizontal="right"/>
    </xf>
    <xf numFmtId="14" fontId="33" fillId="0" borderId="0" xfId="0" applyNumberFormat="1" applyFont="1" applyFill="1" applyAlignment="1">
      <alignment horizontal="right"/>
    </xf>
    <xf numFmtId="14" fontId="33" fillId="0" borderId="0" xfId="0" applyNumberFormat="1" applyFont="1" applyAlignment="1">
      <alignment horizontal="center"/>
    </xf>
    <xf numFmtId="164" fontId="50" fillId="0" borderId="0" xfId="1" applyNumberFormat="1" applyFont="1" applyFill="1"/>
    <xf numFmtId="164" fontId="50" fillId="0" borderId="0" xfId="0" applyNumberFormat="1" applyFont="1" applyFill="1"/>
    <xf numFmtId="0" fontId="37" fillId="0" borderId="2" xfId="0" applyFont="1" applyFill="1" applyBorder="1"/>
    <xf numFmtId="14" fontId="37" fillId="0" borderId="0" xfId="0" applyNumberFormat="1" applyFont="1" applyFill="1" applyBorder="1"/>
    <xf numFmtId="0" fontId="37" fillId="0" borderId="16" xfId="0" applyFont="1" applyFill="1" applyBorder="1"/>
    <xf numFmtId="0" fontId="37" fillId="0" borderId="6" xfId="0" applyFont="1" applyFill="1" applyBorder="1" applyAlignment="1">
      <alignment horizontal="center"/>
    </xf>
    <xf numFmtId="0" fontId="37" fillId="0" borderId="24" xfId="0" applyFont="1" applyFill="1" applyBorder="1"/>
    <xf numFmtId="164" fontId="37" fillId="0" borderId="19" xfId="1" applyNumberFormat="1" applyFont="1" applyFill="1" applyBorder="1"/>
    <xf numFmtId="164" fontId="37" fillId="0" borderId="24" xfId="1" applyNumberFormat="1" applyFont="1" applyFill="1" applyBorder="1"/>
    <xf numFmtId="164" fontId="37" fillId="0" borderId="21" xfId="1" applyNumberFormat="1" applyFont="1" applyFill="1" applyBorder="1"/>
    <xf numFmtId="164" fontId="37" fillId="0" borderId="25" xfId="1" applyNumberFormat="1" applyFont="1" applyFill="1" applyBorder="1"/>
    <xf numFmtId="0" fontId="37" fillId="0" borderId="25" xfId="0" applyFont="1" applyFill="1" applyBorder="1"/>
    <xf numFmtId="164" fontId="50" fillId="0" borderId="2" xfId="1" applyNumberFormat="1" applyFont="1" applyFill="1" applyBorder="1"/>
    <xf numFmtId="164" fontId="50" fillId="0" borderId="7" xfId="1" applyNumberFormat="1" applyFont="1" applyFill="1" applyBorder="1"/>
    <xf numFmtId="164" fontId="50" fillId="0" borderId="0" xfId="1" applyNumberFormat="1" applyFont="1" applyFill="1" applyBorder="1"/>
    <xf numFmtId="0" fontId="33" fillId="0" borderId="0" xfId="0" applyFont="1" applyBorder="1" applyAlignment="1">
      <alignment horizontal="center"/>
    </xf>
    <xf numFmtId="43" fontId="0" fillId="0" borderId="31" xfId="0" applyNumberFormat="1" applyBorder="1"/>
    <xf numFmtId="0" fontId="77" fillId="0" borderId="31" xfId="0" applyFont="1" applyBorder="1" applyAlignment="1">
      <alignment horizontal="center"/>
    </xf>
    <xf numFmtId="165" fontId="77" fillId="0" borderId="31" xfId="0" applyNumberFormat="1" applyFont="1" applyFill="1" applyBorder="1"/>
    <xf numFmtId="43" fontId="33" fillId="0" borderId="0" xfId="1" applyFont="1" applyFill="1" applyAlignment="1">
      <alignment horizontal="center"/>
    </xf>
    <xf numFmtId="165" fontId="77" fillId="0" borderId="0" xfId="0" applyNumberFormat="1" applyFont="1" applyFill="1"/>
    <xf numFmtId="14" fontId="77" fillId="0" borderId="0" xfId="0" applyNumberFormat="1" applyFont="1" applyFill="1" applyAlignment="1">
      <alignment horizontal="center"/>
    </xf>
    <xf numFmtId="0" fontId="113" fillId="0" borderId="0" xfId="0" applyFont="1"/>
    <xf numFmtId="166" fontId="0" fillId="0" borderId="31" xfId="0" applyNumberFormat="1" applyBorder="1"/>
    <xf numFmtId="165" fontId="34" fillId="0" borderId="31" xfId="0" applyNumberFormat="1" applyFont="1" applyBorder="1"/>
    <xf numFmtId="0" fontId="67" fillId="0" borderId="0" xfId="0" applyFont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165" fontId="114" fillId="0" borderId="0" xfId="1" applyNumberFormat="1" applyFont="1" applyFill="1" applyAlignment="1">
      <alignment horizontal="center"/>
    </xf>
    <xf numFmtId="0" fontId="27" fillId="0" borderId="33" xfId="0" applyFont="1" applyBorder="1" applyAlignment="1"/>
    <xf numFmtId="166" fontId="77" fillId="0" borderId="0" xfId="0" applyNumberFormat="1" applyFont="1" applyFill="1"/>
    <xf numFmtId="168" fontId="0" fillId="0" borderId="0" xfId="0" applyNumberFormat="1"/>
    <xf numFmtId="14" fontId="77" fillId="0" borderId="0" xfId="0" applyNumberFormat="1" applyFont="1" applyFill="1" applyAlignment="1">
      <alignment horizontal="right"/>
    </xf>
    <xf numFmtId="0" fontId="0" fillId="0" borderId="0" xfId="0" applyBorder="1" applyAlignment="1">
      <alignment horizontal="center"/>
    </xf>
    <xf numFmtId="0" fontId="0" fillId="0" borderId="28" xfId="0" applyBorder="1"/>
    <xf numFmtId="164" fontId="33" fillId="0" borderId="28" xfId="1" applyNumberFormat="1" applyFont="1" applyBorder="1"/>
    <xf numFmtId="164" fontId="33" fillId="0" borderId="28" xfId="1" applyNumberFormat="1" applyFont="1" applyBorder="1" applyAlignment="1">
      <alignment horizontal="center"/>
    </xf>
    <xf numFmtId="0" fontId="104" fillId="0" borderId="0" xfId="0" applyFont="1" applyAlignment="1">
      <alignment horizontal="center"/>
    </xf>
    <xf numFmtId="165" fontId="34" fillId="0" borderId="0" xfId="0" applyNumberFormat="1" applyFont="1" applyFill="1" applyAlignment="1">
      <alignment horizontal="center"/>
    </xf>
    <xf numFmtId="43" fontId="34" fillId="0" borderId="0" xfId="0" applyNumberFormat="1" applyFont="1" applyFill="1"/>
    <xf numFmtId="0" fontId="67" fillId="0" borderId="0" xfId="0" applyFont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71" fillId="0" borderId="0" xfId="0" applyFont="1" applyFill="1" applyAlignment="1">
      <alignment horizontal="center"/>
    </xf>
    <xf numFmtId="164" fontId="61" fillId="0" borderId="0" xfId="0" applyNumberFormat="1" applyFont="1"/>
    <xf numFmtId="0" fontId="70" fillId="0" borderId="0" xfId="0" applyFont="1" applyBorder="1" applyAlignment="1">
      <alignment horizontal="center" vertical="center"/>
    </xf>
    <xf numFmtId="0" fontId="0" fillId="0" borderId="28" xfId="0" applyBorder="1"/>
    <xf numFmtId="0" fontId="33" fillId="0" borderId="20" xfId="0" applyFont="1" applyBorder="1" applyAlignment="1">
      <alignment horizontal="center"/>
    </xf>
    <xf numFmtId="164" fontId="59" fillId="0" borderId="0" xfId="1" applyNumberFormat="1" applyFont="1" applyBorder="1"/>
    <xf numFmtId="3" fontId="34" fillId="0" borderId="33" xfId="0" applyNumberFormat="1" applyFont="1" applyBorder="1" applyAlignment="1">
      <alignment horizontal="center"/>
    </xf>
    <xf numFmtId="3" fontId="34" fillId="0" borderId="28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77" fillId="6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4" fontId="25" fillId="0" borderId="0" xfId="0" applyNumberFormat="1" applyFont="1" applyBorder="1" applyAlignment="1">
      <alignment horizontal="left"/>
    </xf>
    <xf numFmtId="0" fontId="47" fillId="0" borderId="0" xfId="0" applyFont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28" xfId="0" applyBorder="1"/>
    <xf numFmtId="0" fontId="0" fillId="0" borderId="0" xfId="0" applyAlignment="1">
      <alignment horizontal="center"/>
    </xf>
    <xf numFmtId="43" fontId="71" fillId="0" borderId="0" xfId="0" applyNumberFormat="1" applyFont="1" applyFill="1"/>
    <xf numFmtId="165" fontId="34" fillId="0" borderId="0" xfId="0" applyNumberFormat="1" applyFont="1"/>
    <xf numFmtId="164" fontId="0" fillId="0" borderId="27" xfId="1" applyNumberFormat="1" applyFont="1" applyFill="1" applyBorder="1"/>
    <xf numFmtId="164" fontId="0" fillId="0" borderId="35" xfId="1" applyNumberFormat="1" applyFont="1" applyFill="1" applyBorder="1"/>
    <xf numFmtId="164" fontId="0" fillId="0" borderId="50" xfId="1" applyNumberFormat="1" applyFont="1" applyFill="1" applyBorder="1"/>
    <xf numFmtId="164" fontId="0" fillId="0" borderId="38" xfId="1" applyNumberFormat="1" applyFont="1" applyFill="1" applyBorder="1"/>
    <xf numFmtId="0" fontId="0" fillId="0" borderId="28" xfId="0" applyBorder="1"/>
    <xf numFmtId="0" fontId="0" fillId="0" borderId="0" xfId="0" applyAlignment="1">
      <alignment horizontal="center"/>
    </xf>
    <xf numFmtId="0" fontId="39" fillId="0" borderId="27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40" fillId="0" borderId="20" xfId="0" applyFont="1" applyBorder="1"/>
    <xf numFmtId="0" fontId="39" fillId="0" borderId="30" xfId="0" applyFont="1" applyBorder="1" applyAlignment="1">
      <alignment horizontal="center"/>
    </xf>
    <xf numFmtId="0" fontId="0" fillId="0" borderId="28" xfId="0" applyBorder="1"/>
    <xf numFmtId="0" fontId="0" fillId="0" borderId="0" xfId="0" applyAlignment="1">
      <alignment horizontal="center"/>
    </xf>
    <xf numFmtId="0" fontId="39" fillId="0" borderId="39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0" fillId="0" borderId="28" xfId="0" applyBorder="1"/>
    <xf numFmtId="0" fontId="0" fillId="0" borderId="0" xfId="0" applyAlignment="1">
      <alignment horizontal="center"/>
    </xf>
    <xf numFmtId="0" fontId="39" fillId="0" borderId="38" xfId="0" applyFont="1" applyFill="1" applyBorder="1" applyAlignment="1">
      <alignment horizontal="center"/>
    </xf>
    <xf numFmtId="164" fontId="0" fillId="0" borderId="0" xfId="1" applyNumberFormat="1" applyFont="1" applyFill="1" applyBorder="1" applyAlignment="1">
      <alignment horizontal="right"/>
    </xf>
    <xf numFmtId="164" fontId="115" fillId="7" borderId="23" xfId="1" applyNumberFormat="1" applyFont="1" applyFill="1" applyBorder="1"/>
    <xf numFmtId="164" fontId="116" fillId="0" borderId="23" xfId="1" applyNumberFormat="1" applyFont="1" applyFill="1" applyBorder="1"/>
    <xf numFmtId="164" fontId="116" fillId="7" borderId="23" xfId="1" applyNumberFormat="1" applyFont="1" applyFill="1" applyBorder="1"/>
    <xf numFmtId="166" fontId="0" fillId="0" borderId="0" xfId="0" applyNumberFormat="1" applyFill="1"/>
    <xf numFmtId="0" fontId="64" fillId="0" borderId="0" xfId="0" applyFont="1" applyAlignment="1">
      <alignment horizontal="center"/>
    </xf>
    <xf numFmtId="0" fontId="79" fillId="0" borderId="0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164" fontId="0" fillId="0" borderId="33" xfId="1" applyNumberFormat="1" applyFont="1" applyBorder="1" applyAlignment="1">
      <alignment horizontal="center"/>
    </xf>
    <xf numFmtId="164" fontId="117" fillId="6" borderId="23" xfId="1" applyNumberFormat="1" applyFont="1" applyFill="1" applyBorder="1"/>
    <xf numFmtId="164" fontId="118" fillId="6" borderId="23" xfId="1" applyNumberFormat="1" applyFont="1" applyFill="1" applyBorder="1"/>
    <xf numFmtId="0" fontId="119" fillId="0" borderId="0" xfId="0" applyFont="1" applyAlignment="1">
      <alignment horizontal="center"/>
    </xf>
    <xf numFmtId="165" fontId="118" fillId="0" borderId="0" xfId="1" applyNumberFormat="1" applyFont="1" applyFill="1" applyAlignment="1">
      <alignment horizontal="center"/>
    </xf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0" fontId="40" fillId="0" borderId="0" xfId="0" applyFont="1" applyFill="1"/>
    <xf numFmtId="43" fontId="0" fillId="0" borderId="0" xfId="1" applyNumberFormat="1" applyFont="1" applyFill="1"/>
    <xf numFmtId="165" fontId="34" fillId="0" borderId="0" xfId="1" applyNumberFormat="1" applyFont="1" applyFill="1" applyBorder="1"/>
    <xf numFmtId="0" fontId="34" fillId="0" borderId="29" xfId="0" applyFont="1" applyFill="1" applyBorder="1" applyAlignment="1">
      <alignment horizontal="center"/>
    </xf>
    <xf numFmtId="0" fontId="0" fillId="0" borderId="30" xfId="0" applyFill="1" applyBorder="1"/>
    <xf numFmtId="0" fontId="34" fillId="0" borderId="28" xfId="0" applyFont="1" applyFill="1" applyBorder="1" applyAlignment="1">
      <alignment horizontal="center"/>
    </xf>
    <xf numFmtId="0" fontId="34" fillId="0" borderId="31" xfId="0" applyFont="1" applyFill="1" applyBorder="1" applyAlignment="1">
      <alignment horizontal="center"/>
    </xf>
    <xf numFmtId="0" fontId="0" fillId="0" borderId="28" xfId="0" applyFill="1" applyBorder="1"/>
    <xf numFmtId="0" fontId="34" fillId="0" borderId="28" xfId="0" applyFont="1" applyFill="1" applyBorder="1"/>
    <xf numFmtId="43" fontId="34" fillId="0" borderId="0" xfId="1" applyFont="1" applyFill="1" applyBorder="1"/>
    <xf numFmtId="14" fontId="77" fillId="0" borderId="0" xfId="0" applyNumberFormat="1" applyFont="1" applyFill="1" applyBorder="1" applyAlignment="1"/>
    <xf numFmtId="17" fontId="34" fillId="0" borderId="0" xfId="0" applyNumberFormat="1" applyFont="1" applyFill="1" applyBorder="1"/>
    <xf numFmtId="43" fontId="34" fillId="0" borderId="30" xfId="1" applyFont="1" applyFill="1" applyBorder="1" applyAlignment="1">
      <alignment horizontal="center"/>
    </xf>
    <xf numFmtId="164" fontId="34" fillId="0" borderId="31" xfId="1" applyNumberFormat="1" applyFont="1" applyFill="1" applyBorder="1" applyAlignment="1">
      <alignment horizontal="center"/>
    </xf>
    <xf numFmtId="164" fontId="0" fillId="0" borderId="31" xfId="1" applyNumberFormat="1" applyFont="1" applyFill="1" applyBorder="1"/>
    <xf numFmtId="164" fontId="0" fillId="0" borderId="0" xfId="1" applyNumberFormat="1" applyFont="1" applyFill="1"/>
    <xf numFmtId="0" fontId="34" fillId="0" borderId="1" xfId="0" applyFont="1" applyFill="1" applyBorder="1" applyAlignment="1">
      <alignment horizontal="center"/>
    </xf>
    <xf numFmtId="0" fontId="34" fillId="0" borderId="2" xfId="0" applyFont="1" applyFill="1" applyBorder="1" applyAlignment="1">
      <alignment horizontal="center"/>
    </xf>
    <xf numFmtId="43" fontId="34" fillId="0" borderId="2" xfId="1" applyFont="1" applyFill="1" applyBorder="1" applyAlignment="1">
      <alignment horizontal="center"/>
    </xf>
    <xf numFmtId="43" fontId="34" fillId="0" borderId="3" xfId="1" applyFont="1" applyFill="1" applyBorder="1" applyAlignment="1">
      <alignment horizontal="center"/>
    </xf>
    <xf numFmtId="0" fontId="34" fillId="0" borderId="4" xfId="0" applyFont="1" applyFill="1" applyBorder="1"/>
    <xf numFmtId="164" fontId="39" fillId="0" borderId="5" xfId="1" applyNumberFormat="1" applyFont="1" applyFill="1" applyBorder="1" applyAlignment="1">
      <alignment horizontal="center"/>
    </xf>
    <xf numFmtId="0" fontId="34" fillId="0" borderId="6" xfId="0" applyFont="1" applyFill="1" applyBorder="1"/>
    <xf numFmtId="0" fontId="34" fillId="0" borderId="7" xfId="0" applyFont="1" applyFill="1" applyBorder="1" applyAlignment="1">
      <alignment horizontal="center"/>
    </xf>
    <xf numFmtId="43" fontId="34" fillId="0" borderId="7" xfId="1" applyFont="1" applyFill="1" applyBorder="1" applyAlignment="1">
      <alignment horizontal="center"/>
    </xf>
    <xf numFmtId="43" fontId="34" fillId="0" borderId="26" xfId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8" xfId="0" applyBorder="1"/>
    <xf numFmtId="0" fontId="24" fillId="0" borderId="0" xfId="0" applyFont="1" applyFill="1" applyBorder="1" applyAlignment="1">
      <alignment horizontal="left"/>
    </xf>
    <xf numFmtId="0" fontId="24" fillId="0" borderId="33" xfId="0" applyFont="1" applyBorder="1" applyAlignment="1">
      <alignment horizontal="left"/>
    </xf>
    <xf numFmtId="14" fontId="33" fillId="0" borderId="0" xfId="0" applyNumberFormat="1" applyFont="1" applyFill="1" applyBorder="1" applyAlignment="1"/>
    <xf numFmtId="0" fontId="61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0" fontId="23" fillId="0" borderId="31" xfId="0" applyFont="1" applyFill="1" applyBorder="1" applyAlignment="1">
      <alignment vertical="center"/>
    </xf>
    <xf numFmtId="0" fontId="77" fillId="0" borderId="31" xfId="0" applyFont="1" applyBorder="1" applyAlignment="1">
      <alignment vertical="center"/>
    </xf>
    <xf numFmtId="0" fontId="23" fillId="0" borderId="31" xfId="0" applyFont="1" applyBorder="1" applyAlignment="1">
      <alignment vertical="center"/>
    </xf>
    <xf numFmtId="0" fontId="77" fillId="0" borderId="31" xfId="0" applyFont="1" applyBorder="1"/>
    <xf numFmtId="164" fontId="116" fillId="8" borderId="23" xfId="1" applyNumberFormat="1" applyFont="1" applyFill="1" applyBorder="1"/>
    <xf numFmtId="0" fontId="77" fillId="8" borderId="0" xfId="0" applyFont="1" applyFill="1"/>
    <xf numFmtId="0" fontId="77" fillId="8" borderId="0" xfId="0" applyFont="1" applyFill="1" applyBorder="1" applyAlignment="1">
      <alignment horizontal="center"/>
    </xf>
    <xf numFmtId="43" fontId="77" fillId="8" borderId="0" xfId="1" applyFont="1" applyFill="1" applyBorder="1" applyAlignment="1">
      <alignment horizontal="center"/>
    </xf>
    <xf numFmtId="0" fontId="76" fillId="8" borderId="0" xfId="0" applyFont="1" applyFill="1" applyBorder="1"/>
    <xf numFmtId="0" fontId="76" fillId="8" borderId="0" xfId="0" applyFont="1" applyFill="1" applyBorder="1" applyAlignment="1">
      <alignment horizontal="center"/>
    </xf>
    <xf numFmtId="0" fontId="77" fillId="8" borderId="0" xfId="0" applyFont="1" applyFill="1" applyBorder="1"/>
    <xf numFmtId="14" fontId="77" fillId="8" borderId="0" xfId="0" applyNumberFormat="1" applyFont="1" applyFill="1"/>
    <xf numFmtId="0" fontId="33" fillId="8" borderId="0" xfId="0" applyFont="1" applyFill="1" applyBorder="1" applyAlignment="1">
      <alignment horizontal="center"/>
    </xf>
    <xf numFmtId="43" fontId="33" fillId="8" borderId="0" xfId="1" applyFont="1" applyFill="1" applyBorder="1" applyAlignment="1">
      <alignment horizontal="center"/>
    </xf>
    <xf numFmtId="0" fontId="75" fillId="8" borderId="0" xfId="0" applyFont="1" applyFill="1" applyBorder="1"/>
    <xf numFmtId="0" fontId="34" fillId="8" borderId="0" xfId="0" applyFont="1" applyFill="1" applyBorder="1" applyAlignment="1">
      <alignment horizontal="center"/>
    </xf>
    <xf numFmtId="0" fontId="74" fillId="8" borderId="0" xfId="0" applyFont="1" applyFill="1"/>
    <xf numFmtId="0" fontId="74" fillId="8" borderId="0" xfId="0" applyFont="1" applyFill="1" applyBorder="1"/>
    <xf numFmtId="14" fontId="33" fillId="8" borderId="0" xfId="0" applyNumberFormat="1" applyFont="1" applyFill="1" applyBorder="1"/>
    <xf numFmtId="0" fontId="100" fillId="8" borderId="0" xfId="0" applyFont="1" applyFill="1" applyBorder="1"/>
    <xf numFmtId="165" fontId="77" fillId="8" borderId="0" xfId="1" applyNumberFormat="1" applyFont="1" applyFill="1" applyBorder="1" applyAlignment="1">
      <alignment horizontal="center"/>
    </xf>
    <xf numFmtId="0" fontId="107" fillId="8" borderId="0" xfId="0" applyFont="1" applyFill="1" applyBorder="1"/>
    <xf numFmtId="0" fontId="100" fillId="8" borderId="0" xfId="0" applyFont="1" applyFill="1"/>
    <xf numFmtId="14" fontId="33" fillId="8" borderId="0" xfId="0" applyNumberFormat="1" applyFont="1" applyFill="1"/>
    <xf numFmtId="0" fontId="77" fillId="0" borderId="31" xfId="0" applyFont="1" applyFill="1" applyBorder="1"/>
    <xf numFmtId="14" fontId="77" fillId="8" borderId="0" xfId="0" applyNumberFormat="1" applyFont="1" applyFill="1" applyBorder="1" applyAlignment="1">
      <alignment horizontal="center"/>
    </xf>
    <xf numFmtId="0" fontId="77" fillId="8" borderId="0" xfId="0" applyFont="1" applyFill="1" applyAlignment="1">
      <alignment horizontal="center"/>
    </xf>
    <xf numFmtId="0" fontId="120" fillId="0" borderId="0" xfId="0" applyFont="1" applyAlignment="1">
      <alignment vertical="center"/>
    </xf>
    <xf numFmtId="0" fontId="121" fillId="0" borderId="0" xfId="0" applyFont="1" applyBorder="1" applyAlignment="1">
      <alignment horizontal="center"/>
    </xf>
    <xf numFmtId="164" fontId="121" fillId="6" borderId="23" xfId="1" applyNumberFormat="1" applyFont="1" applyFill="1" applyBorder="1"/>
    <xf numFmtId="4" fontId="0" fillId="0" borderId="33" xfId="0" applyNumberFormat="1" applyBorder="1"/>
    <xf numFmtId="14" fontId="33" fillId="0" borderId="0" xfId="0" applyNumberFormat="1" applyFont="1" applyFill="1" applyBorder="1" applyAlignment="1">
      <alignment horizontal="right"/>
    </xf>
    <xf numFmtId="165" fontId="122" fillId="0" borderId="0" xfId="1" applyNumberFormat="1" applyFont="1" applyFill="1" applyAlignment="1">
      <alignment horizontal="center"/>
    </xf>
    <xf numFmtId="14" fontId="77" fillId="0" borderId="0" xfId="1" applyNumberFormat="1" applyFont="1" applyFill="1" applyBorder="1" applyAlignment="1">
      <alignment horizontal="center"/>
    </xf>
    <xf numFmtId="49" fontId="60" fillId="0" borderId="0" xfId="1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8" xfId="0" applyBorder="1"/>
    <xf numFmtId="166" fontId="34" fillId="0" borderId="0" xfId="0" applyNumberFormat="1" applyFont="1" applyFill="1" applyBorder="1"/>
    <xf numFmtId="49" fontId="77" fillId="0" borderId="0" xfId="0" applyNumberFormat="1" applyFont="1" applyFill="1" applyAlignment="1">
      <alignment horizontal="center"/>
    </xf>
    <xf numFmtId="14" fontId="76" fillId="0" borderId="0" xfId="0" applyNumberFormat="1" applyFont="1" applyFill="1" applyBorder="1" applyAlignment="1">
      <alignment horizontal="right"/>
    </xf>
    <xf numFmtId="0" fontId="33" fillId="8" borderId="0" xfId="0" applyFont="1" applyFill="1"/>
    <xf numFmtId="14" fontId="33" fillId="8" borderId="0" xfId="0" applyNumberFormat="1" applyFont="1" applyFill="1" applyBorder="1" applyAlignment="1">
      <alignment horizontal="center"/>
    </xf>
    <xf numFmtId="0" fontId="33" fillId="8" borderId="0" xfId="0" applyFont="1" applyFill="1" applyBorder="1"/>
    <xf numFmtId="0" fontId="34" fillId="8" borderId="0" xfId="0" applyFont="1" applyFill="1" applyBorder="1"/>
    <xf numFmtId="164" fontId="61" fillId="0" borderId="0" xfId="1" applyNumberFormat="1" applyFont="1" applyFill="1"/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8" xfId="0" applyBorder="1"/>
    <xf numFmtId="0" fontId="47" fillId="0" borderId="0" xfId="0" applyFont="1" applyAlignment="1">
      <alignment horizontal="center" vertical="center"/>
    </xf>
    <xf numFmtId="164" fontId="101" fillId="0" borderId="27" xfId="1" applyNumberFormat="1" applyFont="1" applyBorder="1"/>
    <xf numFmtId="164" fontId="74" fillId="0" borderId="27" xfId="1" applyNumberFormat="1" applyFont="1" applyBorder="1"/>
    <xf numFmtId="164" fontId="78" fillId="0" borderId="27" xfId="1" applyNumberFormat="1" applyFont="1" applyBorder="1"/>
    <xf numFmtId="164" fontId="33" fillId="7" borderId="20" xfId="1" applyNumberFormat="1" applyFont="1" applyFill="1" applyBorder="1"/>
    <xf numFmtId="49" fontId="33" fillId="0" borderId="0" xfId="0" applyNumberFormat="1" applyFont="1" applyFill="1" applyAlignment="1">
      <alignment horizontal="center"/>
    </xf>
    <xf numFmtId="16" fontId="111" fillId="0" borderId="0" xfId="0" applyNumberFormat="1" applyFont="1"/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165" fontId="123" fillId="0" borderId="0" xfId="1" applyNumberFormat="1" applyFont="1" applyFill="1" applyAlignment="1">
      <alignment horizontal="center"/>
    </xf>
    <xf numFmtId="164" fontId="37" fillId="6" borderId="23" xfId="1" applyNumberFormat="1" applyFont="1" applyFill="1" applyBorder="1" applyAlignment="1"/>
    <xf numFmtId="14" fontId="33" fillId="0" borderId="0" xfId="0" applyNumberFormat="1" applyFont="1" applyAlignment="1"/>
    <xf numFmtId="0" fontId="0" fillId="0" borderId="0" xfId="0" applyBorder="1" applyAlignment="1">
      <alignment horizontal="center"/>
    </xf>
    <xf numFmtId="0" fontId="0" fillId="0" borderId="28" xfId="0" applyBorder="1"/>
    <xf numFmtId="0" fontId="0" fillId="0" borderId="28" xfId="0" applyBorder="1" applyAlignment="1">
      <alignment horizontal="center"/>
    </xf>
    <xf numFmtId="0" fontId="47" fillId="0" borderId="0" xfId="0" applyFont="1" applyAlignment="1">
      <alignment horizontal="center" vertical="center"/>
    </xf>
    <xf numFmtId="49" fontId="33" fillId="0" borderId="0" xfId="1" applyNumberFormat="1" applyFont="1" applyFill="1" applyBorder="1" applyAlignment="1">
      <alignment horizontal="center"/>
    </xf>
    <xf numFmtId="164" fontId="61" fillId="0" borderId="23" xfId="1" applyNumberFormat="1" applyFont="1" applyBorder="1"/>
    <xf numFmtId="164" fontId="79" fillId="0" borderId="23" xfId="1" applyNumberFormat="1" applyFont="1" applyBorder="1"/>
    <xf numFmtId="164" fontId="33" fillId="0" borderId="20" xfId="1" applyNumberFormat="1" applyFont="1" applyBorder="1"/>
    <xf numFmtId="164" fontId="33" fillId="0" borderId="33" xfId="1" applyNumberFormat="1" applyFont="1" applyBorder="1"/>
    <xf numFmtId="164" fontId="122" fillId="0" borderId="23" xfId="1" applyNumberFormat="1" applyFont="1" applyFill="1" applyBorder="1"/>
    <xf numFmtId="164" fontId="122" fillId="7" borderId="23" xfId="1" applyNumberFormat="1" applyFont="1" applyFill="1" applyBorder="1"/>
    <xf numFmtId="165" fontId="63" fillId="0" borderId="0" xfId="1" applyNumberFormat="1" applyFont="1" applyFill="1" applyAlignment="1">
      <alignment horizontal="center"/>
    </xf>
    <xf numFmtId="0" fontId="70" fillId="0" borderId="0" xfId="0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0" fontId="22" fillId="0" borderId="0" xfId="0" applyFont="1" applyFill="1" applyBorder="1" applyAlignment="1">
      <alignment horizontal="left"/>
    </xf>
    <xf numFmtId="0" fontId="64" fillId="7" borderId="0" xfId="0" applyFont="1" applyFill="1" applyBorder="1"/>
    <xf numFmtId="14" fontId="75" fillId="0" borderId="0" xfId="0" applyNumberFormat="1" applyFont="1" applyFill="1" applyBorder="1"/>
    <xf numFmtId="14" fontId="75" fillId="0" borderId="0" xfId="0" applyNumberFormat="1" applyFont="1" applyFill="1" applyBorder="1" applyAlignment="1">
      <alignment horizontal="center"/>
    </xf>
    <xf numFmtId="0" fontId="40" fillId="0" borderId="0" xfId="0" applyFont="1" applyFill="1" applyBorder="1"/>
    <xf numFmtId="0" fontId="47" fillId="0" borderId="0" xfId="0" applyFont="1" applyAlignment="1">
      <alignment horizontal="center" vertical="center"/>
    </xf>
    <xf numFmtId="166" fontId="34" fillId="0" borderId="0" xfId="0" applyNumberFormat="1" applyFont="1"/>
    <xf numFmtId="14" fontId="34" fillId="0" borderId="0" xfId="0" applyNumberFormat="1" applyFont="1" applyFill="1" applyBorder="1" applyAlignment="1">
      <alignment horizontal="right"/>
    </xf>
    <xf numFmtId="14" fontId="60" fillId="0" borderId="0" xfId="0" applyNumberFormat="1" applyFont="1" applyFill="1" applyBorder="1" applyAlignment="1">
      <alignment horizontal="right"/>
    </xf>
    <xf numFmtId="14" fontId="33" fillId="0" borderId="0" xfId="0" applyNumberFormat="1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28" xfId="0" applyBorder="1"/>
    <xf numFmtId="0" fontId="0" fillId="0" borderId="28" xfId="0" applyBorder="1" applyAlignment="1">
      <alignment horizontal="center"/>
    </xf>
    <xf numFmtId="0" fontId="104" fillId="0" borderId="0" xfId="0" applyFont="1" applyBorder="1"/>
    <xf numFmtId="164" fontId="33" fillId="0" borderId="0" xfId="0" applyNumberFormat="1" applyFont="1"/>
    <xf numFmtId="10" fontId="0" fillId="0" borderId="0" xfId="44" applyNumberFormat="1" applyFont="1"/>
    <xf numFmtId="165" fontId="33" fillId="0" borderId="0" xfId="1" applyNumberFormat="1" applyFont="1"/>
    <xf numFmtId="41" fontId="0" fillId="0" borderId="0" xfId="0" applyNumberFormat="1"/>
    <xf numFmtId="164" fontId="36" fillId="0" borderId="0" xfId="1" applyNumberFormat="1" applyFont="1" applyBorder="1"/>
    <xf numFmtId="164" fontId="36" fillId="0" borderId="0" xfId="1" applyNumberFormat="1" applyFont="1" applyFill="1" applyBorder="1"/>
    <xf numFmtId="0" fontId="120" fillId="0" borderId="0" xfId="0" applyFont="1" applyBorder="1" applyAlignment="1"/>
    <xf numFmtId="0" fontId="40" fillId="0" borderId="0" xfId="0" applyFont="1" applyBorder="1"/>
    <xf numFmtId="0" fontId="51" fillId="0" borderId="4" xfId="0" applyFont="1" applyBorder="1" applyAlignment="1">
      <alignment horizontal="center" vertical="center"/>
    </xf>
    <xf numFmtId="164" fontId="39" fillId="0" borderId="48" xfId="1" applyNumberFormat="1" applyFont="1" applyBorder="1"/>
    <xf numFmtId="164" fontId="39" fillId="0" borderId="10" xfId="1" applyNumberFormat="1" applyFont="1" applyBorder="1"/>
    <xf numFmtId="164" fontId="39" fillId="0" borderId="3" xfId="1" applyNumberFormat="1" applyFont="1" applyBorder="1"/>
    <xf numFmtId="0" fontId="51" fillId="0" borderId="12" xfId="0" applyFont="1" applyBorder="1" applyAlignment="1">
      <alignment horizontal="center" vertical="center"/>
    </xf>
    <xf numFmtId="0" fontId="33" fillId="0" borderId="11" xfId="0" applyFont="1" applyBorder="1"/>
    <xf numFmtId="164" fontId="33" fillId="0" borderId="11" xfId="1" applyNumberFormat="1" applyFont="1" applyBorder="1"/>
    <xf numFmtId="164" fontId="33" fillId="0" borderId="0" xfId="1" applyNumberFormat="1" applyFont="1" applyBorder="1"/>
    <xf numFmtId="0" fontId="51" fillId="0" borderId="11" xfId="0" applyFont="1" applyBorder="1" applyAlignment="1">
      <alignment horizontal="center" vertical="center"/>
    </xf>
    <xf numFmtId="164" fontId="39" fillId="0" borderId="10" xfId="1" applyNumberFormat="1" applyFont="1" applyBorder="1" applyAlignment="1">
      <alignment horizontal="center" vertical="center"/>
    </xf>
    <xf numFmtId="0" fontId="33" fillId="0" borderId="4" xfId="0" applyFont="1" applyFill="1" applyBorder="1"/>
    <xf numFmtId="164" fontId="0" fillId="0" borderId="11" xfId="0" applyNumberFormat="1" applyBorder="1" applyAlignment="1">
      <alignment wrapText="1"/>
    </xf>
    <xf numFmtId="10" fontId="0" fillId="0" borderId="11" xfId="44" applyNumberFormat="1" applyFont="1" applyBorder="1" applyAlignment="1">
      <alignment wrapText="1"/>
    </xf>
    <xf numFmtId="0" fontId="33" fillId="0" borderId="11" xfId="0" applyFont="1" applyBorder="1" applyAlignment="1">
      <alignment wrapText="1"/>
    </xf>
    <xf numFmtId="0" fontId="0" fillId="0" borderId="11" xfId="0" applyBorder="1" applyAlignment="1">
      <alignment wrapText="1"/>
    </xf>
    <xf numFmtId="0" fontId="0" fillId="0" borderId="11" xfId="0" applyFill="1" applyBorder="1" applyAlignment="1">
      <alignment wrapText="1"/>
    </xf>
    <xf numFmtId="0" fontId="33" fillId="0" borderId="11" xfId="0" applyFont="1" applyFill="1" applyBorder="1" applyAlignment="1">
      <alignment wrapText="1"/>
    </xf>
    <xf numFmtId="164" fontId="33" fillId="0" borderId="11" xfId="0" applyNumberFormat="1" applyFont="1" applyBorder="1" applyAlignment="1">
      <alignment wrapText="1"/>
    </xf>
    <xf numFmtId="165" fontId="33" fillId="0" borderId="11" xfId="0" applyNumberFormat="1" applyFont="1" applyBorder="1" applyAlignment="1">
      <alignment wrapText="1"/>
    </xf>
    <xf numFmtId="164" fontId="37" fillId="44" borderId="19" xfId="1" applyNumberFormat="1" applyFont="1" applyFill="1" applyBorder="1"/>
    <xf numFmtId="0" fontId="128" fillId="0" borderId="0" xfId="0" applyFont="1" applyBorder="1"/>
    <xf numFmtId="164" fontId="53" fillId="0" borderId="0" xfId="1" applyNumberFormat="1" applyFont="1" applyBorder="1"/>
    <xf numFmtId="164" fontId="125" fillId="0" borderId="0" xfId="1" applyNumberFormat="1" applyFont="1" applyBorder="1"/>
    <xf numFmtId="164" fontId="35" fillId="0" borderId="0" xfId="1" applyNumberFormat="1" applyFont="1" applyBorder="1"/>
    <xf numFmtId="164" fontId="33" fillId="0" borderId="31" xfId="1" applyNumberFormat="1" applyFont="1" applyBorder="1" applyAlignment="1">
      <alignment horizontal="center"/>
    </xf>
    <xf numFmtId="164" fontId="0" fillId="0" borderId="31" xfId="1" applyNumberFormat="1" applyFont="1" applyBorder="1"/>
    <xf numFmtId="164" fontId="33" fillId="0" borderId="31" xfId="1" applyNumberFormat="1" applyFont="1" applyBorder="1"/>
    <xf numFmtId="14" fontId="0" fillId="0" borderId="31" xfId="1" applyNumberFormat="1" applyFont="1" applyBorder="1" applyAlignment="1">
      <alignment horizontal="center"/>
    </xf>
    <xf numFmtId="164" fontId="0" fillId="0" borderId="31" xfId="1" applyNumberFormat="1" applyFont="1" applyBorder="1" applyAlignment="1">
      <alignment horizontal="center"/>
    </xf>
    <xf numFmtId="164" fontId="33" fillId="0" borderId="31" xfId="1" applyNumberFormat="1" applyFont="1" applyBorder="1" applyAlignment="1">
      <alignment horizontal="center"/>
    </xf>
    <xf numFmtId="0" fontId="33" fillId="0" borderId="31" xfId="0" applyFont="1" applyFill="1" applyBorder="1"/>
    <xf numFmtId="0" fontId="53" fillId="0" borderId="0" xfId="0" applyFont="1" applyBorder="1"/>
    <xf numFmtId="0" fontId="38" fillId="0" borderId="0" xfId="0" applyFont="1" applyBorder="1"/>
    <xf numFmtId="0" fontId="39" fillId="0" borderId="0" xfId="0" applyFont="1" applyBorder="1"/>
    <xf numFmtId="14" fontId="53" fillId="0" borderId="0" xfId="1" applyNumberFormat="1" applyFont="1" applyBorder="1" applyAlignment="1">
      <alignment horizontal="center"/>
    </xf>
    <xf numFmtId="0" fontId="129" fillId="0" borderId="0" xfId="0" applyFont="1" applyBorder="1"/>
    <xf numFmtId="14" fontId="33" fillId="0" borderId="31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7" fillId="0" borderId="0" xfId="0" applyFont="1" applyAlignment="1">
      <alignment horizontal="center"/>
    </xf>
    <xf numFmtId="0" fontId="102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4" fontId="19" fillId="0" borderId="33" xfId="0" applyNumberFormat="1" applyFont="1" applyBorder="1" applyAlignment="1">
      <alignment horizontal="left"/>
    </xf>
    <xf numFmtId="0" fontId="130" fillId="0" borderId="0" xfId="0" applyFont="1" applyBorder="1"/>
    <xf numFmtId="0" fontId="125" fillId="0" borderId="0" xfId="0" applyFont="1" applyBorder="1"/>
    <xf numFmtId="164" fontId="131" fillId="0" borderId="20" xfId="1" applyNumberFormat="1" applyFont="1" applyBorder="1"/>
    <xf numFmtId="164" fontId="131" fillId="0" borderId="23" xfId="1" applyNumberFormat="1" applyFont="1" applyBorder="1"/>
    <xf numFmtId="164" fontId="131" fillId="7" borderId="23" xfId="1" applyNumberFormat="1" applyFont="1" applyFill="1" applyBorder="1"/>
    <xf numFmtId="0" fontId="35" fillId="0" borderId="0" xfId="0" applyFont="1" applyBorder="1"/>
    <xf numFmtId="0" fontId="132" fillId="0" borderId="0" xfId="0" applyFont="1" applyFill="1" applyBorder="1" applyAlignment="1">
      <alignment horizontal="center"/>
    </xf>
    <xf numFmtId="0" fontId="132" fillId="7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8" xfId="0" applyBorder="1"/>
    <xf numFmtId="0" fontId="0" fillId="0" borderId="28" xfId="0" applyBorder="1" applyAlignment="1">
      <alignment horizontal="center"/>
    </xf>
    <xf numFmtId="170" fontId="37" fillId="0" borderId="23" xfId="1" applyNumberFormat="1" applyFont="1" applyFill="1" applyBorder="1"/>
    <xf numFmtId="164" fontId="33" fillId="0" borderId="27" xfId="1" applyNumberFormat="1" applyFont="1" applyBorder="1"/>
    <xf numFmtId="164" fontId="33" fillId="0" borderId="31" xfId="1" applyNumberFormat="1" applyFont="1" applyBorder="1" applyAlignment="1">
      <alignment horizontal="center"/>
    </xf>
    <xf numFmtId="164" fontId="0" fillId="0" borderId="31" xfId="1" applyNumberFormat="1" applyFont="1" applyBorder="1" applyAlignment="1">
      <alignment horizontal="center"/>
    </xf>
    <xf numFmtId="0" fontId="33" fillId="0" borderId="7" xfId="0" applyFont="1" applyBorder="1"/>
    <xf numFmtId="0" fontId="18" fillId="0" borderId="31" xfId="0" applyFont="1" applyFill="1" applyBorder="1" applyAlignment="1">
      <alignment horizontal="left"/>
    </xf>
    <xf numFmtId="164" fontId="61" fillId="0" borderId="20" xfId="1" applyNumberFormat="1" applyFont="1" applyBorder="1"/>
    <xf numFmtId="0" fontId="122" fillId="0" borderId="0" xfId="0" applyFont="1" applyBorder="1"/>
    <xf numFmtId="0" fontId="122" fillId="0" borderId="0" xfId="0" applyFont="1"/>
    <xf numFmtId="0" fontId="117" fillId="0" borderId="0" xfId="0" applyFont="1" applyBorder="1"/>
    <xf numFmtId="0" fontId="0" fillId="0" borderId="28" xfId="0" applyBorder="1"/>
    <xf numFmtId="164" fontId="0" fillId="0" borderId="0" xfId="1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102" fillId="0" borderId="0" xfId="0" applyFont="1" applyAlignment="1">
      <alignment horizontal="center"/>
    </xf>
    <xf numFmtId="0" fontId="39" fillId="0" borderId="0" xfId="0" applyFont="1" applyFill="1" applyBorder="1" applyAlignment="1">
      <alignment horizontal="center"/>
    </xf>
    <xf numFmtId="14" fontId="60" fillId="0" borderId="0" xfId="0" applyNumberFormat="1" applyFont="1" applyFill="1" applyAlignment="1">
      <alignment horizontal="right"/>
    </xf>
    <xf numFmtId="0" fontId="60" fillId="0" borderId="0" xfId="0" applyFont="1" applyFill="1" applyAlignment="1">
      <alignment horizontal="right"/>
    </xf>
    <xf numFmtId="0" fontId="95" fillId="0" borderId="0" xfId="0" applyFont="1"/>
    <xf numFmtId="14" fontId="53" fillId="0" borderId="0" xfId="0" applyNumberFormat="1" applyFont="1" applyFill="1"/>
    <xf numFmtId="49" fontId="53" fillId="0" borderId="0" xfId="0" applyNumberFormat="1" applyFont="1" applyFill="1" applyBorder="1" applyAlignment="1">
      <alignment horizontal="center"/>
    </xf>
    <xf numFmtId="0" fontId="53" fillId="0" borderId="0" xfId="0" applyFont="1" applyFill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53" fillId="0" borderId="0" xfId="0" applyFont="1" applyFill="1" applyBorder="1"/>
    <xf numFmtId="0" fontId="39" fillId="0" borderId="0" xfId="0" applyFont="1" applyFill="1" applyBorder="1"/>
    <xf numFmtId="14" fontId="53" fillId="0" borderId="0" xfId="0" applyNumberFormat="1" applyFont="1" applyFill="1" applyBorder="1" applyAlignment="1"/>
    <xf numFmtId="0" fontId="53" fillId="0" borderId="0" xfId="0" applyFont="1" applyFill="1"/>
    <xf numFmtId="43" fontId="39" fillId="0" borderId="0" xfId="1" applyFont="1" applyFill="1" applyBorder="1" applyAlignment="1">
      <alignment horizontal="center"/>
    </xf>
    <xf numFmtId="165" fontId="39" fillId="0" borderId="0" xfId="1" applyNumberFormat="1" applyFont="1" applyFill="1" applyBorder="1" applyAlignment="1">
      <alignment horizontal="center"/>
    </xf>
    <xf numFmtId="165" fontId="39" fillId="0" borderId="31" xfId="1" applyNumberFormat="1" applyFont="1" applyFill="1" applyBorder="1" applyAlignment="1">
      <alignment horizontal="center"/>
    </xf>
    <xf numFmtId="43" fontId="39" fillId="0" borderId="31" xfId="1" applyFont="1" applyFill="1" applyBorder="1" applyAlignment="1">
      <alignment horizontal="center"/>
    </xf>
    <xf numFmtId="0" fontId="134" fillId="0" borderId="0" xfId="0" applyFont="1"/>
    <xf numFmtId="0" fontId="0" fillId="0" borderId="28" xfId="0" applyBorder="1"/>
    <xf numFmtId="0" fontId="135" fillId="7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77" fillId="0" borderId="31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14" fontId="60" fillId="0" borderId="0" xfId="0" applyNumberFormat="1" applyFont="1" applyFill="1" applyBorder="1" applyAlignment="1"/>
    <xf numFmtId="0" fontId="0" fillId="0" borderId="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8" xfId="0" applyBorder="1"/>
    <xf numFmtId="164" fontId="136" fillId="7" borderId="23" xfId="1" applyNumberFormat="1" applyFont="1" applyFill="1" applyBorder="1"/>
    <xf numFmtId="164" fontId="99" fillId="0" borderId="23" xfId="1" applyNumberFormat="1" applyFont="1" applyFill="1" applyBorder="1"/>
    <xf numFmtId="164" fontId="99" fillId="7" borderId="23" xfId="1" applyNumberFormat="1" applyFont="1" applyFill="1" applyBorder="1"/>
    <xf numFmtId="164" fontId="0" fillId="0" borderId="0" xfId="1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102" fillId="0" borderId="0" xfId="0" applyFont="1" applyAlignment="1">
      <alignment horizontal="center"/>
    </xf>
    <xf numFmtId="0" fontId="61" fillId="0" borderId="0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116" fillId="7" borderId="0" xfId="0" applyFont="1" applyFill="1" applyBorder="1" applyAlignment="1">
      <alignment horizontal="center"/>
    </xf>
    <xf numFmtId="0" fontId="63" fillId="7" borderId="0" xfId="0" applyFont="1" applyFill="1" applyBorder="1" applyAlignment="1">
      <alignment horizontal="center"/>
    </xf>
    <xf numFmtId="0" fontId="100" fillId="0" borderId="0" xfId="0" applyFont="1" applyAlignment="1">
      <alignment horizontal="center"/>
    </xf>
    <xf numFmtId="0" fontId="97" fillId="0" borderId="0" xfId="0" applyFont="1" applyAlignment="1">
      <alignment horizontal="center"/>
    </xf>
    <xf numFmtId="0" fontId="116" fillId="0" borderId="0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33" fillId="0" borderId="31" xfId="0" applyFont="1" applyBorder="1" applyAlignment="1">
      <alignment horizontal="center" vertical="center"/>
    </xf>
    <xf numFmtId="0" fontId="33" fillId="7" borderId="0" xfId="0" applyFont="1" applyFill="1" applyBorder="1"/>
    <xf numFmtId="165" fontId="137" fillId="0" borderId="0" xfId="1" applyNumberFormat="1" applyFont="1" applyFill="1" applyAlignment="1">
      <alignment horizontal="center"/>
    </xf>
    <xf numFmtId="0" fontId="34" fillId="0" borderId="0" xfId="58" applyFont="1" applyAlignment="1">
      <alignment horizontal="center"/>
    </xf>
    <xf numFmtId="0" fontId="37" fillId="0" borderId="0" xfId="58" applyFont="1"/>
    <xf numFmtId="0" fontId="37" fillId="0" borderId="0" xfId="58" applyFont="1" applyFill="1"/>
    <xf numFmtId="0" fontId="138" fillId="0" borderId="0" xfId="58"/>
    <xf numFmtId="0" fontId="50" fillId="0" borderId="0" xfId="58" applyFont="1" applyAlignment="1">
      <alignment horizontal="right"/>
    </xf>
    <xf numFmtId="0" fontId="37" fillId="0" borderId="0" xfId="58" applyFont="1" applyBorder="1" applyAlignment="1">
      <alignment horizontal="center"/>
    </xf>
    <xf numFmtId="0" fontId="37" fillId="0" borderId="0" xfId="58" applyFont="1" applyFill="1" applyBorder="1" applyAlignment="1">
      <alignment horizontal="center"/>
    </xf>
    <xf numFmtId="0" fontId="34" fillId="0" borderId="0" xfId="58" applyFont="1"/>
    <xf numFmtId="0" fontId="50" fillId="0" borderId="0" xfId="58" applyFont="1" applyAlignment="1">
      <alignment horizontal="center"/>
    </xf>
    <xf numFmtId="164" fontId="50" fillId="0" borderId="0" xfId="59" applyNumberFormat="1" applyFont="1"/>
    <xf numFmtId="164" fontId="50" fillId="7" borderId="0" xfId="59" applyNumberFormat="1" applyFont="1" applyFill="1"/>
    <xf numFmtId="164" fontId="50" fillId="0" borderId="0" xfId="59" applyNumberFormat="1" applyFont="1" applyFill="1"/>
    <xf numFmtId="164" fontId="34" fillId="0" borderId="0" xfId="59" applyNumberFormat="1" applyFont="1"/>
    <xf numFmtId="164" fontId="37" fillId="0" borderId="0" xfId="59" applyNumberFormat="1" applyFont="1"/>
    <xf numFmtId="164" fontId="37" fillId="7" borderId="0" xfId="59" applyNumberFormat="1" applyFont="1" applyFill="1"/>
    <xf numFmtId="164" fontId="37" fillId="0" borderId="0" xfId="59" applyNumberFormat="1" applyFont="1" applyFill="1"/>
    <xf numFmtId="164" fontId="65" fillId="0" borderId="0" xfId="59" applyNumberFormat="1" applyFont="1"/>
    <xf numFmtId="0" fontId="33" fillId="0" borderId="0" xfId="58" applyFont="1"/>
    <xf numFmtId="164" fontId="50" fillId="0" borderId="0" xfId="58" applyNumberFormat="1" applyFont="1"/>
    <xf numFmtId="164" fontId="50" fillId="7" borderId="0" xfId="58" applyNumberFormat="1" applyFont="1" applyFill="1"/>
    <xf numFmtId="164" fontId="50" fillId="0" borderId="0" xfId="58" applyNumberFormat="1" applyFont="1" applyFill="1"/>
    <xf numFmtId="164" fontId="37" fillId="0" borderId="0" xfId="58" applyNumberFormat="1" applyFont="1"/>
    <xf numFmtId="164" fontId="37" fillId="7" borderId="0" xfId="58" applyNumberFormat="1" applyFont="1" applyFill="1"/>
    <xf numFmtId="164" fontId="37" fillId="0" borderId="0" xfId="58" applyNumberFormat="1" applyFont="1" applyFill="1"/>
    <xf numFmtId="0" fontId="37" fillId="7" borderId="0" xfId="58" applyFont="1" applyFill="1"/>
    <xf numFmtId="164" fontId="37" fillId="6" borderId="0" xfId="58" applyNumberFormat="1" applyFont="1" applyFill="1"/>
    <xf numFmtId="164" fontId="61" fillId="0" borderId="0" xfId="58" applyNumberFormat="1" applyFont="1"/>
    <xf numFmtId="0" fontId="37" fillId="0" borderId="1" xfId="58" applyFont="1" applyBorder="1"/>
    <xf numFmtId="0" fontId="37" fillId="0" borderId="2" xfId="58" applyFont="1" applyBorder="1"/>
    <xf numFmtId="0" fontId="37" fillId="0" borderId="2" xfId="58" applyFont="1" applyFill="1" applyBorder="1"/>
    <xf numFmtId="0" fontId="37" fillId="0" borderId="4" xfId="58" applyFont="1" applyBorder="1"/>
    <xf numFmtId="0" fontId="37" fillId="0" borderId="0" xfId="58" applyFont="1" applyBorder="1"/>
    <xf numFmtId="14" fontId="37" fillId="0" borderId="0" xfId="58" applyNumberFormat="1" applyFont="1" applyBorder="1" applyAlignment="1">
      <alignment horizontal="center"/>
    </xf>
    <xf numFmtId="14" fontId="37" fillId="0" borderId="0" xfId="58" applyNumberFormat="1" applyFont="1" applyBorder="1"/>
    <xf numFmtId="14" fontId="37" fillId="0" borderId="0" xfId="58" applyNumberFormat="1" applyFont="1" applyFill="1" applyBorder="1"/>
    <xf numFmtId="0" fontId="37" fillId="0" borderId="0" xfId="58" applyFont="1" applyFill="1" applyBorder="1"/>
    <xf numFmtId="0" fontId="79" fillId="0" borderId="4" xfId="58" applyFont="1" applyFill="1" applyBorder="1"/>
    <xf numFmtId="0" fontId="37" fillId="0" borderId="15" xfId="58" applyFont="1" applyBorder="1"/>
    <xf numFmtId="0" fontId="37" fillId="0" borderId="16" xfId="58" applyFont="1" applyBorder="1"/>
    <xf numFmtId="0" fontId="37" fillId="0" borderId="16" xfId="58" applyFont="1" applyFill="1" applyBorder="1"/>
    <xf numFmtId="0" fontId="37" fillId="0" borderId="6" xfId="58" applyFont="1" applyBorder="1" applyAlignment="1">
      <alignment horizontal="center"/>
    </xf>
    <xf numFmtId="0" fontId="37" fillId="0" borderId="6" xfId="58" applyFont="1" applyFill="1" applyBorder="1" applyAlignment="1">
      <alignment horizontal="center"/>
    </xf>
    <xf numFmtId="0" fontId="37" fillId="0" borderId="9" xfId="58" applyFont="1" applyBorder="1"/>
    <xf numFmtId="164" fontId="37" fillId="0" borderId="17" xfId="59" applyNumberFormat="1" applyFont="1" applyBorder="1"/>
    <xf numFmtId="0" fontId="37" fillId="0" borderId="6" xfId="58" applyFont="1" applyBorder="1"/>
    <xf numFmtId="164" fontId="37" fillId="0" borderId="18" xfId="59" applyNumberFormat="1" applyFont="1" applyBorder="1"/>
    <xf numFmtId="164" fontId="37" fillId="0" borderId="0" xfId="58" applyNumberFormat="1" applyFont="1" applyBorder="1"/>
    <xf numFmtId="164" fontId="37" fillId="0" borderId="9" xfId="59" applyNumberFormat="1" applyFont="1" applyBorder="1"/>
    <xf numFmtId="0" fontId="125" fillId="0" borderId="0" xfId="58" applyFont="1" applyBorder="1"/>
    <xf numFmtId="0" fontId="35" fillId="0" borderId="0" xfId="58" applyFont="1" applyBorder="1"/>
    <xf numFmtId="0" fontId="79" fillId="0" borderId="0" xfId="58" applyFont="1" applyBorder="1" applyAlignment="1">
      <alignment horizontal="center"/>
    </xf>
    <xf numFmtId="0" fontId="61" fillId="0" borderId="0" xfId="58" applyFont="1" applyBorder="1" applyAlignment="1">
      <alignment horizontal="center"/>
    </xf>
    <xf numFmtId="0" fontId="61" fillId="0" borderId="0" xfId="58" applyFont="1" applyBorder="1"/>
    <xf numFmtId="0" fontId="61" fillId="7" borderId="0" xfId="58" applyFont="1" applyFill="1" applyBorder="1" applyAlignment="1">
      <alignment horizontal="center"/>
    </xf>
    <xf numFmtId="0" fontId="135" fillId="7" borderId="0" xfId="58" applyFont="1" applyFill="1" applyBorder="1" applyAlignment="1">
      <alignment horizontal="center"/>
    </xf>
    <xf numFmtId="0" fontId="116" fillId="7" borderId="0" xfId="58" applyFont="1" applyFill="1" applyBorder="1" applyAlignment="1">
      <alignment horizontal="center"/>
    </xf>
    <xf numFmtId="0" fontId="97" fillId="0" borderId="0" xfId="58" applyFont="1" applyAlignment="1">
      <alignment horizontal="center"/>
    </xf>
    <xf numFmtId="0" fontId="63" fillId="0" borderId="0" xfId="58" applyFont="1" applyBorder="1" applyAlignment="1">
      <alignment horizontal="center"/>
    </xf>
    <xf numFmtId="0" fontId="65" fillId="7" borderId="0" xfId="58" applyFont="1" applyFill="1" applyBorder="1" applyAlignment="1">
      <alignment horizontal="center"/>
    </xf>
    <xf numFmtId="0" fontId="132" fillId="0" borderId="0" xfId="58" applyFont="1" applyFill="1" applyBorder="1" applyAlignment="1">
      <alignment horizontal="center"/>
    </xf>
    <xf numFmtId="0" fontId="63" fillId="7" borderId="0" xfId="58" applyFont="1" applyFill="1" applyBorder="1" applyAlignment="1">
      <alignment horizontal="center"/>
    </xf>
    <xf numFmtId="0" fontId="37" fillId="7" borderId="0" xfId="58" applyFont="1" applyFill="1" applyBorder="1" applyAlignment="1">
      <alignment horizontal="center"/>
    </xf>
    <xf numFmtId="0" fontId="63" fillId="0" borderId="0" xfId="58" applyFont="1" applyFill="1" applyBorder="1" applyAlignment="1">
      <alignment horizontal="center"/>
    </xf>
    <xf numFmtId="0" fontId="37" fillId="0" borderId="10" xfId="58" applyFont="1" applyBorder="1"/>
    <xf numFmtId="0" fontId="37" fillId="0" borderId="13" xfId="58" applyFont="1" applyBorder="1"/>
    <xf numFmtId="0" fontId="37" fillId="0" borderId="24" xfId="58" applyFont="1" applyBorder="1"/>
    <xf numFmtId="0" fontId="37" fillId="0" borderId="14" xfId="58" applyFont="1" applyBorder="1"/>
    <xf numFmtId="0" fontId="37" fillId="0" borderId="24" xfId="58" applyFont="1" applyFill="1" applyBorder="1"/>
    <xf numFmtId="0" fontId="37" fillId="0" borderId="11" xfId="58" applyFont="1" applyBorder="1"/>
    <xf numFmtId="164" fontId="37" fillId="0" borderId="19" xfId="59" applyNumberFormat="1" applyFont="1" applyBorder="1"/>
    <xf numFmtId="164" fontId="37" fillId="0" borderId="19" xfId="59" applyNumberFormat="1" applyFont="1" applyFill="1" applyBorder="1"/>
    <xf numFmtId="0" fontId="37" fillId="0" borderId="10" xfId="58" applyNumberFormat="1" applyFont="1" applyBorder="1"/>
    <xf numFmtId="0" fontId="37" fillId="0" borderId="10" xfId="58" applyNumberFormat="1" applyFont="1" applyBorder="1" applyAlignment="1">
      <alignment horizontal="center"/>
    </xf>
    <xf numFmtId="1" fontId="37" fillId="0" borderId="10" xfId="58" applyNumberFormat="1" applyFont="1" applyBorder="1" applyAlignment="1">
      <alignment horizontal="center"/>
    </xf>
    <xf numFmtId="165" fontId="0" fillId="0" borderId="0" xfId="59" applyNumberFormat="1" applyFont="1"/>
    <xf numFmtId="0" fontId="37" fillId="0" borderId="11" xfId="58" applyNumberFormat="1" applyFont="1" applyBorder="1"/>
    <xf numFmtId="1" fontId="37" fillId="0" borderId="11" xfId="58" applyNumberFormat="1" applyFont="1" applyBorder="1" applyAlignment="1">
      <alignment horizontal="center"/>
    </xf>
    <xf numFmtId="164" fontId="138" fillId="0" borderId="0" xfId="58" applyNumberFormat="1"/>
    <xf numFmtId="164" fontId="37" fillId="0" borderId="11" xfId="59" applyNumberFormat="1" applyFont="1" applyBorder="1"/>
    <xf numFmtId="0" fontId="37" fillId="6" borderId="11" xfId="58" applyFont="1" applyFill="1" applyBorder="1"/>
    <xf numFmtId="164" fontId="37" fillId="6" borderId="0" xfId="58" applyNumberFormat="1" applyFont="1" applyFill="1" applyBorder="1"/>
    <xf numFmtId="164" fontId="61" fillId="6" borderId="11" xfId="59" applyNumberFormat="1" applyFont="1" applyFill="1" applyBorder="1"/>
    <xf numFmtId="164" fontId="138" fillId="6" borderId="0" xfId="58" applyNumberFormat="1" applyFill="1"/>
    <xf numFmtId="0" fontId="138" fillId="6" borderId="0" xfId="58" applyFill="1"/>
    <xf numFmtId="165" fontId="0" fillId="6" borderId="0" xfId="59" applyNumberFormat="1" applyFont="1" applyFill="1"/>
    <xf numFmtId="16" fontId="37" fillId="6" borderId="0" xfId="58" applyNumberFormat="1" applyFont="1" applyFill="1" applyBorder="1"/>
    <xf numFmtId="1" fontId="37" fillId="6" borderId="11" xfId="58" applyNumberFormat="1" applyFont="1" applyFill="1" applyBorder="1" applyAlignment="1">
      <alignment horizontal="center"/>
    </xf>
    <xf numFmtId="164" fontId="37" fillId="0" borderId="11" xfId="59" applyNumberFormat="1" applyFont="1" applyFill="1" applyBorder="1"/>
    <xf numFmtId="0" fontId="37" fillId="0" borderId="12" xfId="58" applyFont="1" applyBorder="1"/>
    <xf numFmtId="164" fontId="37" fillId="0" borderId="12" xfId="59" applyNumberFormat="1" applyFont="1" applyBorder="1"/>
    <xf numFmtId="164" fontId="37" fillId="0" borderId="13" xfId="59" applyNumberFormat="1" applyFont="1" applyBorder="1"/>
    <xf numFmtId="164" fontId="37" fillId="0" borderId="14" xfId="59" applyNumberFormat="1" applyFont="1" applyBorder="1"/>
    <xf numFmtId="164" fontId="37" fillId="0" borderId="24" xfId="59" applyNumberFormat="1" applyFont="1" applyBorder="1"/>
    <xf numFmtId="164" fontId="37" fillId="0" borderId="24" xfId="59" applyNumberFormat="1" applyFont="1" applyFill="1" applyBorder="1"/>
    <xf numFmtId="164" fontId="37" fillId="0" borderId="21" xfId="59" applyNumberFormat="1" applyFont="1" applyBorder="1"/>
    <xf numFmtId="164" fontId="37" fillId="0" borderId="21" xfId="59" applyNumberFormat="1" applyFont="1" applyFill="1" applyBorder="1"/>
    <xf numFmtId="164" fontId="37" fillId="0" borderId="20" xfId="59" applyNumberFormat="1" applyFont="1" applyBorder="1"/>
    <xf numFmtId="164" fontId="37" fillId="0" borderId="23" xfId="59" applyNumberFormat="1" applyFont="1" applyBorder="1"/>
    <xf numFmtId="164" fontId="37" fillId="0" borderId="23" xfId="59" applyNumberFormat="1" applyFont="1" applyFill="1" applyBorder="1"/>
    <xf numFmtId="164" fontId="37" fillId="0" borderId="22" xfId="59" applyNumberFormat="1" applyFont="1" applyBorder="1"/>
    <xf numFmtId="164" fontId="37" fillId="0" borderId="20" xfId="59" applyNumberFormat="1" applyFont="1" applyFill="1" applyBorder="1"/>
    <xf numFmtId="0" fontId="37" fillId="0" borderId="7" xfId="58" applyFont="1" applyBorder="1"/>
    <xf numFmtId="164" fontId="37" fillId="0" borderId="8" xfId="59" applyNumberFormat="1" applyFont="1" applyBorder="1"/>
    <xf numFmtId="164" fontId="37" fillId="0" borderId="25" xfId="59" applyNumberFormat="1" applyFont="1" applyBorder="1"/>
    <xf numFmtId="164" fontId="37" fillId="0" borderId="25" xfId="59" applyNumberFormat="1" applyFont="1" applyFill="1" applyBorder="1"/>
    <xf numFmtId="164" fontId="48" fillId="0" borderId="0" xfId="58" applyNumberFormat="1" applyFont="1"/>
    <xf numFmtId="0" fontId="37" fillId="0" borderId="8" xfId="58" applyFont="1" applyBorder="1"/>
    <xf numFmtId="0" fontId="37" fillId="0" borderId="25" xfId="58" applyFont="1" applyBorder="1"/>
    <xf numFmtId="0" fontId="37" fillId="0" borderId="25" xfId="58" applyFont="1" applyFill="1" applyBorder="1"/>
    <xf numFmtId="165" fontId="33" fillId="6" borderId="0" xfId="59" applyNumberFormat="1" applyFont="1" applyFill="1"/>
    <xf numFmtId="0" fontId="37" fillId="0" borderId="0" xfId="58" applyFont="1" applyAlignment="1">
      <alignment horizontal="right"/>
    </xf>
    <xf numFmtId="164" fontId="61" fillId="7" borderId="23" xfId="59" applyNumberFormat="1" applyFont="1" applyFill="1" applyBorder="1"/>
    <xf numFmtId="164" fontId="61" fillId="0" borderId="23" xfId="59" applyNumberFormat="1" applyFont="1" applyFill="1" applyBorder="1"/>
    <xf numFmtId="164" fontId="37" fillId="7" borderId="23" xfId="59" applyNumberFormat="1" applyFont="1" applyFill="1" applyBorder="1"/>
    <xf numFmtId="0" fontId="138" fillId="0" borderId="0" xfId="58" applyFill="1"/>
    <xf numFmtId="0" fontId="138" fillId="7" borderId="0" xfId="58" applyFill="1"/>
    <xf numFmtId="164" fontId="61" fillId="7" borderId="0" xfId="59" applyNumberFormat="1" applyFont="1" applyFill="1" applyAlignment="1">
      <alignment horizontal="center"/>
    </xf>
    <xf numFmtId="0" fontId="50" fillId="0" borderId="1" xfId="58" applyFont="1" applyBorder="1" applyAlignment="1">
      <alignment horizontal="right"/>
    </xf>
    <xf numFmtId="0" fontId="50" fillId="0" borderId="3" xfId="58" applyFont="1" applyBorder="1" applyAlignment="1">
      <alignment horizontal="right"/>
    </xf>
    <xf numFmtId="164" fontId="50" fillId="0" borderId="1" xfId="59" applyNumberFormat="1" applyFont="1" applyBorder="1"/>
    <xf numFmtId="164" fontId="50" fillId="0" borderId="2" xfId="59" applyNumberFormat="1" applyFont="1" applyBorder="1"/>
    <xf numFmtId="164" fontId="50" fillId="7" borderId="2" xfId="59" applyNumberFormat="1" applyFont="1" applyFill="1" applyBorder="1"/>
    <xf numFmtId="164" fontId="50" fillId="7" borderId="2" xfId="59" applyNumberFormat="1" applyFont="1" applyFill="1" applyBorder="1" applyAlignment="1">
      <alignment horizontal="center"/>
    </xf>
    <xf numFmtId="164" fontId="50" fillId="0" borderId="2" xfId="59" applyNumberFormat="1" applyFont="1" applyFill="1" applyBorder="1"/>
    <xf numFmtId="164" fontId="50" fillId="0" borderId="3" xfId="58" applyNumberFormat="1" applyFont="1" applyBorder="1"/>
    <xf numFmtId="0" fontId="50" fillId="7" borderId="6" xfId="58" applyFont="1" applyFill="1" applyBorder="1" applyAlignment="1">
      <alignment horizontal="right"/>
    </xf>
    <xf numFmtId="0" fontId="50" fillId="7" borderId="26" xfId="58" applyFont="1" applyFill="1" applyBorder="1" applyAlignment="1">
      <alignment horizontal="right"/>
    </xf>
    <xf numFmtId="164" fontId="50" fillId="7" borderId="6" xfId="59" applyNumberFormat="1" applyFont="1" applyFill="1" applyBorder="1"/>
    <xf numFmtId="164" fontId="50" fillId="7" borderId="7" xfId="59" applyNumberFormat="1" applyFont="1" applyFill="1" applyBorder="1"/>
    <xf numFmtId="164" fontId="62" fillId="7" borderId="7" xfId="59" applyNumberFormat="1" applyFont="1" applyFill="1" applyBorder="1"/>
    <xf numFmtId="164" fontId="50" fillId="7" borderId="7" xfId="59" applyNumberFormat="1" applyFont="1" applyFill="1" applyBorder="1" applyAlignment="1">
      <alignment horizontal="center"/>
    </xf>
    <xf numFmtId="164" fontId="50" fillId="0" borderId="7" xfId="59" applyNumberFormat="1" applyFont="1" applyFill="1" applyBorder="1"/>
    <xf numFmtId="164" fontId="50" fillId="7" borderId="26" xfId="58" applyNumberFormat="1" applyFont="1" applyFill="1" applyBorder="1"/>
    <xf numFmtId="164" fontId="50" fillId="7" borderId="0" xfId="59" applyNumberFormat="1" applyFont="1" applyFill="1" applyBorder="1"/>
    <xf numFmtId="164" fontId="62" fillId="7" borderId="0" xfId="59" applyNumberFormat="1" applyFont="1" applyFill="1" applyBorder="1"/>
    <xf numFmtId="164" fontId="50" fillId="7" borderId="0" xfId="59" applyNumberFormat="1" applyFont="1" applyFill="1" applyBorder="1" applyAlignment="1">
      <alignment horizontal="center"/>
    </xf>
    <xf numFmtId="164" fontId="50" fillId="0" borderId="0" xfId="59" applyNumberFormat="1" applyFont="1" applyFill="1" applyBorder="1"/>
    <xf numFmtId="164" fontId="50" fillId="7" borderId="0" xfId="58" applyNumberFormat="1" applyFont="1" applyFill="1" applyBorder="1"/>
    <xf numFmtId="0" fontId="37" fillId="7" borderId="0" xfId="58" applyFont="1" applyFill="1" applyAlignment="1">
      <alignment horizontal="right"/>
    </xf>
    <xf numFmtId="165" fontId="37" fillId="0" borderId="0" xfId="59" applyNumberFormat="1" applyFont="1"/>
    <xf numFmtId="164" fontId="37" fillId="7" borderId="0" xfId="58" applyNumberFormat="1" applyFont="1" applyFill="1" applyBorder="1"/>
    <xf numFmtId="165" fontId="37" fillId="0" borderId="0" xfId="59" applyNumberFormat="1" applyFont="1" applyAlignment="1">
      <alignment horizontal="center"/>
    </xf>
    <xf numFmtId="165" fontId="33" fillId="7" borderId="0" xfId="59" applyNumberFormat="1" applyFont="1" applyFill="1"/>
    <xf numFmtId="43" fontId="37" fillId="0" borderId="0" xfId="59" applyFont="1" applyAlignment="1">
      <alignment horizontal="center"/>
    </xf>
    <xf numFmtId="16" fontId="37" fillId="0" borderId="0" xfId="58" applyNumberFormat="1" applyFont="1"/>
    <xf numFmtId="165" fontId="37" fillId="0" borderId="0" xfId="59" applyNumberFormat="1" applyFont="1" applyFill="1"/>
    <xf numFmtId="16" fontId="37" fillId="0" borderId="0" xfId="58" applyNumberFormat="1" applyFont="1" applyFill="1"/>
    <xf numFmtId="43" fontId="37" fillId="0" borderId="0" xfId="59" applyFont="1"/>
    <xf numFmtId="166" fontId="37" fillId="0" borderId="0" xfId="58" applyNumberFormat="1" applyFont="1"/>
    <xf numFmtId="165" fontId="0" fillId="0" borderId="0" xfId="59" applyNumberFormat="1" applyFont="1" applyFill="1"/>
    <xf numFmtId="165" fontId="37" fillId="7" borderId="0" xfId="59" applyNumberFormat="1" applyFont="1" applyFill="1" applyAlignment="1">
      <alignment horizontal="center"/>
    </xf>
    <xf numFmtId="166" fontId="37" fillId="7" borderId="0" xfId="58" applyNumberFormat="1" applyFont="1" applyFill="1" applyAlignment="1">
      <alignment horizontal="center"/>
    </xf>
    <xf numFmtId="165" fontId="37" fillId="0" borderId="0" xfId="59" applyNumberFormat="1" applyFont="1" applyFill="1" applyAlignment="1">
      <alignment horizontal="center"/>
    </xf>
    <xf numFmtId="165" fontId="65" fillId="0" borderId="0" xfId="59" applyNumberFormat="1" applyFont="1" applyFill="1" applyAlignment="1">
      <alignment horizontal="center"/>
    </xf>
    <xf numFmtId="43" fontId="37" fillId="0" borderId="0" xfId="58" applyNumberFormat="1" applyFont="1"/>
    <xf numFmtId="166" fontId="138" fillId="0" borderId="0" xfId="58" applyNumberFormat="1"/>
    <xf numFmtId="165" fontId="117" fillId="0" borderId="0" xfId="59" applyNumberFormat="1" applyFont="1" applyFill="1" applyAlignment="1">
      <alignment horizontal="center"/>
    </xf>
    <xf numFmtId="165" fontId="61" fillId="0" borderId="0" xfId="59" applyNumberFormat="1" applyFont="1" applyFill="1" applyAlignment="1">
      <alignment horizontal="center"/>
    </xf>
    <xf numFmtId="165" fontId="79" fillId="0" borderId="0" xfId="59" applyNumberFormat="1" applyFont="1" applyFill="1" applyAlignment="1">
      <alignment horizontal="center"/>
    </xf>
    <xf numFmtId="0" fontId="37" fillId="0" borderId="0" xfId="58" applyFont="1" applyFill="1" applyAlignment="1">
      <alignment horizontal="right"/>
    </xf>
    <xf numFmtId="165" fontId="37" fillId="0" borderId="0" xfId="58" applyNumberFormat="1" applyFont="1"/>
    <xf numFmtId="165" fontId="37" fillId="7" borderId="0" xfId="59" applyNumberFormat="1" applyFont="1" applyFill="1"/>
    <xf numFmtId="164" fontId="48" fillId="0" borderId="4" xfId="58" applyNumberFormat="1" applyFont="1" applyBorder="1"/>
    <xf numFmtId="0" fontId="109" fillId="0" borderId="0" xfId="58" applyFont="1" applyBorder="1" applyAlignment="1">
      <alignment horizontal="center"/>
    </xf>
    <xf numFmtId="0" fontId="33" fillId="0" borderId="0" xfId="58" applyFont="1" applyAlignment="1">
      <alignment horizontal="center"/>
    </xf>
    <xf numFmtId="0" fontId="65" fillId="0" borderId="0" xfId="58" applyFont="1" applyBorder="1" applyAlignment="1">
      <alignment horizontal="center"/>
    </xf>
    <xf numFmtId="0" fontId="37" fillId="6" borderId="0" xfId="58" applyFont="1" applyFill="1" applyBorder="1"/>
    <xf numFmtId="164" fontId="61" fillId="6" borderId="20" xfId="59" applyNumberFormat="1" applyFont="1" applyFill="1" applyBorder="1"/>
    <xf numFmtId="164" fontId="37" fillId="6" borderId="20" xfId="59" applyNumberFormat="1" applyFont="1" applyFill="1" applyBorder="1"/>
    <xf numFmtId="164" fontId="37" fillId="6" borderId="23" xfId="59" applyNumberFormat="1" applyFont="1" applyFill="1" applyBorder="1"/>
    <xf numFmtId="164" fontId="79" fillId="6" borderId="23" xfId="59" applyNumberFormat="1" applyFont="1" applyFill="1" applyBorder="1"/>
    <xf numFmtId="164" fontId="63" fillId="6" borderId="23" xfId="59" applyNumberFormat="1" applyFont="1" applyFill="1" applyBorder="1"/>
    <xf numFmtId="164" fontId="109" fillId="6" borderId="23" xfId="59" applyNumberFormat="1" applyFont="1" applyFill="1" applyBorder="1"/>
    <xf numFmtId="0" fontId="138" fillId="6" borderId="20" xfId="58" applyNumberFormat="1" applyFill="1" applyBorder="1"/>
    <xf numFmtId="1" fontId="37" fillId="6" borderId="20" xfId="58" applyNumberFormat="1" applyFont="1" applyFill="1" applyBorder="1" applyAlignment="1">
      <alignment horizontal="center"/>
    </xf>
    <xf numFmtId="0" fontId="138" fillId="0" borderId="20" xfId="58" applyNumberFormat="1" applyBorder="1"/>
    <xf numFmtId="1" fontId="37" fillId="0" borderId="20" xfId="58" applyNumberFormat="1" applyFont="1" applyBorder="1" applyAlignment="1">
      <alignment horizontal="center"/>
    </xf>
    <xf numFmtId="164" fontId="50" fillId="7" borderId="0" xfId="59" applyNumberFormat="1" applyFont="1" applyFill="1" applyAlignment="1">
      <alignment horizontal="center"/>
    </xf>
    <xf numFmtId="164" fontId="61" fillId="7" borderId="0" xfId="59" applyNumberFormat="1" applyFont="1" applyFill="1"/>
    <xf numFmtId="0" fontId="37" fillId="7" borderId="0" xfId="58" applyFont="1" applyFill="1" applyAlignment="1">
      <alignment horizontal="center"/>
    </xf>
    <xf numFmtId="164" fontId="37" fillId="0" borderId="0" xfId="59" applyNumberFormat="1" applyFont="1" applyAlignment="1">
      <alignment horizontal="center"/>
    </xf>
    <xf numFmtId="0" fontId="138" fillId="0" borderId="0" xfId="58" applyAlignment="1">
      <alignment horizontal="center"/>
    </xf>
    <xf numFmtId="0" fontId="63" fillId="0" borderId="0" xfId="58" applyFont="1" applyBorder="1"/>
    <xf numFmtId="0" fontId="37" fillId="0" borderId="0" xfId="58" applyFont="1" applyBorder="1" applyAlignment="1">
      <alignment horizontal="right"/>
    </xf>
    <xf numFmtId="164" fontId="65" fillId="6" borderId="23" xfId="59" applyNumberFormat="1" applyFont="1" applyFill="1" applyBorder="1"/>
    <xf numFmtId="164" fontId="61" fillId="6" borderId="23" xfId="59" applyNumberFormat="1" applyFont="1" applyFill="1" applyBorder="1"/>
    <xf numFmtId="0" fontId="37" fillId="0" borderId="0" xfId="58" applyFont="1" applyAlignment="1">
      <alignment horizontal="center"/>
    </xf>
    <xf numFmtId="0" fontId="104" fillId="0" borderId="0" xfId="58" applyFont="1" applyBorder="1"/>
    <xf numFmtId="0" fontId="130" fillId="0" borderId="0" xfId="58" applyFont="1" applyBorder="1"/>
    <xf numFmtId="0" fontId="65" fillId="0" borderId="0" xfId="58" applyFont="1" applyFill="1" applyBorder="1" applyAlignment="1">
      <alignment horizontal="center"/>
    </xf>
    <xf numFmtId="164" fontId="37" fillId="7" borderId="20" xfId="59" applyNumberFormat="1" applyFont="1" applyFill="1" applyBorder="1"/>
    <xf numFmtId="164" fontId="79" fillId="0" borderId="23" xfId="59" applyNumberFormat="1" applyFont="1" applyBorder="1"/>
    <xf numFmtId="164" fontId="65" fillId="6" borderId="20" xfId="59" applyNumberFormat="1" applyFont="1" applyFill="1" applyBorder="1"/>
    <xf numFmtId="164" fontId="37" fillId="6" borderId="23" xfId="59" applyNumberFormat="1" applyFont="1" applyFill="1" applyBorder="1" applyAlignment="1"/>
    <xf numFmtId="164" fontId="61" fillId="0" borderId="20" xfId="59" applyNumberFormat="1" applyFont="1" applyFill="1" applyBorder="1"/>
    <xf numFmtId="16" fontId="37" fillId="7" borderId="0" xfId="58" applyNumberFormat="1" applyFont="1" applyFill="1"/>
    <xf numFmtId="14" fontId="37" fillId="7" borderId="0" xfId="58" applyNumberFormat="1" applyFont="1" applyFill="1"/>
    <xf numFmtId="0" fontId="53" fillId="0" borderId="0" xfId="58" applyFont="1"/>
    <xf numFmtId="168" fontId="53" fillId="0" borderId="0" xfId="58" applyNumberFormat="1" applyFont="1"/>
    <xf numFmtId="168" fontId="138" fillId="0" borderId="0" xfId="58" applyNumberFormat="1"/>
    <xf numFmtId="165" fontId="115" fillId="0" borderId="0" xfId="1" applyNumberFormat="1" applyFont="1" applyFill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102" fillId="0" borderId="0" xfId="0" applyFont="1" applyAlignment="1">
      <alignment horizontal="center"/>
    </xf>
    <xf numFmtId="164" fontId="33" fillId="0" borderId="31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61" fillId="0" borderId="0" xfId="58" applyFont="1" applyBorder="1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102" fillId="0" borderId="0" xfId="0" applyFont="1" applyAlignment="1">
      <alignment horizontal="center"/>
    </xf>
    <xf numFmtId="164" fontId="34" fillId="0" borderId="20" xfId="1" applyNumberFormat="1" applyFont="1" applyBorder="1"/>
    <xf numFmtId="0" fontId="60" fillId="0" borderId="23" xfId="0" applyFont="1" applyBorder="1"/>
    <xf numFmtId="0" fontId="15" fillId="0" borderId="0" xfId="0" applyFont="1" applyFill="1" applyBorder="1" applyAlignment="1">
      <alignment horizontal="left"/>
    </xf>
    <xf numFmtId="164" fontId="33" fillId="0" borderId="31" xfId="1" applyNumberFormat="1" applyFont="1" applyBorder="1" applyAlignment="1">
      <alignment horizontal="center"/>
    </xf>
    <xf numFmtId="0" fontId="33" fillId="6" borderId="0" xfId="0" applyFont="1" applyFill="1" applyAlignment="1">
      <alignment horizontal="center"/>
    </xf>
    <xf numFmtId="0" fontId="64" fillId="0" borderId="0" xfId="0" applyFont="1" applyFill="1" applyAlignment="1">
      <alignment horizontal="center"/>
    </xf>
    <xf numFmtId="14" fontId="106" fillId="0" borderId="0" xfId="0" applyNumberFormat="1" applyFont="1" applyFill="1" applyBorder="1" applyAlignment="1">
      <alignment horizontal="right"/>
    </xf>
    <xf numFmtId="14" fontId="0" fillId="0" borderId="0" xfId="1" applyNumberFormat="1" applyFont="1" applyBorder="1" applyAlignment="1">
      <alignment horizontal="center"/>
    </xf>
    <xf numFmtId="164" fontId="33" fillId="0" borderId="0" xfId="1" applyNumberFormat="1" applyFont="1" applyBorder="1" applyAlignment="1">
      <alignment horizontal="center"/>
    </xf>
    <xf numFmtId="14" fontId="103" fillId="0" borderId="0" xfId="0" applyNumberFormat="1" applyFont="1" applyFill="1"/>
    <xf numFmtId="49" fontId="103" fillId="0" borderId="0" xfId="0" applyNumberFormat="1" applyFont="1" applyFill="1" applyBorder="1" applyAlignment="1">
      <alignment horizontal="center"/>
    </xf>
    <xf numFmtId="0" fontId="103" fillId="0" borderId="0" xfId="0" applyFont="1" applyFill="1" applyAlignment="1">
      <alignment horizontal="center"/>
    </xf>
    <xf numFmtId="43" fontId="103" fillId="0" borderId="0" xfId="1" applyFont="1" applyFill="1" applyBorder="1" applyAlignment="1">
      <alignment horizontal="center"/>
    </xf>
    <xf numFmtId="165" fontId="103" fillId="0" borderId="0" xfId="1" applyNumberFormat="1" applyFont="1" applyFill="1" applyBorder="1" applyAlignment="1">
      <alignment horizontal="center"/>
    </xf>
    <xf numFmtId="0" fontId="103" fillId="7" borderId="0" xfId="0" applyFont="1" applyFill="1" applyBorder="1"/>
    <xf numFmtId="0" fontId="139" fillId="0" borderId="0" xfId="0" applyFont="1" applyFill="1" applyBorder="1"/>
    <xf numFmtId="14" fontId="103" fillId="0" borderId="0" xfId="0" applyNumberFormat="1" applyFont="1" applyFill="1" applyBorder="1"/>
    <xf numFmtId="14" fontId="103" fillId="0" borderId="0" xfId="0" applyNumberFormat="1" applyFont="1" applyFill="1" applyBorder="1" applyAlignment="1">
      <alignment horizontal="center"/>
    </xf>
    <xf numFmtId="0" fontId="103" fillId="0" borderId="0" xfId="0" applyFont="1" applyFill="1"/>
    <xf numFmtId="0" fontId="103" fillId="0" borderId="0" xfId="0" applyFont="1" applyFill="1" applyBorder="1"/>
    <xf numFmtId="43" fontId="34" fillId="0" borderId="31" xfId="1" applyFont="1" applyFill="1" applyBorder="1" applyAlignment="1">
      <alignment horizontal="center"/>
    </xf>
    <xf numFmtId="165" fontId="34" fillId="0" borderId="31" xfId="1" applyNumberFormat="1" applyFont="1" applyFill="1" applyBorder="1" applyAlignment="1">
      <alignment horizontal="center"/>
    </xf>
    <xf numFmtId="0" fontId="140" fillId="0" borderId="0" xfId="0" applyFont="1" applyAlignment="1">
      <alignment horizontal="center"/>
    </xf>
    <xf numFmtId="0" fontId="61" fillId="0" borderId="0" xfId="58" applyFont="1" applyBorder="1" applyAlignment="1">
      <alignment horizontal="center"/>
    </xf>
    <xf numFmtId="0" fontId="0" fillId="0" borderId="0" xfId="0" applyNumberFormat="1"/>
    <xf numFmtId="164" fontId="33" fillId="0" borderId="31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61" fillId="0" borderId="0" xfId="58" applyFont="1" applyBorder="1" applyAlignment="1">
      <alignment horizontal="center"/>
    </xf>
    <xf numFmtId="0" fontId="14" fillId="0" borderId="31" xfId="0" applyFont="1" applyFill="1" applyBorder="1" applyAlignment="1">
      <alignment horizontal="left"/>
    </xf>
    <xf numFmtId="0" fontId="71" fillId="0" borderId="0" xfId="0" applyFont="1" applyFill="1" applyBorder="1" applyAlignment="1">
      <alignment horizontal="right"/>
    </xf>
    <xf numFmtId="16" fontId="0" fillId="0" borderId="0" xfId="0" applyNumberFormat="1" applyBorder="1" applyAlignment="1">
      <alignment horizontal="right"/>
    </xf>
    <xf numFmtId="0" fontId="61" fillId="0" borderId="0" xfId="58" applyFont="1" applyBorder="1" applyAlignment="1">
      <alignment horizontal="center"/>
    </xf>
    <xf numFmtId="0" fontId="0" fillId="0" borderId="20" xfId="0" applyBorder="1"/>
    <xf numFmtId="1" fontId="37" fillId="7" borderId="11" xfId="58" applyNumberFormat="1" applyFont="1" applyFill="1" applyBorder="1" applyAlignment="1">
      <alignment horizontal="center"/>
    </xf>
    <xf numFmtId="164" fontId="79" fillId="0" borderId="0" xfId="58" applyNumberFormat="1" applyFont="1"/>
    <xf numFmtId="164" fontId="79" fillId="6" borderId="0" xfId="58" applyNumberFormat="1" applyFont="1" applyFill="1"/>
    <xf numFmtId="0" fontId="70" fillId="0" borderId="0" xfId="0" applyFont="1" applyBorder="1" applyAlignment="1">
      <alignment horizontal="center" vertical="center"/>
    </xf>
    <xf numFmtId="0" fontId="0" fillId="0" borderId="28" xfId="0" applyBorder="1"/>
    <xf numFmtId="0" fontId="0" fillId="0" borderId="20" xfId="0" applyBorder="1"/>
    <xf numFmtId="0" fontId="60" fillId="7" borderId="0" xfId="0" applyFont="1" applyFill="1" applyBorder="1"/>
    <xf numFmtId="0" fontId="33" fillId="0" borderId="37" xfId="0" applyFont="1" applyBorder="1" applyAlignment="1"/>
    <xf numFmtId="0" fontId="33" fillId="0" borderId="34" xfId="0" applyFont="1" applyBorder="1"/>
    <xf numFmtId="0" fontId="61" fillId="0" borderId="0" xfId="58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02" fillId="0" borderId="0" xfId="0" applyFont="1" applyAlignment="1">
      <alignment horizontal="center"/>
    </xf>
    <xf numFmtId="1" fontId="61" fillId="6" borderId="11" xfId="58" applyNumberFormat="1" applyFont="1" applyFill="1" applyBorder="1" applyAlignment="1">
      <alignment horizontal="center"/>
    </xf>
    <xf numFmtId="0" fontId="60" fillId="0" borderId="0" xfId="58" applyFont="1"/>
    <xf numFmtId="0" fontId="63" fillId="7" borderId="0" xfId="58" applyFont="1" applyFill="1" applyBorder="1" applyAlignment="1">
      <alignment horizontal="center" wrapText="1"/>
    </xf>
    <xf numFmtId="0" fontId="13" fillId="0" borderId="31" xfId="0" applyFont="1" applyFill="1" applyBorder="1" applyAlignment="1">
      <alignment horizontal="left"/>
    </xf>
    <xf numFmtId="0" fontId="61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92" fillId="0" borderId="33" xfId="0" applyFont="1" applyBorder="1" applyAlignment="1">
      <alignment horizontal="left"/>
    </xf>
    <xf numFmtId="1" fontId="37" fillId="0" borderId="11" xfId="58" applyNumberFormat="1" applyFont="1" applyFill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 vertical="top"/>
    </xf>
    <xf numFmtId="0" fontId="37" fillId="0" borderId="0" xfId="58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7" fillId="0" borderId="0" xfId="0" applyFont="1" applyAlignment="1">
      <alignment horizontal="center"/>
    </xf>
    <xf numFmtId="0" fontId="102" fillId="0" borderId="0" xfId="0" applyFont="1" applyAlignment="1">
      <alignment horizontal="center"/>
    </xf>
    <xf numFmtId="0" fontId="12" fillId="0" borderId="31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4" fontId="11" fillId="0" borderId="33" xfId="0" applyNumberFormat="1" applyFont="1" applyBorder="1" applyAlignment="1">
      <alignment horizontal="left"/>
    </xf>
    <xf numFmtId="0" fontId="37" fillId="0" borderId="0" xfId="58" applyFont="1" applyBorder="1" applyAlignment="1">
      <alignment horizontal="center"/>
    </xf>
    <xf numFmtId="0" fontId="61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0" fillId="6" borderId="0" xfId="0" applyNumberFormat="1" applyFill="1"/>
    <xf numFmtId="164" fontId="37" fillId="6" borderId="11" xfId="59" applyNumberFormat="1" applyFont="1" applyFill="1" applyBorder="1"/>
    <xf numFmtId="164" fontId="37" fillId="6" borderId="11" xfId="59" applyNumberFormat="1" applyFont="1" applyFill="1" applyBorder="1" applyAlignment="1">
      <alignment horizontal="center"/>
    </xf>
    <xf numFmtId="14" fontId="33" fillId="0" borderId="0" xfId="0" applyNumberFormat="1" applyFont="1" applyFill="1" applyBorder="1" applyAlignment="1">
      <alignment horizontal="right" vertical="center"/>
    </xf>
    <xf numFmtId="164" fontId="33" fillId="0" borderId="31" xfId="1" applyNumberFormat="1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43" fontId="71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0" fontId="10" fillId="0" borderId="33" xfId="0" applyFont="1" applyBorder="1" applyAlignment="1">
      <alignment horizontal="left"/>
    </xf>
    <xf numFmtId="0" fontId="37" fillId="0" borderId="0" xfId="58" applyFont="1" applyBorder="1" applyAlignment="1">
      <alignment horizontal="center"/>
    </xf>
    <xf numFmtId="0" fontId="33" fillId="0" borderId="0" xfId="0" applyFont="1" applyAlignment="1"/>
    <xf numFmtId="0" fontId="37" fillId="0" borderId="0" xfId="58" applyFont="1" applyBorder="1" applyAlignment="1">
      <alignment horizontal="center"/>
    </xf>
    <xf numFmtId="2" fontId="9" fillId="0" borderId="33" xfId="0" applyNumberFormat="1" applyFont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4" fontId="9" fillId="0" borderId="33" xfId="0" applyNumberFormat="1" applyFont="1" applyBorder="1" applyAlignment="1">
      <alignment horizontal="left"/>
    </xf>
    <xf numFmtId="0" fontId="9" fillId="0" borderId="31" xfId="0" applyFont="1" applyFill="1" applyBorder="1" applyAlignment="1">
      <alignment horizontal="left" vertic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7" fillId="0" borderId="0" xfId="58" applyFont="1" applyFill="1" applyBorder="1" applyAlignment="1"/>
    <xf numFmtId="0" fontId="37" fillId="0" borderId="0" xfId="58" applyFont="1" applyFill="1" applyBorder="1" applyAlignment="1">
      <alignment vertical="center"/>
    </xf>
    <xf numFmtId="0" fontId="8" fillId="0" borderId="0" xfId="0" applyFont="1" applyFill="1" applyBorder="1" applyAlignment="1">
      <alignment horizontal="left"/>
    </xf>
    <xf numFmtId="4" fontId="8" fillId="0" borderId="33" xfId="0" applyNumberFormat="1" applyFont="1" applyBorder="1" applyAlignment="1">
      <alignment horizontal="left"/>
    </xf>
    <xf numFmtId="0" fontId="8" fillId="0" borderId="31" xfId="0" applyFont="1" applyFill="1" applyBorder="1" applyAlignment="1">
      <alignment horizontal="left"/>
    </xf>
    <xf numFmtId="0" fontId="10" fillId="0" borderId="31" xfId="0" applyFont="1" applyFill="1" applyBorder="1" applyAlignment="1">
      <alignment horizontal="left" vertical="center"/>
    </xf>
    <xf numFmtId="0" fontId="8" fillId="0" borderId="31" xfId="0" applyFont="1" applyFill="1" applyBorder="1" applyAlignment="1">
      <alignment horizontal="left" vertical="center"/>
    </xf>
    <xf numFmtId="0" fontId="77" fillId="0" borderId="31" xfId="0" applyFont="1" applyBorder="1" applyAlignment="1">
      <alignment horizontal="center" vertic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164" fontId="65" fillId="6" borderId="11" xfId="59" applyNumberFormat="1" applyFont="1" applyFill="1" applyBorder="1"/>
    <xf numFmtId="0" fontId="61" fillId="0" borderId="0" xfId="58" applyFont="1" applyFill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61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61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0" fillId="0" borderId="11" xfId="0" applyNumberFormat="1" applyBorder="1"/>
    <xf numFmtId="0" fontId="37" fillId="0" borderId="11" xfId="58" applyFont="1" applyFill="1" applyBorder="1"/>
    <xf numFmtId="164" fontId="79" fillId="0" borderId="0" xfId="58" applyNumberFormat="1" applyFont="1" applyFill="1"/>
    <xf numFmtId="0" fontId="7" fillId="0" borderId="0" xfId="0" applyFont="1" applyFill="1" applyBorder="1" applyAlignment="1">
      <alignment horizontal="left"/>
    </xf>
    <xf numFmtId="4" fontId="7" fillId="0" borderId="33" xfId="0" applyNumberFormat="1" applyFont="1" applyBorder="1" applyAlignment="1">
      <alignment horizontal="left"/>
    </xf>
    <xf numFmtId="0" fontId="60" fillId="0" borderId="0" xfId="58" applyFont="1" applyAlignment="1"/>
    <xf numFmtId="0" fontId="37" fillId="0" borderId="0" xfId="58" applyFont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31" xfId="0" applyFont="1" applyFill="1" applyBorder="1" applyAlignment="1">
      <alignment horizontal="left"/>
    </xf>
    <xf numFmtId="164" fontId="65" fillId="7" borderId="0" xfId="59" applyNumberFormat="1" applyFont="1" applyFill="1"/>
    <xf numFmtId="0" fontId="37" fillId="0" borderId="0" xfId="58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102" fillId="0" borderId="0" xfId="0" applyFont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61" fillId="0" borderId="0" xfId="58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4" fontId="5" fillId="0" borderId="33" xfId="0" applyNumberFormat="1" applyFont="1" applyBorder="1" applyAlignment="1">
      <alignment horizontal="left"/>
    </xf>
    <xf numFmtId="0" fontId="37" fillId="0" borderId="0" xfId="58" applyFont="1" applyBorder="1" applyAlignment="1">
      <alignment horizontal="center"/>
    </xf>
    <xf numFmtId="166" fontId="37" fillId="7" borderId="0" xfId="58" applyNumberFormat="1" applyFont="1" applyFill="1" applyBorder="1" applyAlignment="1">
      <alignment horizontal="center"/>
    </xf>
    <xf numFmtId="14" fontId="0" fillId="0" borderId="0" xfId="0" quotePrefix="1" applyNumberFormat="1"/>
    <xf numFmtId="0" fontId="61" fillId="0" borderId="0" xfId="58" applyFont="1" applyBorder="1" applyAlignment="1">
      <alignment horizontal="center"/>
    </xf>
    <xf numFmtId="14" fontId="33" fillId="0" borderId="31" xfId="0" applyNumberFormat="1" applyFont="1" applyFill="1" applyBorder="1" applyAlignment="1">
      <alignment vertical="center"/>
    </xf>
    <xf numFmtId="0" fontId="33" fillId="0" borderId="31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/>
    </xf>
    <xf numFmtId="4" fontId="4" fillId="0" borderId="33" xfId="0" applyNumberFormat="1" applyFont="1" applyBorder="1" applyAlignment="1">
      <alignment horizontal="left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61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61" fillId="0" borderId="0" xfId="58" applyFont="1" applyBorder="1" applyAlignment="1"/>
    <xf numFmtId="0" fontId="37" fillId="0" borderId="0" xfId="58" applyFont="1" applyBorder="1" applyAlignment="1">
      <alignment horizontal="center" vertic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8" borderId="0" xfId="58" applyFont="1" applyFill="1" applyBorder="1"/>
    <xf numFmtId="0" fontId="37" fillId="8" borderId="0" xfId="58" applyFont="1" applyFill="1" applyBorder="1" applyAlignment="1">
      <alignment horizontal="center"/>
    </xf>
    <xf numFmtId="164" fontId="37" fillId="8" borderId="19" xfId="59" applyNumberFormat="1" applyFont="1" applyFill="1" applyBorder="1"/>
    <xf numFmtId="0" fontId="37" fillId="8" borderId="24" xfId="58" applyFont="1" applyFill="1" applyBorder="1"/>
    <xf numFmtId="164" fontId="37" fillId="8" borderId="23" xfId="59" applyNumberFormat="1" applyFont="1" applyFill="1" applyBorder="1"/>
    <xf numFmtId="0" fontId="0" fillId="8" borderId="0" xfId="0" applyNumberFormat="1" applyFill="1"/>
    <xf numFmtId="164" fontId="116" fillId="0" borderId="23" xfId="59" applyNumberFormat="1" applyFont="1" applyFill="1" applyBorder="1"/>
    <xf numFmtId="164" fontId="116" fillId="0" borderId="11" xfId="59" applyNumberFormat="1" applyFont="1" applyFill="1" applyBorder="1"/>
    <xf numFmtId="0" fontId="116" fillId="0" borderId="0" xfId="58" applyFont="1" applyBorder="1" applyAlignment="1">
      <alignment horizontal="center"/>
    </xf>
    <xf numFmtId="0" fontId="116" fillId="0" borderId="0" xfId="58" applyFont="1" applyBorder="1"/>
    <xf numFmtId="0" fontId="37" fillId="0" borderId="14" xfId="58" applyFont="1" applyFill="1" applyBorder="1"/>
    <xf numFmtId="0" fontId="144" fillId="0" borderId="0" xfId="58" applyFont="1" applyFill="1" applyBorder="1"/>
    <xf numFmtId="0" fontId="144" fillId="0" borderId="0" xfId="58" applyFont="1" applyFill="1" applyBorder="1" applyAlignment="1"/>
    <xf numFmtId="164" fontId="144" fillId="0" borderId="20" xfId="59" applyNumberFormat="1" applyFont="1" applyFill="1" applyBorder="1"/>
    <xf numFmtId="164" fontId="144" fillId="0" borderId="23" xfId="59" applyNumberFormat="1" applyFont="1" applyFill="1" applyBorder="1"/>
    <xf numFmtId="1" fontId="144" fillId="0" borderId="11" xfId="58" applyNumberFormat="1" applyFont="1" applyFill="1" applyBorder="1" applyAlignment="1">
      <alignment horizontal="center"/>
    </xf>
    <xf numFmtId="0" fontId="144" fillId="0" borderId="0" xfId="58" applyFont="1" applyFill="1" applyBorder="1" applyAlignment="1">
      <alignment horizontal="center"/>
    </xf>
    <xf numFmtId="164" fontId="144" fillId="0" borderId="11" xfId="59" applyNumberFormat="1" applyFont="1" applyFill="1" applyBorder="1"/>
    <xf numFmtId="0" fontId="144" fillId="7" borderId="0" xfId="58" applyFont="1" applyFill="1" applyBorder="1" applyAlignment="1">
      <alignment horizontal="center"/>
    </xf>
    <xf numFmtId="0" fontId="144" fillId="7" borderId="0" xfId="58" applyFont="1" applyFill="1" applyBorder="1" applyAlignment="1">
      <alignment horizontal="center" vertical="top"/>
    </xf>
    <xf numFmtId="0" fontId="37" fillId="0" borderId="0" xfId="58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0" fontId="132" fillId="0" borderId="11" xfId="58" applyFont="1" applyBorder="1"/>
    <xf numFmtId="0" fontId="132" fillId="0" borderId="0" xfId="58" applyFont="1" applyBorder="1"/>
    <xf numFmtId="1" fontId="132" fillId="0" borderId="11" xfId="58" applyNumberFormat="1" applyFont="1" applyBorder="1" applyAlignment="1">
      <alignment horizontal="center"/>
    </xf>
    <xf numFmtId="164" fontId="132" fillId="0" borderId="11" xfId="59" applyNumberFormat="1" applyFont="1" applyFill="1" applyBorder="1"/>
    <xf numFmtId="164" fontId="132" fillId="0" borderId="0" xfId="58" applyNumberFormat="1" applyFont="1"/>
    <xf numFmtId="0" fontId="145" fillId="0" borderId="0" xfId="58" applyFont="1"/>
    <xf numFmtId="165" fontId="145" fillId="0" borderId="0" xfId="59" applyNumberFormat="1" applyFont="1"/>
    <xf numFmtId="0" fontId="74" fillId="0" borderId="11" xfId="0" applyNumberFormat="1" applyFont="1" applyBorder="1"/>
    <xf numFmtId="164" fontId="123" fillId="0" borderId="11" xfId="59" applyNumberFormat="1" applyFont="1" applyBorder="1"/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7" fillId="0" borderId="0" xfId="0" applyFont="1" applyAlignment="1">
      <alignment horizontal="center"/>
    </xf>
    <xf numFmtId="0" fontId="102" fillId="0" borderId="0" xfId="0" applyFont="1" applyAlignment="1">
      <alignment horizontal="center"/>
    </xf>
    <xf numFmtId="43" fontId="33" fillId="0" borderId="31" xfId="1" applyFont="1" applyFill="1" applyBorder="1" applyAlignment="1">
      <alignment horizontal="center"/>
    </xf>
    <xf numFmtId="14" fontId="33" fillId="0" borderId="31" xfId="0" applyNumberFormat="1" applyFont="1" applyBorder="1"/>
    <xf numFmtId="14" fontId="33" fillId="0" borderId="31" xfId="0" applyNumberFormat="1" applyFont="1" applyFill="1" applyBorder="1"/>
    <xf numFmtId="14" fontId="0" fillId="0" borderId="31" xfId="0" applyNumberFormat="1" applyBorder="1"/>
    <xf numFmtId="43" fontId="33" fillId="0" borderId="31" xfId="1" applyFont="1" applyFill="1" applyBorder="1" applyAlignment="1">
      <alignment horizontal="center" vertical="center"/>
    </xf>
    <xf numFmtId="165" fontId="33" fillId="0" borderId="31" xfId="1" applyNumberFormat="1" applyFont="1" applyFill="1" applyBorder="1" applyAlignment="1"/>
    <xf numFmtId="14" fontId="33" fillId="0" borderId="31" xfId="0" applyNumberFormat="1" applyFont="1" applyFill="1" applyBorder="1" applyAlignment="1">
      <alignment horizontal="right"/>
    </xf>
    <xf numFmtId="0" fontId="2" fillId="0" borderId="33" xfId="0" applyFont="1" applyFill="1" applyBorder="1" applyAlignment="1"/>
    <xf numFmtId="14" fontId="60" fillId="0" borderId="0" xfId="0" applyNumberFormat="1" applyFont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2" fontId="37" fillId="0" borderId="0" xfId="58" applyNumberFormat="1" applyFont="1" applyFill="1"/>
    <xf numFmtId="14" fontId="0" fillId="8" borderId="0" xfId="0" applyNumberFormat="1" applyFill="1"/>
    <xf numFmtId="0" fontId="0" fillId="8" borderId="0" xfId="0" applyFill="1"/>
    <xf numFmtId="0" fontId="33" fillId="8" borderId="0" xfId="0" applyFont="1" applyFill="1" applyAlignment="1">
      <alignment horizontal="center"/>
    </xf>
    <xf numFmtId="165" fontId="33" fillId="8" borderId="0" xfId="1" applyNumberFormat="1" applyFont="1" applyFill="1" applyBorder="1" applyAlignment="1">
      <alignment horizontal="center"/>
    </xf>
    <xf numFmtId="0" fontId="33" fillId="8" borderId="0" xfId="0" applyFont="1" applyFill="1" applyAlignment="1">
      <alignment horizontal="center" vertical="center"/>
    </xf>
    <xf numFmtId="14" fontId="60" fillId="0" borderId="0" xfId="0" applyNumberFormat="1" applyFont="1" applyAlignment="1">
      <alignment horizontal="right"/>
    </xf>
    <xf numFmtId="0" fontId="61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61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116" fillId="0" borderId="0" xfId="58" applyFont="1" applyFill="1" applyBorder="1"/>
    <xf numFmtId="164" fontId="37" fillId="0" borderId="0" xfId="59" applyNumberFormat="1" applyFont="1" applyFill="1" applyBorder="1"/>
    <xf numFmtId="164" fontId="37" fillId="0" borderId="50" xfId="59" applyNumberFormat="1" applyFont="1" applyFill="1" applyBorder="1"/>
    <xf numFmtId="0" fontId="61" fillId="0" borderId="0" xfId="58" applyFont="1" applyAlignment="1">
      <alignment horizontal="center"/>
    </xf>
    <xf numFmtId="0" fontId="0" fillId="8" borderId="0" xfId="0" applyFill="1" applyAlignment="1">
      <alignment horizontal="center"/>
    </xf>
    <xf numFmtId="0" fontId="37" fillId="0" borderId="0" xfId="58" applyFont="1" applyBorder="1" applyAlignment="1">
      <alignment horizontal="center"/>
    </xf>
    <xf numFmtId="1" fontId="37" fillId="8" borderId="11" xfId="58" applyNumberFormat="1" applyFont="1" applyFill="1" applyBorder="1" applyAlignment="1">
      <alignment horizontal="center"/>
    </xf>
    <xf numFmtId="164" fontId="79" fillId="0" borderId="11" xfId="59" applyNumberFormat="1" applyFont="1" applyBorder="1"/>
    <xf numFmtId="164" fontId="0" fillId="0" borderId="0" xfId="1" applyNumberFormat="1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102" fillId="0" borderId="0" xfId="0" applyFont="1" applyAlignment="1">
      <alignment horizontal="center"/>
    </xf>
    <xf numFmtId="43" fontId="34" fillId="0" borderId="0" xfId="1" applyFont="1" applyFill="1" applyBorder="1" applyAlignment="1">
      <alignment horizontal="center"/>
    </xf>
    <xf numFmtId="0" fontId="79" fillId="0" borderId="0" xfId="58" applyFont="1" applyBorder="1" applyAlignment="1">
      <alignment vertical="center"/>
    </xf>
    <xf numFmtId="0" fontId="132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164" fontId="37" fillId="0" borderId="0" xfId="58" applyNumberFormat="1" applyFont="1" applyBorder="1" applyAlignment="1">
      <alignment horizontal="center"/>
    </xf>
    <xf numFmtId="164" fontId="97" fillId="0" borderId="0" xfId="58" applyNumberFormat="1" applyFont="1" applyAlignment="1">
      <alignment horizontal="center"/>
    </xf>
    <xf numFmtId="4" fontId="1" fillId="0" borderId="33" xfId="0" applyNumberFormat="1" applyFont="1" applyBorder="1" applyAlignment="1">
      <alignment horizontal="left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59" fillId="0" borderId="0" xfId="0" applyFont="1" applyBorder="1" applyAlignment="1">
      <alignment horizontal="left" vertical="center"/>
    </xf>
    <xf numFmtId="0" fontId="59" fillId="0" borderId="23" xfId="0" applyFont="1" applyBorder="1" applyAlignment="1">
      <alignment horizontal="left" vertical="center"/>
    </xf>
    <xf numFmtId="0" fontId="59" fillId="0" borderId="33" xfId="0" applyFont="1" applyBorder="1" applyAlignment="1">
      <alignment horizontal="left" vertical="center"/>
    </xf>
    <xf numFmtId="0" fontId="67" fillId="0" borderId="29" xfId="0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59" fillId="0" borderId="38" xfId="0" applyFont="1" applyBorder="1" applyAlignment="1">
      <alignment horizontal="left" vertical="center"/>
    </xf>
    <xf numFmtId="0" fontId="59" fillId="0" borderId="35" xfId="0" applyFont="1" applyBorder="1" applyAlignment="1">
      <alignment horizontal="left" vertical="center"/>
    </xf>
    <xf numFmtId="0" fontId="67" fillId="0" borderId="0" xfId="0" applyFont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8" xfId="0" applyBorder="1"/>
    <xf numFmtId="0" fontId="0" fillId="0" borderId="20" xfId="0" applyBorder="1"/>
    <xf numFmtId="9" fontId="0" fillId="0" borderId="20" xfId="44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33" fillId="0" borderId="31" xfId="0" applyFont="1" applyFill="1" applyBorder="1" applyAlignment="1">
      <alignment horizontal="center"/>
    </xf>
    <xf numFmtId="3" fontId="34" fillId="0" borderId="31" xfId="0" applyNumberFormat="1" applyFont="1" applyBorder="1" applyAlignment="1">
      <alignment horizontal="center"/>
    </xf>
    <xf numFmtId="0" fontId="59" fillId="0" borderId="4" xfId="0" applyFont="1" applyBorder="1"/>
    <xf numFmtId="0" fontId="67" fillId="0" borderId="33" xfId="0" applyFont="1" applyBorder="1"/>
    <xf numFmtId="0" fontId="67" fillId="0" borderId="29" xfId="0" applyFont="1" applyBorder="1"/>
    <xf numFmtId="0" fontId="67" fillId="0" borderId="48" xfId="0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3" fillId="0" borderId="27" xfId="0" applyFont="1" applyBorder="1" applyAlignment="1">
      <alignment horizontal="center" vertical="center"/>
    </xf>
    <xf numFmtId="0" fontId="37" fillId="0" borderId="0" xfId="58" applyFont="1" applyBorder="1" applyAlignment="1">
      <alignment horizontal="center"/>
    </xf>
    <xf numFmtId="0" fontId="33" fillId="0" borderId="28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165" fontId="34" fillId="0" borderId="31" xfId="0" applyNumberFormat="1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165" fontId="0" fillId="0" borderId="31" xfId="1" applyNumberFormat="1" applyFont="1" applyBorder="1" applyAlignment="1">
      <alignment horizontal="center" vertical="center"/>
    </xf>
    <xf numFmtId="166" fontId="47" fillId="0" borderId="48" xfId="0" applyNumberFormat="1" applyFont="1" applyBorder="1" applyAlignment="1">
      <alignment horizontal="center" vertical="center"/>
    </xf>
    <xf numFmtId="165" fontId="0" fillId="0" borderId="27" xfId="1" applyNumberFormat="1" applyFont="1" applyBorder="1" applyAlignment="1">
      <alignment horizontal="center" vertical="center"/>
    </xf>
    <xf numFmtId="165" fontId="34" fillId="0" borderId="48" xfId="1" applyNumberFormat="1" applyFont="1" applyBorder="1" applyAlignment="1">
      <alignment horizontal="center" vertical="center"/>
    </xf>
    <xf numFmtId="165" fontId="34" fillId="0" borderId="61" xfId="1" applyNumberFormat="1" applyFont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14" fontId="33" fillId="0" borderId="30" xfId="0" applyNumberFormat="1" applyFont="1" applyBorder="1" applyAlignment="1">
      <alignment horizontal="center" vertical="center"/>
    </xf>
    <xf numFmtId="14" fontId="33" fillId="0" borderId="31" xfId="0" applyNumberFormat="1" applyFont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14" fontId="33" fillId="0" borderId="32" xfId="0" applyNumberFormat="1" applyFont="1" applyBorder="1" applyAlignment="1">
      <alignment horizontal="center" vertical="center"/>
    </xf>
    <xf numFmtId="0" fontId="0" fillId="0" borderId="0" xfId="0" applyAlignment="1"/>
    <xf numFmtId="0" fontId="37" fillId="0" borderId="0" xfId="58" applyFont="1" applyBorder="1" applyAlignment="1">
      <alignment horizontal="center"/>
    </xf>
    <xf numFmtId="0" fontId="33" fillId="0" borderId="28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33" fillId="0" borderId="27" xfId="0" applyFont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165" fontId="34" fillId="0" borderId="26" xfId="1" applyNumberFormat="1" applyFont="1" applyBorder="1" applyAlignment="1">
      <alignment horizontal="center" vertical="center"/>
    </xf>
    <xf numFmtId="14" fontId="34" fillId="0" borderId="0" xfId="0" applyNumberFormat="1" applyFont="1" applyBorder="1" applyAlignment="1">
      <alignment horizontal="center" vertical="center"/>
    </xf>
    <xf numFmtId="165" fontId="34" fillId="0" borderId="0" xfId="1" applyNumberFormat="1" applyFont="1" applyBorder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33" fillId="0" borderId="0" xfId="0" applyFont="1" applyFill="1" applyBorder="1" applyAlignment="1">
      <alignment horizontal="left"/>
    </xf>
    <xf numFmtId="0" fontId="33" fillId="0" borderId="37" xfId="0" applyFont="1" applyBorder="1"/>
    <xf numFmtId="0" fontId="61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1" fontId="37" fillId="0" borderId="5" xfId="58" applyNumberFormat="1" applyFont="1" applyBorder="1" applyAlignment="1">
      <alignment horizontal="center"/>
    </xf>
    <xf numFmtId="164" fontId="123" fillId="0" borderId="5" xfId="59" applyNumberFormat="1" applyFont="1" applyBorder="1"/>
    <xf numFmtId="164" fontId="37" fillId="6" borderId="5" xfId="59" applyNumberFormat="1" applyFont="1" applyFill="1" applyBorder="1"/>
    <xf numFmtId="0" fontId="147" fillId="0" borderId="0" xfId="58" applyFont="1" applyAlignment="1">
      <alignment horizontal="center"/>
    </xf>
    <xf numFmtId="0" fontId="37" fillId="0" borderId="0" xfId="58" applyFont="1" applyBorder="1" applyAlignment="1">
      <alignment horizontal="center"/>
    </xf>
    <xf numFmtId="164" fontId="123" fillId="0" borderId="11" xfId="59" applyNumberFormat="1" applyFont="1" applyFill="1" applyBorder="1"/>
    <xf numFmtId="0" fontId="33" fillId="0" borderId="0" xfId="0" applyFont="1" applyFill="1" applyBorder="1" applyAlignment="1">
      <alignment horizontal="left"/>
    </xf>
    <xf numFmtId="0" fontId="33" fillId="0" borderId="27" xfId="0" applyFont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61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7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7" fillId="0" borderId="0" xfId="0" applyFont="1" applyAlignment="1">
      <alignment horizontal="center"/>
    </xf>
    <xf numFmtId="0" fontId="102" fillId="0" borderId="0" xfId="0" applyFont="1" applyAlignment="1">
      <alignment horizontal="center"/>
    </xf>
    <xf numFmtId="43" fontId="34" fillId="0" borderId="0" xfId="1" applyFont="1" applyFill="1" applyBorder="1" applyAlignment="1">
      <alignment horizontal="center"/>
    </xf>
    <xf numFmtId="0" fontId="67" fillId="0" borderId="35" xfId="0" applyFont="1" applyBorder="1"/>
    <xf numFmtId="0" fontId="61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120" fillId="0" borderId="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wrapText="1"/>
    </xf>
    <xf numFmtId="0" fontId="51" fillId="0" borderId="10" xfId="0" applyFont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164" fontId="39" fillId="0" borderId="10" xfId="1" applyNumberFormat="1" applyFont="1" applyBorder="1" applyAlignment="1">
      <alignment horizontal="center" vertical="center"/>
    </xf>
    <xf numFmtId="164" fontId="39" fillId="0" borderId="12" xfId="1" applyNumberFormat="1" applyFont="1" applyBorder="1" applyAlignment="1">
      <alignment horizontal="center" vertical="center"/>
    </xf>
    <xf numFmtId="164" fontId="0" fillId="0" borderId="10" xfId="1" applyNumberFormat="1" applyFont="1" applyBorder="1" applyAlignment="1">
      <alignment horizontal="center" vertical="center"/>
    </xf>
    <xf numFmtId="164" fontId="0" fillId="0" borderId="12" xfId="1" applyNumberFormat="1" applyFont="1" applyBorder="1" applyAlignment="1">
      <alignment horizontal="center" vertical="center"/>
    </xf>
    <xf numFmtId="0" fontId="127" fillId="0" borderId="10" xfId="0" applyFont="1" applyBorder="1" applyAlignment="1">
      <alignment horizontal="center" vertical="center" wrapText="1"/>
    </xf>
    <xf numFmtId="0" fontId="127" fillId="0" borderId="12" xfId="0" applyFont="1" applyBorder="1" applyAlignment="1">
      <alignment horizontal="center" vertical="center" wrapText="1"/>
    </xf>
    <xf numFmtId="164" fontId="0" fillId="0" borderId="31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33" fillId="0" borderId="31" xfId="1" applyNumberFormat="1" applyFont="1" applyBorder="1" applyAlignment="1">
      <alignment horizontal="center"/>
    </xf>
    <xf numFmtId="0" fontId="125" fillId="0" borderId="0" xfId="58" applyFont="1" applyBorder="1" applyAlignment="1">
      <alignment horizontal="center"/>
    </xf>
    <xf numFmtId="0" fontId="61" fillId="0" borderId="0" xfId="58" applyFont="1" applyBorder="1" applyAlignment="1">
      <alignment horizontal="center"/>
    </xf>
    <xf numFmtId="0" fontId="124" fillId="0" borderId="0" xfId="58" applyFont="1" applyBorder="1" applyAlignment="1">
      <alignment horizontal="center"/>
    </xf>
    <xf numFmtId="0" fontId="47" fillId="0" borderId="0" xfId="58" applyFont="1" applyAlignment="1">
      <alignment horizontal="center"/>
    </xf>
    <xf numFmtId="0" fontId="130" fillId="0" borderId="0" xfId="58" applyFont="1" applyBorder="1" applyAlignment="1">
      <alignment horizontal="center"/>
    </xf>
    <xf numFmtId="0" fontId="37" fillId="0" borderId="0" xfId="58" applyFont="1" applyBorder="1" applyAlignment="1">
      <alignment horizontal="center"/>
    </xf>
    <xf numFmtId="0" fontId="60" fillId="0" borderId="0" xfId="58" applyFont="1" applyAlignment="1">
      <alignment horizontal="left"/>
    </xf>
    <xf numFmtId="0" fontId="125" fillId="0" borderId="0" xfId="0" applyFont="1" applyBorder="1" applyAlignment="1">
      <alignment horizontal="center"/>
    </xf>
    <xf numFmtId="0" fontId="124" fillId="0" borderId="0" xfId="0" applyFont="1" applyBorder="1" applyAlignment="1">
      <alignment horizontal="center"/>
    </xf>
    <xf numFmtId="0" fontId="47" fillId="0" borderId="0" xfId="0" applyFont="1" applyAlignment="1">
      <alignment horizontal="center"/>
    </xf>
    <xf numFmtId="0" fontId="61" fillId="0" borderId="0" xfId="0" applyFont="1" applyBorder="1" applyAlignment="1">
      <alignment horizontal="center"/>
    </xf>
    <xf numFmtId="0" fontId="133" fillId="0" borderId="0" xfId="0" applyFont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35" fillId="0" borderId="0" xfId="0" applyFont="1" applyAlignment="1">
      <alignment horizontal="left" vertical="center"/>
    </xf>
    <xf numFmtId="0" fontId="39" fillId="0" borderId="27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8" xfId="0" applyFont="1" applyBorder="1" applyAlignment="1">
      <alignment horizontal="center" vertical="center"/>
    </xf>
    <xf numFmtId="0" fontId="59" fillId="0" borderId="1" xfId="0" applyFont="1" applyBorder="1" applyAlignment="1">
      <alignment horizontal="left" vertical="center"/>
    </xf>
    <xf numFmtId="0" fontId="59" fillId="0" borderId="2" xfId="0" applyFont="1" applyBorder="1" applyAlignment="1">
      <alignment horizontal="left" vertical="center"/>
    </xf>
    <xf numFmtId="0" fontId="59" fillId="0" borderId="3" xfId="0" applyFont="1" applyBorder="1" applyAlignment="1">
      <alignment horizontal="left" vertical="center"/>
    </xf>
    <xf numFmtId="0" fontId="59" fillId="0" borderId="4" xfId="0" applyFont="1" applyBorder="1" applyAlignment="1">
      <alignment horizontal="left" vertical="center"/>
    </xf>
    <xf numFmtId="0" fontId="59" fillId="0" borderId="0" xfId="0" applyFont="1" applyBorder="1" applyAlignment="1">
      <alignment horizontal="left" vertical="center"/>
    </xf>
    <xf numFmtId="0" fontId="59" fillId="0" borderId="5" xfId="0" applyFont="1" applyBorder="1" applyAlignment="1">
      <alignment horizontal="left" vertical="center"/>
    </xf>
    <xf numFmtId="0" fontId="59" fillId="0" borderId="6" xfId="0" applyFont="1" applyBorder="1" applyAlignment="1">
      <alignment horizontal="left" vertical="center"/>
    </xf>
    <xf numFmtId="0" fontId="59" fillId="0" borderId="7" xfId="0" applyFont="1" applyBorder="1" applyAlignment="1">
      <alignment horizontal="left" vertical="center"/>
    </xf>
    <xf numFmtId="0" fontId="59" fillId="0" borderId="26" xfId="0" applyFont="1" applyBorder="1" applyAlignment="1">
      <alignment horizontal="left" vertical="center"/>
    </xf>
    <xf numFmtId="0" fontId="67" fillId="0" borderId="29" xfId="0" applyFont="1" applyBorder="1" applyAlignment="1">
      <alignment horizontal="center"/>
    </xf>
    <xf numFmtId="0" fontId="67" fillId="0" borderId="30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9" fillId="0" borderId="40" xfId="0" applyFont="1" applyBorder="1" applyAlignment="1">
      <alignment horizontal="left" vertical="center"/>
    </xf>
    <xf numFmtId="0" fontId="59" fillId="0" borderId="37" xfId="0" applyFont="1" applyBorder="1" applyAlignment="1">
      <alignment horizontal="left" vertical="center"/>
    </xf>
    <xf numFmtId="0" fontId="70" fillId="0" borderId="0" xfId="0" applyFont="1" applyBorder="1" applyAlignment="1">
      <alignment horizontal="center" vertical="center"/>
    </xf>
    <xf numFmtId="0" fontId="59" fillId="0" borderId="27" xfId="0" applyFont="1" applyBorder="1" applyAlignment="1">
      <alignment horizontal="center" vertical="center"/>
    </xf>
    <xf numFmtId="0" fontId="59" fillId="0" borderId="28" xfId="0" applyFont="1" applyBorder="1" applyAlignment="1">
      <alignment horizontal="center" vertical="center"/>
    </xf>
    <xf numFmtId="0" fontId="67" fillId="0" borderId="15" xfId="0" applyFont="1" applyBorder="1" applyAlignment="1">
      <alignment horizontal="center"/>
    </xf>
    <xf numFmtId="0" fontId="67" fillId="0" borderId="61" xfId="0" applyFont="1" applyBorder="1" applyAlignment="1">
      <alignment horizontal="center"/>
    </xf>
    <xf numFmtId="0" fontId="68" fillId="0" borderId="29" xfId="0" applyFont="1" applyBorder="1" applyAlignment="1">
      <alignment horizontal="center" vertical="center"/>
    </xf>
    <xf numFmtId="0" fontId="68" fillId="0" borderId="39" xfId="0" applyFont="1" applyBorder="1" applyAlignment="1">
      <alignment horizontal="center" vertical="center"/>
    </xf>
    <xf numFmtId="0" fontId="68" fillId="0" borderId="30" xfId="0" applyFont="1" applyBorder="1" applyAlignment="1">
      <alignment horizontal="center" vertical="center"/>
    </xf>
    <xf numFmtId="0" fontId="68" fillId="0" borderId="36" xfId="0" applyFont="1" applyBorder="1" applyAlignment="1">
      <alignment horizontal="center"/>
    </xf>
    <xf numFmtId="0" fontId="68" fillId="0" borderId="37" xfId="0" applyFont="1" applyBorder="1" applyAlignment="1">
      <alignment horizontal="center"/>
    </xf>
    <xf numFmtId="0" fontId="68" fillId="0" borderId="34" xfId="0" applyFont="1" applyBorder="1" applyAlignment="1">
      <alignment horizontal="center"/>
    </xf>
    <xf numFmtId="164" fontId="0" fillId="0" borderId="35" xfId="1" applyNumberFormat="1" applyFont="1" applyBorder="1" applyAlignment="1">
      <alignment horizontal="center"/>
    </xf>
    <xf numFmtId="0" fontId="59" fillId="0" borderId="38" xfId="0" applyFont="1" applyBorder="1" applyAlignment="1">
      <alignment horizontal="left" vertical="center"/>
    </xf>
    <xf numFmtId="0" fontId="59" fillId="0" borderId="35" xfId="0" applyFont="1" applyBorder="1" applyAlignment="1">
      <alignment horizontal="left" vertical="center"/>
    </xf>
    <xf numFmtId="0" fontId="59" fillId="0" borderId="23" xfId="0" applyFont="1" applyBorder="1" applyAlignment="1">
      <alignment horizontal="left" vertical="center"/>
    </xf>
    <xf numFmtId="0" fontId="59" fillId="0" borderId="36" xfId="0" applyFont="1" applyBorder="1" applyAlignment="1">
      <alignment horizontal="left" vertical="center"/>
    </xf>
    <xf numFmtId="0" fontId="66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59" fillId="0" borderId="33" xfId="0" applyFont="1" applyBorder="1" applyAlignment="1">
      <alignment horizontal="left" vertical="center"/>
    </xf>
    <xf numFmtId="0" fontId="59" fillId="0" borderId="34" xfId="0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68" fillId="0" borderId="29" xfId="0" applyFont="1" applyBorder="1" applyAlignment="1">
      <alignment horizontal="center"/>
    </xf>
    <xf numFmtId="0" fontId="68" fillId="0" borderId="39" xfId="0" applyFont="1" applyBorder="1" applyAlignment="1">
      <alignment horizontal="center"/>
    </xf>
    <xf numFmtId="0" fontId="68" fillId="0" borderId="30" xfId="0" applyFont="1" applyBorder="1" applyAlignment="1">
      <alignment horizontal="center"/>
    </xf>
    <xf numFmtId="0" fontId="67" fillId="0" borderId="38" xfId="0" applyFont="1" applyBorder="1" applyAlignment="1">
      <alignment horizontal="center"/>
    </xf>
    <xf numFmtId="0" fontId="68" fillId="0" borderId="38" xfId="0" applyFont="1" applyBorder="1" applyAlignment="1">
      <alignment horizontal="left" vertical="center"/>
    </xf>
    <xf numFmtId="0" fontId="68" fillId="0" borderId="35" xfId="0" applyFont="1" applyBorder="1" applyAlignment="1">
      <alignment horizontal="left" vertical="center"/>
    </xf>
    <xf numFmtId="0" fontId="68" fillId="0" borderId="32" xfId="0" applyFont="1" applyBorder="1" applyAlignment="1">
      <alignment horizontal="left" vertical="center"/>
    </xf>
    <xf numFmtId="0" fontId="68" fillId="0" borderId="23" xfId="0" applyFont="1" applyBorder="1" applyAlignment="1">
      <alignment horizontal="left" vertical="center"/>
    </xf>
    <xf numFmtId="0" fontId="68" fillId="0" borderId="0" xfId="0" applyFont="1" applyBorder="1" applyAlignment="1">
      <alignment horizontal="left" vertical="center"/>
    </xf>
    <xf numFmtId="0" fontId="68" fillId="0" borderId="33" xfId="0" applyFont="1" applyBorder="1" applyAlignment="1">
      <alignment horizontal="left" vertical="center"/>
    </xf>
    <xf numFmtId="0" fontId="95" fillId="0" borderId="0" xfId="0" applyFont="1" applyBorder="1" applyAlignment="1">
      <alignment horizontal="center"/>
    </xf>
    <xf numFmtId="0" fontId="112" fillId="0" borderId="31" xfId="0" applyFont="1" applyBorder="1" applyAlignment="1">
      <alignment horizontal="center"/>
    </xf>
    <xf numFmtId="0" fontId="113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95" fillId="0" borderId="29" xfId="0" applyFont="1" applyBorder="1" applyAlignment="1">
      <alignment horizontal="center"/>
    </xf>
    <xf numFmtId="0" fontId="95" fillId="0" borderId="39" xfId="0" applyFont="1" applyBorder="1" applyAlignment="1">
      <alignment horizontal="center"/>
    </xf>
    <xf numFmtId="0" fontId="95" fillId="0" borderId="30" xfId="0" applyFont="1" applyBorder="1" applyAlignment="1">
      <alignment horizontal="center"/>
    </xf>
    <xf numFmtId="0" fontId="134" fillId="0" borderId="0" xfId="0" applyFont="1" applyAlignment="1">
      <alignment horizontal="center"/>
    </xf>
    <xf numFmtId="0" fontId="33" fillId="0" borderId="0" xfId="0" applyFont="1" applyFill="1" applyAlignment="1">
      <alignment horizontal="left"/>
    </xf>
    <xf numFmtId="0" fontId="140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/>
    </xf>
    <xf numFmtId="0" fontId="76" fillId="0" borderId="39" xfId="0" applyFont="1" applyBorder="1" applyAlignment="1">
      <alignment horizontal="center"/>
    </xf>
    <xf numFmtId="0" fontId="76" fillId="0" borderId="30" xfId="0" applyFont="1" applyBorder="1" applyAlignment="1">
      <alignment horizontal="center"/>
    </xf>
    <xf numFmtId="3" fontId="33" fillId="0" borderId="27" xfId="0" applyNumberFormat="1" applyFont="1" applyBorder="1" applyAlignment="1">
      <alignment horizontal="center" vertical="center"/>
    </xf>
    <xf numFmtId="3" fontId="33" fillId="0" borderId="20" xfId="0" applyNumberFormat="1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3" fontId="33" fillId="0" borderId="28" xfId="0" applyNumberFormat="1" applyFont="1" applyBorder="1" applyAlignment="1">
      <alignment horizontal="center" vertical="center"/>
    </xf>
    <xf numFmtId="0" fontId="34" fillId="0" borderId="30" xfId="0" applyFont="1" applyBorder="1" applyAlignment="1">
      <alignment horizontal="center"/>
    </xf>
    <xf numFmtId="0" fontId="34" fillId="0" borderId="31" xfId="0" applyFont="1" applyBorder="1" applyAlignment="1">
      <alignment horizontal="center"/>
    </xf>
    <xf numFmtId="0" fontId="76" fillId="0" borderId="31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102" fillId="0" borderId="0" xfId="0" applyFont="1" applyAlignment="1">
      <alignment horizontal="center"/>
    </xf>
    <xf numFmtId="3" fontId="33" fillId="0" borderId="27" xfId="0" applyNumberFormat="1" applyFont="1" applyFill="1" applyBorder="1" applyAlignment="1">
      <alignment horizontal="center" vertical="center"/>
    </xf>
    <xf numFmtId="3" fontId="33" fillId="0" borderId="28" xfId="0" applyNumberFormat="1" applyFont="1" applyFill="1" applyBorder="1" applyAlignment="1">
      <alignment horizontal="center" vertical="center"/>
    </xf>
    <xf numFmtId="3" fontId="33" fillId="0" borderId="20" xfId="0" applyNumberFormat="1" applyFont="1" applyFill="1" applyBorder="1" applyAlignment="1">
      <alignment horizontal="center" vertical="center"/>
    </xf>
    <xf numFmtId="3" fontId="33" fillId="0" borderId="38" xfId="0" applyNumberFormat="1" applyFont="1" applyBorder="1" applyAlignment="1">
      <alignment horizontal="center" vertical="center"/>
    </xf>
    <xf numFmtId="0" fontId="33" fillId="0" borderId="36" xfId="0" applyFont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3" fontId="33" fillId="0" borderId="23" xfId="0" applyNumberFormat="1" applyFont="1" applyBorder="1" applyAlignment="1">
      <alignment horizontal="center" vertical="center"/>
    </xf>
    <xf numFmtId="0" fontId="102" fillId="0" borderId="0" xfId="0" applyFont="1" applyBorder="1" applyAlignment="1">
      <alignment horizontal="center"/>
    </xf>
    <xf numFmtId="0" fontId="34" fillId="0" borderId="2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33" fillId="0" borderId="27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143" fillId="0" borderId="27" xfId="0" applyFont="1" applyBorder="1" applyAlignment="1">
      <alignment horizontal="center" vertical="center"/>
    </xf>
    <xf numFmtId="0" fontId="143" fillId="0" borderId="20" xfId="0" applyFont="1" applyBorder="1" applyAlignment="1">
      <alignment horizontal="center" vertical="center"/>
    </xf>
    <xf numFmtId="0" fontId="143" fillId="0" borderId="28" xfId="0" applyFont="1" applyBorder="1" applyAlignment="1">
      <alignment horizontal="center" vertical="center"/>
    </xf>
    <xf numFmtId="0" fontId="0" fillId="0" borderId="39" xfId="0" applyBorder="1"/>
    <xf numFmtId="0" fontId="0" fillId="0" borderId="30" xfId="0" applyBorder="1"/>
    <xf numFmtId="0" fontId="34" fillId="0" borderId="27" xfId="0" applyFont="1" applyFill="1" applyBorder="1" applyAlignment="1">
      <alignment horizontal="center" vertical="center"/>
    </xf>
    <xf numFmtId="0" fontId="34" fillId="0" borderId="28" xfId="0" applyFont="1" applyFill="1" applyBorder="1" applyAlignment="1">
      <alignment horizontal="center" vertical="center"/>
    </xf>
    <xf numFmtId="0" fontId="0" fillId="0" borderId="28" xfId="0" applyBorder="1"/>
    <xf numFmtId="0" fontId="0" fillId="0" borderId="20" xfId="0" applyBorder="1"/>
    <xf numFmtId="3" fontId="0" fillId="0" borderId="28" xfId="0" applyNumberFormat="1" applyBorder="1" applyAlignment="1">
      <alignment horizontal="center" vertical="center"/>
    </xf>
    <xf numFmtId="43" fontId="34" fillId="0" borderId="0" xfId="1" applyFont="1" applyFill="1" applyBorder="1" applyAlignment="1">
      <alignment horizontal="center"/>
    </xf>
    <xf numFmtId="0" fontId="34" fillId="0" borderId="0" xfId="0" applyFont="1" applyAlignment="1">
      <alignment horizontal="center"/>
    </xf>
    <xf numFmtId="0" fontId="47" fillId="0" borderId="15" xfId="0" applyFont="1" applyBorder="1" applyAlignment="1">
      <alignment horizontal="center" vertical="center"/>
    </xf>
    <xf numFmtId="0" fontId="47" fillId="0" borderId="61" xfId="0" applyFont="1" applyBorder="1" applyAlignment="1">
      <alignment horizontal="center" vertical="center"/>
    </xf>
    <xf numFmtId="14" fontId="34" fillId="0" borderId="62" xfId="0" applyNumberFormat="1" applyFont="1" applyBorder="1" applyAlignment="1">
      <alignment horizontal="center" vertical="center"/>
    </xf>
    <xf numFmtId="14" fontId="34" fillId="0" borderId="64" xfId="0" applyNumberFormat="1" applyFont="1" applyBorder="1" applyAlignment="1">
      <alignment horizontal="center" vertical="center"/>
    </xf>
    <xf numFmtId="14" fontId="34" fillId="0" borderId="63" xfId="0" applyNumberFormat="1" applyFont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/>
    </xf>
    <xf numFmtId="0" fontId="146" fillId="0" borderId="0" xfId="0" applyFont="1" applyAlignment="1">
      <alignment horizontal="center" vertical="center"/>
    </xf>
  </cellXfs>
  <cellStyles count="62">
    <cellStyle name="20 % - Accent1 2" xfId="46"/>
    <cellStyle name="20 % - Accent2 2" xfId="48"/>
    <cellStyle name="20 % - Accent3 2" xfId="50"/>
    <cellStyle name="20 % - Accent4 2" xfId="52"/>
    <cellStyle name="20 % - Accent5 2" xfId="54"/>
    <cellStyle name="20 % - Accent6 2" xfId="56"/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 % - Accent1 2" xfId="47"/>
    <cellStyle name="40 % - Accent2 2" xfId="49"/>
    <cellStyle name="40 % - Accent3 2" xfId="51"/>
    <cellStyle name="40 % - Accent4 2" xfId="53"/>
    <cellStyle name="40 % - Accent5 2" xfId="55"/>
    <cellStyle name="40 % - Accent6 2" xfId="57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entaire 2" xfId="43"/>
    <cellStyle name="Commentaire 3" xfId="45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Milliers 2" xfId="59"/>
    <cellStyle name="Neutral" xfId="9" builtinId="28" customBuiltin="1"/>
    <cellStyle name="Normal" xfId="0" builtinId="0"/>
    <cellStyle name="Normal 2" xfId="42"/>
    <cellStyle name="Normal 3" xfId="60"/>
    <cellStyle name="Normal 4" xfId="58"/>
    <cellStyle name="Output" xfId="11" builtinId="21" customBuiltin="1"/>
    <cellStyle name="Percent" xfId="44" builtinId="5"/>
    <cellStyle name="Pourcentage 2" xfId="6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"/>
  <sheetViews>
    <sheetView workbookViewId="0"/>
  </sheetViews>
  <sheetFormatPr defaultColWidth="11.42578125"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O192"/>
  <sheetViews>
    <sheetView workbookViewId="0">
      <selection activeCell="I39" sqref="I39"/>
    </sheetView>
  </sheetViews>
  <sheetFormatPr defaultColWidth="11.42578125" defaultRowHeight="12.75" x14ac:dyDescent="0.2"/>
  <cols>
    <col min="1" max="1" width="40.5703125" customWidth="1"/>
    <col min="2" max="2" width="19.42578125" customWidth="1"/>
    <col min="3" max="7" width="16.140625" customWidth="1"/>
    <col min="8" max="9" width="15.7109375" customWidth="1"/>
    <col min="10" max="10" width="12.85546875" bestFit="1" customWidth="1"/>
    <col min="11" max="11" width="14.7109375" bestFit="1" customWidth="1"/>
    <col min="12" max="15" width="11.85546875" bestFit="1" customWidth="1"/>
  </cols>
  <sheetData>
    <row r="3" spans="1:15" ht="13.5" thickBot="1" x14ac:dyDescent="0.25"/>
    <row r="4" spans="1:15" x14ac:dyDescent="0.2">
      <c r="A4" s="2"/>
      <c r="B4" s="3"/>
      <c r="C4" s="3"/>
      <c r="D4" s="3"/>
      <c r="E4" s="3"/>
      <c r="F4" s="3"/>
      <c r="G4" s="3"/>
      <c r="H4" s="119">
        <v>42395</v>
      </c>
      <c r="I4" s="60"/>
    </row>
    <row r="5" spans="1:15" x14ac:dyDescent="0.2">
      <c r="A5" s="5"/>
      <c r="B5" s="6"/>
      <c r="C5" s="6"/>
      <c r="D5" s="6"/>
      <c r="E5" s="6"/>
      <c r="F5" s="6"/>
      <c r="G5" s="6"/>
      <c r="H5" s="7"/>
      <c r="I5" s="6"/>
      <c r="J5">
        <v>100</v>
      </c>
      <c r="K5">
        <v>121</v>
      </c>
    </row>
    <row r="6" spans="1:15" ht="18" x14ac:dyDescent="0.25">
      <c r="A6" s="5"/>
      <c r="B6" s="505" t="s">
        <v>1277</v>
      </c>
      <c r="C6" s="6"/>
      <c r="D6" s="6"/>
      <c r="E6" s="6"/>
      <c r="F6" s="6"/>
      <c r="G6" s="6"/>
      <c r="H6" s="7"/>
      <c r="I6" s="6"/>
      <c r="K6">
        <f>+J5/K5</f>
        <v>0.82644628099173556</v>
      </c>
    </row>
    <row r="7" spans="1:15" x14ac:dyDescent="0.2">
      <c r="A7" s="5"/>
      <c r="B7" s="6"/>
      <c r="C7" s="6"/>
      <c r="D7" s="6"/>
      <c r="E7" s="6"/>
      <c r="F7" s="6"/>
      <c r="G7" s="6"/>
      <c r="H7" s="7"/>
      <c r="I7" s="6"/>
      <c r="J7">
        <v>14614496</v>
      </c>
      <c r="K7" s="1084">
        <v>17739897</v>
      </c>
    </row>
    <row r="8" spans="1:15" x14ac:dyDescent="0.2">
      <c r="A8" s="5"/>
      <c r="B8" s="6"/>
      <c r="C8" s="6"/>
      <c r="D8" s="6"/>
      <c r="E8" s="6"/>
      <c r="F8" s="6"/>
      <c r="G8" s="6"/>
      <c r="H8" s="7"/>
      <c r="I8" s="6"/>
      <c r="K8">
        <f>+J7/K7</f>
        <v>0.82382079219512938</v>
      </c>
    </row>
    <row r="9" spans="1:15" x14ac:dyDescent="0.2">
      <c r="A9" s="5"/>
      <c r="B9" s="6"/>
      <c r="C9" s="482"/>
      <c r="D9" s="482"/>
      <c r="E9" s="6"/>
      <c r="F9" s="6"/>
      <c r="G9" s="6"/>
      <c r="H9" s="7"/>
      <c r="I9" s="6"/>
    </row>
    <row r="10" spans="1:15" x14ac:dyDescent="0.2">
      <c r="A10" s="5"/>
      <c r="B10" s="6"/>
      <c r="C10" s="6"/>
      <c r="D10" s="6"/>
      <c r="E10" s="6"/>
      <c r="F10" s="6"/>
      <c r="G10" s="6"/>
      <c r="H10" s="7"/>
      <c r="I10" s="6"/>
    </row>
    <row r="11" spans="1:15" ht="13.5" thickBot="1" x14ac:dyDescent="0.25">
      <c r="A11" s="11"/>
      <c r="B11" s="12"/>
      <c r="C11" s="12"/>
      <c r="D11" s="12"/>
      <c r="E11" s="12"/>
      <c r="F11" s="12"/>
      <c r="G11" s="12"/>
      <c r="H11" s="130"/>
      <c r="I11" s="6"/>
    </row>
    <row r="12" spans="1:15" x14ac:dyDescent="0.2">
      <c r="A12" s="5"/>
      <c r="B12" s="205" t="s">
        <v>910</v>
      </c>
      <c r="C12" s="205" t="s">
        <v>912</v>
      </c>
      <c r="D12" s="205" t="s">
        <v>933</v>
      </c>
      <c r="E12" s="205" t="s">
        <v>820</v>
      </c>
      <c r="F12" s="205" t="s">
        <v>816</v>
      </c>
      <c r="G12" s="205" t="s">
        <v>823</v>
      </c>
      <c r="H12" s="561" t="s">
        <v>824</v>
      </c>
      <c r="I12" s="96"/>
    </row>
    <row r="13" spans="1:15" ht="13.5" thickBot="1" x14ac:dyDescent="0.25">
      <c r="A13" s="5"/>
      <c r="B13" s="27"/>
      <c r="C13" s="27"/>
      <c r="D13" s="27"/>
      <c r="E13" s="27"/>
      <c r="F13" s="27"/>
      <c r="G13" s="27"/>
      <c r="H13" s="27"/>
      <c r="I13" s="93"/>
    </row>
    <row r="14" spans="1:15" x14ac:dyDescent="0.2">
      <c r="A14" s="2"/>
      <c r="B14" s="33"/>
      <c r="C14" s="31"/>
      <c r="D14" s="31"/>
      <c r="E14" s="31"/>
      <c r="F14" s="31"/>
      <c r="G14" s="31"/>
      <c r="H14" s="31"/>
      <c r="I14" s="29"/>
      <c r="J14">
        <v>100</v>
      </c>
      <c r="K14">
        <v>121</v>
      </c>
      <c r="N14">
        <v>100</v>
      </c>
      <c r="O14">
        <v>105</v>
      </c>
    </row>
    <row r="15" spans="1:15" ht="15.75" x14ac:dyDescent="0.25">
      <c r="A15" s="43" t="s">
        <v>18</v>
      </c>
      <c r="B15" s="45">
        <f t="shared" ref="B15:H15" si="0">B17+B18</f>
        <v>-465261</v>
      </c>
      <c r="C15" s="44">
        <f t="shared" si="0"/>
        <v>-417158.58899999992</v>
      </c>
      <c r="D15" s="44">
        <f t="shared" si="0"/>
        <v>-400188.37099999981</v>
      </c>
      <c r="E15" s="44">
        <f t="shared" si="0"/>
        <v>-353832.66899999976</v>
      </c>
      <c r="F15" s="44">
        <f t="shared" si="0"/>
        <v>-418846.66899999976</v>
      </c>
      <c r="G15" s="44">
        <f t="shared" si="0"/>
        <v>-371893.66899999976</v>
      </c>
      <c r="H15" s="44">
        <f t="shared" si="0"/>
        <v>-315907.66899999976</v>
      </c>
      <c r="I15" s="122"/>
      <c r="K15">
        <v>777721</v>
      </c>
    </row>
    <row r="16" spans="1:15" ht="15.75" x14ac:dyDescent="0.25">
      <c r="A16" s="43"/>
      <c r="B16" s="45"/>
      <c r="C16" s="46"/>
      <c r="D16" s="46"/>
      <c r="E16" s="46"/>
      <c r="F16" s="46"/>
      <c r="G16" s="46"/>
      <c r="H16" s="46"/>
      <c r="I16" s="122"/>
    </row>
    <row r="17" spans="1:15" x14ac:dyDescent="0.2">
      <c r="A17" s="9" t="s">
        <v>19</v>
      </c>
      <c r="B17" s="34">
        <f>-483327-17368+30682+2752</f>
        <v>-467261</v>
      </c>
      <c r="C17" s="34">
        <f t="shared" ref="C17:H17" si="1">B56</f>
        <v>-419158.58899999992</v>
      </c>
      <c r="D17" s="34">
        <f t="shared" si="1"/>
        <v>-402188.37099999981</v>
      </c>
      <c r="E17" s="34">
        <f t="shared" si="1"/>
        <v>-355832.66899999976</v>
      </c>
      <c r="F17" s="34">
        <f t="shared" si="1"/>
        <v>-420846.66899999976</v>
      </c>
      <c r="G17" s="34">
        <f t="shared" si="1"/>
        <v>-373893.66899999976</v>
      </c>
      <c r="H17" s="34">
        <f t="shared" si="1"/>
        <v>-317907.66899999976</v>
      </c>
      <c r="I17" s="29"/>
      <c r="K17">
        <f>J14/K14</f>
        <v>0.82644628099173556</v>
      </c>
    </row>
    <row r="18" spans="1:15" x14ac:dyDescent="0.2">
      <c r="A18" s="9" t="s">
        <v>20</v>
      </c>
      <c r="B18" s="34">
        <v>2000</v>
      </c>
      <c r="C18" s="34">
        <f>B57</f>
        <v>2000</v>
      </c>
      <c r="D18" s="34">
        <f>B57</f>
        <v>2000</v>
      </c>
      <c r="E18" s="34">
        <v>2000</v>
      </c>
      <c r="F18" s="34">
        <f>B57</f>
        <v>2000</v>
      </c>
      <c r="G18" s="34">
        <f>B57</f>
        <v>2000</v>
      </c>
      <c r="H18" s="34">
        <f>C57</f>
        <v>2000</v>
      </c>
      <c r="I18" s="29"/>
    </row>
    <row r="19" spans="1:15" x14ac:dyDescent="0.2">
      <c r="A19" s="9"/>
      <c r="B19" s="34"/>
      <c r="C19" s="31"/>
      <c r="D19" s="31"/>
      <c r="E19" s="31"/>
      <c r="F19" s="31"/>
      <c r="G19" s="31"/>
      <c r="H19" s="31"/>
      <c r="I19" s="29"/>
    </row>
    <row r="20" spans="1:15" ht="13.5" thickBot="1" x14ac:dyDescent="0.25">
      <c r="A20" s="11"/>
      <c r="B20" s="35"/>
      <c r="C20" s="31"/>
      <c r="D20" s="31"/>
      <c r="E20" s="31"/>
      <c r="F20" s="31"/>
      <c r="G20" s="31"/>
      <c r="H20" s="31"/>
      <c r="I20" s="29"/>
    </row>
    <row r="21" spans="1:15" x14ac:dyDescent="0.2">
      <c r="A21" s="5"/>
      <c r="B21" s="33"/>
      <c r="C21" s="33"/>
      <c r="D21" s="33"/>
      <c r="E21" s="33"/>
      <c r="F21" s="33"/>
      <c r="G21" s="33"/>
      <c r="H21" s="33"/>
      <c r="I21" s="29"/>
    </row>
    <row r="22" spans="1:15" ht="15.75" x14ac:dyDescent="0.25">
      <c r="A22" s="43" t="s">
        <v>25</v>
      </c>
      <c r="B22" s="45">
        <f>B24+B27+B33+B29+B28+B30+B34+B25+B26+B31+B32</f>
        <v>681508</v>
      </c>
      <c r="C22" s="45">
        <f t="shared" ref="C22:H22" si="2">C24+C27+C33+C29+C28+C30+C34+C25+C26+C31+C32</f>
        <v>1688029.7819999999</v>
      </c>
      <c r="D22" s="45">
        <f t="shared" si="2"/>
        <v>1758644.298</v>
      </c>
      <c r="E22" s="45">
        <f t="shared" si="2"/>
        <v>1870014</v>
      </c>
      <c r="F22" s="45">
        <f t="shared" si="2"/>
        <v>1758047</v>
      </c>
      <c r="G22" s="45">
        <f t="shared" si="2"/>
        <v>1749014</v>
      </c>
      <c r="H22" s="45">
        <f t="shared" si="2"/>
        <v>1892014</v>
      </c>
      <c r="I22" s="42">
        <f t="shared" ref="I22:N22" si="3">(C24+C27+C28+C29+C30)</f>
        <v>1399982.7819999999</v>
      </c>
      <c r="J22" s="42">
        <f t="shared" si="3"/>
        <v>1434630.798</v>
      </c>
      <c r="K22" s="42">
        <f t="shared" si="3"/>
        <v>1533000</v>
      </c>
      <c r="L22" s="42">
        <f t="shared" si="3"/>
        <v>1470000</v>
      </c>
      <c r="M22" s="42">
        <f t="shared" si="3"/>
        <v>1470000</v>
      </c>
      <c r="N22" s="42">
        <f t="shared" si="3"/>
        <v>1555000</v>
      </c>
      <c r="O22" s="42">
        <f>SUM(I22:N22)</f>
        <v>8862613.5800000001</v>
      </c>
    </row>
    <row r="23" spans="1:15" ht="15.75" x14ac:dyDescent="0.25">
      <c r="A23" s="43"/>
      <c r="B23" s="45"/>
      <c r="C23" s="45"/>
      <c r="D23" s="45"/>
      <c r="E23" s="45"/>
      <c r="F23" s="45"/>
      <c r="G23" s="45"/>
      <c r="H23" s="45"/>
      <c r="I23" s="1082">
        <f t="shared" ref="I23:N23" si="4">I22/(C37)</f>
        <v>0.82110427096774186</v>
      </c>
      <c r="J23" s="1082">
        <f t="shared" si="4"/>
        <v>0.79480930637119107</v>
      </c>
      <c r="K23" s="1082">
        <f t="shared" si="4"/>
        <v>0.84930747922437677</v>
      </c>
      <c r="L23" s="1082">
        <f t="shared" si="4"/>
        <v>0.81440443213296398</v>
      </c>
      <c r="M23" s="1082">
        <f t="shared" si="4"/>
        <v>0.81440443213296398</v>
      </c>
      <c r="N23" s="1082">
        <f t="shared" si="4"/>
        <v>0.86149584487534625</v>
      </c>
    </row>
    <row r="24" spans="1:15" x14ac:dyDescent="0.2">
      <c r="A24" s="10" t="s">
        <v>133</v>
      </c>
      <c r="B24" s="120">
        <f>540521-20000</f>
        <v>520521</v>
      </c>
      <c r="C24" s="120">
        <v>1056070.7819999999</v>
      </c>
      <c r="D24" s="120">
        <v>1036525.798</v>
      </c>
      <c r="E24" s="120">
        <v>1100000</v>
      </c>
      <c r="F24" s="120">
        <v>1100000</v>
      </c>
      <c r="G24" s="120">
        <v>1100000</v>
      </c>
      <c r="H24" s="120">
        <v>1100000</v>
      </c>
      <c r="I24" s="1085"/>
    </row>
    <row r="25" spans="1:15" x14ac:dyDescent="0.2">
      <c r="A25" s="491" t="s">
        <v>804</v>
      </c>
      <c r="B25" s="120">
        <v>0</v>
      </c>
      <c r="C25" s="120">
        <f>6088+1349+1398</f>
        <v>8835</v>
      </c>
      <c r="D25" s="120">
        <v>8835</v>
      </c>
      <c r="E25" s="120">
        <v>8835</v>
      </c>
      <c r="F25" s="120">
        <v>8835</v>
      </c>
      <c r="G25" s="120">
        <v>8835</v>
      </c>
      <c r="H25" s="120">
        <v>8835</v>
      </c>
      <c r="I25" s="42">
        <f t="shared" ref="I25:N25" si="5">I22/1.18</f>
        <v>1186426.086440678</v>
      </c>
      <c r="J25" s="42">
        <f t="shared" si="5"/>
        <v>1215788.8118644068</v>
      </c>
      <c r="K25" s="42">
        <f t="shared" si="5"/>
        <v>1299152.5423728814</v>
      </c>
      <c r="L25" s="42">
        <f t="shared" si="5"/>
        <v>1245762.7118644069</v>
      </c>
      <c r="M25" s="42">
        <f t="shared" si="5"/>
        <v>1245762.7118644069</v>
      </c>
      <c r="N25" s="42">
        <f t="shared" si="5"/>
        <v>1317796.6101694915</v>
      </c>
      <c r="O25" s="42">
        <f>SUM(I25:N25)</f>
        <v>7510689.4745762721</v>
      </c>
    </row>
    <row r="26" spans="1:15" x14ac:dyDescent="0.2">
      <c r="A26" s="491" t="s">
        <v>805</v>
      </c>
      <c r="B26" s="120">
        <v>0</v>
      </c>
      <c r="C26" s="120">
        <v>24442</v>
      </c>
      <c r="D26" s="120">
        <v>24442</v>
      </c>
      <c r="E26" s="120">
        <v>24442</v>
      </c>
      <c r="F26" s="120">
        <v>24442</v>
      </c>
      <c r="G26" s="120">
        <v>24442</v>
      </c>
      <c r="H26" s="120">
        <v>24442</v>
      </c>
      <c r="I26" s="1082">
        <f t="shared" ref="I26:N26" si="6">+I25/(C37/1.18)</f>
        <v>0.82110427096774197</v>
      </c>
      <c r="J26" s="1082">
        <f t="shared" si="6"/>
        <v>0.79480930637119118</v>
      </c>
      <c r="K26" s="1082">
        <f t="shared" si="6"/>
        <v>0.84930747922437677</v>
      </c>
      <c r="L26" s="1082">
        <f t="shared" si="6"/>
        <v>0.8144044321329641</v>
      </c>
      <c r="M26" s="1082">
        <f t="shared" si="6"/>
        <v>0.8144044321329641</v>
      </c>
      <c r="N26" s="1082">
        <f t="shared" si="6"/>
        <v>0.86149584487534625</v>
      </c>
    </row>
    <row r="27" spans="1:15" x14ac:dyDescent="0.2">
      <c r="A27" s="10" t="s">
        <v>134</v>
      </c>
      <c r="B27" s="120">
        <v>0</v>
      </c>
      <c r="C27" s="120">
        <v>128334</v>
      </c>
      <c r="D27" s="729">
        <v>85331</v>
      </c>
      <c r="E27" s="120">
        <v>200000</v>
      </c>
      <c r="F27" s="120">
        <v>200000</v>
      </c>
      <c r="G27" s="120">
        <v>200000</v>
      </c>
      <c r="H27" s="120">
        <v>200000</v>
      </c>
      <c r="I27" s="1085"/>
      <c r="N27" s="42">
        <f>SUM(I25:N25)</f>
        <v>7510689.4745762721</v>
      </c>
    </row>
    <row r="28" spans="1:15" s="58" customFormat="1" x14ac:dyDescent="0.2">
      <c r="A28" s="727" t="s">
        <v>359</v>
      </c>
      <c r="B28" s="728">
        <v>0</v>
      </c>
      <c r="C28" s="728">
        <v>120539</v>
      </c>
      <c r="D28" s="728">
        <f>193000</f>
        <v>193000</v>
      </c>
      <c r="E28" s="728">
        <f>251000-103000</f>
        <v>148000</v>
      </c>
      <c r="F28" s="728">
        <v>85000</v>
      </c>
      <c r="G28" s="728">
        <v>85000</v>
      </c>
      <c r="H28" s="728">
        <v>170000</v>
      </c>
      <c r="I28" s="1086"/>
    </row>
    <row r="29" spans="1:15" x14ac:dyDescent="0.2">
      <c r="A29" s="10" t="s">
        <v>292</v>
      </c>
      <c r="B29" s="120">
        <v>35000</v>
      </c>
      <c r="C29" s="120">
        <v>80000</v>
      </c>
      <c r="D29" s="120">
        <v>50000</v>
      </c>
      <c r="E29" s="120">
        <v>50000</v>
      </c>
      <c r="F29" s="120">
        <v>50000</v>
      </c>
      <c r="G29" s="120">
        <v>50000</v>
      </c>
      <c r="H29" s="120">
        <v>50000</v>
      </c>
      <c r="I29" s="1085"/>
      <c r="K29">
        <v>194399.91666666701</v>
      </c>
    </row>
    <row r="30" spans="1:15" x14ac:dyDescent="0.2">
      <c r="A30" s="10" t="s">
        <v>358</v>
      </c>
      <c r="B30" s="120">
        <v>0</v>
      </c>
      <c r="C30" s="120">
        <v>15039</v>
      </c>
      <c r="D30" s="120">
        <v>69774</v>
      </c>
      <c r="E30" s="120">
        <v>35000</v>
      </c>
      <c r="F30" s="120">
        <v>35000</v>
      </c>
      <c r="G30" s="120">
        <v>35000</v>
      </c>
      <c r="H30" s="120">
        <v>35000</v>
      </c>
      <c r="I30" s="1085"/>
      <c r="K30">
        <v>234844.66666666666</v>
      </c>
    </row>
    <row r="31" spans="1:15" x14ac:dyDescent="0.2">
      <c r="A31" s="491" t="s">
        <v>806</v>
      </c>
      <c r="B31" s="120">
        <f>4771+6216</f>
        <v>10987</v>
      </c>
      <c r="C31" s="120">
        <v>20019</v>
      </c>
      <c r="D31" s="120">
        <v>10986</v>
      </c>
      <c r="E31" s="120">
        <v>10986</v>
      </c>
      <c r="F31" s="120">
        <v>20019</v>
      </c>
      <c r="G31" s="120">
        <v>10986</v>
      </c>
      <c r="H31" s="120">
        <v>10986</v>
      </c>
      <c r="I31" s="1085"/>
    </row>
    <row r="32" spans="1:15" x14ac:dyDescent="0.2">
      <c r="A32" s="491" t="s">
        <v>1069</v>
      </c>
      <c r="B32" s="120">
        <v>35000</v>
      </c>
      <c r="C32" s="120">
        <v>35000</v>
      </c>
      <c r="D32" s="120">
        <v>35000</v>
      </c>
      <c r="E32" s="120">
        <v>35000</v>
      </c>
      <c r="F32" s="120">
        <v>35000</v>
      </c>
      <c r="G32" s="120">
        <v>35000</v>
      </c>
      <c r="H32" s="120">
        <v>35000</v>
      </c>
      <c r="I32" s="1085"/>
    </row>
    <row r="33" spans="1:13" x14ac:dyDescent="0.2">
      <c r="A33" s="10" t="s">
        <v>135</v>
      </c>
      <c r="B33" s="120">
        <v>80000</v>
      </c>
      <c r="C33" s="120">
        <v>199751</v>
      </c>
      <c r="D33" s="120">
        <f>199750.5+45000</f>
        <v>244750.5</v>
      </c>
      <c r="E33" s="120">
        <v>257751</v>
      </c>
      <c r="F33" s="120">
        <v>199751</v>
      </c>
      <c r="G33" s="120">
        <v>199751</v>
      </c>
      <c r="H33" s="120">
        <v>257751</v>
      </c>
      <c r="I33" s="1085"/>
    </row>
    <row r="34" spans="1:13" x14ac:dyDescent="0.2">
      <c r="A34" s="10"/>
      <c r="B34" s="120"/>
      <c r="C34" s="120"/>
      <c r="D34" s="120"/>
      <c r="E34" s="120"/>
      <c r="F34" s="120"/>
      <c r="G34" s="120"/>
      <c r="H34" s="120"/>
      <c r="I34" s="1085"/>
    </row>
    <row r="35" spans="1:13" ht="13.5" thickBot="1" x14ac:dyDescent="0.25">
      <c r="A35" s="121"/>
      <c r="B35" s="35"/>
      <c r="C35" s="35"/>
      <c r="D35" s="35"/>
      <c r="E35" s="35"/>
      <c r="F35" s="35"/>
      <c r="G35" s="35"/>
      <c r="H35" s="35"/>
      <c r="I35" s="29"/>
    </row>
    <row r="36" spans="1:13" x14ac:dyDescent="0.2">
      <c r="A36" s="5"/>
      <c r="B36" s="33"/>
      <c r="C36" s="21"/>
      <c r="D36" s="21"/>
      <c r="E36" s="21"/>
      <c r="F36" s="21"/>
      <c r="G36" s="21"/>
      <c r="H36" s="21"/>
      <c r="I36" s="29"/>
    </row>
    <row r="37" spans="1:13" ht="15.75" x14ac:dyDescent="0.25">
      <c r="A37" s="43" t="s">
        <v>136</v>
      </c>
      <c r="B37" s="45">
        <f>B41+B48</f>
        <v>729610.41100000008</v>
      </c>
      <c r="C37" s="45">
        <f t="shared" ref="C37:H37" si="7">C41+C48</f>
        <v>1705000</v>
      </c>
      <c r="D37" s="45">
        <f t="shared" si="7"/>
        <v>1805000</v>
      </c>
      <c r="E37" s="45">
        <f t="shared" si="7"/>
        <v>1805000</v>
      </c>
      <c r="F37" s="45">
        <f t="shared" si="7"/>
        <v>1805000</v>
      </c>
      <c r="G37" s="45">
        <f>G41+G48</f>
        <v>1805000</v>
      </c>
      <c r="H37" s="45">
        <f t="shared" si="7"/>
        <v>1805000</v>
      </c>
      <c r="I37" s="122"/>
      <c r="J37" s="1081">
        <f>SUM(C37:H37)</f>
        <v>10730000</v>
      </c>
      <c r="K37" s="722">
        <f>J37/1.18</f>
        <v>9093220.3389830515</v>
      </c>
      <c r="L37" s="42">
        <f>+K37-N27</f>
        <v>1582530.8644067794</v>
      </c>
      <c r="M37">
        <f>L37/N27</f>
        <v>0.21070380685603574</v>
      </c>
    </row>
    <row r="38" spans="1:13" ht="15.75" x14ac:dyDescent="0.25">
      <c r="A38" s="43"/>
      <c r="B38" s="45"/>
      <c r="C38" s="46"/>
      <c r="D38" s="46"/>
      <c r="E38" s="46"/>
      <c r="F38" s="46"/>
      <c r="G38" s="46"/>
      <c r="H38" s="46"/>
      <c r="I38" s="122"/>
    </row>
    <row r="39" spans="1:13" ht="13.5" thickBot="1" x14ac:dyDescent="0.25">
      <c r="A39" s="5"/>
      <c r="B39" s="35"/>
      <c r="C39" s="20"/>
      <c r="D39" s="20"/>
      <c r="E39" s="20"/>
      <c r="F39" s="20"/>
      <c r="G39" s="20"/>
      <c r="H39" s="20"/>
      <c r="I39" s="29"/>
    </row>
    <row r="40" spans="1:13" x14ac:dyDescent="0.2">
      <c r="A40" s="13"/>
      <c r="B40" s="21"/>
      <c r="C40" s="21"/>
      <c r="D40" s="21"/>
      <c r="E40" s="21"/>
      <c r="F40" s="21"/>
      <c r="G40" s="21"/>
      <c r="H40" s="21"/>
      <c r="I40" s="29"/>
      <c r="K40">
        <f>O25/K37</f>
        <v>0.82596585088536811</v>
      </c>
    </row>
    <row r="41" spans="1:13" ht="13.5" thickBot="1" x14ac:dyDescent="0.25">
      <c r="A41" s="14" t="s">
        <v>137</v>
      </c>
      <c r="B41" s="41">
        <f t="shared" ref="B41:H41" si="8">B43+B44+B45</f>
        <v>429610.41100000002</v>
      </c>
      <c r="C41" s="41">
        <f t="shared" si="8"/>
        <v>1155000</v>
      </c>
      <c r="D41" s="41">
        <f t="shared" si="8"/>
        <v>1205000</v>
      </c>
      <c r="E41" s="41">
        <f t="shared" si="8"/>
        <v>1205000</v>
      </c>
      <c r="F41" s="41">
        <f t="shared" si="8"/>
        <v>1205000</v>
      </c>
      <c r="G41" s="41">
        <f t="shared" si="8"/>
        <v>1205000</v>
      </c>
      <c r="H41" s="41">
        <f t="shared" si="8"/>
        <v>1205000</v>
      </c>
      <c r="I41" s="123"/>
    </row>
    <row r="42" spans="1:13" x14ac:dyDescent="0.2">
      <c r="A42" s="14"/>
      <c r="B42" s="172"/>
      <c r="C42" s="504"/>
      <c r="D42" s="172"/>
      <c r="E42" s="504"/>
      <c r="F42" s="172"/>
      <c r="G42" s="504"/>
      <c r="H42" s="172"/>
      <c r="I42" s="123"/>
    </row>
    <row r="43" spans="1:13" x14ac:dyDescent="0.2">
      <c r="A43" s="15" t="s">
        <v>8</v>
      </c>
      <c r="B43" s="34">
        <v>299610.41100000002</v>
      </c>
      <c r="C43" s="29">
        <v>750000</v>
      </c>
      <c r="D43" s="34">
        <v>800000</v>
      </c>
      <c r="E43" s="29">
        <v>800000</v>
      </c>
      <c r="F43" s="34">
        <v>800000</v>
      </c>
      <c r="G43" s="29">
        <v>800000</v>
      </c>
      <c r="H43" s="34">
        <v>800000</v>
      </c>
      <c r="I43" s="29"/>
    </row>
    <row r="44" spans="1:13" x14ac:dyDescent="0.2">
      <c r="A44" s="15" t="s">
        <v>26</v>
      </c>
      <c r="B44" s="34">
        <v>130000</v>
      </c>
      <c r="C44" s="29">
        <v>400000</v>
      </c>
      <c r="D44" s="34">
        <v>400000</v>
      </c>
      <c r="E44" s="29">
        <v>400000</v>
      </c>
      <c r="F44" s="34">
        <v>400000</v>
      </c>
      <c r="G44" s="29">
        <v>400000</v>
      </c>
      <c r="H44" s="34">
        <v>400000</v>
      </c>
      <c r="I44" s="29"/>
      <c r="J44" s="495"/>
    </row>
    <row r="45" spans="1:13" x14ac:dyDescent="0.2">
      <c r="A45" s="15" t="s">
        <v>29</v>
      </c>
      <c r="B45" s="34"/>
      <c r="C45" s="29">
        <v>5000</v>
      </c>
      <c r="D45" s="34">
        <v>5000</v>
      </c>
      <c r="E45" s="29">
        <v>5000</v>
      </c>
      <c r="F45" s="34">
        <v>5000</v>
      </c>
      <c r="G45" s="29">
        <v>5000</v>
      </c>
      <c r="H45" s="34">
        <v>5000</v>
      </c>
      <c r="I45" s="29"/>
    </row>
    <row r="46" spans="1:13" x14ac:dyDescent="0.2">
      <c r="A46" s="15"/>
      <c r="B46" s="34"/>
      <c r="C46" s="29"/>
      <c r="D46" s="34"/>
      <c r="E46" s="29"/>
      <c r="F46" s="34"/>
      <c r="G46" s="29"/>
      <c r="H46" s="34"/>
      <c r="I46" s="29"/>
    </row>
    <row r="47" spans="1:13" x14ac:dyDescent="0.2">
      <c r="A47" s="15" t="s">
        <v>179</v>
      </c>
      <c r="B47" s="34"/>
      <c r="C47" s="29"/>
      <c r="D47" s="34"/>
      <c r="E47" s="29"/>
      <c r="F47" s="34"/>
      <c r="G47" s="29"/>
      <c r="H47" s="34"/>
      <c r="I47" s="29"/>
    </row>
    <row r="48" spans="1:13" x14ac:dyDescent="0.2">
      <c r="A48" s="14" t="s">
        <v>138</v>
      </c>
      <c r="B48" s="173">
        <v>300000</v>
      </c>
      <c r="C48" s="123">
        <v>550000</v>
      </c>
      <c r="D48" s="173">
        <v>600000</v>
      </c>
      <c r="E48" s="123">
        <v>600000</v>
      </c>
      <c r="F48" s="173">
        <v>600000</v>
      </c>
      <c r="G48" s="123">
        <v>600000</v>
      </c>
      <c r="H48" s="173">
        <v>600000</v>
      </c>
      <c r="I48" s="123"/>
    </row>
    <row r="49" spans="1:9" ht="13.5" thickBot="1" x14ac:dyDescent="0.25">
      <c r="A49" s="16"/>
      <c r="B49" s="35"/>
      <c r="C49" s="37"/>
      <c r="D49" s="35"/>
      <c r="E49" s="37"/>
      <c r="F49" s="35"/>
      <c r="G49" s="37"/>
      <c r="H49" s="35"/>
      <c r="I49" s="29"/>
    </row>
    <row r="50" spans="1:9" x14ac:dyDescent="0.2">
      <c r="A50" s="2"/>
      <c r="B50" s="21"/>
      <c r="C50" s="21"/>
      <c r="D50" s="21"/>
      <c r="E50" s="21"/>
      <c r="F50" s="21"/>
      <c r="G50" s="21"/>
      <c r="H50" s="21"/>
      <c r="I50" s="29"/>
    </row>
    <row r="51" spans="1:9" x14ac:dyDescent="0.2">
      <c r="A51" s="9" t="s">
        <v>27</v>
      </c>
      <c r="B51" s="34">
        <f t="shared" ref="B51:H51" si="9">B37-B22</f>
        <v>48102.41100000008</v>
      </c>
      <c r="C51" s="34">
        <f t="shared" si="9"/>
        <v>16970.21800000011</v>
      </c>
      <c r="D51" s="34">
        <f t="shared" si="9"/>
        <v>46355.702000000048</v>
      </c>
      <c r="E51" s="34">
        <f t="shared" si="9"/>
        <v>-65014</v>
      </c>
      <c r="F51" s="34">
        <f t="shared" si="9"/>
        <v>46953</v>
      </c>
      <c r="G51" s="34">
        <f>G37-G22</f>
        <v>55986</v>
      </c>
      <c r="H51" s="34">
        <f t="shared" si="9"/>
        <v>-87014</v>
      </c>
      <c r="I51" s="29"/>
    </row>
    <row r="52" spans="1:9" ht="13.5" thickBot="1" x14ac:dyDescent="0.25">
      <c r="A52" s="5"/>
      <c r="B52" s="19"/>
      <c r="C52" s="19"/>
      <c r="D52" s="19"/>
      <c r="E52" s="19"/>
      <c r="F52" s="19"/>
      <c r="G52" s="19"/>
      <c r="H52" s="19"/>
      <c r="I52" s="29"/>
    </row>
    <row r="53" spans="1:9" x14ac:dyDescent="0.2">
      <c r="A53" s="2"/>
      <c r="B53" s="33"/>
      <c r="C53" s="33"/>
      <c r="D53" s="33"/>
      <c r="E53" s="33"/>
      <c r="F53" s="33"/>
      <c r="G53" s="33"/>
      <c r="H53" s="33"/>
      <c r="I53" s="29"/>
    </row>
    <row r="54" spans="1:9" ht="16.5" thickBot="1" x14ac:dyDescent="0.3">
      <c r="A54" s="43" t="s">
        <v>28</v>
      </c>
      <c r="B54" s="171">
        <f t="shared" ref="B54:H54" si="10">B15+B51</f>
        <v>-417158.58899999992</v>
      </c>
      <c r="C54" s="171">
        <f t="shared" si="10"/>
        <v>-400188.37099999981</v>
      </c>
      <c r="D54" s="171">
        <f t="shared" si="10"/>
        <v>-353832.66899999976</v>
      </c>
      <c r="E54" s="171">
        <f t="shared" si="10"/>
        <v>-418846.66899999976</v>
      </c>
      <c r="F54" s="171">
        <f t="shared" si="10"/>
        <v>-371893.66899999976</v>
      </c>
      <c r="G54" s="171">
        <f>G15+G51</f>
        <v>-315907.66899999976</v>
      </c>
      <c r="H54" s="171">
        <f t="shared" si="10"/>
        <v>-402921.66899999976</v>
      </c>
      <c r="I54" s="122"/>
    </row>
    <row r="55" spans="1:9" ht="16.5" thickBot="1" x14ac:dyDescent="0.3">
      <c r="A55" s="43"/>
      <c r="B55" s="122"/>
      <c r="C55" s="122"/>
      <c r="D55" s="122"/>
      <c r="E55" s="122"/>
      <c r="F55" s="122"/>
      <c r="G55" s="122"/>
      <c r="H55" s="122"/>
      <c r="I55" s="122"/>
    </row>
    <row r="56" spans="1:9" x14ac:dyDescent="0.2">
      <c r="A56" s="9" t="s">
        <v>19</v>
      </c>
      <c r="B56" s="33">
        <f t="shared" ref="B56:H56" si="11">B54-B57</f>
        <v>-419158.58899999992</v>
      </c>
      <c r="C56" s="33">
        <f t="shared" si="11"/>
        <v>-402188.37099999981</v>
      </c>
      <c r="D56" s="33">
        <f t="shared" si="11"/>
        <v>-355832.66899999976</v>
      </c>
      <c r="E56" s="33">
        <f t="shared" si="11"/>
        <v>-420846.66899999976</v>
      </c>
      <c r="F56" s="33">
        <f t="shared" si="11"/>
        <v>-373893.66899999976</v>
      </c>
      <c r="G56" s="33">
        <f t="shared" si="11"/>
        <v>-317907.66899999976</v>
      </c>
      <c r="H56" s="33">
        <f t="shared" si="11"/>
        <v>-404921.66899999976</v>
      </c>
      <c r="I56" s="29"/>
    </row>
    <row r="57" spans="1:9" x14ac:dyDescent="0.2">
      <c r="A57" s="9" t="s">
        <v>20</v>
      </c>
      <c r="B57" s="34">
        <f>2000</f>
        <v>2000</v>
      </c>
      <c r="C57" s="34">
        <f>2000</f>
        <v>2000</v>
      </c>
      <c r="D57" s="34">
        <f>2000</f>
        <v>2000</v>
      </c>
      <c r="E57" s="34">
        <f>2000</f>
        <v>2000</v>
      </c>
      <c r="F57" s="34">
        <f>2000</f>
        <v>2000</v>
      </c>
      <c r="G57" s="34">
        <f>2000</f>
        <v>2000</v>
      </c>
      <c r="H57" s="34">
        <f>2000</f>
        <v>2000</v>
      </c>
      <c r="I57" s="29"/>
    </row>
    <row r="58" spans="1:9" ht="13.5" thickBot="1" x14ac:dyDescent="0.25">
      <c r="A58" s="36"/>
      <c r="B58" s="35"/>
      <c r="C58" s="35"/>
      <c r="D58" s="35"/>
      <c r="E58" s="35"/>
      <c r="F58" s="35"/>
      <c r="G58" s="35"/>
      <c r="H58" s="35"/>
      <c r="I58" s="29"/>
    </row>
    <row r="59" spans="1:9" x14ac:dyDescent="0.2">
      <c r="A59" s="86"/>
      <c r="B59" s="29"/>
      <c r="C59" s="29"/>
      <c r="D59" s="29"/>
      <c r="E59" s="29"/>
      <c r="F59" s="29"/>
      <c r="G59" s="29"/>
      <c r="H59" s="29"/>
      <c r="I59" s="29"/>
    </row>
    <row r="60" spans="1:9" x14ac:dyDescent="0.2">
      <c r="A60" s="86"/>
      <c r="B60" s="29"/>
      <c r="C60" s="29"/>
      <c r="D60" s="29"/>
      <c r="E60" s="29"/>
      <c r="F60" s="29"/>
      <c r="G60" s="29"/>
      <c r="H60" s="29"/>
      <c r="I60" s="29"/>
    </row>
    <row r="61" spans="1:9" x14ac:dyDescent="0.2">
      <c r="A61" s="86" t="s">
        <v>1278</v>
      </c>
      <c r="B61" s="29"/>
      <c r="C61" s="29"/>
      <c r="D61" s="29"/>
      <c r="E61" s="29"/>
      <c r="F61" s="29"/>
      <c r="G61" s="29"/>
      <c r="H61" s="29"/>
      <c r="I61" s="29"/>
    </row>
    <row r="62" spans="1:9" x14ac:dyDescent="0.2">
      <c r="A62" s="86"/>
      <c r="B62" s="29"/>
      <c r="C62" s="29"/>
      <c r="D62" s="29"/>
      <c r="E62" s="29"/>
      <c r="F62" s="29"/>
      <c r="G62" s="29"/>
      <c r="H62" s="29"/>
      <c r="I62" s="29"/>
    </row>
    <row r="63" spans="1:9" x14ac:dyDescent="0.2">
      <c r="A63" s="86"/>
      <c r="B63" s="29"/>
      <c r="C63" s="29"/>
      <c r="D63" s="29"/>
      <c r="E63" s="29"/>
      <c r="F63" s="29"/>
      <c r="G63" s="29"/>
      <c r="H63" s="29"/>
      <c r="I63" s="29"/>
    </row>
    <row r="64" spans="1:9" x14ac:dyDescent="0.2">
      <c r="A64" s="86"/>
      <c r="B64" s="29"/>
      <c r="C64" s="29"/>
      <c r="D64" s="29"/>
      <c r="E64" s="29"/>
      <c r="F64" s="29"/>
      <c r="G64" s="29"/>
      <c r="H64" s="29"/>
      <c r="I64" s="29"/>
    </row>
    <row r="65" spans="1:9" x14ac:dyDescent="0.2">
      <c r="A65" s="86"/>
      <c r="B65" s="29"/>
      <c r="C65" s="29"/>
      <c r="D65" s="29"/>
      <c r="E65" s="29"/>
      <c r="F65" s="29"/>
      <c r="G65" s="29"/>
      <c r="H65" s="29"/>
      <c r="I65" s="29"/>
    </row>
    <row r="66" spans="1:9" x14ac:dyDescent="0.2">
      <c r="A66" s="86"/>
      <c r="B66" s="29"/>
      <c r="C66" s="29"/>
      <c r="D66" s="29"/>
      <c r="E66" s="29"/>
      <c r="F66" s="29"/>
      <c r="G66" s="29"/>
      <c r="H66" s="29"/>
      <c r="I66" s="29"/>
    </row>
    <row r="67" spans="1:9" x14ac:dyDescent="0.2">
      <c r="A67" s="86"/>
      <c r="B67" s="29"/>
      <c r="C67" s="29"/>
      <c r="D67" s="29"/>
      <c r="E67" s="29"/>
      <c r="F67" s="29"/>
      <c r="G67" s="29"/>
      <c r="H67" s="29"/>
      <c r="I67" s="29"/>
    </row>
    <row r="68" spans="1:9" x14ac:dyDescent="0.2">
      <c r="A68" s="86"/>
      <c r="B68" s="29"/>
      <c r="C68" s="29"/>
      <c r="D68" s="29"/>
      <c r="E68" s="29"/>
      <c r="F68" s="29"/>
      <c r="G68" s="29"/>
      <c r="H68" s="29"/>
      <c r="I68" s="29"/>
    </row>
    <row r="69" spans="1:9" x14ac:dyDescent="0.2">
      <c r="A69" s="86"/>
      <c r="B69" s="29"/>
      <c r="C69" s="29"/>
      <c r="D69" s="29"/>
      <c r="E69" s="29"/>
      <c r="F69" s="29"/>
      <c r="G69" s="29"/>
      <c r="H69" s="29"/>
      <c r="I69" s="29"/>
    </row>
    <row r="70" spans="1:9" x14ac:dyDescent="0.2">
      <c r="A70" s="86"/>
      <c r="B70" s="29"/>
      <c r="C70" s="29"/>
      <c r="D70" s="29"/>
      <c r="E70" s="29"/>
      <c r="F70" s="29"/>
      <c r="G70" s="29"/>
      <c r="H70" s="29"/>
      <c r="I70" s="29"/>
    </row>
    <row r="71" spans="1:9" x14ac:dyDescent="0.2">
      <c r="A71" s="86"/>
      <c r="B71" s="29"/>
      <c r="C71" s="29"/>
      <c r="D71" s="29"/>
      <c r="E71" s="29"/>
      <c r="F71" s="29"/>
      <c r="G71" s="29"/>
      <c r="H71" s="29"/>
      <c r="I71" s="29"/>
    </row>
    <row r="72" spans="1:9" x14ac:dyDescent="0.2">
      <c r="A72" s="86"/>
      <c r="B72" s="29"/>
      <c r="C72" s="29"/>
      <c r="D72" s="29"/>
      <c r="E72" s="29"/>
      <c r="F72" s="29"/>
      <c r="G72" s="29"/>
      <c r="H72" s="29"/>
      <c r="I72" s="29"/>
    </row>
    <row r="73" spans="1:9" x14ac:dyDescent="0.2">
      <c r="A73" s="86"/>
      <c r="B73" s="29"/>
      <c r="C73" s="29"/>
      <c r="D73" s="29"/>
      <c r="E73" s="29"/>
      <c r="F73" s="29"/>
      <c r="G73" s="29"/>
      <c r="H73" s="29"/>
      <c r="I73" s="29"/>
    </row>
    <row r="74" spans="1:9" x14ac:dyDescent="0.2">
      <c r="A74" s="86"/>
      <c r="B74" s="29"/>
      <c r="C74" s="29"/>
      <c r="D74" s="29"/>
      <c r="E74" s="29"/>
      <c r="F74" s="29"/>
      <c r="G74" s="29"/>
      <c r="H74" s="29"/>
      <c r="I74" s="29"/>
    </row>
    <row r="75" spans="1:9" x14ac:dyDescent="0.2">
      <c r="A75" s="86"/>
      <c r="B75" s="29"/>
      <c r="C75" s="29"/>
      <c r="D75" s="29"/>
      <c r="E75" s="29"/>
      <c r="F75" s="29"/>
      <c r="G75" s="29"/>
      <c r="H75" s="29"/>
      <c r="I75" s="29"/>
    </row>
    <row r="76" spans="1:9" x14ac:dyDescent="0.2">
      <c r="A76" s="86"/>
      <c r="B76" s="29"/>
      <c r="C76" s="29"/>
      <c r="D76" s="29"/>
      <c r="E76" s="29"/>
      <c r="F76" s="29"/>
      <c r="G76" s="29"/>
      <c r="H76" s="29"/>
      <c r="I76" s="29"/>
    </row>
    <row r="77" spans="1:9" x14ac:dyDescent="0.2">
      <c r="A77" s="86"/>
      <c r="B77" s="29"/>
      <c r="C77" s="29"/>
      <c r="D77" s="29"/>
      <c r="E77" s="29"/>
      <c r="F77" s="29"/>
      <c r="G77" s="29"/>
      <c r="H77" s="29"/>
      <c r="I77" s="29"/>
    </row>
    <row r="78" spans="1:9" ht="18" x14ac:dyDescent="0.25">
      <c r="A78" s="86"/>
      <c r="B78" s="1111"/>
      <c r="C78" s="1112"/>
      <c r="D78" s="1112"/>
      <c r="E78" s="29"/>
      <c r="F78" s="29"/>
      <c r="G78" s="29"/>
      <c r="H78" s="29"/>
      <c r="I78" s="29"/>
    </row>
    <row r="79" spans="1:9" x14ac:dyDescent="0.2">
      <c r="A79" s="86"/>
      <c r="B79" s="29"/>
      <c r="C79" s="29"/>
      <c r="D79" s="29"/>
      <c r="E79" s="29"/>
      <c r="F79" s="29"/>
      <c r="G79" s="29"/>
      <c r="H79" s="29"/>
      <c r="I79" s="29"/>
    </row>
    <row r="80" spans="1:9" ht="18" x14ac:dyDescent="0.25">
      <c r="A80" s="505" t="s">
        <v>1269</v>
      </c>
      <c r="B80" s="1110"/>
      <c r="C80" s="1110"/>
      <c r="D80" s="1110"/>
      <c r="E80" s="29"/>
      <c r="F80" s="29"/>
      <c r="G80" s="29"/>
      <c r="H80" s="29"/>
      <c r="I80" s="29"/>
    </row>
    <row r="81" spans="1:9" ht="18" x14ac:dyDescent="0.25">
      <c r="A81" s="505"/>
      <c r="B81" s="1110"/>
      <c r="C81" s="1110"/>
      <c r="D81" s="1110"/>
      <c r="E81" s="29"/>
      <c r="F81" s="29"/>
      <c r="G81" s="29"/>
      <c r="H81" s="29"/>
      <c r="I81" s="29"/>
    </row>
    <row r="82" spans="1:9" ht="18" x14ac:dyDescent="0.25">
      <c r="A82" s="505"/>
      <c r="B82" s="1110"/>
      <c r="C82" s="1110"/>
      <c r="D82" s="1110"/>
      <c r="E82" s="29"/>
      <c r="F82" s="29"/>
      <c r="G82" s="29"/>
      <c r="H82" s="29"/>
      <c r="I82" s="29"/>
    </row>
    <row r="83" spans="1:9" ht="15.75" x14ac:dyDescent="0.25">
      <c r="A83" s="1122" t="s">
        <v>1143</v>
      </c>
      <c r="B83" s="1110"/>
      <c r="C83" s="1110"/>
      <c r="D83" s="1110"/>
      <c r="E83" s="29"/>
      <c r="F83" s="29"/>
      <c r="G83" s="29"/>
      <c r="H83" s="29"/>
      <c r="I83" s="29"/>
    </row>
    <row r="84" spans="1:9" ht="18" x14ac:dyDescent="0.25">
      <c r="A84" s="505"/>
      <c r="B84" s="1110"/>
      <c r="C84" s="1110"/>
      <c r="D84" s="1110"/>
      <c r="E84" s="29"/>
      <c r="F84" s="29"/>
      <c r="G84" s="29"/>
      <c r="H84" s="29"/>
      <c r="I84" s="29"/>
    </row>
    <row r="86" spans="1:9" ht="18" x14ac:dyDescent="0.25">
      <c r="A86" s="505"/>
      <c r="B86" s="1110"/>
      <c r="C86" s="1110"/>
      <c r="D86" s="1110"/>
      <c r="E86" s="29"/>
      <c r="F86" s="29"/>
      <c r="G86" s="29"/>
      <c r="H86" s="29"/>
      <c r="I86" s="29"/>
    </row>
    <row r="87" spans="1:9" ht="15.75" x14ac:dyDescent="0.25">
      <c r="A87" s="1121" t="s">
        <v>1229</v>
      </c>
      <c r="B87" s="1110"/>
      <c r="C87" s="1110"/>
      <c r="D87" s="1110"/>
      <c r="E87" s="29"/>
      <c r="F87" s="29"/>
      <c r="G87" s="29"/>
      <c r="H87" s="29"/>
      <c r="I87" s="29"/>
    </row>
    <row r="88" spans="1:9" ht="15.75" x14ac:dyDescent="0.25">
      <c r="A88" s="1121"/>
      <c r="B88" s="1110"/>
      <c r="C88" s="1110"/>
      <c r="D88" s="1110"/>
      <c r="E88" s="29"/>
      <c r="F88" s="29"/>
      <c r="G88" s="29"/>
      <c r="H88" s="29"/>
      <c r="I88" s="29"/>
    </row>
    <row r="89" spans="1:9" ht="15.75" x14ac:dyDescent="0.25">
      <c r="A89" s="1121"/>
      <c r="B89" s="1110"/>
      <c r="C89" s="1110"/>
      <c r="D89" s="1110"/>
      <c r="E89" s="29"/>
      <c r="F89" s="29"/>
      <c r="G89" s="29"/>
      <c r="H89" s="29"/>
      <c r="I89" s="29"/>
    </row>
    <row r="90" spans="1:9" ht="15.75" x14ac:dyDescent="0.25">
      <c r="A90" s="1121"/>
      <c r="B90" s="1110"/>
      <c r="C90" s="1110"/>
      <c r="D90" s="1110"/>
      <c r="E90" s="29"/>
      <c r="F90" s="29"/>
      <c r="G90" s="29"/>
      <c r="H90" s="29"/>
      <c r="I90" s="29"/>
    </row>
    <row r="91" spans="1:9" ht="15" x14ac:dyDescent="0.2">
      <c r="A91" s="1124" t="s">
        <v>1246</v>
      </c>
      <c r="B91" s="1110"/>
      <c r="C91" s="1110"/>
      <c r="D91" s="1110"/>
      <c r="E91" s="29"/>
      <c r="F91" s="29"/>
      <c r="G91" s="29"/>
      <c r="H91" s="29"/>
      <c r="I91" s="29"/>
    </row>
    <row r="92" spans="1:9" ht="15" x14ac:dyDescent="0.2">
      <c r="A92" s="1120"/>
      <c r="B92" s="1110"/>
      <c r="C92" s="1110"/>
      <c r="D92" s="1110"/>
      <c r="E92" s="29"/>
      <c r="F92" s="29"/>
      <c r="G92" s="29"/>
      <c r="H92" s="29"/>
      <c r="I92" s="29"/>
    </row>
    <row r="93" spans="1:9" x14ac:dyDescent="0.2">
      <c r="A93" s="86"/>
      <c r="B93" s="1745" t="s">
        <v>1118</v>
      </c>
      <c r="C93" s="1745"/>
      <c r="D93" s="1444" t="s">
        <v>59</v>
      </c>
      <c r="E93" s="1444" t="s">
        <v>947</v>
      </c>
      <c r="F93" s="29"/>
      <c r="G93" s="29"/>
      <c r="H93" s="29"/>
      <c r="I93" s="29"/>
    </row>
    <row r="94" spans="1:9" x14ac:dyDescent="0.2">
      <c r="A94" s="676" t="s">
        <v>1236</v>
      </c>
      <c r="B94" s="1115" t="s">
        <v>1247</v>
      </c>
      <c r="C94" s="1115" t="s">
        <v>1131</v>
      </c>
      <c r="D94" s="1116">
        <v>42416</v>
      </c>
      <c r="E94" s="1444" t="s">
        <v>384</v>
      </c>
      <c r="F94" s="29"/>
      <c r="G94" s="29"/>
      <c r="H94" s="29"/>
      <c r="I94" s="29"/>
    </row>
    <row r="95" spans="1:9" ht="18" x14ac:dyDescent="0.25">
      <c r="A95" s="505"/>
      <c r="B95" s="1110"/>
      <c r="C95" s="1110"/>
      <c r="D95" s="1110"/>
      <c r="E95" s="29"/>
      <c r="F95" s="29"/>
      <c r="G95" s="29"/>
      <c r="H95" s="29"/>
      <c r="I95" s="29"/>
    </row>
    <row r="96" spans="1:9" ht="15" x14ac:dyDescent="0.2">
      <c r="A96" s="1124" t="s">
        <v>1244</v>
      </c>
      <c r="B96" s="1110"/>
      <c r="C96" s="1110"/>
      <c r="D96" s="1110"/>
      <c r="E96" s="29"/>
      <c r="F96" s="29"/>
      <c r="G96" s="29"/>
      <c r="H96" s="29"/>
      <c r="I96" s="29"/>
    </row>
    <row r="97" spans="1:9" ht="15" x14ac:dyDescent="0.2">
      <c r="A97" s="1120"/>
      <c r="B97" s="1110"/>
      <c r="C97" s="1110"/>
      <c r="D97" s="1110"/>
      <c r="E97" s="29"/>
      <c r="F97" s="29"/>
      <c r="G97" s="29"/>
      <c r="H97" s="29"/>
      <c r="I97" s="29"/>
    </row>
    <row r="98" spans="1:9" x14ac:dyDescent="0.2">
      <c r="A98" s="86"/>
      <c r="B98" s="1745" t="s">
        <v>1118</v>
      </c>
      <c r="C98" s="1745"/>
      <c r="D98" s="1444" t="s">
        <v>59</v>
      </c>
      <c r="E98" s="1444" t="s">
        <v>947</v>
      </c>
      <c r="F98" s="29"/>
      <c r="G98" s="29"/>
      <c r="H98" s="29"/>
      <c r="I98" s="29"/>
    </row>
    <row r="99" spans="1:9" x14ac:dyDescent="0.2">
      <c r="A99" s="676" t="s">
        <v>1230</v>
      </c>
      <c r="B99" s="1115" t="s">
        <v>1231</v>
      </c>
      <c r="C99" s="1115" t="s">
        <v>1232</v>
      </c>
      <c r="D99" s="1116">
        <v>42419</v>
      </c>
      <c r="E99" s="1444" t="s">
        <v>384</v>
      </c>
      <c r="F99" s="29"/>
      <c r="G99" s="29"/>
      <c r="H99" s="29"/>
      <c r="I99" s="29"/>
    </row>
    <row r="100" spans="1:9" x14ac:dyDescent="0.2">
      <c r="A100" s="676" t="s">
        <v>1233</v>
      </c>
      <c r="B100" s="1115" t="s">
        <v>1234</v>
      </c>
      <c r="C100" s="1115" t="s">
        <v>1235</v>
      </c>
      <c r="D100" s="1125">
        <v>42420</v>
      </c>
      <c r="E100" s="1444" t="s">
        <v>384</v>
      </c>
      <c r="F100" s="29"/>
      <c r="G100" s="29"/>
      <c r="H100" s="29"/>
      <c r="I100" s="29"/>
    </row>
    <row r="101" spans="1:9" ht="18" x14ac:dyDescent="0.25">
      <c r="A101" s="505"/>
      <c r="B101" s="1110"/>
      <c r="C101" s="1110"/>
      <c r="D101" s="1110"/>
      <c r="E101" s="1123"/>
      <c r="F101" s="29"/>
      <c r="G101" s="29"/>
      <c r="H101" s="29"/>
      <c r="I101" s="29"/>
    </row>
    <row r="102" spans="1:9" ht="18" x14ac:dyDescent="0.25">
      <c r="A102" s="505"/>
      <c r="B102" s="1110"/>
      <c r="C102" s="1110"/>
      <c r="D102" s="1110"/>
      <c r="E102" s="29"/>
      <c r="F102" s="29"/>
      <c r="G102" s="29"/>
      <c r="H102" s="29"/>
      <c r="I102" s="29"/>
    </row>
    <row r="103" spans="1:9" ht="15" x14ac:dyDescent="0.2">
      <c r="A103" s="1124" t="s">
        <v>1245</v>
      </c>
      <c r="B103" s="1110"/>
      <c r="C103" s="1110"/>
      <c r="D103" s="1110"/>
      <c r="E103" s="29"/>
      <c r="F103" s="29"/>
      <c r="G103" s="29"/>
      <c r="H103" s="29"/>
      <c r="I103" s="29"/>
    </row>
    <row r="104" spans="1:9" ht="18" x14ac:dyDescent="0.25">
      <c r="A104" s="505"/>
      <c r="B104" s="1110"/>
      <c r="C104" s="1110"/>
      <c r="D104" s="1110"/>
      <c r="E104" s="29"/>
      <c r="F104" s="29"/>
      <c r="G104" s="29"/>
      <c r="H104" s="29"/>
      <c r="I104" s="29"/>
    </row>
    <row r="105" spans="1:9" ht="18" x14ac:dyDescent="0.25">
      <c r="A105" s="505"/>
      <c r="B105" s="1110"/>
      <c r="C105" s="1110"/>
      <c r="D105" s="1110"/>
      <c r="E105" s="29"/>
      <c r="F105" s="29"/>
      <c r="G105" s="29"/>
      <c r="H105" s="29"/>
      <c r="I105" s="29"/>
    </row>
    <row r="106" spans="1:9" x14ac:dyDescent="0.2">
      <c r="A106" s="86"/>
      <c r="B106" s="1745" t="s">
        <v>1118</v>
      </c>
      <c r="C106" s="1745"/>
      <c r="D106" s="1444" t="s">
        <v>1125</v>
      </c>
      <c r="E106" s="1444" t="s">
        <v>890</v>
      </c>
      <c r="F106" s="29"/>
      <c r="G106" s="29"/>
      <c r="H106" s="29"/>
      <c r="I106" s="29"/>
    </row>
    <row r="107" spans="1:9" x14ac:dyDescent="0.2">
      <c r="A107" s="676" t="s">
        <v>1236</v>
      </c>
      <c r="B107" s="1114" t="s">
        <v>1153</v>
      </c>
      <c r="C107" s="1115" t="s">
        <v>1237</v>
      </c>
      <c r="D107" s="1116">
        <v>42411</v>
      </c>
      <c r="E107" s="1444" t="s">
        <v>698</v>
      </c>
      <c r="F107" s="29"/>
      <c r="G107" s="29"/>
      <c r="H107" s="29"/>
      <c r="I107" s="29"/>
    </row>
    <row r="108" spans="1:9" x14ac:dyDescent="0.2">
      <c r="A108" s="676" t="s">
        <v>1238</v>
      </c>
      <c r="B108" s="1114" t="s">
        <v>1186</v>
      </c>
      <c r="C108" s="1115" t="s">
        <v>1239</v>
      </c>
      <c r="D108" s="1116">
        <v>42422</v>
      </c>
      <c r="E108" s="1444" t="s">
        <v>698</v>
      </c>
      <c r="F108" s="29"/>
      <c r="G108" s="29"/>
      <c r="H108" s="29"/>
      <c r="I108" s="29"/>
    </row>
    <row r="109" spans="1:9" x14ac:dyDescent="0.2">
      <c r="A109" s="676" t="s">
        <v>1240</v>
      </c>
      <c r="B109" s="1114" t="s">
        <v>1189</v>
      </c>
      <c r="C109" s="1115" t="s">
        <v>1241</v>
      </c>
      <c r="D109" s="1116">
        <v>42424</v>
      </c>
      <c r="E109" s="1444" t="s">
        <v>698</v>
      </c>
      <c r="F109" s="29"/>
      <c r="G109" s="29"/>
      <c r="H109" s="29"/>
      <c r="I109" s="29"/>
    </row>
    <row r="110" spans="1:9" x14ac:dyDescent="0.2">
      <c r="A110" s="676" t="s">
        <v>1242</v>
      </c>
      <c r="B110" s="1114" t="s">
        <v>1190</v>
      </c>
      <c r="C110" s="1115" t="s">
        <v>1243</v>
      </c>
      <c r="D110" s="1116">
        <v>42429</v>
      </c>
      <c r="E110" s="1444" t="s">
        <v>698</v>
      </c>
      <c r="F110" s="29"/>
      <c r="G110" s="29"/>
      <c r="H110" s="29"/>
      <c r="I110" s="29"/>
    </row>
    <row r="111" spans="1:9" x14ac:dyDescent="0.2">
      <c r="A111" s="482"/>
      <c r="B111" s="29"/>
      <c r="C111" s="1096"/>
      <c r="D111" s="1426"/>
      <c r="E111" s="1427"/>
      <c r="F111" s="29"/>
      <c r="G111" s="29"/>
      <c r="H111" s="29"/>
      <c r="I111" s="29"/>
    </row>
    <row r="112" spans="1:9" ht="18" x14ac:dyDescent="0.25">
      <c r="A112" s="505"/>
      <c r="B112" s="1110"/>
      <c r="C112" s="1110"/>
      <c r="D112" s="1110"/>
      <c r="E112" s="29"/>
      <c r="F112" s="29"/>
      <c r="G112" s="29"/>
      <c r="H112" s="29"/>
      <c r="I112" s="29"/>
    </row>
    <row r="113" spans="1:9" ht="15.75" x14ac:dyDescent="0.25">
      <c r="A113" s="1121" t="s">
        <v>1252</v>
      </c>
      <c r="B113" s="29"/>
      <c r="C113" s="29"/>
      <c r="D113" s="29"/>
      <c r="E113" s="29"/>
      <c r="F113" s="29"/>
      <c r="G113" s="29"/>
      <c r="H113" s="29"/>
      <c r="I113" s="29"/>
    </row>
    <row r="114" spans="1:9" x14ac:dyDescent="0.2">
      <c r="A114" s="1109"/>
      <c r="B114" s="29"/>
      <c r="C114" s="29"/>
      <c r="D114" s="29"/>
      <c r="E114" s="29"/>
      <c r="F114" s="29"/>
      <c r="G114" s="29"/>
      <c r="H114" s="29"/>
      <c r="I114" s="29"/>
    </row>
    <row r="115" spans="1:9" ht="15" x14ac:dyDescent="0.2">
      <c r="A115" s="1124" t="s">
        <v>1246</v>
      </c>
      <c r="B115" s="1110"/>
      <c r="C115" s="1110"/>
      <c r="D115" s="1110"/>
      <c r="E115" s="29"/>
      <c r="F115" s="29"/>
      <c r="G115" s="29"/>
      <c r="H115" s="29"/>
      <c r="I115" s="29"/>
    </row>
    <row r="116" spans="1:9" ht="15" x14ac:dyDescent="0.2">
      <c r="A116" s="1120"/>
      <c r="B116" s="1110"/>
      <c r="C116" s="1110"/>
      <c r="D116" s="1110"/>
      <c r="E116" s="29"/>
      <c r="F116" s="29"/>
      <c r="G116" s="29"/>
      <c r="H116" s="29"/>
      <c r="I116" s="29"/>
    </row>
    <row r="117" spans="1:9" x14ac:dyDescent="0.2">
      <c r="A117" s="86"/>
      <c r="B117" s="1745" t="s">
        <v>1118</v>
      </c>
      <c r="C117" s="1745"/>
      <c r="D117" s="1444" t="s">
        <v>59</v>
      </c>
      <c r="E117" s="1444" t="s">
        <v>947</v>
      </c>
      <c r="F117" s="29"/>
      <c r="G117" s="29"/>
      <c r="H117" s="29"/>
      <c r="I117" s="29"/>
    </row>
    <row r="118" spans="1:9" x14ac:dyDescent="0.2">
      <c r="A118" s="676" t="s">
        <v>1253</v>
      </c>
      <c r="B118" s="1115" t="s">
        <v>1254</v>
      </c>
      <c r="C118" s="1115" t="s">
        <v>1255</v>
      </c>
      <c r="D118" s="1116">
        <v>42443</v>
      </c>
      <c r="E118" s="1444" t="s">
        <v>384</v>
      </c>
      <c r="F118" s="29"/>
      <c r="G118" s="29"/>
      <c r="H118" s="29"/>
      <c r="I118" s="29"/>
    </row>
    <row r="119" spans="1:9" ht="18" x14ac:dyDescent="0.25">
      <c r="A119" s="505"/>
      <c r="B119" s="1110"/>
      <c r="C119" s="1110"/>
      <c r="D119" s="1110"/>
      <c r="E119" s="29"/>
      <c r="F119" s="29"/>
      <c r="G119" s="29"/>
      <c r="H119" s="29"/>
      <c r="I119" s="29"/>
    </row>
    <row r="120" spans="1:9" ht="18" x14ac:dyDescent="0.25">
      <c r="A120" s="505"/>
      <c r="B120" s="1110"/>
      <c r="C120" s="1110"/>
      <c r="D120" s="1110"/>
      <c r="E120" s="29"/>
      <c r="F120" s="29"/>
      <c r="G120" s="29"/>
      <c r="H120" s="29"/>
      <c r="I120" s="29"/>
    </row>
    <row r="121" spans="1:9" ht="15" x14ac:dyDescent="0.2">
      <c r="A121" s="1124" t="s">
        <v>1145</v>
      </c>
      <c r="B121" s="1110"/>
      <c r="C121" s="1110"/>
      <c r="D121" s="1110"/>
      <c r="E121" s="29"/>
      <c r="F121" s="29"/>
      <c r="G121" s="29"/>
      <c r="H121" s="29"/>
      <c r="I121" s="29"/>
    </row>
    <row r="122" spans="1:9" ht="18" x14ac:dyDescent="0.25">
      <c r="A122" s="505"/>
      <c r="B122" s="1110"/>
      <c r="C122" s="1110"/>
      <c r="D122" s="1110"/>
      <c r="E122" s="29"/>
      <c r="F122" s="29"/>
      <c r="G122" s="29"/>
      <c r="H122" s="29"/>
      <c r="I122" s="29"/>
    </row>
    <row r="123" spans="1:9" ht="18" x14ac:dyDescent="0.25">
      <c r="A123" s="505"/>
      <c r="B123" s="1110"/>
      <c r="C123" s="1110"/>
      <c r="D123" s="1110"/>
      <c r="E123" s="29"/>
      <c r="F123" s="29"/>
      <c r="G123" s="29"/>
      <c r="H123" s="29"/>
      <c r="I123" s="29"/>
    </row>
    <row r="124" spans="1:9" x14ac:dyDescent="0.2">
      <c r="A124" s="86"/>
      <c r="B124" s="1745" t="s">
        <v>1118</v>
      </c>
      <c r="C124" s="1745"/>
      <c r="D124" s="1444" t="s">
        <v>1125</v>
      </c>
      <c r="E124" s="1444" t="s">
        <v>890</v>
      </c>
      <c r="F124" s="29"/>
      <c r="G124" s="29"/>
      <c r="H124" s="29"/>
      <c r="I124" s="29"/>
    </row>
    <row r="125" spans="1:9" x14ac:dyDescent="0.2">
      <c r="A125" s="676" t="s">
        <v>1257</v>
      </c>
      <c r="B125" s="1115" t="s">
        <v>1258</v>
      </c>
      <c r="C125" s="1115" t="s">
        <v>1259</v>
      </c>
      <c r="D125" s="1116">
        <v>42430</v>
      </c>
      <c r="E125" s="1444" t="s">
        <v>698</v>
      </c>
      <c r="F125" s="29"/>
      <c r="G125" s="29"/>
      <c r="H125" s="29"/>
      <c r="I125" s="29"/>
    </row>
    <row r="126" spans="1:9" x14ac:dyDescent="0.2">
      <c r="A126" s="676" t="s">
        <v>1261</v>
      </c>
      <c r="B126" s="1115" t="s">
        <v>1262</v>
      </c>
      <c r="C126" s="1115" t="s">
        <v>1263</v>
      </c>
      <c r="D126" s="1116">
        <v>42432</v>
      </c>
      <c r="E126" s="1444" t="s">
        <v>698</v>
      </c>
      <c r="F126" s="29"/>
      <c r="G126" s="29"/>
      <c r="H126" s="29"/>
      <c r="I126" s="29"/>
    </row>
    <row r="127" spans="1:9" ht="12" customHeight="1" x14ac:dyDescent="0.2">
      <c r="A127" s="676" t="s">
        <v>1260</v>
      </c>
      <c r="B127" s="1115" t="s">
        <v>1049</v>
      </c>
      <c r="C127" s="1115" t="s">
        <v>1267</v>
      </c>
      <c r="D127" s="1116">
        <v>42436</v>
      </c>
      <c r="E127" s="1444" t="s">
        <v>698</v>
      </c>
      <c r="F127" s="29"/>
      <c r="G127" s="29"/>
      <c r="H127" s="29"/>
      <c r="I127" s="29"/>
    </row>
    <row r="128" spans="1:9" ht="12" customHeight="1" x14ac:dyDescent="0.2">
      <c r="A128" s="676" t="s">
        <v>1268</v>
      </c>
      <c r="B128" s="1114" t="s">
        <v>1153</v>
      </c>
      <c r="C128" s="1115" t="s">
        <v>1237</v>
      </c>
      <c r="D128" s="1116">
        <v>42440</v>
      </c>
      <c r="E128" s="1444" t="s">
        <v>698</v>
      </c>
      <c r="F128" s="29"/>
      <c r="G128" s="29"/>
      <c r="H128" s="29"/>
      <c r="I128" s="29"/>
    </row>
    <row r="129" spans="1:9" x14ac:dyDescent="0.2">
      <c r="A129" s="676" t="s">
        <v>1264</v>
      </c>
      <c r="B129" s="1115" t="s">
        <v>1265</v>
      </c>
      <c r="C129" s="1115" t="s">
        <v>1266</v>
      </c>
      <c r="D129" s="1116">
        <v>42443</v>
      </c>
      <c r="E129" s="1444" t="s">
        <v>698</v>
      </c>
      <c r="F129" s="29"/>
      <c r="G129" s="29"/>
      <c r="H129" s="29"/>
      <c r="I129" s="29"/>
    </row>
    <row r="130" spans="1:9" x14ac:dyDescent="0.2">
      <c r="A130" s="482"/>
      <c r="B130" s="29"/>
      <c r="C130" s="1096"/>
      <c r="D130" s="1426"/>
      <c r="E130" s="1427"/>
      <c r="F130" s="29"/>
      <c r="G130" s="29"/>
      <c r="H130" s="29"/>
      <c r="I130" s="29"/>
    </row>
    <row r="131" spans="1:9" x14ac:dyDescent="0.2">
      <c r="A131" s="86"/>
      <c r="B131" s="29"/>
      <c r="C131" s="29"/>
      <c r="D131" s="29"/>
      <c r="E131" s="29"/>
      <c r="F131" s="29"/>
      <c r="G131" s="29"/>
      <c r="H131" s="29"/>
      <c r="I131" s="29"/>
    </row>
    <row r="132" spans="1:9" x14ac:dyDescent="0.2">
      <c r="A132" s="86"/>
      <c r="B132" s="29"/>
      <c r="C132" s="29"/>
      <c r="D132" s="29"/>
      <c r="E132" s="29"/>
      <c r="F132" s="29"/>
      <c r="G132" s="29"/>
      <c r="H132" s="29"/>
      <c r="I132" s="29"/>
    </row>
    <row r="133" spans="1:9" x14ac:dyDescent="0.2">
      <c r="A133" s="86"/>
      <c r="B133" s="29"/>
      <c r="C133" s="29"/>
      <c r="D133" s="29"/>
      <c r="E133" s="29"/>
      <c r="F133" s="29"/>
      <c r="G133" s="29"/>
      <c r="H133" s="29"/>
      <c r="I133" s="29"/>
    </row>
    <row r="134" spans="1:9" x14ac:dyDescent="0.2">
      <c r="A134" s="86"/>
      <c r="B134" s="29"/>
      <c r="C134" s="29"/>
      <c r="D134" s="29"/>
      <c r="E134" s="29"/>
      <c r="F134" s="29"/>
      <c r="G134" s="29"/>
      <c r="H134" s="29"/>
      <c r="I134" s="29"/>
    </row>
    <row r="135" spans="1:9" x14ac:dyDescent="0.2">
      <c r="A135" s="86"/>
      <c r="B135" s="29"/>
      <c r="C135" s="29"/>
      <c r="D135" s="29"/>
      <c r="E135" s="29"/>
      <c r="F135" s="29"/>
      <c r="G135" s="29"/>
      <c r="H135" s="29"/>
      <c r="I135" s="29"/>
    </row>
    <row r="136" spans="1:9" x14ac:dyDescent="0.2">
      <c r="A136" s="86"/>
      <c r="B136" s="29"/>
      <c r="C136" s="29"/>
      <c r="D136" s="29"/>
      <c r="E136" s="29"/>
      <c r="F136" s="29"/>
      <c r="G136" s="29"/>
      <c r="H136" s="29"/>
      <c r="I136" s="29"/>
    </row>
    <row r="137" spans="1:9" x14ac:dyDescent="0.2">
      <c r="A137" s="86"/>
      <c r="B137" s="29"/>
      <c r="C137" s="29"/>
      <c r="D137" s="29"/>
      <c r="E137" s="29"/>
      <c r="F137" s="29"/>
      <c r="G137" s="29"/>
      <c r="H137" s="29"/>
      <c r="I137" s="29"/>
    </row>
    <row r="138" spans="1:9" x14ac:dyDescent="0.2">
      <c r="A138" s="86"/>
      <c r="B138" s="29"/>
      <c r="C138" s="29"/>
      <c r="D138" s="29"/>
      <c r="E138" s="29"/>
      <c r="F138" s="29"/>
      <c r="G138" s="29"/>
      <c r="H138" s="29"/>
      <c r="I138" s="29"/>
    </row>
    <row r="139" spans="1:9" x14ac:dyDescent="0.2">
      <c r="A139" s="86"/>
      <c r="B139" s="29"/>
      <c r="C139" s="29"/>
      <c r="D139" s="29"/>
      <c r="E139" s="29"/>
      <c r="F139" s="29"/>
      <c r="G139" s="29"/>
      <c r="H139" s="29"/>
      <c r="I139" s="29"/>
    </row>
    <row r="140" spans="1:9" x14ac:dyDescent="0.2">
      <c r="A140" s="86"/>
      <c r="B140" s="29"/>
      <c r="C140" s="29"/>
      <c r="D140" s="29"/>
      <c r="E140" s="29"/>
      <c r="F140" s="29"/>
      <c r="G140" s="29"/>
      <c r="H140" s="29"/>
      <c r="I140" s="29"/>
    </row>
    <row r="142" spans="1:9" x14ac:dyDescent="0.2">
      <c r="A142" s="62" t="s">
        <v>838</v>
      </c>
    </row>
    <row r="143" spans="1:9" x14ac:dyDescent="0.2">
      <c r="A143" s="577" t="s">
        <v>1050</v>
      </c>
    </row>
    <row r="144" spans="1:9" x14ac:dyDescent="0.2">
      <c r="A144" s="577" t="s">
        <v>1052</v>
      </c>
    </row>
    <row r="145" spans="1:1" x14ac:dyDescent="0.2">
      <c r="A145" s="577" t="s">
        <v>1051</v>
      </c>
    </row>
    <row r="146" spans="1:1" x14ac:dyDescent="0.2">
      <c r="A146" s="577" t="s">
        <v>1054</v>
      </c>
    </row>
    <row r="147" spans="1:1" x14ac:dyDescent="0.2">
      <c r="A147" s="577" t="s">
        <v>1055</v>
      </c>
    </row>
    <row r="149" spans="1:1" x14ac:dyDescent="0.2">
      <c r="A149" s="1071" t="s">
        <v>852</v>
      </c>
    </row>
    <row r="150" spans="1:1" x14ac:dyDescent="0.2">
      <c r="A150" s="577" t="s">
        <v>1051</v>
      </c>
    </row>
    <row r="151" spans="1:1" x14ac:dyDescent="0.2">
      <c r="A151" s="577" t="s">
        <v>1056</v>
      </c>
    </row>
    <row r="152" spans="1:1" x14ac:dyDescent="0.2">
      <c r="A152" s="577" t="s">
        <v>1057</v>
      </c>
    </row>
    <row r="154" spans="1:1" x14ac:dyDescent="0.2">
      <c r="A154" s="1071" t="s">
        <v>874</v>
      </c>
    </row>
    <row r="155" spans="1:1" x14ac:dyDescent="0.2">
      <c r="A155" s="577" t="s">
        <v>1050</v>
      </c>
    </row>
    <row r="156" spans="1:1" x14ac:dyDescent="0.2">
      <c r="A156" s="577" t="s">
        <v>1058</v>
      </c>
    </row>
    <row r="157" spans="1:1" x14ac:dyDescent="0.2">
      <c r="A157" s="577" t="s">
        <v>1059</v>
      </c>
    </row>
    <row r="158" spans="1:1" x14ac:dyDescent="0.2">
      <c r="A158" s="577" t="s">
        <v>1060</v>
      </c>
    </row>
    <row r="159" spans="1:1" x14ac:dyDescent="0.2">
      <c r="A159" s="577" t="s">
        <v>1061</v>
      </c>
    </row>
    <row r="160" spans="1:1" x14ac:dyDescent="0.2">
      <c r="A160" s="577" t="s">
        <v>1062</v>
      </c>
    </row>
    <row r="162" spans="1:3" x14ac:dyDescent="0.2">
      <c r="A162" s="577" t="s">
        <v>905</v>
      </c>
    </row>
    <row r="163" spans="1:3" x14ac:dyDescent="0.2">
      <c r="A163" s="577" t="s">
        <v>1050</v>
      </c>
    </row>
    <row r="164" spans="1:3" x14ac:dyDescent="0.2">
      <c r="A164" s="577" t="s">
        <v>1065</v>
      </c>
    </row>
    <row r="165" spans="1:3" x14ac:dyDescent="0.2">
      <c r="A165" s="577" t="s">
        <v>1064</v>
      </c>
    </row>
    <row r="166" spans="1:3" x14ac:dyDescent="0.2">
      <c r="A166" s="577" t="s">
        <v>1063</v>
      </c>
    </row>
    <row r="170" spans="1:3" x14ac:dyDescent="0.2">
      <c r="A170" s="62" t="s">
        <v>1087</v>
      </c>
    </row>
    <row r="171" spans="1:3" x14ac:dyDescent="0.2">
      <c r="B171" s="568" t="s">
        <v>1088</v>
      </c>
      <c r="C171" s="568" t="s">
        <v>1089</v>
      </c>
    </row>
    <row r="172" spans="1:3" x14ac:dyDescent="0.2">
      <c r="A172" s="483" t="s">
        <v>1076</v>
      </c>
      <c r="B172" s="25">
        <v>447000</v>
      </c>
      <c r="C172" s="25">
        <f>+B172/12</f>
        <v>37250</v>
      </c>
    </row>
    <row r="173" spans="1:3" x14ac:dyDescent="0.2">
      <c r="A173" s="483" t="s">
        <v>1077</v>
      </c>
      <c r="B173" s="25">
        <v>2185</v>
      </c>
      <c r="C173" s="25">
        <f t="shared" ref="C173:C184" si="12">+B173/12</f>
        <v>182.08333333333334</v>
      </c>
    </row>
    <row r="174" spans="1:3" x14ac:dyDescent="0.2">
      <c r="A174" s="483" t="s">
        <v>1078</v>
      </c>
      <c r="B174" s="25">
        <v>10881</v>
      </c>
      <c r="C174" s="25">
        <f t="shared" si="12"/>
        <v>906.75</v>
      </c>
    </row>
    <row r="175" spans="1:3" x14ac:dyDescent="0.2">
      <c r="A175" s="483" t="s">
        <v>1079</v>
      </c>
      <c r="B175" s="25">
        <v>70938</v>
      </c>
      <c r="C175" s="25">
        <f t="shared" si="12"/>
        <v>5911.5</v>
      </c>
    </row>
    <row r="176" spans="1:3" x14ac:dyDescent="0.2">
      <c r="A176" s="483" t="s">
        <v>1080</v>
      </c>
      <c r="B176" s="25">
        <v>21728</v>
      </c>
      <c r="C176" s="25">
        <f t="shared" si="12"/>
        <v>1810.6666666666667</v>
      </c>
    </row>
    <row r="177" spans="1:4" x14ac:dyDescent="0.2">
      <c r="A177" s="483" t="s">
        <v>1081</v>
      </c>
      <c r="B177" s="25">
        <f>229323*0.85</f>
        <v>194924.55</v>
      </c>
      <c r="C177" s="25">
        <v>26000</v>
      </c>
    </row>
    <row r="178" spans="1:4" x14ac:dyDescent="0.2">
      <c r="A178" s="483" t="s">
        <v>1082</v>
      </c>
      <c r="B178" s="25">
        <v>20870</v>
      </c>
      <c r="C178" s="25">
        <f t="shared" si="12"/>
        <v>1739.1666666666667</v>
      </c>
    </row>
    <row r="179" spans="1:4" x14ac:dyDescent="0.2">
      <c r="A179" s="483" t="s">
        <v>1083</v>
      </c>
      <c r="B179" s="25">
        <v>67582</v>
      </c>
      <c r="C179" s="25">
        <f t="shared" si="12"/>
        <v>5631.833333333333</v>
      </c>
    </row>
    <row r="180" spans="1:4" x14ac:dyDescent="0.2">
      <c r="A180" s="483" t="s">
        <v>1084</v>
      </c>
      <c r="B180" s="1083">
        <f>55651*0.95</f>
        <v>52868.45</v>
      </c>
      <c r="C180" s="25"/>
    </row>
    <row r="181" spans="1:4" x14ac:dyDescent="0.2">
      <c r="A181" s="483" t="s">
        <v>1085</v>
      </c>
      <c r="B181" s="25">
        <v>32647</v>
      </c>
      <c r="C181" s="25">
        <f t="shared" si="12"/>
        <v>2720.5833333333335</v>
      </c>
    </row>
    <row r="182" spans="1:4" x14ac:dyDescent="0.2">
      <c r="A182" s="483" t="s">
        <v>1086</v>
      </c>
      <c r="B182" s="25">
        <f>69599+80674</f>
        <v>150273</v>
      </c>
      <c r="C182" s="25">
        <f t="shared" si="12"/>
        <v>12522.75</v>
      </c>
    </row>
    <row r="183" spans="1:4" x14ac:dyDescent="0.2">
      <c r="A183" s="483" t="s">
        <v>1091</v>
      </c>
      <c r="B183" s="25">
        <v>780198</v>
      </c>
      <c r="C183" s="25">
        <f t="shared" si="12"/>
        <v>65016.5</v>
      </c>
    </row>
    <row r="184" spans="1:4" x14ac:dyDescent="0.2">
      <c r="A184" s="483" t="s">
        <v>961</v>
      </c>
      <c r="B184" s="25">
        <v>480704</v>
      </c>
      <c r="C184" s="25">
        <f t="shared" si="12"/>
        <v>40058.666666666664</v>
      </c>
    </row>
    <row r="185" spans="1:4" x14ac:dyDescent="0.2">
      <c r="A185" s="483" t="s">
        <v>1090</v>
      </c>
      <c r="B185" s="25">
        <v>232000</v>
      </c>
      <c r="C185" s="25">
        <f>+B185/12</f>
        <v>19333.333333333332</v>
      </c>
    </row>
    <row r="186" spans="1:4" x14ac:dyDescent="0.2">
      <c r="A186" s="483"/>
      <c r="B186" s="25"/>
      <c r="C186" s="25"/>
    </row>
    <row r="188" spans="1:4" x14ac:dyDescent="0.2">
      <c r="A188" s="483" t="s">
        <v>888</v>
      </c>
      <c r="B188" s="495">
        <f>SUM(B172:B187)</f>
        <v>2564799</v>
      </c>
      <c r="C188" s="495">
        <f>SUM(C172:C187)</f>
        <v>219083.83333333331</v>
      </c>
      <c r="D188" s="495">
        <f>+C188*3</f>
        <v>657251.5</v>
      </c>
    </row>
    <row r="189" spans="1:4" x14ac:dyDescent="0.2">
      <c r="B189" s="194">
        <f>SUM(B172:B184)/12</f>
        <v>194399.91666666666</v>
      </c>
      <c r="C189" s="495">
        <f>SUM(C172:C184)</f>
        <v>199750.49999999997</v>
      </c>
      <c r="D189" s="495">
        <f>+C189</f>
        <v>199750.49999999997</v>
      </c>
    </row>
    <row r="190" spans="1:4" x14ac:dyDescent="0.2">
      <c r="B190" s="194">
        <f>+B189+B185/4</f>
        <v>252399.91666666666</v>
      </c>
      <c r="C190" s="194">
        <f>C189+C185*3</f>
        <v>257750.49999999997</v>
      </c>
    </row>
    <row r="192" spans="1:4" x14ac:dyDescent="0.2">
      <c r="B192" s="194">
        <f>+B189*8+B190*4</f>
        <v>2564799</v>
      </c>
      <c r="C192" s="25">
        <f>50000+40000+26000+58000/3</f>
        <v>135333.33333333334</v>
      </c>
    </row>
  </sheetData>
  <mergeCells count="5">
    <mergeCell ref="B93:C93"/>
    <mergeCell ref="B98:C98"/>
    <mergeCell ref="B106:C106"/>
    <mergeCell ref="B117:C117"/>
    <mergeCell ref="B124:C124"/>
  </mergeCells>
  <pageMargins left="1.9685039370078741" right="0.39370078740157483" top="0.19685039370078741" bottom="0.78740157480314965" header="0.51181102362204722" footer="0"/>
  <pageSetup paperSize="9" scale="6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358"/>
  <sheetViews>
    <sheetView topLeftCell="B17" workbookViewId="0">
      <pane ySplit="2025" topLeftCell="A142" activePane="bottomLeft"/>
      <selection activeCell="F21" sqref="F21"/>
      <selection pane="bottomLeft" activeCell="L26" sqref="L26"/>
    </sheetView>
  </sheetViews>
  <sheetFormatPr defaultColWidth="11.42578125" defaultRowHeight="12.75" x14ac:dyDescent="0.2"/>
  <cols>
    <col min="1" max="1" width="37.42578125" style="1209" customWidth="1"/>
    <col min="2" max="2" width="13.7109375" style="1209" customWidth="1"/>
    <col min="3" max="3" width="14" style="1209" customWidth="1"/>
    <col min="4" max="4" width="14.28515625" style="1209" customWidth="1"/>
    <col min="5" max="5" width="14.42578125" style="1209" bestFit="1" customWidth="1"/>
    <col min="6" max="6" width="12.7109375" style="1209" customWidth="1"/>
    <col min="7" max="7" width="13.85546875" style="1209" customWidth="1"/>
    <col min="8" max="8" width="13" style="1209" customWidth="1"/>
    <col min="9" max="9" width="11.7109375" style="1209" customWidth="1"/>
    <col min="10" max="11" width="10.85546875" style="1209" customWidth="1"/>
    <col min="12" max="12" width="11.85546875" style="1209" customWidth="1"/>
    <col min="13" max="13" width="10.85546875" style="1209" customWidth="1"/>
    <col min="14" max="14" width="10.28515625" style="1209" customWidth="1"/>
    <col min="15" max="15" width="10.85546875" style="1209" customWidth="1"/>
    <col min="16" max="16" width="10.85546875" style="1320" customWidth="1"/>
    <col min="17" max="17" width="12.28515625" style="1209" customWidth="1"/>
    <col min="18" max="18" width="11.85546875" style="1209" customWidth="1"/>
    <col min="19" max="19" width="11.42578125" style="1209"/>
    <col min="20" max="20" width="14" style="1209" customWidth="1"/>
    <col min="21" max="21" width="14.140625" style="1209" customWidth="1"/>
    <col min="22" max="22" width="11.85546875" style="1209" bestFit="1" customWidth="1"/>
    <col min="23" max="26" width="11.85546875" style="1209" customWidth="1"/>
    <col min="27" max="27" width="13.7109375" style="1209" customWidth="1"/>
    <col min="28" max="31" width="12.42578125" style="1209" customWidth="1"/>
    <col min="32" max="32" width="12" style="1209" customWidth="1"/>
    <col min="33" max="33" width="13.5703125" style="1209" customWidth="1"/>
    <col min="34" max="34" width="13.85546875" style="1209" bestFit="1" customWidth="1"/>
    <col min="35" max="35" width="11.85546875" style="1209" bestFit="1" customWidth="1"/>
    <col min="36" max="39" width="11.42578125" style="1209"/>
    <col min="40" max="40" width="13.85546875" style="1209" bestFit="1" customWidth="1"/>
    <col min="41" max="41" width="11.42578125" style="1209"/>
    <col min="42" max="42" width="13.85546875" style="1209" bestFit="1" customWidth="1"/>
    <col min="43" max="16384" width="11.42578125" style="1209"/>
  </cols>
  <sheetData>
    <row r="1" spans="1:36" x14ac:dyDescent="0.2">
      <c r="A1" s="1206" t="s">
        <v>693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8"/>
      <c r="Q1" s="1207"/>
      <c r="R1" s="1207"/>
      <c r="S1" s="1207"/>
      <c r="T1" s="1207"/>
      <c r="U1" s="1207"/>
      <c r="V1" s="1207"/>
      <c r="W1" s="1207"/>
      <c r="X1" s="1207"/>
      <c r="Y1" s="1207"/>
      <c r="Z1" s="1207"/>
      <c r="AA1" s="1207"/>
      <c r="AB1" s="1207"/>
      <c r="AC1" s="1207"/>
      <c r="AD1" s="1207"/>
      <c r="AE1" s="1207"/>
      <c r="AF1" s="1207"/>
      <c r="AG1" s="1207"/>
      <c r="AH1" s="1207"/>
    </row>
    <row r="2" spans="1:36" x14ac:dyDescent="0.2">
      <c r="A2" s="1210" t="s">
        <v>694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8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</row>
    <row r="3" spans="1:36" x14ac:dyDescent="0.2">
      <c r="A3" s="1210" t="s">
        <v>680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</row>
    <row r="4" spans="1:36" x14ac:dyDescent="0.2">
      <c r="A4" s="1207"/>
      <c r="B4" s="1207"/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2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07"/>
    </row>
    <row r="5" spans="1:36" x14ac:dyDescent="0.2">
      <c r="A5" s="1213" t="s">
        <v>689</v>
      </c>
      <c r="B5" s="1214" t="s">
        <v>132</v>
      </c>
      <c r="C5" s="1215">
        <f t="shared" ref="C5:AG5" si="0">C6+C7+C8+C9</f>
        <v>-56495.117999999959</v>
      </c>
      <c r="D5" s="1215">
        <f t="shared" si="0"/>
        <v>-61736.946999999956</v>
      </c>
      <c r="E5" s="1215">
        <f t="shared" si="0"/>
        <v>-71189.946999999956</v>
      </c>
      <c r="F5" s="1215">
        <f t="shared" si="0"/>
        <v>-95679.94899999995</v>
      </c>
      <c r="G5" s="1215">
        <f t="shared" si="0"/>
        <v>-95874.517999999953</v>
      </c>
      <c r="H5" s="1215">
        <f t="shared" si="0"/>
        <v>-89632.688999999955</v>
      </c>
      <c r="I5" s="1215">
        <f t="shared" si="0"/>
        <v>-110841.71799999995</v>
      </c>
      <c r="J5" s="1216">
        <f t="shared" si="0"/>
        <v>-138823.44899999994</v>
      </c>
      <c r="K5" s="1216">
        <f t="shared" si="0"/>
        <v>-125195.89999999995</v>
      </c>
      <c r="L5" s="1215">
        <f t="shared" si="0"/>
        <v>-153727.60799999992</v>
      </c>
      <c r="M5" s="1215">
        <f t="shared" si="0"/>
        <v>-161532.58199999994</v>
      </c>
      <c r="N5" s="1215">
        <f t="shared" si="0"/>
        <v>-145012.08399999992</v>
      </c>
      <c r="O5" s="1215">
        <f t="shared" si="0"/>
        <v>-232570.13999999996</v>
      </c>
      <c r="P5" s="1217">
        <f t="shared" si="0"/>
        <v>-201890.96799999994</v>
      </c>
      <c r="Q5" s="1215">
        <f t="shared" si="0"/>
        <v>-239124.19099999993</v>
      </c>
      <c r="R5" s="1215">
        <f t="shared" si="0"/>
        <v>-256209.94699999993</v>
      </c>
      <c r="S5" s="1215">
        <f t="shared" si="0"/>
        <v>-255080.77299999993</v>
      </c>
      <c r="T5" s="1215">
        <f t="shared" si="0"/>
        <v>-298134.26099999994</v>
      </c>
      <c r="U5" s="1215">
        <f t="shared" si="0"/>
        <v>-258177.07099999994</v>
      </c>
      <c r="V5" s="1215">
        <f t="shared" si="0"/>
        <v>-317407.87099999993</v>
      </c>
      <c r="W5" s="1215">
        <f t="shared" si="0"/>
        <v>-323097.51099999994</v>
      </c>
      <c r="X5" s="1215">
        <f t="shared" si="0"/>
        <v>-395867.37399999989</v>
      </c>
      <c r="Y5" s="1215">
        <f t="shared" si="0"/>
        <v>-389158.32299999992</v>
      </c>
      <c r="Z5" s="1215">
        <f t="shared" si="0"/>
        <v>-353572.6339999999</v>
      </c>
      <c r="AA5" s="1215">
        <f t="shared" si="0"/>
        <v>-441338.12999999989</v>
      </c>
      <c r="AB5" s="1215">
        <f t="shared" si="0"/>
        <v>-463594.45799999993</v>
      </c>
      <c r="AC5" s="1215">
        <f t="shared" si="0"/>
        <v>-493239.38299999997</v>
      </c>
      <c r="AD5" s="1215">
        <f t="shared" si="0"/>
        <v>-579319.56699999992</v>
      </c>
      <c r="AE5" s="1215">
        <f t="shared" si="0"/>
        <v>-578652.326</v>
      </c>
      <c r="AF5" s="1215">
        <f t="shared" si="0"/>
        <v>-835189.15700000001</v>
      </c>
      <c r="AG5" s="1215">
        <f t="shared" si="0"/>
        <v>-895050.00400000007</v>
      </c>
      <c r="AH5" s="1207"/>
    </row>
    <row r="6" spans="1:36" x14ac:dyDescent="0.2">
      <c r="A6" s="1218">
        <v>100000</v>
      </c>
      <c r="B6" s="1207" t="s">
        <v>690</v>
      </c>
      <c r="C6" s="1219">
        <f t="shared" ref="C6:AF6" si="1">C70</f>
        <v>-57155.733999999953</v>
      </c>
      <c r="D6" s="1219">
        <f t="shared" si="1"/>
        <v>-62397.562999999951</v>
      </c>
      <c r="E6" s="1219">
        <f t="shared" si="1"/>
        <v>-62397.562999999951</v>
      </c>
      <c r="F6" s="1219">
        <f t="shared" si="1"/>
        <v>-86887.564999999944</v>
      </c>
      <c r="G6" s="1219">
        <f t="shared" si="1"/>
        <v>-87082.133999999947</v>
      </c>
      <c r="H6" s="1219">
        <f t="shared" si="1"/>
        <v>-80840.304999999949</v>
      </c>
      <c r="I6" s="1219">
        <f t="shared" si="1"/>
        <v>-89433.066999999952</v>
      </c>
      <c r="J6" s="1220">
        <f t="shared" si="1"/>
        <v>-111014.79799999995</v>
      </c>
      <c r="K6" s="1220">
        <f t="shared" si="1"/>
        <v>-97387.248999999953</v>
      </c>
      <c r="L6" s="1219">
        <f t="shared" si="1"/>
        <v>-125918.95699999994</v>
      </c>
      <c r="M6" s="1219">
        <f t="shared" si="1"/>
        <v>-133723.93099999992</v>
      </c>
      <c r="N6" s="1219">
        <f t="shared" si="1"/>
        <v>-112764.43299999992</v>
      </c>
      <c r="O6" s="1219">
        <f t="shared" si="1"/>
        <v>-160322.48899999991</v>
      </c>
      <c r="P6" s="1221">
        <f t="shared" si="1"/>
        <v>-129643.31699999992</v>
      </c>
      <c r="Q6" s="1219">
        <f t="shared" si="1"/>
        <v>-166876.53999999992</v>
      </c>
      <c r="R6" s="1219">
        <f t="shared" si="1"/>
        <v>-183962.29599999991</v>
      </c>
      <c r="S6" s="1219">
        <f t="shared" si="1"/>
        <v>-182833.12199999989</v>
      </c>
      <c r="T6" s="1219">
        <f t="shared" si="1"/>
        <v>-225886.6099999999</v>
      </c>
      <c r="U6" s="1219">
        <f t="shared" si="1"/>
        <v>-185929.41999999993</v>
      </c>
      <c r="V6" s="1219">
        <f t="shared" si="1"/>
        <v>-241736.21999999991</v>
      </c>
      <c r="W6" s="1219">
        <f t="shared" si="1"/>
        <v>-247425.85999999993</v>
      </c>
      <c r="X6" s="1219">
        <f t="shared" si="1"/>
        <v>-320195.72299999988</v>
      </c>
      <c r="Y6" s="1219">
        <f t="shared" si="1"/>
        <v>-313486.6719999999</v>
      </c>
      <c r="Z6" s="1219">
        <f t="shared" si="1"/>
        <v>-277900.98299999989</v>
      </c>
      <c r="AA6" s="1219">
        <f t="shared" si="1"/>
        <v>-365666.47899999988</v>
      </c>
      <c r="AB6" s="1219">
        <f t="shared" si="1"/>
        <v>-387922.80699999991</v>
      </c>
      <c r="AC6" s="1219">
        <f t="shared" si="1"/>
        <v>-417567.38699999993</v>
      </c>
      <c r="AD6" s="1219">
        <f t="shared" si="1"/>
        <v>-503647.57099999994</v>
      </c>
      <c r="AE6" s="1219">
        <f t="shared" si="1"/>
        <v>-502980.32999999996</v>
      </c>
      <c r="AF6" s="1219">
        <f t="shared" si="1"/>
        <v>-629517.26199999999</v>
      </c>
      <c r="AG6" s="1219">
        <f>AG70</f>
        <v>-678391.10900000005</v>
      </c>
      <c r="AH6" s="1207"/>
    </row>
    <row r="7" spans="1:36" x14ac:dyDescent="0.2">
      <c r="A7" s="1218">
        <v>25000</v>
      </c>
      <c r="B7" s="1207" t="s">
        <v>666</v>
      </c>
      <c r="C7" s="1219">
        <f t="shared" ref="C7:AG7" si="2">C184</f>
        <v>13662.416999999999</v>
      </c>
      <c r="D7" s="1219">
        <f t="shared" si="2"/>
        <v>13662.416999999999</v>
      </c>
      <c r="E7" s="1219">
        <f t="shared" si="2"/>
        <v>4209.4169999999995</v>
      </c>
      <c r="F7" s="1219">
        <f t="shared" si="2"/>
        <v>4209.4169999999995</v>
      </c>
      <c r="G7" s="1219">
        <f t="shared" si="2"/>
        <v>4209.4169999999995</v>
      </c>
      <c r="H7" s="1219">
        <f t="shared" si="2"/>
        <v>4209.4169999999995</v>
      </c>
      <c r="I7" s="1219">
        <f t="shared" si="2"/>
        <v>4209.4169999999995</v>
      </c>
      <c r="J7" s="1220">
        <f t="shared" si="2"/>
        <v>-2190.5830000000005</v>
      </c>
      <c r="K7" s="1220">
        <f t="shared" si="2"/>
        <v>-2190.5830000000005</v>
      </c>
      <c r="L7" s="1219">
        <f t="shared" si="2"/>
        <v>-2190.5830000000005</v>
      </c>
      <c r="M7" s="1219">
        <f t="shared" si="2"/>
        <v>-2190.5830000000005</v>
      </c>
      <c r="N7" s="1219">
        <f t="shared" si="2"/>
        <v>-2190.5830000000005</v>
      </c>
      <c r="O7" s="1219">
        <f t="shared" si="2"/>
        <v>-2190.5830000000005</v>
      </c>
      <c r="P7" s="1221">
        <f t="shared" si="2"/>
        <v>-2190.5830000000005</v>
      </c>
      <c r="Q7" s="1219">
        <f t="shared" si="2"/>
        <v>-2190.5830000000005</v>
      </c>
      <c r="R7" s="1219">
        <f t="shared" si="2"/>
        <v>-2190.5830000000005</v>
      </c>
      <c r="S7" s="1222">
        <f t="shared" si="2"/>
        <v>-2190.5830000000005</v>
      </c>
      <c r="T7" s="1219">
        <f t="shared" si="2"/>
        <v>-2190.5830000000005</v>
      </c>
      <c r="U7" s="1219">
        <f t="shared" si="2"/>
        <v>-2190.5830000000005</v>
      </c>
      <c r="V7" s="1219">
        <f t="shared" si="2"/>
        <v>-2190.5830000000005</v>
      </c>
      <c r="W7" s="1219">
        <f t="shared" si="2"/>
        <v>-2190.5830000000005</v>
      </c>
      <c r="X7" s="1219">
        <f t="shared" si="2"/>
        <v>-2190.5830000000005</v>
      </c>
      <c r="Y7" s="1219">
        <f t="shared" si="2"/>
        <v>-2190.5830000000005</v>
      </c>
      <c r="Z7" s="1219">
        <f t="shared" si="2"/>
        <v>-2190.5830000000005</v>
      </c>
      <c r="AA7" s="1219">
        <f t="shared" si="2"/>
        <v>-2190.5830000000005</v>
      </c>
      <c r="AB7" s="1219">
        <f t="shared" si="2"/>
        <v>-2190.5830000000005</v>
      </c>
      <c r="AC7" s="1219">
        <f t="shared" si="2"/>
        <v>-2190.9280000000017</v>
      </c>
      <c r="AD7" s="1219">
        <f t="shared" si="2"/>
        <v>-2190.9280000000017</v>
      </c>
      <c r="AE7" s="1219">
        <f t="shared" si="2"/>
        <v>-2190.9280000000017</v>
      </c>
      <c r="AF7" s="1219">
        <f t="shared" si="2"/>
        <v>-2190.9280000000017</v>
      </c>
      <c r="AG7" s="1219">
        <f t="shared" si="2"/>
        <v>-2190.9280000000017</v>
      </c>
      <c r="AH7" s="1207"/>
    </row>
    <row r="8" spans="1:36" x14ac:dyDescent="0.2">
      <c r="A8" s="1218">
        <v>25000</v>
      </c>
      <c r="B8" s="1207" t="s">
        <v>667</v>
      </c>
      <c r="C8" s="1219">
        <f t="shared" ref="C8:AG8" si="3">C247</f>
        <v>8505.2950000000001</v>
      </c>
      <c r="D8" s="1219">
        <f t="shared" si="3"/>
        <v>8505.2950000000001</v>
      </c>
      <c r="E8" s="1219">
        <f t="shared" si="3"/>
        <v>8505.2950000000001</v>
      </c>
      <c r="F8" s="1219">
        <f t="shared" si="3"/>
        <v>8505.2950000000001</v>
      </c>
      <c r="G8" s="1219">
        <f t="shared" si="3"/>
        <v>8505.2950000000001</v>
      </c>
      <c r="H8" s="1219">
        <f t="shared" si="3"/>
        <v>8505.2950000000001</v>
      </c>
      <c r="I8" s="1222">
        <f t="shared" si="3"/>
        <v>-4110.9719999999998</v>
      </c>
      <c r="J8" s="1220">
        <f t="shared" si="3"/>
        <v>-4110.9719999999998</v>
      </c>
      <c r="K8" s="1220">
        <f t="shared" si="3"/>
        <v>-4110.9719999999998</v>
      </c>
      <c r="L8" s="1219">
        <f t="shared" si="3"/>
        <v>-4110.9719999999998</v>
      </c>
      <c r="M8" s="1219">
        <f t="shared" si="3"/>
        <v>-4110.9719999999998</v>
      </c>
      <c r="N8" s="1219">
        <f t="shared" si="3"/>
        <v>-8549.9719999999998</v>
      </c>
      <c r="O8" s="1219">
        <f t="shared" si="3"/>
        <v>-8549.9719999999998</v>
      </c>
      <c r="P8" s="1221">
        <f t="shared" si="3"/>
        <v>-8549.9719999999998</v>
      </c>
      <c r="Q8" s="1219">
        <f t="shared" si="3"/>
        <v>-8549.9719999999998</v>
      </c>
      <c r="R8" s="1219">
        <f t="shared" si="3"/>
        <v>-8549.9719999999998</v>
      </c>
      <c r="S8" s="1219">
        <f t="shared" si="3"/>
        <v>-8549.9719999999998</v>
      </c>
      <c r="T8" s="1219">
        <f t="shared" si="3"/>
        <v>-8549.9719999999998</v>
      </c>
      <c r="U8" s="1219">
        <f t="shared" si="3"/>
        <v>-8549.9719999999998</v>
      </c>
      <c r="V8" s="1219">
        <f t="shared" si="3"/>
        <v>-8549.9719999999998</v>
      </c>
      <c r="W8" s="1219">
        <f t="shared" si="3"/>
        <v>-8549.9719999999998</v>
      </c>
      <c r="X8" s="1219">
        <f t="shared" si="3"/>
        <v>-8549.9719999999998</v>
      </c>
      <c r="Y8" s="1219">
        <f t="shared" si="3"/>
        <v>-8549.9719999999998</v>
      </c>
      <c r="Z8" s="1219">
        <f t="shared" si="3"/>
        <v>-8549.9719999999998</v>
      </c>
      <c r="AA8" s="1219">
        <f t="shared" si="3"/>
        <v>-8549.9719999999998</v>
      </c>
      <c r="AB8" s="1219">
        <f t="shared" si="3"/>
        <v>-8549.9719999999998</v>
      </c>
      <c r="AC8" s="1219">
        <f t="shared" si="3"/>
        <v>-8549.9719999999998</v>
      </c>
      <c r="AD8" s="1219">
        <f t="shared" si="3"/>
        <v>-8549.9719999999998</v>
      </c>
      <c r="AE8" s="1219">
        <f t="shared" si="3"/>
        <v>-8549.9719999999998</v>
      </c>
      <c r="AF8" s="1219">
        <f t="shared" si="3"/>
        <v>-18549.870999999999</v>
      </c>
      <c r="AG8" s="1219">
        <f t="shared" si="3"/>
        <v>-23320.870999999999</v>
      </c>
      <c r="AH8" s="1207"/>
      <c r="AJ8" s="1223"/>
    </row>
    <row r="9" spans="1:36" x14ac:dyDescent="0.2">
      <c r="A9" s="1218">
        <v>20000</v>
      </c>
      <c r="B9" s="1207" t="s">
        <v>691</v>
      </c>
      <c r="C9" s="1219">
        <f t="shared" ref="C9:AG9" si="4">C311</f>
        <v>-21507.096000000001</v>
      </c>
      <c r="D9" s="1219">
        <f t="shared" si="4"/>
        <v>-21507.096000000001</v>
      </c>
      <c r="E9" s="1219">
        <f t="shared" si="4"/>
        <v>-21507.096000000001</v>
      </c>
      <c r="F9" s="1219">
        <f t="shared" si="4"/>
        <v>-21507.096000000001</v>
      </c>
      <c r="G9" s="1222">
        <f t="shared" si="4"/>
        <v>-21507.096000000001</v>
      </c>
      <c r="H9" s="1219">
        <f t="shared" si="4"/>
        <v>-21507.096000000001</v>
      </c>
      <c r="I9" s="1219">
        <f t="shared" si="4"/>
        <v>-21507.096000000001</v>
      </c>
      <c r="J9" s="1220">
        <f t="shared" si="4"/>
        <v>-21507.096000000001</v>
      </c>
      <c r="K9" s="1220">
        <f t="shared" si="4"/>
        <v>-21507.096000000001</v>
      </c>
      <c r="L9" s="1219">
        <f t="shared" si="4"/>
        <v>-21507.096000000001</v>
      </c>
      <c r="M9" s="1219">
        <f t="shared" si="4"/>
        <v>-21507.096000000001</v>
      </c>
      <c r="N9" s="1219">
        <f t="shared" si="4"/>
        <v>-21507.096000000001</v>
      </c>
      <c r="O9" s="1219">
        <f t="shared" si="4"/>
        <v>-61507.096000000005</v>
      </c>
      <c r="P9" s="1221">
        <f t="shared" si="4"/>
        <v>-61507.096000000005</v>
      </c>
      <c r="Q9" s="1219">
        <f t="shared" si="4"/>
        <v>-61507.096000000005</v>
      </c>
      <c r="R9" s="1219">
        <f t="shared" si="4"/>
        <v>-61507.096000000005</v>
      </c>
      <c r="S9" s="1219">
        <f t="shared" si="4"/>
        <v>-61507.096000000005</v>
      </c>
      <c r="T9" s="1219">
        <f t="shared" si="4"/>
        <v>-61507.096000000005</v>
      </c>
      <c r="U9" s="1219">
        <f t="shared" si="4"/>
        <v>-61507.096000000005</v>
      </c>
      <c r="V9" s="1219">
        <f t="shared" si="4"/>
        <v>-64931.096000000005</v>
      </c>
      <c r="W9" s="1219">
        <f t="shared" si="4"/>
        <v>-64931.096000000005</v>
      </c>
      <c r="X9" s="1219">
        <f t="shared" si="4"/>
        <v>-64931.096000000005</v>
      </c>
      <c r="Y9" s="1219">
        <f t="shared" si="4"/>
        <v>-64931.096000000005</v>
      </c>
      <c r="Z9" s="1219">
        <f t="shared" si="4"/>
        <v>-64931.096000000005</v>
      </c>
      <c r="AA9" s="1219">
        <f t="shared" si="4"/>
        <v>-64931.096000000005</v>
      </c>
      <c r="AB9" s="1219">
        <f t="shared" si="4"/>
        <v>-64931.096000000005</v>
      </c>
      <c r="AC9" s="1219">
        <f t="shared" si="4"/>
        <v>-64931.096000000005</v>
      </c>
      <c r="AD9" s="1219">
        <f t="shared" si="4"/>
        <v>-64931.096000000005</v>
      </c>
      <c r="AE9" s="1219">
        <f t="shared" si="4"/>
        <v>-64931.096000000005</v>
      </c>
      <c r="AF9" s="1219">
        <f t="shared" si="4"/>
        <v>-184931.09600000002</v>
      </c>
      <c r="AG9" s="1219">
        <f t="shared" si="4"/>
        <v>-191147.09600000002</v>
      </c>
      <c r="AH9" s="1207"/>
    </row>
    <row r="10" spans="1:36" x14ac:dyDescent="0.2">
      <c r="A10" s="1213" t="s">
        <v>692</v>
      </c>
      <c r="B10" s="1214" t="s">
        <v>132</v>
      </c>
      <c r="C10" s="1224">
        <f t="shared" ref="C10:AG10" si="5">C11+C12+C13</f>
        <v>0</v>
      </c>
      <c r="D10" s="1224">
        <f t="shared" si="5"/>
        <v>0</v>
      </c>
      <c r="E10" s="1224">
        <f t="shared" si="5"/>
        <v>0</v>
      </c>
      <c r="F10" s="1224">
        <f t="shared" si="5"/>
        <v>1579.4369999999999</v>
      </c>
      <c r="G10" s="1224">
        <f t="shared" si="5"/>
        <v>5538.6869999999999</v>
      </c>
      <c r="H10" s="1224">
        <f t="shared" si="5"/>
        <v>0</v>
      </c>
      <c r="I10" s="1224">
        <f t="shared" si="5"/>
        <v>0</v>
      </c>
      <c r="J10" s="1225">
        <f t="shared" si="5"/>
        <v>5611.4269999999997</v>
      </c>
      <c r="K10" s="1225">
        <f t="shared" si="5"/>
        <v>466.2</v>
      </c>
      <c r="L10" s="1224">
        <f t="shared" si="5"/>
        <v>12661.971000000001</v>
      </c>
      <c r="M10" s="1224">
        <f t="shared" si="5"/>
        <v>2863.15</v>
      </c>
      <c r="N10" s="1224">
        <f t="shared" si="5"/>
        <v>2286.442</v>
      </c>
      <c r="O10" s="1224">
        <f t="shared" si="5"/>
        <v>3700.8620000000001</v>
      </c>
      <c r="P10" s="1226">
        <f t="shared" si="5"/>
        <v>4546.4539999999997</v>
      </c>
      <c r="Q10" s="1224">
        <f t="shared" si="5"/>
        <v>22086.967999999997</v>
      </c>
      <c r="R10" s="1224">
        <f t="shared" si="5"/>
        <v>2248.0720000000001</v>
      </c>
      <c r="S10" s="1224">
        <f t="shared" si="5"/>
        <v>1313.019</v>
      </c>
      <c r="T10" s="1224">
        <f t="shared" si="5"/>
        <v>13854.303</v>
      </c>
      <c r="U10" s="1224">
        <f t="shared" si="5"/>
        <v>0</v>
      </c>
      <c r="V10" s="1224">
        <f t="shared" si="5"/>
        <v>18414.638999999999</v>
      </c>
      <c r="W10" s="1224">
        <f t="shared" si="5"/>
        <v>0</v>
      </c>
      <c r="X10" s="1224">
        <f t="shared" si="5"/>
        <v>1550</v>
      </c>
      <c r="Y10" s="1224">
        <f t="shared" si="5"/>
        <v>5834.2249999999995</v>
      </c>
      <c r="Z10" s="1224">
        <f t="shared" si="5"/>
        <v>0</v>
      </c>
      <c r="AA10" s="1224">
        <f t="shared" si="5"/>
        <v>15766.669</v>
      </c>
      <c r="AB10" s="1224">
        <f t="shared" si="5"/>
        <v>2129.7290000000003</v>
      </c>
      <c r="AC10" s="1224">
        <f t="shared" si="5"/>
        <v>6937.6579999999994</v>
      </c>
      <c r="AD10" s="1224">
        <f t="shared" si="5"/>
        <v>5181.3760000000002</v>
      </c>
      <c r="AE10" s="1224">
        <f t="shared" si="5"/>
        <v>4994.2719999999999</v>
      </c>
      <c r="AF10" s="1224">
        <f t="shared" si="5"/>
        <v>15308.832999999999</v>
      </c>
      <c r="AG10" s="1224">
        <f t="shared" si="5"/>
        <v>30769.765000000003</v>
      </c>
      <c r="AH10" s="1227">
        <f>SUM(C10:AG10)</f>
        <v>185644.158</v>
      </c>
    </row>
    <row r="11" spans="1:36" x14ac:dyDescent="0.2">
      <c r="A11" s="1213"/>
      <c r="B11" s="1207" t="s">
        <v>666</v>
      </c>
      <c r="C11" s="1227">
        <f t="shared" ref="C11:AG11" si="6">C171</f>
        <v>0</v>
      </c>
      <c r="D11" s="1227">
        <f t="shared" si="6"/>
        <v>0</v>
      </c>
      <c r="E11" s="1227">
        <f t="shared" si="6"/>
        <v>0</v>
      </c>
      <c r="F11" s="1227">
        <f t="shared" si="6"/>
        <v>0</v>
      </c>
      <c r="G11" s="1227">
        <f t="shared" si="6"/>
        <v>0</v>
      </c>
      <c r="H11" s="1227">
        <f t="shared" si="6"/>
        <v>0</v>
      </c>
      <c r="I11" s="1227">
        <f t="shared" si="6"/>
        <v>0</v>
      </c>
      <c r="J11" s="1228">
        <f t="shared" si="6"/>
        <v>0</v>
      </c>
      <c r="K11" s="1228">
        <f t="shared" si="6"/>
        <v>0</v>
      </c>
      <c r="L11" s="1227">
        <f t="shared" si="6"/>
        <v>1229.4570000000001</v>
      </c>
      <c r="M11" s="1227">
        <f t="shared" si="6"/>
        <v>0</v>
      </c>
      <c r="N11" s="1227">
        <f t="shared" si="6"/>
        <v>0</v>
      </c>
      <c r="O11" s="1227">
        <f t="shared" si="6"/>
        <v>0</v>
      </c>
      <c r="P11" s="1229">
        <f t="shared" si="6"/>
        <v>0</v>
      </c>
      <c r="Q11" s="1227">
        <f t="shared" si="6"/>
        <v>845.03899999999999</v>
      </c>
      <c r="R11" s="1227">
        <f t="shared" si="6"/>
        <v>0</v>
      </c>
      <c r="S11" s="1227">
        <f t="shared" si="6"/>
        <v>0</v>
      </c>
      <c r="T11" s="1227">
        <f t="shared" si="6"/>
        <v>999.30899999999997</v>
      </c>
      <c r="U11" s="1227">
        <f t="shared" si="6"/>
        <v>0</v>
      </c>
      <c r="V11" s="1227">
        <f t="shared" si="6"/>
        <v>4688</v>
      </c>
      <c r="W11" s="1227">
        <f t="shared" si="6"/>
        <v>0</v>
      </c>
      <c r="X11" s="1227">
        <f t="shared" si="6"/>
        <v>0</v>
      </c>
      <c r="Y11" s="1227">
        <f t="shared" si="6"/>
        <v>0</v>
      </c>
      <c r="Z11" s="1227">
        <f t="shared" si="6"/>
        <v>0</v>
      </c>
      <c r="AA11" s="1227">
        <f t="shared" si="6"/>
        <v>3531.58</v>
      </c>
      <c r="AB11" s="1227">
        <f t="shared" si="6"/>
        <v>816.702</v>
      </c>
      <c r="AC11" s="1227">
        <f t="shared" si="6"/>
        <v>1000</v>
      </c>
      <c r="AD11" s="1227">
        <f t="shared" si="6"/>
        <v>0</v>
      </c>
      <c r="AE11" s="1227">
        <f t="shared" si="6"/>
        <v>0</v>
      </c>
      <c r="AF11" s="1227">
        <f t="shared" si="6"/>
        <v>3640.2980000000002</v>
      </c>
      <c r="AG11" s="1227">
        <f t="shared" si="6"/>
        <v>848.40300000000002</v>
      </c>
      <c r="AH11" s="1207"/>
    </row>
    <row r="12" spans="1:36" x14ac:dyDescent="0.2">
      <c r="A12" s="1213"/>
      <c r="B12" s="1207" t="s">
        <v>667</v>
      </c>
      <c r="C12" s="1227">
        <f t="shared" ref="C12:AG12" si="7">C234</f>
        <v>0</v>
      </c>
      <c r="D12" s="1227">
        <f t="shared" si="7"/>
        <v>0</v>
      </c>
      <c r="E12" s="1227">
        <f t="shared" si="7"/>
        <v>0</v>
      </c>
      <c r="F12" s="1227">
        <f t="shared" si="7"/>
        <v>0</v>
      </c>
      <c r="G12" s="1227">
        <f t="shared" si="7"/>
        <v>0</v>
      </c>
      <c r="H12" s="1227">
        <f t="shared" si="7"/>
        <v>0</v>
      </c>
      <c r="I12" s="1227">
        <f t="shared" si="7"/>
        <v>0</v>
      </c>
      <c r="J12" s="1228">
        <f t="shared" si="7"/>
        <v>0</v>
      </c>
      <c r="K12" s="1228">
        <f t="shared" si="7"/>
        <v>0</v>
      </c>
      <c r="L12" s="1227">
        <f t="shared" si="7"/>
        <v>3706.279</v>
      </c>
      <c r="M12" s="1227">
        <f t="shared" si="7"/>
        <v>0</v>
      </c>
      <c r="N12" s="1227">
        <f t="shared" si="7"/>
        <v>0</v>
      </c>
      <c r="O12" s="1227">
        <f t="shared" si="7"/>
        <v>1000</v>
      </c>
      <c r="P12" s="1229">
        <f t="shared" si="7"/>
        <v>0</v>
      </c>
      <c r="Q12" s="1227">
        <f t="shared" si="7"/>
        <v>3411.1400000000003</v>
      </c>
      <c r="R12" s="1227">
        <f t="shared" si="7"/>
        <v>0</v>
      </c>
      <c r="S12" s="1227">
        <f t="shared" si="7"/>
        <v>0</v>
      </c>
      <c r="T12" s="1227">
        <f t="shared" si="7"/>
        <v>8071.74</v>
      </c>
      <c r="U12" s="1227">
        <f t="shared" si="7"/>
        <v>0</v>
      </c>
      <c r="V12" s="1227">
        <f t="shared" si="7"/>
        <v>7752.99</v>
      </c>
      <c r="W12" s="1227">
        <f t="shared" si="7"/>
        <v>0</v>
      </c>
      <c r="X12" s="1227">
        <f t="shared" si="7"/>
        <v>0</v>
      </c>
      <c r="Y12" s="1227">
        <f t="shared" si="7"/>
        <v>1044.46</v>
      </c>
      <c r="Z12" s="1227">
        <f t="shared" si="7"/>
        <v>0</v>
      </c>
      <c r="AA12" s="1227">
        <f t="shared" si="7"/>
        <v>2429.703</v>
      </c>
      <c r="AB12" s="1227">
        <f t="shared" si="7"/>
        <v>0</v>
      </c>
      <c r="AC12" s="1227">
        <f t="shared" si="7"/>
        <v>1550</v>
      </c>
      <c r="AD12" s="1227">
        <f t="shared" si="7"/>
        <v>0</v>
      </c>
      <c r="AE12" s="1227">
        <f t="shared" si="7"/>
        <v>1550</v>
      </c>
      <c r="AF12" s="1227">
        <f t="shared" si="7"/>
        <v>3273.2869999999998</v>
      </c>
      <c r="AG12" s="1227">
        <f t="shared" si="7"/>
        <v>3250.1309999999999</v>
      </c>
      <c r="AH12" s="1207"/>
    </row>
    <row r="13" spans="1:36" x14ac:dyDescent="0.2">
      <c r="A13" s="1213"/>
      <c r="B13" s="1207" t="s">
        <v>691</v>
      </c>
      <c r="C13" s="1227">
        <f t="shared" ref="C13:AG13" si="8">C298</f>
        <v>0</v>
      </c>
      <c r="D13" s="1227">
        <f t="shared" si="8"/>
        <v>0</v>
      </c>
      <c r="E13" s="1227">
        <f t="shared" si="8"/>
        <v>0</v>
      </c>
      <c r="F13" s="1227">
        <f t="shared" si="8"/>
        <v>1579.4369999999999</v>
      </c>
      <c r="G13" s="1227">
        <f t="shared" si="8"/>
        <v>5538.6869999999999</v>
      </c>
      <c r="H13" s="1227">
        <f t="shared" si="8"/>
        <v>0</v>
      </c>
      <c r="I13" s="1227">
        <f t="shared" si="8"/>
        <v>0</v>
      </c>
      <c r="J13" s="1228">
        <f t="shared" si="8"/>
        <v>5611.4269999999997</v>
      </c>
      <c r="K13" s="1228">
        <f t="shared" si="8"/>
        <v>466.2</v>
      </c>
      <c r="L13" s="1227">
        <f t="shared" si="8"/>
        <v>7726.2350000000006</v>
      </c>
      <c r="M13" s="1227">
        <f t="shared" si="8"/>
        <v>2863.15</v>
      </c>
      <c r="N13" s="1227">
        <f t="shared" si="8"/>
        <v>2286.442</v>
      </c>
      <c r="O13" s="1227">
        <f t="shared" si="8"/>
        <v>2700.8620000000001</v>
      </c>
      <c r="P13" s="1229">
        <f t="shared" si="8"/>
        <v>4546.4539999999997</v>
      </c>
      <c r="Q13" s="1227">
        <f t="shared" si="8"/>
        <v>17830.788999999997</v>
      </c>
      <c r="R13" s="1227">
        <f t="shared" si="8"/>
        <v>2248.0720000000001</v>
      </c>
      <c r="S13" s="1227">
        <f t="shared" si="8"/>
        <v>1313.019</v>
      </c>
      <c r="T13" s="1227">
        <f t="shared" si="8"/>
        <v>4783.2539999999999</v>
      </c>
      <c r="U13" s="1227">
        <f t="shared" si="8"/>
        <v>0</v>
      </c>
      <c r="V13" s="1227">
        <f t="shared" si="8"/>
        <v>5973.6489999999994</v>
      </c>
      <c r="W13" s="1227">
        <f t="shared" si="8"/>
        <v>0</v>
      </c>
      <c r="X13" s="1227">
        <f t="shared" si="8"/>
        <v>1550</v>
      </c>
      <c r="Y13" s="1227">
        <f t="shared" si="8"/>
        <v>4789.7649999999994</v>
      </c>
      <c r="Z13" s="1227">
        <f t="shared" si="8"/>
        <v>0</v>
      </c>
      <c r="AA13" s="1227">
        <f t="shared" si="8"/>
        <v>9805.3860000000004</v>
      </c>
      <c r="AB13" s="1227">
        <f t="shared" si="8"/>
        <v>1313.027</v>
      </c>
      <c r="AC13" s="1227">
        <f t="shared" si="8"/>
        <v>4387.6579999999994</v>
      </c>
      <c r="AD13" s="1227">
        <f t="shared" si="8"/>
        <v>5181.3760000000002</v>
      </c>
      <c r="AE13" s="1227">
        <f t="shared" si="8"/>
        <v>3444.2719999999999</v>
      </c>
      <c r="AF13" s="1227">
        <f t="shared" si="8"/>
        <v>8395.2479999999996</v>
      </c>
      <c r="AG13" s="1227">
        <f t="shared" si="8"/>
        <v>26671.231000000003</v>
      </c>
      <c r="AH13" s="1207"/>
    </row>
    <row r="14" spans="1:36" x14ac:dyDescent="0.2">
      <c r="A14" s="1207"/>
      <c r="B14" s="1207"/>
      <c r="C14" s="1207"/>
      <c r="D14" s="1207"/>
      <c r="E14" s="1207"/>
      <c r="F14" s="1207"/>
      <c r="G14" s="1207"/>
      <c r="H14" s="1207"/>
      <c r="I14" s="1207"/>
      <c r="J14" s="1230"/>
      <c r="K14" s="1230"/>
      <c r="L14" s="1207"/>
      <c r="M14" s="1207"/>
      <c r="N14" s="1216"/>
      <c r="O14" s="1207"/>
      <c r="P14" s="1208"/>
      <c r="Q14" s="1207"/>
      <c r="R14" s="1207"/>
      <c r="S14" s="1207"/>
      <c r="T14" s="1207"/>
      <c r="U14" s="1216"/>
      <c r="V14" s="1207"/>
      <c r="W14" s="1207"/>
      <c r="X14" s="1207"/>
      <c r="Y14" s="1207"/>
      <c r="Z14" s="1207"/>
      <c r="AA14" s="1216"/>
      <c r="AB14" s="1207"/>
      <c r="AC14" s="1207"/>
      <c r="AD14" s="1207"/>
      <c r="AE14" s="1207"/>
      <c r="AF14" s="1207"/>
      <c r="AG14" s="1216"/>
      <c r="AH14" s="1231">
        <f>AG5+AH10</f>
        <v>-709405.84600000014</v>
      </c>
    </row>
    <row r="15" spans="1:36" ht="13.5" thickBot="1" x14ac:dyDescent="0.25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8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7"/>
      <c r="AF15" s="1207"/>
      <c r="AG15" s="1207"/>
      <c r="AH15" s="1232"/>
      <c r="AI15" s="1223"/>
    </row>
    <row r="16" spans="1:36" x14ac:dyDescent="0.2">
      <c r="A16" s="1233"/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5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2"/>
      <c r="AI16" s="1223"/>
    </row>
    <row r="17" spans="1:35" x14ac:dyDescent="0.2">
      <c r="A17" s="1236"/>
      <c r="B17" s="1237" t="s">
        <v>37</v>
      </c>
      <c r="C17" s="1237"/>
      <c r="D17" s="1237"/>
      <c r="E17" s="1238" t="s">
        <v>910</v>
      </c>
      <c r="F17" s="1239" t="s">
        <v>140</v>
      </c>
      <c r="G17" s="1239"/>
      <c r="H17" s="1211" t="s">
        <v>6</v>
      </c>
      <c r="I17" s="1239"/>
      <c r="J17" s="1239"/>
      <c r="K17" s="1239"/>
      <c r="L17" s="1239"/>
      <c r="M17" s="1239"/>
      <c r="N17" s="1239"/>
      <c r="O17" s="1239"/>
      <c r="P17" s="1240"/>
      <c r="Q17" s="1239"/>
      <c r="R17" s="1239"/>
      <c r="S17" s="1239"/>
      <c r="T17" s="1239"/>
      <c r="U17" s="1239"/>
      <c r="V17" s="1239"/>
      <c r="W17" s="1239"/>
      <c r="X17" s="1239"/>
      <c r="Y17" s="1239"/>
      <c r="AA17" s="1239"/>
      <c r="AB17" s="1239"/>
      <c r="AC17" s="1239"/>
      <c r="AD17" s="1239"/>
      <c r="AE17" s="1239"/>
      <c r="AF17" s="1239"/>
      <c r="AG17" s="1239"/>
      <c r="AH17" s="1232"/>
      <c r="AI17" s="1223"/>
    </row>
    <row r="18" spans="1:35" x14ac:dyDescent="0.2">
      <c r="A18" s="1236"/>
      <c r="B18" s="1237"/>
      <c r="C18" s="1237"/>
      <c r="D18" s="1239"/>
      <c r="E18" s="1237"/>
      <c r="F18" s="1237"/>
      <c r="G18" s="1237"/>
      <c r="H18" s="1237"/>
      <c r="I18" s="1237"/>
      <c r="J18" s="1237"/>
      <c r="K18" s="1237"/>
      <c r="L18" s="1237"/>
      <c r="M18" s="1237"/>
      <c r="N18" s="1237"/>
      <c r="O18" s="1237"/>
      <c r="P18" s="1241"/>
      <c r="Q18" s="1237"/>
      <c r="R18" s="1237"/>
      <c r="S18" s="1237"/>
      <c r="T18" s="1237"/>
      <c r="U18" s="1237"/>
      <c r="V18" s="1237"/>
      <c r="W18" s="1237"/>
      <c r="X18" s="1237"/>
      <c r="Y18" s="1237"/>
      <c r="Z18" s="1237"/>
      <c r="AA18" s="1237"/>
      <c r="AB18" s="1237"/>
      <c r="AC18" s="1237"/>
      <c r="AD18" s="1237"/>
      <c r="AE18" s="1237"/>
      <c r="AF18" s="1237"/>
      <c r="AG18" s="1237"/>
      <c r="AH18" s="1229"/>
    </row>
    <row r="19" spans="1:35" x14ac:dyDescent="0.2">
      <c r="A19" s="1242"/>
      <c r="B19" s="1239"/>
      <c r="C19" s="1239"/>
      <c r="D19" s="1238">
        <v>42376</v>
      </c>
      <c r="E19" s="1237"/>
      <c r="F19" s="1237"/>
      <c r="G19" s="1237"/>
      <c r="H19" s="1237"/>
      <c r="I19" s="1237"/>
      <c r="J19" s="1237"/>
      <c r="K19" s="1237"/>
      <c r="L19" s="1237"/>
      <c r="M19" s="1237"/>
      <c r="N19" s="1237"/>
      <c r="O19" s="1237"/>
      <c r="P19" s="1241"/>
      <c r="Q19" s="1237"/>
      <c r="R19" s="1237"/>
      <c r="S19" s="1237"/>
      <c r="T19" s="1237"/>
      <c r="U19" s="1237"/>
      <c r="V19" s="1237"/>
      <c r="W19" s="1237"/>
      <c r="X19" s="1237"/>
      <c r="Y19" s="1237"/>
      <c r="Z19" s="1237"/>
      <c r="AA19" s="1237"/>
      <c r="AB19" s="1237"/>
      <c r="AC19" s="1237"/>
      <c r="AD19" s="1237"/>
      <c r="AE19" s="1237"/>
      <c r="AF19" s="1237"/>
      <c r="AG19" s="1237"/>
      <c r="AH19" s="1207"/>
    </row>
    <row r="20" spans="1:35" x14ac:dyDescent="0.2">
      <c r="A20" s="1242"/>
      <c r="B20" s="1237"/>
      <c r="C20" s="1237"/>
      <c r="D20" s="1239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41"/>
      <c r="Q20" s="1237"/>
      <c r="R20" s="1237"/>
      <c r="S20" s="1237"/>
      <c r="T20" s="1237"/>
      <c r="U20" s="1237"/>
      <c r="V20" s="1237"/>
      <c r="W20" s="1237"/>
      <c r="X20" s="1237"/>
      <c r="Y20" s="1237"/>
      <c r="Z20" s="1237"/>
      <c r="AA20" s="1237"/>
      <c r="AB20" s="1237"/>
      <c r="AC20" s="1237"/>
      <c r="AD20" s="1237"/>
      <c r="AE20" s="1237"/>
      <c r="AF20" s="1237"/>
      <c r="AG20" s="1237"/>
      <c r="AH20" s="1207"/>
    </row>
    <row r="21" spans="1:35" ht="13.5" thickBot="1" x14ac:dyDescent="0.25">
      <c r="A21" s="1236"/>
      <c r="B21" s="1237"/>
      <c r="C21" s="1237"/>
      <c r="D21" s="1237"/>
      <c r="E21" s="1237"/>
      <c r="F21" s="1237"/>
      <c r="G21" s="1237"/>
      <c r="H21" s="1237"/>
      <c r="I21" s="1237"/>
      <c r="J21" s="1237"/>
      <c r="K21" s="1237"/>
      <c r="L21" s="1237"/>
      <c r="M21" s="1237"/>
      <c r="N21" s="1237"/>
      <c r="O21" s="1237"/>
      <c r="P21" s="1241"/>
      <c r="Q21" s="1237"/>
      <c r="R21" s="1237"/>
      <c r="S21" s="1237"/>
      <c r="T21" s="1237"/>
      <c r="U21" s="1237"/>
      <c r="V21" s="1237"/>
      <c r="W21" s="1237"/>
      <c r="X21" s="1237"/>
      <c r="Y21" s="1237"/>
      <c r="Z21" s="1237"/>
      <c r="AA21" s="1237"/>
      <c r="AB21" s="1237"/>
      <c r="AC21" s="1237"/>
      <c r="AD21" s="1237"/>
      <c r="AE21" s="1237"/>
      <c r="AF21" s="1237"/>
      <c r="AG21" s="1237"/>
      <c r="AH21" s="1207"/>
    </row>
    <row r="22" spans="1:35" ht="13.5" thickBot="1" x14ac:dyDescent="0.25">
      <c r="A22" s="1236"/>
      <c r="B22" s="1237"/>
      <c r="C22" s="1243"/>
      <c r="D22" s="1244" t="s">
        <v>16</v>
      </c>
      <c r="E22" s="1244"/>
      <c r="F22" s="1244"/>
      <c r="G22" s="1244"/>
      <c r="H22" s="1244"/>
      <c r="I22" s="1244"/>
      <c r="J22" s="1244"/>
      <c r="K22" s="1244"/>
      <c r="L22" s="1244"/>
      <c r="M22" s="1244"/>
      <c r="N22" s="1244"/>
      <c r="O22" s="1244"/>
      <c r="P22" s="1245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244"/>
      <c r="AE22" s="1244"/>
      <c r="AF22" s="1244"/>
      <c r="AG22" s="1244"/>
      <c r="AH22" s="1207"/>
    </row>
    <row r="23" spans="1:35" ht="13.5" thickBot="1" x14ac:dyDescent="0.25">
      <c r="A23" s="1236"/>
      <c r="B23" s="1237"/>
      <c r="C23" s="1246" t="s">
        <v>452</v>
      </c>
      <c r="D23" s="1246" t="s">
        <v>453</v>
      </c>
      <c r="E23" s="1246" t="s">
        <v>434</v>
      </c>
      <c r="F23" s="1246" t="s">
        <v>390</v>
      </c>
      <c r="G23" s="1246" t="s">
        <v>454</v>
      </c>
      <c r="H23" s="1246" t="s">
        <v>455</v>
      </c>
      <c r="I23" s="1246" t="s">
        <v>456</v>
      </c>
      <c r="J23" s="1246" t="s">
        <v>457</v>
      </c>
      <c r="K23" s="1246" t="s">
        <v>458</v>
      </c>
      <c r="L23" s="1246" t="s">
        <v>216</v>
      </c>
      <c r="M23" s="1246" t="s">
        <v>459</v>
      </c>
      <c r="N23" s="1246" t="s">
        <v>297</v>
      </c>
      <c r="O23" s="1246" t="s">
        <v>211</v>
      </c>
      <c r="P23" s="1247" t="s">
        <v>270</v>
      </c>
      <c r="Q23" s="1246" t="s">
        <v>490</v>
      </c>
      <c r="R23" s="1246" t="s">
        <v>460</v>
      </c>
      <c r="S23" s="1246" t="s">
        <v>461</v>
      </c>
      <c r="T23" s="1246" t="s">
        <v>442</v>
      </c>
      <c r="U23" s="1246" t="s">
        <v>462</v>
      </c>
      <c r="V23" s="1246" t="s">
        <v>470</v>
      </c>
      <c r="W23" s="1246" t="s">
        <v>471</v>
      </c>
      <c r="X23" s="1246" t="s">
        <v>472</v>
      </c>
      <c r="Y23" s="1246" t="s">
        <v>463</v>
      </c>
      <c r="Z23" s="1246" t="s">
        <v>465</v>
      </c>
      <c r="AA23" s="1246" t="s">
        <v>466</v>
      </c>
      <c r="AB23" s="1246" t="s">
        <v>435</v>
      </c>
      <c r="AC23" s="1246" t="s">
        <v>467</v>
      </c>
      <c r="AD23" s="1246" t="s">
        <v>464</v>
      </c>
      <c r="AE23" s="1246" t="s">
        <v>429</v>
      </c>
      <c r="AF23" s="1246" t="s">
        <v>149</v>
      </c>
      <c r="AG23" s="1246" t="s">
        <v>210</v>
      </c>
      <c r="AH23" s="1207"/>
    </row>
    <row r="24" spans="1:35" x14ac:dyDescent="0.2">
      <c r="A24" s="1233"/>
      <c r="B24" s="1248"/>
      <c r="C24" s="1237"/>
      <c r="D24" s="1237"/>
      <c r="E24" s="1237"/>
      <c r="F24" s="1237"/>
      <c r="G24" s="1237"/>
      <c r="H24" s="1237"/>
      <c r="I24" s="1237"/>
      <c r="J24" s="1237"/>
      <c r="K24" s="1237"/>
      <c r="L24" s="1237"/>
      <c r="M24" s="1237"/>
      <c r="N24" s="1237"/>
      <c r="O24" s="1237"/>
      <c r="P24" s="1241"/>
      <c r="Q24" s="1237"/>
      <c r="R24" s="1237"/>
      <c r="S24" s="1237"/>
      <c r="T24" s="1237"/>
      <c r="U24" s="1237"/>
      <c r="V24" s="1237"/>
      <c r="W24" s="1237"/>
      <c r="X24" s="1237"/>
      <c r="Y24" s="1237"/>
      <c r="Z24" s="1237"/>
      <c r="AA24" s="1237"/>
      <c r="AB24" s="1237"/>
      <c r="AC24" s="1237"/>
      <c r="AD24" s="1237"/>
      <c r="AE24" s="1237"/>
      <c r="AF24" s="1237"/>
      <c r="AG24" s="1237"/>
      <c r="AH24" s="1207"/>
    </row>
    <row r="25" spans="1:35" x14ac:dyDescent="0.2">
      <c r="A25" s="1236" t="s">
        <v>0</v>
      </c>
      <c r="B25" s="1249">
        <f>+'DECEMBRE 2015 '!AG70</f>
        <v>-351944.06999999995</v>
      </c>
      <c r="C25" s="1237"/>
      <c r="D25" s="1237"/>
      <c r="E25" s="1237"/>
      <c r="F25" s="1237"/>
      <c r="G25" s="1237"/>
      <c r="H25" s="1237"/>
      <c r="I25" s="1237"/>
      <c r="J25" s="1237"/>
      <c r="K25" s="1237"/>
      <c r="L25" s="1237"/>
      <c r="M25" s="1237"/>
      <c r="N25" s="1237"/>
      <c r="O25" s="1237"/>
      <c r="P25" s="1241"/>
      <c r="Q25" s="1237"/>
      <c r="R25" s="1237"/>
      <c r="S25" s="1237"/>
      <c r="T25" s="1237"/>
      <c r="U25" s="1237"/>
      <c r="V25" s="1237"/>
      <c r="W25" s="1237"/>
      <c r="X25" s="1237"/>
      <c r="Y25" s="1237"/>
      <c r="Z25" s="1237"/>
      <c r="AA25" s="1237"/>
      <c r="AB25" s="1237"/>
      <c r="AC25" s="1237"/>
      <c r="AD25" s="1237"/>
      <c r="AE25" s="1237"/>
      <c r="AF25" s="1237"/>
      <c r="AG25" s="1237"/>
      <c r="AH25" s="1207"/>
    </row>
    <row r="26" spans="1:35" ht="13.5" thickBot="1" x14ac:dyDescent="0.25">
      <c r="A26" s="1250"/>
      <c r="B26" s="1251"/>
      <c r="C26" s="1237"/>
      <c r="D26" s="1237"/>
      <c r="E26" s="1237"/>
      <c r="F26" s="1237"/>
      <c r="G26" s="1252"/>
      <c r="H26" s="1237"/>
      <c r="I26" s="1237"/>
      <c r="J26" s="1237"/>
      <c r="K26" s="1237"/>
      <c r="L26" s="1237"/>
      <c r="M26" s="1237"/>
      <c r="N26" s="1237"/>
      <c r="O26" s="1237"/>
      <c r="P26" s="1241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07"/>
    </row>
    <row r="27" spans="1:35" x14ac:dyDescent="0.2">
      <c r="A27" s="1233"/>
      <c r="B27" s="1253"/>
      <c r="C27" s="1237"/>
      <c r="D27" s="1237"/>
      <c r="E27" s="1237"/>
      <c r="F27" s="1237"/>
      <c r="G27" s="1237"/>
      <c r="H27" s="1237"/>
      <c r="I27" s="1237"/>
      <c r="J27" s="1237"/>
      <c r="K27" s="1237"/>
      <c r="L27" s="1237"/>
      <c r="M27" s="1237"/>
      <c r="N27" s="1237"/>
      <c r="O27" s="1237"/>
      <c r="P27" s="1241"/>
      <c r="Q27" s="1237"/>
      <c r="R27" s="1237"/>
      <c r="S27" s="1237"/>
      <c r="T27" s="1237"/>
      <c r="U27" s="1237"/>
      <c r="V27" s="1237"/>
      <c r="W27" s="1237"/>
      <c r="X27" s="1237"/>
      <c r="Y27" s="1237"/>
      <c r="Z27" s="1237"/>
      <c r="AA27" s="1237"/>
      <c r="AB27" s="1237"/>
      <c r="AC27" s="1237"/>
      <c r="AD27" s="1237"/>
      <c r="AE27" s="1237"/>
      <c r="AF27" s="1237"/>
      <c r="AG27" s="1237"/>
      <c r="AH27" s="1207"/>
    </row>
    <row r="28" spans="1:35" x14ac:dyDescent="0.2">
      <c r="A28" s="1236" t="s">
        <v>1</v>
      </c>
      <c r="B28" s="1249">
        <f>B29+B30+B31</f>
        <v>317959.821</v>
      </c>
      <c r="C28" s="1237"/>
      <c r="D28" s="1237"/>
      <c r="E28" s="1237"/>
      <c r="F28" s="1237"/>
      <c r="G28" s="1237"/>
      <c r="H28" s="1237"/>
      <c r="I28" s="1237"/>
      <c r="J28" s="1237"/>
      <c r="K28" s="1237"/>
      <c r="L28" s="1237"/>
      <c r="M28" s="1237"/>
      <c r="N28" s="1237"/>
      <c r="O28" s="1237"/>
      <c r="P28" s="1241"/>
      <c r="Q28" s="1237"/>
      <c r="R28" s="1237"/>
      <c r="S28" s="1237"/>
      <c r="T28" s="1237"/>
      <c r="U28" s="1237"/>
      <c r="V28" s="1237"/>
      <c r="W28" s="1237"/>
      <c r="X28" s="1237"/>
      <c r="Y28" s="1237"/>
      <c r="Z28" s="1237"/>
      <c r="AA28" s="1237"/>
      <c r="AB28" s="1237"/>
      <c r="AC28" s="1237"/>
      <c r="AD28" s="1237"/>
      <c r="AE28" s="1237"/>
      <c r="AF28" s="1237"/>
      <c r="AG28" s="1237"/>
      <c r="AH28" s="1207"/>
    </row>
    <row r="29" spans="1:35" x14ac:dyDescent="0.2">
      <c r="A29" s="1236" t="s">
        <v>38</v>
      </c>
      <c r="B29" s="1249">
        <f>C82</f>
        <v>317959.821</v>
      </c>
      <c r="C29" s="1237"/>
      <c r="D29" s="1237"/>
      <c r="E29" s="1237"/>
      <c r="F29" s="1237"/>
      <c r="G29" s="1237"/>
      <c r="H29" s="1237"/>
      <c r="I29" s="1237"/>
      <c r="J29" s="1237"/>
      <c r="K29" s="1237"/>
      <c r="L29" s="1237"/>
      <c r="M29" s="1237"/>
      <c r="N29" s="1237"/>
      <c r="O29" s="1237"/>
      <c r="P29" s="1241"/>
      <c r="Q29" s="1237"/>
      <c r="R29" s="1237"/>
      <c r="S29" s="1237"/>
      <c r="T29" s="1237"/>
      <c r="U29" s="1237"/>
      <c r="V29" s="1237"/>
      <c r="W29" s="1237"/>
      <c r="X29" s="1237"/>
      <c r="Y29" s="1237"/>
      <c r="Z29" s="1237"/>
      <c r="AA29" s="1237"/>
      <c r="AB29" s="1237"/>
      <c r="AC29" s="1237"/>
      <c r="AD29" s="1237"/>
      <c r="AE29" s="1237"/>
      <c r="AF29" s="1237"/>
      <c r="AG29" s="1237"/>
      <c r="AH29" s="1207"/>
    </row>
    <row r="30" spans="1:35" x14ac:dyDescent="0.2">
      <c r="A30" s="1236" t="s">
        <v>39</v>
      </c>
      <c r="B30" s="1249"/>
      <c r="C30" s="1237"/>
      <c r="D30" s="1237"/>
      <c r="E30" s="1237"/>
      <c r="F30" s="1237"/>
      <c r="G30" s="1237"/>
      <c r="H30" s="1237"/>
      <c r="I30" s="1237"/>
      <c r="J30" s="1237"/>
      <c r="K30" s="1237"/>
      <c r="L30" s="1237"/>
      <c r="M30" s="1237"/>
      <c r="N30" s="1237"/>
      <c r="O30" s="1237"/>
      <c r="P30" s="1241"/>
      <c r="Q30" s="1237"/>
      <c r="R30" s="1237"/>
      <c r="S30" s="1237"/>
      <c r="T30" s="1237"/>
      <c r="U30" s="1237"/>
      <c r="V30" s="1237"/>
      <c r="W30" s="1237"/>
      <c r="X30" s="1237"/>
      <c r="Y30" s="1237"/>
      <c r="Z30" s="1237"/>
      <c r="AA30" s="1237"/>
      <c r="AB30" s="1237"/>
      <c r="AC30" s="1237"/>
      <c r="AD30" s="1237"/>
      <c r="AE30" s="1237"/>
      <c r="AF30" s="1237"/>
      <c r="AG30" s="1237"/>
      <c r="AH30" s="1207"/>
    </row>
    <row r="31" spans="1:35" x14ac:dyDescent="0.2">
      <c r="A31" s="1236" t="s">
        <v>3</v>
      </c>
      <c r="B31" s="1249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41"/>
      <c r="Q31" s="1237"/>
      <c r="R31" s="1237"/>
      <c r="S31" s="1237"/>
      <c r="T31" s="1237"/>
      <c r="U31" s="1237"/>
      <c r="V31" s="1237"/>
      <c r="W31" s="1237"/>
      <c r="X31" s="1237"/>
      <c r="Y31" s="1237"/>
      <c r="Z31" s="1237"/>
      <c r="AA31" s="1237"/>
      <c r="AB31" s="1237"/>
      <c r="AC31" s="1237"/>
      <c r="AD31" s="1237"/>
      <c r="AE31" s="1237"/>
      <c r="AF31" s="1237"/>
      <c r="AG31" s="1237"/>
      <c r="AH31" s="1207"/>
    </row>
    <row r="32" spans="1:35" ht="13.5" thickBot="1" x14ac:dyDescent="0.25">
      <c r="A32" s="1250"/>
      <c r="B32" s="1251"/>
      <c r="C32" s="1237"/>
      <c r="D32" s="1237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41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37"/>
      <c r="AE32" s="1237"/>
      <c r="AF32" s="1237"/>
      <c r="AG32" s="1237"/>
      <c r="AH32" s="1207"/>
    </row>
    <row r="33" spans="1:40" ht="18" x14ac:dyDescent="0.25">
      <c r="A33" s="1233"/>
      <c r="B33" s="1253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  <c r="M33" s="1237"/>
      <c r="N33" s="1237"/>
      <c r="O33" s="1254"/>
      <c r="P33" s="1241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37"/>
      <c r="AE33" s="1237"/>
      <c r="AF33" s="1237"/>
      <c r="AG33" s="1237"/>
      <c r="AH33" s="1207"/>
    </row>
    <row r="34" spans="1:40" ht="18" x14ac:dyDescent="0.25">
      <c r="A34" s="1236" t="s">
        <v>4</v>
      </c>
      <c r="B34" s="1249">
        <f>B25+B28</f>
        <v>-33984.248999999953</v>
      </c>
      <c r="C34" s="1237"/>
      <c r="D34" s="1237"/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54"/>
      <c r="P34" s="1241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37"/>
      <c r="AE34" s="1237"/>
      <c r="AF34" s="1237"/>
      <c r="AG34" s="1237"/>
      <c r="AH34" s="1207"/>
    </row>
    <row r="35" spans="1:40" ht="18.75" thickBot="1" x14ac:dyDescent="0.3">
      <c r="A35" s="1250"/>
      <c r="B35" s="1251"/>
      <c r="C35" s="1237"/>
      <c r="D35" s="1237"/>
      <c r="E35" s="1237"/>
      <c r="F35" s="1237"/>
      <c r="G35" s="1237"/>
      <c r="H35" s="1237"/>
      <c r="I35" s="1237"/>
      <c r="K35" s="1237"/>
      <c r="L35" s="1237"/>
      <c r="M35" s="1237"/>
      <c r="N35" s="1237"/>
      <c r="O35" s="1254"/>
      <c r="P35" s="1241"/>
      <c r="Q35" s="1237"/>
      <c r="R35" s="1237"/>
      <c r="S35" s="1237"/>
      <c r="T35" s="1237"/>
      <c r="U35" s="1237"/>
      <c r="V35" s="1237"/>
      <c r="W35" s="1237"/>
      <c r="X35" s="1237"/>
      <c r="Y35" s="1237"/>
      <c r="Z35" s="1237"/>
      <c r="AA35" s="1237"/>
      <c r="AB35" s="1237"/>
      <c r="AC35" s="1237"/>
      <c r="AD35" s="1237"/>
      <c r="AE35" s="1237"/>
      <c r="AF35" s="1237"/>
      <c r="AG35" s="1237"/>
      <c r="AH35" s="1207"/>
    </row>
    <row r="36" spans="1:40" x14ac:dyDescent="0.2">
      <c r="A36" s="1233"/>
      <c r="B36" s="1253"/>
      <c r="C36" s="1237"/>
      <c r="D36" s="1237"/>
      <c r="E36" s="1237"/>
      <c r="F36" s="1237"/>
      <c r="G36" s="1237"/>
      <c r="H36" s="1237"/>
      <c r="I36" s="1237"/>
      <c r="J36" s="1237"/>
      <c r="K36" s="1237"/>
      <c r="L36" s="1237"/>
      <c r="M36" s="1237"/>
      <c r="N36" s="1237"/>
      <c r="O36" s="1237"/>
      <c r="P36" s="1241"/>
      <c r="Q36" s="1237"/>
      <c r="R36" s="1237"/>
      <c r="S36" s="1237"/>
      <c r="T36" s="1237"/>
      <c r="U36" s="1237"/>
      <c r="V36" s="1237"/>
      <c r="W36" s="1237"/>
      <c r="X36" s="1237"/>
      <c r="Y36" s="1237"/>
      <c r="Z36" s="1237"/>
      <c r="AA36" s="1237"/>
      <c r="AB36" s="1237"/>
      <c r="AC36" s="1237"/>
      <c r="AD36" s="1237"/>
      <c r="AE36" s="1237"/>
      <c r="AF36" s="1237"/>
      <c r="AG36" s="1237"/>
      <c r="AH36" s="1207"/>
    </row>
    <row r="37" spans="1:40" ht="18" x14ac:dyDescent="0.25">
      <c r="A37" s="1236" t="s">
        <v>913</v>
      </c>
      <c r="B37" s="1249"/>
      <c r="C37" s="1237"/>
      <c r="D37" s="1237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12"/>
      <c r="Q37" s="1211"/>
      <c r="R37" s="1237"/>
      <c r="S37" s="1255"/>
      <c r="T37" s="1237"/>
      <c r="U37" s="1237"/>
      <c r="V37" s="1237"/>
      <c r="W37" s="1237"/>
      <c r="X37" s="1237"/>
      <c r="Y37" s="1237"/>
      <c r="Z37" s="1237"/>
      <c r="AA37" s="1237"/>
      <c r="AB37" s="1237"/>
      <c r="AC37" s="1748"/>
      <c r="AD37" s="1748"/>
      <c r="AE37" s="1237"/>
      <c r="AF37" s="1237"/>
      <c r="AG37" s="1237"/>
      <c r="AH37" s="1207"/>
    </row>
    <row r="38" spans="1:40" ht="13.5" thickBot="1" x14ac:dyDescent="0.25">
      <c r="A38" s="1250"/>
      <c r="B38" s="1251"/>
      <c r="C38" s="1237"/>
      <c r="D38" s="1237"/>
      <c r="E38" s="1211"/>
      <c r="F38" s="1237"/>
      <c r="G38" s="1237"/>
      <c r="H38" s="1211"/>
      <c r="I38" s="1237"/>
      <c r="J38" s="1237"/>
      <c r="K38" s="1241"/>
      <c r="L38" s="1237"/>
      <c r="M38" s="1237"/>
      <c r="N38" s="1237"/>
      <c r="O38" s="1237"/>
      <c r="P38" s="1241"/>
      <c r="Q38" s="1237"/>
      <c r="R38" s="1237"/>
      <c r="S38" s="1237"/>
      <c r="T38" s="1237"/>
      <c r="U38" s="1237"/>
      <c r="V38" s="1237"/>
      <c r="W38" s="1237"/>
      <c r="X38" s="1237"/>
      <c r="Y38" s="1237"/>
      <c r="Z38" s="1237"/>
      <c r="AA38" s="1237"/>
      <c r="AB38" s="1237"/>
      <c r="AC38" s="1237"/>
      <c r="AD38" s="1237"/>
      <c r="AE38" s="1237"/>
      <c r="AF38" s="1237"/>
      <c r="AG38" s="1237"/>
      <c r="AH38" s="1207"/>
    </row>
    <row r="39" spans="1:40" x14ac:dyDescent="0.2">
      <c r="A39" s="1233"/>
      <c r="B39" s="1253"/>
      <c r="C39" s="1256" t="s">
        <v>1216</v>
      </c>
      <c r="D39" s="1414"/>
      <c r="E39" s="1414"/>
      <c r="F39" s="1414"/>
      <c r="G39" s="1414"/>
      <c r="H39" s="1414"/>
      <c r="I39" s="1237"/>
      <c r="J39" s="1237"/>
      <c r="K39" s="1237"/>
      <c r="L39" s="1237"/>
      <c r="M39" s="1237"/>
      <c r="N39" s="1237"/>
      <c r="O39" s="1258"/>
      <c r="P39" s="1212"/>
      <c r="Q39" s="1212"/>
      <c r="R39" s="1237"/>
      <c r="S39" s="1211"/>
      <c r="T39" s="1237"/>
      <c r="U39" s="1259"/>
      <c r="V39" s="1259"/>
      <c r="W39" s="1259"/>
      <c r="X39" s="1259"/>
      <c r="Y39" s="1260"/>
      <c r="Z39" s="1259"/>
      <c r="AA39" s="1261"/>
      <c r="AB39" s="1259"/>
      <c r="AC39" s="1260"/>
      <c r="AD39" s="1259"/>
      <c r="AE39" s="1259"/>
      <c r="AF39" s="1259"/>
      <c r="AG39" s="1259"/>
      <c r="AH39" s="1207"/>
    </row>
    <row r="40" spans="1:40" x14ac:dyDescent="0.2">
      <c r="A40" s="1236" t="s">
        <v>5</v>
      </c>
      <c r="B40" s="1249">
        <f>B34-B37</f>
        <v>-33984.248999999953</v>
      </c>
      <c r="C40" s="1256"/>
      <c r="D40" s="1211"/>
      <c r="E40" s="1256"/>
      <c r="F40" s="1211" t="s">
        <v>956</v>
      </c>
      <c r="G40" s="1211"/>
      <c r="H40" s="1211"/>
      <c r="I40" s="1211"/>
      <c r="J40" s="1211"/>
      <c r="K40" s="1211"/>
      <c r="L40" s="1262"/>
      <c r="M40" s="1212" t="s">
        <v>166</v>
      </c>
      <c r="N40" s="1212"/>
      <c r="O40" s="1211"/>
      <c r="P40" s="1212"/>
      <c r="Q40" s="1212" t="s">
        <v>69</v>
      </c>
      <c r="R40" s="1211"/>
      <c r="S40" s="1212"/>
      <c r="T40" s="1212"/>
      <c r="U40" s="1212"/>
      <c r="V40" s="1263"/>
      <c r="W40" s="1212"/>
      <c r="X40" s="1211"/>
      <c r="Y40" s="1212"/>
      <c r="Z40" s="1212"/>
      <c r="AA40" s="1264" t="s">
        <v>603</v>
      </c>
      <c r="AB40" s="1212"/>
      <c r="AC40" s="1265"/>
      <c r="AD40" s="1266"/>
      <c r="AE40" s="1267"/>
      <c r="AF40" s="1268"/>
      <c r="AG40" s="1267"/>
      <c r="AH40" s="1207"/>
    </row>
    <row r="41" spans="1:40" ht="13.5" thickBot="1" x14ac:dyDescent="0.25">
      <c r="A41" s="1250"/>
      <c r="B41" s="1251"/>
      <c r="C41" s="1237"/>
      <c r="D41" s="1237"/>
      <c r="E41" s="1237"/>
      <c r="F41" s="1237"/>
      <c r="G41" s="1237"/>
      <c r="H41" s="1237"/>
      <c r="I41" s="1237"/>
      <c r="J41" s="1237"/>
      <c r="K41" s="1237"/>
      <c r="L41" s="1211"/>
      <c r="M41" s="1237"/>
      <c r="N41" s="1237"/>
      <c r="O41" s="1237"/>
      <c r="P41" s="1241"/>
      <c r="Q41" s="1237"/>
      <c r="R41" s="1237"/>
      <c r="S41" s="1237"/>
      <c r="T41" s="1237"/>
      <c r="U41" s="1237"/>
      <c r="V41" s="1237"/>
      <c r="W41" s="1237"/>
      <c r="X41" s="1237"/>
      <c r="Y41" s="1237"/>
      <c r="Z41" s="1237"/>
      <c r="AA41" s="1237"/>
      <c r="AB41" s="1237"/>
      <c r="AC41" s="1237"/>
      <c r="AD41" s="1237"/>
      <c r="AE41" s="1237"/>
      <c r="AF41" s="1237"/>
      <c r="AG41" s="1237"/>
      <c r="AH41" s="1207"/>
    </row>
    <row r="42" spans="1:40" x14ac:dyDescent="0.2">
      <c r="A42" s="1269"/>
      <c r="B42" s="1237"/>
      <c r="C42" s="1270"/>
      <c r="D42" s="1271"/>
      <c r="E42" s="1272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3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  <c r="AB42" s="1271"/>
      <c r="AC42" s="1271"/>
      <c r="AD42" s="1271"/>
      <c r="AE42" s="1271"/>
      <c r="AF42" s="1271"/>
      <c r="AG42" s="1271"/>
      <c r="AH42" s="1227">
        <f t="shared" ref="AH42:AH58" si="9">SUM(C42:AG42)</f>
        <v>0</v>
      </c>
    </row>
    <row r="43" spans="1:40" ht="13.5" thickBot="1" x14ac:dyDescent="0.25">
      <c r="A43" s="1274" t="s">
        <v>914</v>
      </c>
      <c r="B43" s="1237"/>
      <c r="C43" s="1275">
        <f t="shared" ref="C43:AG43" si="10">C44+C45+C48+C52+C51+C49+C50+C46+C47</f>
        <v>23171.485000000001</v>
      </c>
      <c r="D43" s="1275">
        <f t="shared" si="10"/>
        <v>5241.8289999999997</v>
      </c>
      <c r="E43" s="1275">
        <f t="shared" si="10"/>
        <v>0</v>
      </c>
      <c r="F43" s="1275">
        <f t="shared" si="10"/>
        <v>54490.002</v>
      </c>
      <c r="G43" s="1275">
        <f t="shared" si="10"/>
        <v>20885.825000000001</v>
      </c>
      <c r="H43" s="1275">
        <f t="shared" si="10"/>
        <v>0</v>
      </c>
      <c r="I43" s="1275">
        <f t="shared" si="10"/>
        <v>11765.206</v>
      </c>
      <c r="J43" s="1275">
        <f t="shared" si="10"/>
        <v>37638.262000000002</v>
      </c>
      <c r="K43" s="1275">
        <f t="shared" si="10"/>
        <v>13780.307000000001</v>
      </c>
      <c r="L43" s="1275">
        <f t="shared" si="10"/>
        <v>105921.412</v>
      </c>
      <c r="M43" s="1275">
        <f t="shared" si="10"/>
        <v>27554.212</v>
      </c>
      <c r="N43" s="1275">
        <f t="shared" si="10"/>
        <v>21013.177</v>
      </c>
      <c r="O43" s="1275">
        <f t="shared" si="10"/>
        <v>58970.103999999999</v>
      </c>
      <c r="P43" s="1276">
        <f t="shared" si="10"/>
        <v>29638.361000000001</v>
      </c>
      <c r="Q43" s="1275">
        <f t="shared" si="10"/>
        <v>140311.55499999999</v>
      </c>
      <c r="R43" s="1275">
        <f t="shared" si="10"/>
        <v>43121.415000000001</v>
      </c>
      <c r="S43" s="1275">
        <f t="shared" si="10"/>
        <v>24734.143</v>
      </c>
      <c r="T43" s="1275">
        <f t="shared" si="10"/>
        <v>64152.356000000007</v>
      </c>
      <c r="U43" s="1275">
        <f t="shared" si="10"/>
        <v>48706.425999999999</v>
      </c>
      <c r="V43" s="1275">
        <f t="shared" si="10"/>
        <v>119657.658</v>
      </c>
      <c r="W43" s="1275">
        <f t="shared" si="10"/>
        <v>40620.826999999997</v>
      </c>
      <c r="X43" s="1275">
        <f t="shared" si="10"/>
        <v>107733.25899999999</v>
      </c>
      <c r="Y43" s="1275">
        <f t="shared" si="10"/>
        <v>22260.682000000001</v>
      </c>
      <c r="Z43" s="1275">
        <f t="shared" si="10"/>
        <v>41099.358999999997</v>
      </c>
      <c r="AA43" s="1275">
        <f t="shared" si="10"/>
        <v>129862.13400000001</v>
      </c>
      <c r="AB43" s="1275">
        <f t="shared" si="10"/>
        <v>61992.185000000005</v>
      </c>
      <c r="AC43" s="1275">
        <f t="shared" si="10"/>
        <v>49992.745000000003</v>
      </c>
      <c r="AD43" s="1275">
        <f t="shared" si="10"/>
        <v>100409.91999999998</v>
      </c>
      <c r="AE43" s="1275">
        <f t="shared" si="10"/>
        <v>55384.595000000001</v>
      </c>
      <c r="AF43" s="1275">
        <f t="shared" si="10"/>
        <v>198867.63</v>
      </c>
      <c r="AG43" s="1275">
        <f t="shared" si="10"/>
        <v>227584.416</v>
      </c>
      <c r="AH43" s="1227">
        <f t="shared" si="9"/>
        <v>1886561.4870000004</v>
      </c>
    </row>
    <row r="44" spans="1:40" x14ac:dyDescent="0.2">
      <c r="A44" s="1274" t="s">
        <v>8</v>
      </c>
      <c r="B44" s="1237"/>
      <c r="C44" s="1277">
        <f>16000-2339.771</f>
        <v>13660.228999999999</v>
      </c>
      <c r="D44" s="1277"/>
      <c r="E44" s="1277"/>
      <c r="F44" s="1277"/>
      <c r="G44" s="1278">
        <f>20860-20860</f>
        <v>0</v>
      </c>
      <c r="H44" s="1278"/>
      <c r="I44" s="1278"/>
      <c r="J44" s="1279">
        <v>3935.8620000000001</v>
      </c>
      <c r="K44" s="1279">
        <v>2425.3209999999999</v>
      </c>
      <c r="L44" s="1279">
        <v>54165.95</v>
      </c>
      <c r="M44" s="1279"/>
      <c r="N44" s="1279"/>
      <c r="O44" s="1279">
        <v>53150</v>
      </c>
      <c r="P44" s="1279"/>
      <c r="Q44" s="1279">
        <v>32799.500999999997</v>
      </c>
      <c r="R44" s="1279">
        <v>27950</v>
      </c>
      <c r="S44" s="1279"/>
      <c r="T44" s="1279">
        <v>6721.6180000000004</v>
      </c>
      <c r="U44" s="1279">
        <v>28067.087</v>
      </c>
      <c r="V44" s="1279">
        <v>31355.994999999999</v>
      </c>
      <c r="W44" s="1279">
        <v>10121.879999999999</v>
      </c>
      <c r="X44" s="1279">
        <v>41408.930999999997</v>
      </c>
      <c r="Y44" s="1279"/>
      <c r="Z44" s="1279">
        <v>9973.482</v>
      </c>
      <c r="AA44" s="1279">
        <v>69623.163</v>
      </c>
      <c r="AB44" s="1279">
        <v>353.298</v>
      </c>
      <c r="AC44" s="1279">
        <v>402.73200000000003</v>
      </c>
      <c r="AD44" s="1279">
        <v>63093.245999999999</v>
      </c>
      <c r="AE44" s="1279">
        <v>7673.62</v>
      </c>
      <c r="AF44" s="1279">
        <v>48834.520999999993</v>
      </c>
      <c r="AG44" s="1279">
        <v>78487.733999999997</v>
      </c>
      <c r="AH44" s="1227">
        <f t="shared" si="9"/>
        <v>584204.16999999993</v>
      </c>
      <c r="AN44" s="1280">
        <v>9918.1650000000009</v>
      </c>
    </row>
    <row r="45" spans="1:40" x14ac:dyDescent="0.2">
      <c r="A45" s="1274" t="s">
        <v>703</v>
      </c>
      <c r="B45" s="1237"/>
      <c r="C45" s="1281"/>
      <c r="D45" s="1281"/>
      <c r="E45" s="1282">
        <f>987.31-987.31</f>
        <v>0</v>
      </c>
      <c r="F45" s="1282">
        <f>60671.726-5128.161-5000-8290.563-9700-16500</f>
        <v>16053.002</v>
      </c>
      <c r="G45" s="1282">
        <f>4212.536-4212.536</f>
        <v>0</v>
      </c>
      <c r="H45" s="1282">
        <f>3232.473-3232.473</f>
        <v>0</v>
      </c>
      <c r="I45" s="1282">
        <v>7422.3289999999997</v>
      </c>
      <c r="J45" s="1282">
        <v>25246.34</v>
      </c>
      <c r="K45" s="1282">
        <v>9750</v>
      </c>
      <c r="L45" s="1282">
        <v>3980.6379999999999</v>
      </c>
      <c r="M45" s="1282">
        <v>24085.895</v>
      </c>
      <c r="N45" s="1282">
        <v>9743.9869999999992</v>
      </c>
      <c r="O45" s="1282">
        <v>540.38499999999999</v>
      </c>
      <c r="P45" s="1282">
        <v>29638.361000000001</v>
      </c>
      <c r="Q45" s="1282">
        <v>14635.757</v>
      </c>
      <c r="R45" s="1282">
        <v>15171.414999999999</v>
      </c>
      <c r="S45" s="1282">
        <v>12560.447</v>
      </c>
      <c r="T45" s="1282">
        <v>50252.76</v>
      </c>
      <c r="U45" s="1282">
        <v>11565.375</v>
      </c>
      <c r="V45" s="1282">
        <v>28972.731999999996</v>
      </c>
      <c r="W45" s="1282">
        <v>15233.85</v>
      </c>
      <c r="X45" s="1282">
        <v>46099.5</v>
      </c>
      <c r="Y45" s="1282">
        <v>10411.913</v>
      </c>
      <c r="Z45" s="1282">
        <v>30156.93</v>
      </c>
      <c r="AA45" s="1282">
        <v>23271.469000000001</v>
      </c>
      <c r="AB45" s="1282">
        <v>59014.887000000002</v>
      </c>
      <c r="AC45" s="1282">
        <v>48301.012999999999</v>
      </c>
      <c r="AD45" s="1282">
        <v>29419.811999999998</v>
      </c>
      <c r="AE45" s="1282">
        <v>41203.832000000002</v>
      </c>
      <c r="AF45" s="1282">
        <v>102032.625</v>
      </c>
      <c r="AG45" s="1282">
        <v>61703.682000000001</v>
      </c>
      <c r="AH45" s="1227">
        <f t="shared" si="9"/>
        <v>726468.93599999999</v>
      </c>
      <c r="AI45" s="1283">
        <f>+AH45+AH44</f>
        <v>1310673.1059999999</v>
      </c>
      <c r="AJ45" s="1283"/>
      <c r="AN45" s="1280">
        <v>788.89499999999998</v>
      </c>
    </row>
    <row r="46" spans="1:40" x14ac:dyDescent="0.2">
      <c r="A46" s="1274" t="s">
        <v>704</v>
      </c>
      <c r="B46" s="1237"/>
      <c r="C46" s="1282">
        <f>5411.082-976.579-3488.15-946.353</f>
        <v>0</v>
      </c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  <c r="O46" s="1282"/>
      <c r="P46" s="1282"/>
      <c r="Q46" s="1282"/>
      <c r="R46" s="1282"/>
      <c r="S46" s="1282"/>
      <c r="T46" s="1282"/>
      <c r="U46" s="1282"/>
      <c r="V46" s="1282"/>
      <c r="W46" s="1282"/>
      <c r="X46" s="1282"/>
      <c r="Y46" s="1282"/>
      <c r="Z46" s="1282"/>
      <c r="AA46" s="1282"/>
      <c r="AB46" s="1282"/>
      <c r="AC46" s="1282"/>
      <c r="AD46" s="1282"/>
      <c r="AE46" s="1282"/>
      <c r="AF46" s="1282"/>
      <c r="AG46" s="1282"/>
      <c r="AH46" s="1227">
        <f t="shared" si="9"/>
        <v>0</v>
      </c>
      <c r="AN46" s="1280"/>
    </row>
    <row r="47" spans="1:40" x14ac:dyDescent="0.2">
      <c r="A47" s="1274" t="s">
        <v>705</v>
      </c>
      <c r="B47" s="1237"/>
      <c r="C47" s="1284"/>
      <c r="D47" s="1284"/>
      <c r="E47" s="1284"/>
      <c r="F47" s="1284"/>
      <c r="G47" s="1284"/>
      <c r="H47" s="1284"/>
      <c r="I47" s="1284"/>
      <c r="J47" s="1284"/>
      <c r="K47" s="1284"/>
      <c r="L47" s="1284"/>
      <c r="M47" s="1284"/>
      <c r="N47" s="1284"/>
      <c r="O47" s="1284"/>
      <c r="P47" s="1284"/>
      <c r="Q47" s="1284"/>
      <c r="R47" s="1284"/>
      <c r="S47" s="1284"/>
      <c r="T47" s="1284"/>
      <c r="U47" s="1284"/>
      <c r="V47" s="1284">
        <v>24442.09</v>
      </c>
      <c r="W47" s="1284"/>
      <c r="X47" s="1284"/>
      <c r="Y47" s="1284"/>
      <c r="Z47" s="1284"/>
      <c r="AA47" s="1284"/>
      <c r="AB47" s="1284"/>
      <c r="AC47" s="1284"/>
      <c r="AD47" s="1284"/>
      <c r="AE47" s="1284"/>
      <c r="AF47" s="1284"/>
      <c r="AG47" s="1284"/>
      <c r="AH47" s="1227">
        <f t="shared" si="9"/>
        <v>24442.09</v>
      </c>
      <c r="AI47" s="1283"/>
      <c r="AJ47" s="1283"/>
      <c r="AN47" s="1280"/>
    </row>
    <row r="48" spans="1:40" s="1289" customFormat="1" x14ac:dyDescent="0.2">
      <c r="A48" s="1285" t="s">
        <v>10</v>
      </c>
      <c r="B48" s="1286"/>
      <c r="C48" s="1287"/>
      <c r="D48" s="1287"/>
      <c r="E48" s="1287"/>
      <c r="F48" s="1287"/>
      <c r="G48" s="1287"/>
      <c r="H48" s="1287"/>
      <c r="I48" s="1287"/>
      <c r="J48" s="1287"/>
      <c r="K48" s="1287"/>
      <c r="L48" s="1287"/>
      <c r="M48" s="1287">
        <v>-254385</v>
      </c>
      <c r="N48" s="1287"/>
      <c r="O48" s="1287"/>
      <c r="P48" s="1287"/>
      <c r="Q48" s="1287"/>
      <c r="R48" s="1287"/>
      <c r="S48" s="1287"/>
      <c r="T48" s="1287"/>
      <c r="U48" s="1287"/>
      <c r="V48" s="1287"/>
      <c r="W48" s="1287"/>
      <c r="X48" s="1287"/>
      <c r="Y48" s="1287"/>
      <c r="Z48" s="1287"/>
      <c r="AA48" s="1287"/>
      <c r="AB48" s="1287"/>
      <c r="AC48" s="1287"/>
      <c r="AD48" s="1287"/>
      <c r="AE48" s="1287"/>
      <c r="AF48" s="1287"/>
      <c r="AG48" s="1287"/>
      <c r="AH48" s="1231">
        <f t="shared" si="9"/>
        <v>-254385</v>
      </c>
      <c r="AI48" s="1288"/>
      <c r="AN48" s="1290">
        <v>6347.85</v>
      </c>
    </row>
    <row r="49" spans="1:40" s="1289" customFormat="1" x14ac:dyDescent="0.2">
      <c r="A49" s="1285" t="s">
        <v>356</v>
      </c>
      <c r="B49" s="1291"/>
      <c r="C49" s="1292"/>
      <c r="D49" s="1292"/>
      <c r="E49" s="1292"/>
      <c r="F49" s="1292">
        <v>38437</v>
      </c>
      <c r="G49" s="1292"/>
      <c r="H49" s="1292"/>
      <c r="I49" s="1292"/>
      <c r="J49" s="1292"/>
      <c r="K49" s="1292"/>
      <c r="L49" s="1292"/>
      <c r="M49" s="1292">
        <v>254385.35800000001</v>
      </c>
      <c r="N49" s="1292"/>
      <c r="O49" s="1292"/>
      <c r="P49" s="1292"/>
      <c r="Q49" s="1292">
        <v>39234.999000000003</v>
      </c>
      <c r="R49" s="1292"/>
      <c r="S49" s="1292"/>
      <c r="T49" s="1292"/>
      <c r="U49" s="1292"/>
      <c r="V49" s="1292"/>
      <c r="W49" s="1292"/>
      <c r="X49" s="1292"/>
      <c r="Y49" s="1292"/>
      <c r="Z49" s="1292"/>
      <c r="AA49" s="1292">
        <v>17023.842000000001</v>
      </c>
      <c r="AB49" s="1292"/>
      <c r="AC49" s="1292"/>
      <c r="AD49" s="1292"/>
      <c r="AE49" s="1292"/>
      <c r="AF49" s="1292"/>
      <c r="AG49" s="1292"/>
      <c r="AH49" s="1231">
        <f t="shared" si="9"/>
        <v>349081.19900000002</v>
      </c>
      <c r="AN49" s="1290">
        <v>6249.5020000000004</v>
      </c>
    </row>
    <row r="50" spans="1:40" x14ac:dyDescent="0.2">
      <c r="A50" s="1274" t="s">
        <v>357</v>
      </c>
      <c r="B50" s="1237"/>
      <c r="C50" s="1293"/>
      <c r="D50" s="1293"/>
      <c r="E50" s="1293"/>
      <c r="F50" s="1293"/>
      <c r="G50" s="1293"/>
      <c r="H50" s="1293"/>
      <c r="I50" s="1293"/>
      <c r="J50" s="1293"/>
      <c r="K50" s="1293"/>
      <c r="L50" s="1293"/>
      <c r="M50" s="1293"/>
      <c r="N50" s="1293"/>
      <c r="O50" s="1293"/>
      <c r="P50" s="1293"/>
      <c r="Q50" s="1293"/>
      <c r="R50" s="1293"/>
      <c r="S50" s="1293"/>
      <c r="T50" s="1293"/>
      <c r="U50" s="1293"/>
      <c r="V50" s="1293"/>
      <c r="W50" s="1293"/>
      <c r="X50" s="1293"/>
      <c r="Y50" s="1293"/>
      <c r="Z50" s="1293"/>
      <c r="AA50" s="1293"/>
      <c r="AB50" s="1293"/>
      <c r="AC50" s="1293"/>
      <c r="AD50" s="1293"/>
      <c r="AE50" s="1293"/>
      <c r="AF50" s="1293"/>
      <c r="AG50" s="1293"/>
      <c r="AH50" s="1227">
        <f t="shared" si="9"/>
        <v>0</v>
      </c>
      <c r="AN50" s="1280">
        <v>2246.556</v>
      </c>
    </row>
    <row r="51" spans="1:40" x14ac:dyDescent="0.2">
      <c r="A51" s="1274" t="s">
        <v>41</v>
      </c>
      <c r="B51" s="1237"/>
      <c r="C51" s="1282">
        <v>9511.2559999999994</v>
      </c>
      <c r="D51" s="1282">
        <v>5241.8289999999997</v>
      </c>
      <c r="E51" s="1282"/>
      <c r="F51" s="1282"/>
      <c r="G51" s="1282">
        <v>20885.825000000001</v>
      </c>
      <c r="H51" s="1282"/>
      <c r="I51" s="1282">
        <v>4342.8770000000004</v>
      </c>
      <c r="J51" s="1282">
        <v>8456.06</v>
      </c>
      <c r="K51" s="1282">
        <v>1604.9860000000001</v>
      </c>
      <c r="L51" s="1282">
        <v>47774.824000000001</v>
      </c>
      <c r="M51" s="1282">
        <v>3467.9589999999998</v>
      </c>
      <c r="N51" s="1282">
        <v>11269.19</v>
      </c>
      <c r="O51" s="1282">
        <v>5279.7190000000001</v>
      </c>
      <c r="P51" s="1282"/>
      <c r="Q51" s="1282">
        <v>53641.298000000003</v>
      </c>
      <c r="R51" s="1282"/>
      <c r="S51" s="1282">
        <v>12173.696</v>
      </c>
      <c r="T51" s="1282">
        <v>7177.9780000000001</v>
      </c>
      <c r="U51" s="1282">
        <v>9073.9639999999999</v>
      </c>
      <c r="V51" s="1282">
        <v>34886.841</v>
      </c>
      <c r="W51" s="1282">
        <v>15265.097</v>
      </c>
      <c r="X51" s="1282">
        <v>20224.828000000001</v>
      </c>
      <c r="Y51" s="1282">
        <v>11848.769</v>
      </c>
      <c r="Z51" s="1282">
        <v>968.947</v>
      </c>
      <c r="AA51" s="1282">
        <v>19943.66</v>
      </c>
      <c r="AB51" s="1282">
        <v>2624</v>
      </c>
      <c r="AC51" s="1282">
        <v>1289</v>
      </c>
      <c r="AD51" s="1282">
        <v>7896.8620000000001</v>
      </c>
      <c r="AE51" s="1282">
        <v>6507.143</v>
      </c>
      <c r="AF51" s="1282">
        <v>48000.483999999989</v>
      </c>
      <c r="AG51" s="1282">
        <v>87393</v>
      </c>
      <c r="AH51" s="1227">
        <f t="shared" si="9"/>
        <v>456750.092</v>
      </c>
      <c r="AN51" s="1280"/>
    </row>
    <row r="52" spans="1:40" x14ac:dyDescent="0.2">
      <c r="A52" s="1274" t="s">
        <v>11</v>
      </c>
      <c r="B52" s="1237"/>
      <c r="C52" s="1293"/>
      <c r="D52" s="1293"/>
      <c r="E52" s="1293"/>
      <c r="F52" s="1293"/>
      <c r="G52" s="1293"/>
      <c r="H52" s="1293"/>
      <c r="I52" s="1293"/>
      <c r="J52" s="1293"/>
      <c r="K52" s="1293"/>
      <c r="L52" s="1293"/>
      <c r="M52" s="1293"/>
      <c r="N52" s="1293"/>
      <c r="O52" s="1293"/>
      <c r="P52" s="1293"/>
      <c r="Q52" s="1293"/>
      <c r="R52" s="1293"/>
      <c r="S52" s="1293"/>
      <c r="T52" s="1293"/>
      <c r="U52" s="1293"/>
      <c r="V52" s="1293"/>
      <c r="W52" s="1293"/>
      <c r="X52" s="1293"/>
      <c r="Y52" s="1293"/>
      <c r="Z52" s="1293"/>
      <c r="AA52" s="1293"/>
      <c r="AB52" s="1293"/>
      <c r="AC52" s="1293"/>
      <c r="AD52" s="1293"/>
      <c r="AE52" s="1293"/>
      <c r="AF52" s="1293"/>
      <c r="AG52" s="1293"/>
      <c r="AH52" s="1227">
        <f t="shared" si="9"/>
        <v>0</v>
      </c>
      <c r="AN52" s="1280">
        <v>4028.1610000000001</v>
      </c>
    </row>
    <row r="53" spans="1:40" ht="13.5" thickBot="1" x14ac:dyDescent="0.25">
      <c r="A53" s="1294"/>
      <c r="B53" s="1237"/>
      <c r="C53" s="1295"/>
      <c r="D53" s="1295"/>
      <c r="E53" s="1295"/>
      <c r="F53" s="1295"/>
      <c r="G53" s="1295"/>
      <c r="H53" s="1295"/>
      <c r="I53" s="1295"/>
      <c r="J53" s="1295"/>
      <c r="K53" s="1295"/>
      <c r="L53" s="1295"/>
      <c r="M53" s="1295"/>
      <c r="N53" s="1295"/>
      <c r="O53" s="1295"/>
      <c r="P53" s="1295"/>
      <c r="Q53" s="1295"/>
      <c r="R53" s="1295"/>
      <c r="S53" s="1295"/>
      <c r="T53" s="1295"/>
      <c r="U53" s="1295"/>
      <c r="V53" s="1295"/>
      <c r="W53" s="1295"/>
      <c r="X53" s="1295"/>
      <c r="Y53" s="1295"/>
      <c r="Z53" s="1295"/>
      <c r="AA53" s="1295"/>
      <c r="AB53" s="1295"/>
      <c r="AC53" s="1295"/>
      <c r="AD53" s="1295"/>
      <c r="AE53" s="1295"/>
      <c r="AF53" s="1295"/>
      <c r="AG53" s="1295"/>
      <c r="AH53" s="1227">
        <f t="shared" si="9"/>
        <v>0</v>
      </c>
      <c r="AI53" s="1283"/>
      <c r="AJ53" s="1289"/>
      <c r="AN53" s="1280">
        <v>5501.3969999999999</v>
      </c>
    </row>
    <row r="54" spans="1:40" x14ac:dyDescent="0.2">
      <c r="A54" s="1269"/>
      <c r="B54" s="1237"/>
      <c r="C54" s="1296"/>
      <c r="D54" s="1297"/>
      <c r="E54" s="1297"/>
      <c r="F54" s="1298"/>
      <c r="G54" s="1298"/>
      <c r="H54" s="1298"/>
      <c r="I54" s="1298"/>
      <c r="J54" s="1298"/>
      <c r="K54" s="1298"/>
      <c r="L54" s="1298"/>
      <c r="M54" s="1298"/>
      <c r="N54" s="1298"/>
      <c r="O54" s="1298"/>
      <c r="P54" s="1299"/>
      <c r="Q54" s="1298"/>
      <c r="R54" s="1298"/>
      <c r="S54" s="1298"/>
      <c r="T54" s="1298"/>
      <c r="U54" s="1298"/>
      <c r="V54" s="1298"/>
      <c r="W54" s="1298"/>
      <c r="X54" s="1298"/>
      <c r="Y54" s="1298"/>
      <c r="Z54" s="1298"/>
      <c r="AA54" s="1298"/>
      <c r="AB54" s="1298"/>
      <c r="AC54" s="1298"/>
      <c r="AD54" s="1298"/>
      <c r="AE54" s="1298"/>
      <c r="AF54" s="1298"/>
      <c r="AG54" s="1298"/>
      <c r="AH54" s="1227">
        <f t="shared" si="9"/>
        <v>0</v>
      </c>
      <c r="AJ54" s="1289"/>
      <c r="AN54" s="1280">
        <v>3325.74</v>
      </c>
    </row>
    <row r="55" spans="1:40" ht="13.5" thickBot="1" x14ac:dyDescent="0.25">
      <c r="A55" s="1274" t="s">
        <v>12</v>
      </c>
      <c r="B55" s="1237"/>
      <c r="C55" s="1275">
        <f t="shared" ref="C55:AG55" si="11">C56</f>
        <v>0</v>
      </c>
      <c r="D55" s="1275">
        <f t="shared" si="11"/>
        <v>0</v>
      </c>
      <c r="E55" s="1275">
        <f t="shared" si="11"/>
        <v>0</v>
      </c>
      <c r="F55" s="1275">
        <f t="shared" si="11"/>
        <v>0</v>
      </c>
      <c r="G55" s="1275">
        <f t="shared" si="11"/>
        <v>0</v>
      </c>
      <c r="H55" s="1275">
        <f t="shared" si="11"/>
        <v>0</v>
      </c>
      <c r="I55" s="1275">
        <f t="shared" si="11"/>
        <v>0</v>
      </c>
      <c r="J55" s="1275">
        <f t="shared" si="11"/>
        <v>10806.531000000001</v>
      </c>
      <c r="K55" s="1275">
        <f t="shared" si="11"/>
        <v>1604.9860000000001</v>
      </c>
      <c r="L55" s="1275">
        <f t="shared" si="11"/>
        <v>72496.301000000007</v>
      </c>
      <c r="M55" s="1276">
        <f t="shared" si="11"/>
        <v>14406.361000000001</v>
      </c>
      <c r="N55" s="1276">
        <f t="shared" si="11"/>
        <v>21283.974999999999</v>
      </c>
      <c r="O55" s="1276">
        <f t="shared" si="11"/>
        <v>9807.0619999999981</v>
      </c>
      <c r="P55" s="1276">
        <f t="shared" si="11"/>
        <v>1200</v>
      </c>
      <c r="Q55" s="1275">
        <f t="shared" si="11"/>
        <v>86944.593000000008</v>
      </c>
      <c r="R55" s="1275">
        <f t="shared" si="11"/>
        <v>4853.1090000000004</v>
      </c>
      <c r="S55" s="1275">
        <f t="shared" si="11"/>
        <v>15485.782999999999</v>
      </c>
      <c r="T55" s="1275">
        <f t="shared" si="11"/>
        <v>17962.081999999999</v>
      </c>
      <c r="U55" s="1275">
        <f t="shared" si="11"/>
        <v>11888.583000000001</v>
      </c>
      <c r="V55" s="1275">
        <f t="shared" si="11"/>
        <v>60210.923999999999</v>
      </c>
      <c r="W55" s="1275">
        <f t="shared" si="11"/>
        <v>21757.490999999998</v>
      </c>
      <c r="X55" s="1275">
        <f t="shared" si="11"/>
        <v>22224.827999999998</v>
      </c>
      <c r="Y55" s="1275">
        <f t="shared" si="11"/>
        <v>16235.769</v>
      </c>
      <c r="Z55" s="1275">
        <f t="shared" si="11"/>
        <v>3783.9470000000001</v>
      </c>
      <c r="AA55" s="1275">
        <f t="shared" si="11"/>
        <v>26831.541000000001</v>
      </c>
      <c r="AB55" s="1275">
        <f t="shared" si="11"/>
        <v>10302.045</v>
      </c>
      <c r="AC55" s="1275">
        <f t="shared" si="11"/>
        <v>6528.8069999999998</v>
      </c>
      <c r="AD55" s="1275">
        <f t="shared" si="11"/>
        <v>10260.789000000001</v>
      </c>
      <c r="AE55" s="1275">
        <f t="shared" si="11"/>
        <v>10575.904</v>
      </c>
      <c r="AF55" s="1275">
        <f t="shared" si="11"/>
        <v>65490.19999999999</v>
      </c>
      <c r="AG55" s="1275">
        <f t="shared" si="11"/>
        <v>169991.57199999996</v>
      </c>
      <c r="AH55" s="1227">
        <f t="shared" si="9"/>
        <v>692933.18299999984</v>
      </c>
      <c r="AN55" s="1280">
        <v>9717.5709999999999</v>
      </c>
    </row>
    <row r="56" spans="1:40" x14ac:dyDescent="0.2">
      <c r="A56" s="1274" t="s">
        <v>8</v>
      </c>
      <c r="B56" s="1237"/>
      <c r="C56" s="1282"/>
      <c r="D56" s="1282"/>
      <c r="E56" s="1282"/>
      <c r="F56" s="1282"/>
      <c r="G56" s="1282"/>
      <c r="H56" s="1282"/>
      <c r="I56" s="1282"/>
      <c r="J56" s="1282">
        <v>10806.531000000001</v>
      </c>
      <c r="K56" s="1282">
        <v>1604.9860000000001</v>
      </c>
      <c r="L56" s="1282">
        <v>72496.301000000007</v>
      </c>
      <c r="M56" s="1282">
        <v>14406.361000000001</v>
      </c>
      <c r="N56" s="1282">
        <v>21283.974999999999</v>
      </c>
      <c r="O56" s="1282">
        <v>9807.0619999999981</v>
      </c>
      <c r="P56" s="1282">
        <v>1200</v>
      </c>
      <c r="Q56" s="1282">
        <v>86944.593000000008</v>
      </c>
      <c r="R56" s="1282">
        <v>4853.1090000000004</v>
      </c>
      <c r="S56" s="1282">
        <v>15485.782999999999</v>
      </c>
      <c r="T56" s="1282">
        <v>17962.081999999999</v>
      </c>
      <c r="U56" s="1282">
        <v>11888.583000000001</v>
      </c>
      <c r="V56" s="1282">
        <v>60210.923999999999</v>
      </c>
      <c r="W56" s="1282">
        <v>21757.490999999998</v>
      </c>
      <c r="X56" s="1282">
        <v>22224.827999999998</v>
      </c>
      <c r="Y56" s="1282">
        <v>16235.769</v>
      </c>
      <c r="Z56" s="1282">
        <v>3783.9470000000001</v>
      </c>
      <c r="AA56" s="1282">
        <v>26831.541000000001</v>
      </c>
      <c r="AB56" s="1282">
        <v>10302.045</v>
      </c>
      <c r="AC56" s="1282">
        <v>6528.8069999999998</v>
      </c>
      <c r="AD56" s="1282">
        <v>10260.789000000001</v>
      </c>
      <c r="AE56" s="1282">
        <v>10575.904</v>
      </c>
      <c r="AF56" s="1282">
        <v>65490.19999999999</v>
      </c>
      <c r="AG56" s="1282">
        <v>169991.57199999996</v>
      </c>
      <c r="AH56" s="1227">
        <f t="shared" si="9"/>
        <v>692933.18299999984</v>
      </c>
      <c r="AN56" s="1280">
        <v>673.17700000000002</v>
      </c>
    </row>
    <row r="57" spans="1:40" x14ac:dyDescent="0.2">
      <c r="A57" s="1274" t="s">
        <v>215</v>
      </c>
      <c r="B57" s="1237"/>
      <c r="C57" s="1282">
        <v>11180</v>
      </c>
      <c r="D57" s="1282">
        <v>1000</v>
      </c>
      <c r="E57" s="1282">
        <v>3172.444</v>
      </c>
      <c r="F57" s="1282">
        <v>5250</v>
      </c>
      <c r="G57" s="1282">
        <v>4917.0450000000001</v>
      </c>
      <c r="H57" s="1282">
        <v>4893.4030000000002</v>
      </c>
      <c r="I57" s="1282">
        <v>1000</v>
      </c>
      <c r="J57" s="1282">
        <v>12232.64</v>
      </c>
      <c r="K57" s="1282"/>
      <c r="L57" s="1282">
        <v>11342.708999999999</v>
      </c>
      <c r="M57" s="1282">
        <v>12665.78</v>
      </c>
      <c r="N57" s="1282">
        <v>9913.36</v>
      </c>
      <c r="O57" s="1282">
        <v>5097.8150000000005</v>
      </c>
      <c r="P57" s="1282">
        <v>3136.7860000000001</v>
      </c>
      <c r="Q57" s="1282">
        <v>23133.735000000001</v>
      </c>
      <c r="R57" s="1282">
        <v>3639.9340000000002</v>
      </c>
      <c r="S57" s="1282">
        <v>1000</v>
      </c>
      <c r="T57" s="1282">
        <v>5560.59</v>
      </c>
      <c r="U57" s="1282">
        <v>3660</v>
      </c>
      <c r="V57" s="1282">
        <v>38014.26</v>
      </c>
      <c r="W57" s="1282"/>
      <c r="X57" s="1282">
        <v>9208.9840000000004</v>
      </c>
      <c r="Y57" s="1282">
        <v>1970.5889999999999</v>
      </c>
      <c r="Z57" s="1282">
        <v>3100</v>
      </c>
      <c r="AA57" s="1282">
        <v>25532.272000000001</v>
      </c>
      <c r="AB57" s="1282">
        <v>4216.4979999999996</v>
      </c>
      <c r="AC57" s="1282">
        <v>7429.9969999999994</v>
      </c>
      <c r="AD57" s="1282">
        <v>2729.7870000000003</v>
      </c>
      <c r="AE57" s="1282">
        <v>9260.4840000000004</v>
      </c>
      <c r="AF57" s="1282">
        <v>12434.481</v>
      </c>
      <c r="AG57" s="1282">
        <v>93515.853000000003</v>
      </c>
      <c r="AH57" s="1227">
        <f t="shared" si="9"/>
        <v>330209.446</v>
      </c>
      <c r="AI57" s="1283"/>
      <c r="AN57" s="1280">
        <v>4534.4949999999999</v>
      </c>
    </row>
    <row r="58" spans="1:40" ht="13.5" thickBot="1" x14ac:dyDescent="0.25">
      <c r="A58" s="1294"/>
      <c r="B58" s="1237"/>
      <c r="C58" s="1295"/>
      <c r="D58" s="1295"/>
      <c r="E58" s="1295"/>
      <c r="F58" s="1295"/>
      <c r="G58" s="1295"/>
      <c r="H58" s="1295"/>
      <c r="I58" s="1295"/>
      <c r="J58" s="1295"/>
      <c r="K58" s="1295"/>
      <c r="L58" s="1295"/>
      <c r="M58" s="1295"/>
      <c r="N58" s="1295"/>
      <c r="O58" s="1295"/>
      <c r="P58" s="1295"/>
      <c r="Q58" s="1295"/>
      <c r="R58" s="1295"/>
      <c r="S58" s="1295"/>
      <c r="T58" s="1295"/>
      <c r="U58" s="1295"/>
      <c r="V58" s="1295"/>
      <c r="W58" s="1295"/>
      <c r="X58" s="1295"/>
      <c r="Y58" s="1295"/>
      <c r="Z58" s="1295"/>
      <c r="AA58" s="1295"/>
      <c r="AB58" s="1295"/>
      <c r="AC58" s="1295"/>
      <c r="AD58" s="1295"/>
      <c r="AE58" s="1295"/>
      <c r="AF58" s="1295"/>
      <c r="AG58" s="1295"/>
      <c r="AH58" s="1227">
        <f t="shared" si="9"/>
        <v>0</v>
      </c>
      <c r="AN58" s="1280">
        <v>2827.3519999999999</v>
      </c>
    </row>
    <row r="59" spans="1:40" x14ac:dyDescent="0.2">
      <c r="A59" s="1269"/>
      <c r="B59" s="1237"/>
      <c r="C59" s="1296"/>
      <c r="D59" s="1297"/>
      <c r="E59" s="1297"/>
      <c r="F59" s="1298"/>
      <c r="G59" s="1298"/>
      <c r="H59" s="1298"/>
      <c r="I59" s="1298"/>
      <c r="J59" s="1298"/>
      <c r="K59" s="1298"/>
      <c r="L59" s="1298"/>
      <c r="M59" s="1298"/>
      <c r="N59" s="1298"/>
      <c r="O59" s="1298"/>
      <c r="P59" s="1299"/>
      <c r="Q59" s="1298"/>
      <c r="R59" s="1298"/>
      <c r="S59" s="1298"/>
      <c r="T59" s="1298"/>
      <c r="U59" s="1298"/>
      <c r="V59" s="1298"/>
      <c r="W59" s="1298"/>
      <c r="X59" s="1298"/>
      <c r="Y59" s="1298"/>
      <c r="Z59" s="1298"/>
      <c r="AA59" s="1298"/>
      <c r="AB59" s="1298"/>
      <c r="AC59" s="1298"/>
      <c r="AD59" s="1298"/>
      <c r="AE59" s="1298"/>
      <c r="AF59" s="1298"/>
      <c r="AG59" s="1298"/>
      <c r="AH59" s="1207"/>
      <c r="AJ59" s="1209">
        <f>18755+17890+17700+17800</f>
        <v>72145</v>
      </c>
      <c r="AN59" s="1280">
        <v>1850.7819999999999</v>
      </c>
    </row>
    <row r="60" spans="1:40" x14ac:dyDescent="0.2">
      <c r="A60" s="1274" t="s">
        <v>915</v>
      </c>
      <c r="B60" s="1237"/>
      <c r="C60" s="1300">
        <f t="shared" ref="C60:AF60" si="12">C55-C43</f>
        <v>-23171.485000000001</v>
      </c>
      <c r="D60" s="1300">
        <f t="shared" si="12"/>
        <v>-5241.8289999999997</v>
      </c>
      <c r="E60" s="1300">
        <f t="shared" si="12"/>
        <v>0</v>
      </c>
      <c r="F60" s="1300">
        <f t="shared" si="12"/>
        <v>-54490.002</v>
      </c>
      <c r="G60" s="1300">
        <f t="shared" si="12"/>
        <v>-20885.825000000001</v>
      </c>
      <c r="H60" s="1300">
        <f t="shared" si="12"/>
        <v>0</v>
      </c>
      <c r="I60" s="1300">
        <f t="shared" si="12"/>
        <v>-11765.206</v>
      </c>
      <c r="J60" s="1300">
        <f t="shared" si="12"/>
        <v>-26831.731</v>
      </c>
      <c r="K60" s="1300">
        <f t="shared" si="12"/>
        <v>-12175.321</v>
      </c>
      <c r="L60" s="1300">
        <f t="shared" si="12"/>
        <v>-33425.11099999999</v>
      </c>
      <c r="M60" s="1300">
        <f t="shared" si="12"/>
        <v>-13147.850999999999</v>
      </c>
      <c r="N60" s="1300">
        <f t="shared" si="12"/>
        <v>270.79799999999886</v>
      </c>
      <c r="O60" s="1300">
        <f t="shared" si="12"/>
        <v>-49163.042000000001</v>
      </c>
      <c r="P60" s="1301">
        <f t="shared" si="12"/>
        <v>-28438.361000000001</v>
      </c>
      <c r="Q60" s="1300">
        <f t="shared" si="12"/>
        <v>-53366.961999999985</v>
      </c>
      <c r="R60" s="1300">
        <f t="shared" si="12"/>
        <v>-38268.305999999997</v>
      </c>
      <c r="S60" s="1300">
        <f t="shared" si="12"/>
        <v>-9248.36</v>
      </c>
      <c r="T60" s="1300">
        <f t="shared" si="12"/>
        <v>-46190.274000000005</v>
      </c>
      <c r="U60" s="1300">
        <f t="shared" si="12"/>
        <v>-36817.843000000001</v>
      </c>
      <c r="V60" s="1300">
        <f t="shared" si="12"/>
        <v>-59446.733999999997</v>
      </c>
      <c r="W60" s="1300">
        <f t="shared" si="12"/>
        <v>-18863.335999999999</v>
      </c>
      <c r="X60" s="1300">
        <f t="shared" si="12"/>
        <v>-85508.430999999997</v>
      </c>
      <c r="Y60" s="1300">
        <f t="shared" si="12"/>
        <v>-6024.9130000000005</v>
      </c>
      <c r="Z60" s="1300">
        <f t="shared" si="12"/>
        <v>-37315.411999999997</v>
      </c>
      <c r="AA60" s="1300">
        <f t="shared" si="12"/>
        <v>-103030.59300000001</v>
      </c>
      <c r="AB60" s="1300">
        <f t="shared" si="12"/>
        <v>-51690.140000000007</v>
      </c>
      <c r="AC60" s="1300">
        <f t="shared" si="12"/>
        <v>-43463.938000000002</v>
      </c>
      <c r="AD60" s="1300">
        <f t="shared" si="12"/>
        <v>-90149.130999999979</v>
      </c>
      <c r="AE60" s="1300">
        <f t="shared" si="12"/>
        <v>-44808.690999999999</v>
      </c>
      <c r="AF60" s="1300">
        <f t="shared" si="12"/>
        <v>-133377.43000000002</v>
      </c>
      <c r="AG60" s="1300">
        <f>AG55-AG43</f>
        <v>-57592.844000000041</v>
      </c>
      <c r="AH60" s="1207"/>
      <c r="AJ60" s="1209">
        <f>AJ59+67000</f>
        <v>139145</v>
      </c>
      <c r="AL60" s="1283"/>
      <c r="AN60" s="1280">
        <v>915.26599999999996</v>
      </c>
    </row>
    <row r="61" spans="1:40" ht="13.5" thickBot="1" x14ac:dyDescent="0.25">
      <c r="A61" s="1274"/>
      <c r="B61" s="1237"/>
      <c r="C61" s="1300"/>
      <c r="D61" s="1302"/>
      <c r="E61" s="1302"/>
      <c r="F61" s="1303"/>
      <c r="G61" s="1303"/>
      <c r="H61" s="1303"/>
      <c r="I61" s="1303"/>
      <c r="J61" s="1303"/>
      <c r="K61" s="1303"/>
      <c r="L61" s="1303"/>
      <c r="M61" s="1303"/>
      <c r="N61" s="1303"/>
      <c r="O61" s="1303"/>
      <c r="P61" s="1304"/>
      <c r="Q61" s="1303"/>
      <c r="R61" s="1303"/>
      <c r="S61" s="1303"/>
      <c r="T61" s="1303"/>
      <c r="U61" s="1303"/>
      <c r="V61" s="1303"/>
      <c r="W61" s="1303"/>
      <c r="X61" s="1303"/>
      <c r="Y61" s="1303"/>
      <c r="Z61" s="1303"/>
      <c r="AA61" s="1303"/>
      <c r="AB61" s="1303"/>
      <c r="AC61" s="1303"/>
      <c r="AD61" s="1303"/>
      <c r="AE61" s="1303"/>
      <c r="AF61" s="1303"/>
      <c r="AG61" s="1303"/>
      <c r="AH61" s="1207"/>
      <c r="AN61" s="1280">
        <v>15000</v>
      </c>
    </row>
    <row r="62" spans="1:40" x14ac:dyDescent="0.2">
      <c r="A62" s="1233"/>
      <c r="B62" s="1234"/>
      <c r="C62" s="1305"/>
      <c r="D62" s="1297"/>
      <c r="E62" s="1297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9"/>
      <c r="Q62" s="1298"/>
      <c r="R62" s="1298"/>
      <c r="S62" s="1298"/>
      <c r="T62" s="1298"/>
      <c r="U62" s="1298"/>
      <c r="V62" s="1298"/>
      <c r="W62" s="1298"/>
      <c r="X62" s="1298"/>
      <c r="Y62" s="1298"/>
      <c r="Z62" s="1298"/>
      <c r="AA62" s="1298"/>
      <c r="AB62" s="1298"/>
      <c r="AC62" s="1298"/>
      <c r="AD62" s="1298"/>
      <c r="AE62" s="1298"/>
      <c r="AF62" s="1298"/>
      <c r="AG62" s="1298"/>
      <c r="AH62" s="1207"/>
      <c r="AN62" s="1280">
        <v>14101.822</v>
      </c>
    </row>
    <row r="63" spans="1:40" x14ac:dyDescent="0.2">
      <c r="A63" s="1236" t="s">
        <v>15</v>
      </c>
      <c r="B63" s="1237"/>
      <c r="C63" s="1302">
        <f>B40+C60</f>
        <v>-57155.733999999953</v>
      </c>
      <c r="D63" s="1302">
        <f t="shared" ref="D63:AF63" si="13">C70+D60</f>
        <v>-62397.562999999951</v>
      </c>
      <c r="E63" s="1302">
        <f t="shared" si="13"/>
        <v>-62397.562999999951</v>
      </c>
      <c r="F63" s="1302">
        <f t="shared" si="13"/>
        <v>-116887.56499999994</v>
      </c>
      <c r="G63" s="1302">
        <f t="shared" si="13"/>
        <v>-107773.38999999994</v>
      </c>
      <c r="H63" s="1302">
        <f t="shared" si="13"/>
        <v>-87082.133999999947</v>
      </c>
      <c r="I63" s="1302">
        <f t="shared" si="13"/>
        <v>-92605.510999999955</v>
      </c>
      <c r="J63" s="1302">
        <f t="shared" si="13"/>
        <v>-116264.79799999995</v>
      </c>
      <c r="K63" s="1302">
        <f t="shared" si="13"/>
        <v>-123190.11899999995</v>
      </c>
      <c r="L63" s="1302">
        <f t="shared" si="13"/>
        <v>-130812.35999999994</v>
      </c>
      <c r="M63" s="1302">
        <f t="shared" si="13"/>
        <v>-139066.80799999993</v>
      </c>
      <c r="N63" s="1302">
        <f t="shared" si="13"/>
        <v>-133453.13299999991</v>
      </c>
      <c r="O63" s="1302">
        <f t="shared" si="13"/>
        <v>-161927.47499999992</v>
      </c>
      <c r="P63" s="1306">
        <f t="shared" si="13"/>
        <v>-188760.84999999992</v>
      </c>
      <c r="Q63" s="1302">
        <f t="shared" si="13"/>
        <v>-183010.27899999992</v>
      </c>
      <c r="R63" s="1302">
        <f t="shared" si="13"/>
        <v>-205144.8459999999</v>
      </c>
      <c r="S63" s="1302">
        <f t="shared" si="13"/>
        <v>-193210.6559999999</v>
      </c>
      <c r="T63" s="1302">
        <f t="shared" si="13"/>
        <v>-229023.39599999989</v>
      </c>
      <c r="U63" s="1302">
        <f t="shared" si="13"/>
        <v>-262704.45299999992</v>
      </c>
      <c r="V63" s="1302">
        <f t="shared" si="13"/>
        <v>-245376.15399999992</v>
      </c>
      <c r="W63" s="1302">
        <f t="shared" si="13"/>
        <v>-260599.55599999992</v>
      </c>
      <c r="X63" s="1302">
        <f t="shared" si="13"/>
        <v>-332934.29099999991</v>
      </c>
      <c r="Y63" s="1302">
        <f t="shared" si="13"/>
        <v>-326220.63599999988</v>
      </c>
      <c r="Z63" s="1302">
        <f t="shared" si="13"/>
        <v>-350802.08399999992</v>
      </c>
      <c r="AA63" s="1302">
        <f t="shared" si="13"/>
        <v>-380931.57599999988</v>
      </c>
      <c r="AB63" s="1302">
        <f t="shared" si="13"/>
        <v>-417356.61899999989</v>
      </c>
      <c r="AC63" s="1302">
        <f t="shared" si="13"/>
        <v>-431386.74499999994</v>
      </c>
      <c r="AD63" s="1302">
        <f t="shared" si="13"/>
        <v>-507716.51799999992</v>
      </c>
      <c r="AE63" s="1302">
        <f t="shared" si="13"/>
        <v>-548456.26199999999</v>
      </c>
      <c r="AF63" s="1302">
        <f t="shared" si="13"/>
        <v>-636357.76</v>
      </c>
      <c r="AG63" s="1302">
        <f>AF70+AG60</f>
        <v>-687110.10600000003</v>
      </c>
      <c r="AH63" s="1207"/>
      <c r="AN63" s="1280">
        <v>1397.2449999999999</v>
      </c>
    </row>
    <row r="64" spans="1:40" ht="13.5" thickBot="1" x14ac:dyDescent="0.25">
      <c r="A64" s="1250"/>
      <c r="B64" s="1307"/>
      <c r="C64" s="1308"/>
      <c r="D64" s="1308"/>
      <c r="E64" s="1308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10"/>
      <c r="Q64" s="1309"/>
      <c r="R64" s="1309"/>
      <c r="S64" s="1309"/>
      <c r="T64" s="1309"/>
      <c r="U64" s="1309"/>
      <c r="V64" s="1309"/>
      <c r="W64" s="1309"/>
      <c r="X64" s="1309"/>
      <c r="Y64" s="1309"/>
      <c r="Z64" s="1309"/>
      <c r="AA64" s="1309"/>
      <c r="AB64" s="1309"/>
      <c r="AC64" s="1309"/>
      <c r="AD64" s="1309"/>
      <c r="AE64" s="1309"/>
      <c r="AF64" s="1309"/>
      <c r="AG64" s="1309"/>
      <c r="AH64" s="1207"/>
      <c r="AN64" s="1280">
        <v>1322.63</v>
      </c>
    </row>
    <row r="65" spans="1:40" x14ac:dyDescent="0.2">
      <c r="A65" s="1233"/>
      <c r="B65" s="1234"/>
      <c r="C65" s="1297"/>
      <c r="D65" s="1297"/>
      <c r="E65" s="1297"/>
      <c r="F65" s="1298"/>
      <c r="G65" s="1298"/>
      <c r="H65" s="1298"/>
      <c r="I65" s="1298"/>
      <c r="J65" s="1298"/>
      <c r="K65" s="1298"/>
      <c r="L65" s="1298"/>
      <c r="M65" s="1298"/>
      <c r="N65" s="1298"/>
      <c r="O65" s="1298"/>
      <c r="P65" s="1299"/>
      <c r="Q65" s="1298"/>
      <c r="R65" s="1298"/>
      <c r="S65" s="1298"/>
      <c r="T65" s="1298"/>
      <c r="U65" s="1298"/>
      <c r="V65" s="1298"/>
      <c r="W65" s="1298"/>
      <c r="X65" s="1298"/>
      <c r="Y65" s="1298"/>
      <c r="Z65" s="1298"/>
      <c r="AA65" s="1298"/>
      <c r="AB65" s="1298"/>
      <c r="AC65" s="1298"/>
      <c r="AD65" s="1298"/>
      <c r="AE65" s="1298"/>
      <c r="AF65" s="1298"/>
      <c r="AG65" s="1298"/>
      <c r="AH65" s="1227">
        <f>SUM(C65:AG65)</f>
        <v>0</v>
      </c>
      <c r="AN65" s="1280">
        <v>1747.816</v>
      </c>
    </row>
    <row r="66" spans="1:40" x14ac:dyDescent="0.2">
      <c r="A66" s="1236" t="s">
        <v>82</v>
      </c>
      <c r="B66" s="1237"/>
      <c r="C66" s="1302">
        <f t="shared" ref="C66:AG67" si="14">C74</f>
        <v>0</v>
      </c>
      <c r="D66" s="1302">
        <f t="shared" si="14"/>
        <v>0</v>
      </c>
      <c r="E66" s="1302">
        <f t="shared" si="14"/>
        <v>0</v>
      </c>
      <c r="F66" s="1302">
        <f t="shared" si="14"/>
        <v>30000</v>
      </c>
      <c r="G66" s="1302">
        <f t="shared" si="14"/>
        <v>9511.2559999999994</v>
      </c>
      <c r="H66" s="1302">
        <f t="shared" si="14"/>
        <v>5241.8289999999997</v>
      </c>
      <c r="I66" s="1302">
        <f t="shared" si="14"/>
        <v>0</v>
      </c>
      <c r="J66" s="1302">
        <f t="shared" si="14"/>
        <v>0</v>
      </c>
      <c r="K66" s="1302">
        <f t="shared" si="14"/>
        <v>20885.825000000001</v>
      </c>
      <c r="L66" s="1302">
        <f t="shared" si="14"/>
        <v>0</v>
      </c>
      <c r="M66" s="1302">
        <f t="shared" si="14"/>
        <v>4342.8770000000004</v>
      </c>
      <c r="N66" s="1302">
        <f t="shared" si="14"/>
        <v>8456.06</v>
      </c>
      <c r="O66" s="1302">
        <f t="shared" si="14"/>
        <v>1604.9860000000001</v>
      </c>
      <c r="P66" s="1306">
        <f t="shared" si="14"/>
        <v>47774.824000000001</v>
      </c>
      <c r="Q66" s="1302">
        <f t="shared" si="14"/>
        <v>3467.9589999999998</v>
      </c>
      <c r="R66" s="1302">
        <f t="shared" si="14"/>
        <v>11269.19</v>
      </c>
      <c r="S66" s="1302">
        <f t="shared" si="14"/>
        <v>5279.7190000000001</v>
      </c>
      <c r="T66" s="1302">
        <f t="shared" si="14"/>
        <v>0</v>
      </c>
      <c r="U66" s="1302">
        <f t="shared" si="14"/>
        <v>53641.298000000003</v>
      </c>
      <c r="V66" s="1302">
        <f t="shared" si="14"/>
        <v>0</v>
      </c>
      <c r="W66" s="1302">
        <f t="shared" si="14"/>
        <v>12173.696</v>
      </c>
      <c r="X66" s="1302">
        <f t="shared" si="14"/>
        <v>7177.9780000000001</v>
      </c>
      <c r="Y66" s="1302">
        <f t="shared" si="14"/>
        <v>9073.9639999999999</v>
      </c>
      <c r="Z66" s="1302">
        <f t="shared" si="14"/>
        <v>34886.841</v>
      </c>
      <c r="AA66" s="1302">
        <f t="shared" si="14"/>
        <v>15265.097</v>
      </c>
      <c r="AB66" s="1302">
        <f t="shared" si="14"/>
        <v>20224.828000000001</v>
      </c>
      <c r="AC66" s="1302">
        <f t="shared" si="14"/>
        <v>11848.769</v>
      </c>
      <c r="AD66" s="1302">
        <f t="shared" si="14"/>
        <v>968.947</v>
      </c>
      <c r="AE66" s="1302">
        <f t="shared" si="14"/>
        <v>19943.66</v>
      </c>
      <c r="AF66" s="1302">
        <f t="shared" si="14"/>
        <v>2624</v>
      </c>
      <c r="AG66" s="1302">
        <f t="shared" si="14"/>
        <v>1289</v>
      </c>
      <c r="AH66" s="1207"/>
      <c r="AN66" s="1280">
        <v>1021.722</v>
      </c>
    </row>
    <row r="67" spans="1:40" x14ac:dyDescent="0.2">
      <c r="A67" s="1236" t="s">
        <v>83</v>
      </c>
      <c r="B67" s="1237"/>
      <c r="C67" s="1306">
        <f t="shared" si="14"/>
        <v>0</v>
      </c>
      <c r="D67" s="1306">
        <f t="shared" si="14"/>
        <v>0</v>
      </c>
      <c r="E67" s="1306">
        <f t="shared" si="14"/>
        <v>0</v>
      </c>
      <c r="F67" s="1306">
        <f t="shared" si="14"/>
        <v>0</v>
      </c>
      <c r="G67" s="1306">
        <f t="shared" si="14"/>
        <v>11180</v>
      </c>
      <c r="H67" s="1306">
        <f t="shared" si="14"/>
        <v>1000</v>
      </c>
      <c r="I67" s="1306">
        <f t="shared" si="14"/>
        <v>3172.444</v>
      </c>
      <c r="J67" s="1306">
        <f t="shared" si="14"/>
        <v>5250</v>
      </c>
      <c r="K67" s="1306">
        <f t="shared" si="14"/>
        <v>4917.0450000000001</v>
      </c>
      <c r="L67" s="1306">
        <f t="shared" si="14"/>
        <v>4893.4030000000002</v>
      </c>
      <c r="M67" s="1306">
        <f t="shared" si="14"/>
        <v>1000</v>
      </c>
      <c r="N67" s="1306">
        <f t="shared" si="14"/>
        <v>12232.64</v>
      </c>
      <c r="O67" s="1306">
        <f t="shared" si="14"/>
        <v>0</v>
      </c>
      <c r="P67" s="1306">
        <f t="shared" si="14"/>
        <v>11342.708999999999</v>
      </c>
      <c r="Q67" s="1306">
        <f t="shared" si="14"/>
        <v>12665.78</v>
      </c>
      <c r="R67" s="1306">
        <f t="shared" si="14"/>
        <v>9913.36</v>
      </c>
      <c r="S67" s="1306">
        <f t="shared" si="14"/>
        <v>5097.8150000000005</v>
      </c>
      <c r="T67" s="1306">
        <f t="shared" si="14"/>
        <v>3136.7860000000001</v>
      </c>
      <c r="U67" s="1306">
        <f t="shared" si="14"/>
        <v>23133.735000000001</v>
      </c>
      <c r="V67" s="1306">
        <f t="shared" si="14"/>
        <v>3639.9340000000002</v>
      </c>
      <c r="W67" s="1306">
        <f t="shared" si="14"/>
        <v>1000</v>
      </c>
      <c r="X67" s="1306">
        <f t="shared" si="14"/>
        <v>5560.59</v>
      </c>
      <c r="Y67" s="1306">
        <f t="shared" si="14"/>
        <v>3660</v>
      </c>
      <c r="Z67" s="1306">
        <f t="shared" si="14"/>
        <v>38014.26</v>
      </c>
      <c r="AA67" s="1306">
        <f t="shared" si="14"/>
        <v>0</v>
      </c>
      <c r="AB67" s="1306">
        <f t="shared" si="14"/>
        <v>9208.9840000000004</v>
      </c>
      <c r="AC67" s="1306">
        <f t="shared" si="14"/>
        <v>1970.5889999999999</v>
      </c>
      <c r="AD67" s="1306">
        <f t="shared" si="14"/>
        <v>3100</v>
      </c>
      <c r="AE67" s="1306">
        <f t="shared" si="14"/>
        <v>25532.272000000001</v>
      </c>
      <c r="AF67" s="1306">
        <f t="shared" si="14"/>
        <v>4216.4979999999996</v>
      </c>
      <c r="AG67" s="1306">
        <f t="shared" si="14"/>
        <v>7429.9969999999994</v>
      </c>
      <c r="AH67" s="1207"/>
      <c r="AN67" s="1280">
        <v>4000</v>
      </c>
    </row>
    <row r="68" spans="1:40" ht="13.5" thickBot="1" x14ac:dyDescent="0.25">
      <c r="A68" s="1250"/>
      <c r="B68" s="1307"/>
      <c r="C68" s="1308"/>
      <c r="D68" s="1308"/>
      <c r="E68" s="1308"/>
      <c r="F68" s="1309"/>
      <c r="G68" s="1309"/>
      <c r="H68" s="1309"/>
      <c r="I68" s="1309"/>
      <c r="J68" s="1309"/>
      <c r="K68" s="1309"/>
      <c r="L68" s="1309"/>
      <c r="M68" s="1309"/>
      <c r="N68" s="1309"/>
      <c r="O68" s="1309"/>
      <c r="P68" s="1310"/>
      <c r="Q68" s="1309"/>
      <c r="R68" s="1309"/>
      <c r="S68" s="1309"/>
      <c r="T68" s="1309"/>
      <c r="U68" s="1309"/>
      <c r="V68" s="1309"/>
      <c r="W68" s="1309"/>
      <c r="X68" s="1309"/>
      <c r="Y68" s="1309"/>
      <c r="Z68" s="1309"/>
      <c r="AA68" s="1309"/>
      <c r="AB68" s="1309"/>
      <c r="AC68" s="1309"/>
      <c r="AD68" s="1309"/>
      <c r="AE68" s="1309"/>
      <c r="AF68" s="1309"/>
      <c r="AG68" s="1309"/>
      <c r="AH68" s="1207"/>
      <c r="AN68" s="1280"/>
    </row>
    <row r="69" spans="1:40" x14ac:dyDescent="0.2">
      <c r="A69" s="1236"/>
      <c r="B69" s="1237"/>
      <c r="C69" s="1302"/>
      <c r="D69" s="1302"/>
      <c r="E69" s="1302"/>
      <c r="F69" s="1303"/>
      <c r="G69" s="1303"/>
      <c r="H69" s="1303"/>
      <c r="I69" s="1303"/>
      <c r="J69" s="1303"/>
      <c r="K69" s="1303"/>
      <c r="L69" s="1303"/>
      <c r="M69" s="1303"/>
      <c r="N69" s="1303"/>
      <c r="O69" s="1303"/>
      <c r="P69" s="1304"/>
      <c r="Q69" s="1303"/>
      <c r="R69" s="1303"/>
      <c r="S69" s="1303"/>
      <c r="T69" s="1303"/>
      <c r="U69" s="1303"/>
      <c r="V69" s="1303"/>
      <c r="W69" s="1303"/>
      <c r="X69" s="1303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207"/>
      <c r="AN69" s="1280">
        <v>1616.846</v>
      </c>
    </row>
    <row r="70" spans="1:40" x14ac:dyDescent="0.2">
      <c r="A70" s="1236" t="s">
        <v>14</v>
      </c>
      <c r="B70" s="1237"/>
      <c r="C70" s="1302">
        <f t="shared" ref="C70:AE70" si="15">C63+C66+C67</f>
        <v>-57155.733999999953</v>
      </c>
      <c r="D70" s="1302">
        <f t="shared" si="15"/>
        <v>-62397.562999999951</v>
      </c>
      <c r="E70" s="1302">
        <f t="shared" si="15"/>
        <v>-62397.562999999951</v>
      </c>
      <c r="F70" s="1302">
        <f t="shared" si="15"/>
        <v>-86887.564999999944</v>
      </c>
      <c r="G70" s="1302">
        <f t="shared" si="15"/>
        <v>-87082.133999999947</v>
      </c>
      <c r="H70" s="1302">
        <f t="shared" si="15"/>
        <v>-80840.304999999949</v>
      </c>
      <c r="I70" s="1302">
        <f t="shared" si="15"/>
        <v>-89433.066999999952</v>
      </c>
      <c r="J70" s="1302">
        <f t="shared" si="15"/>
        <v>-111014.79799999995</v>
      </c>
      <c r="K70" s="1302">
        <f t="shared" si="15"/>
        <v>-97387.248999999953</v>
      </c>
      <c r="L70" s="1302">
        <f t="shared" si="15"/>
        <v>-125918.95699999994</v>
      </c>
      <c r="M70" s="1302">
        <f t="shared" si="15"/>
        <v>-133723.93099999992</v>
      </c>
      <c r="N70" s="1302">
        <f t="shared" si="15"/>
        <v>-112764.43299999992</v>
      </c>
      <c r="O70" s="1302">
        <f t="shared" si="15"/>
        <v>-160322.48899999991</v>
      </c>
      <c r="P70" s="1306">
        <f t="shared" si="15"/>
        <v>-129643.31699999992</v>
      </c>
      <c r="Q70" s="1302">
        <f t="shared" si="15"/>
        <v>-166876.53999999992</v>
      </c>
      <c r="R70" s="1302">
        <f t="shared" si="15"/>
        <v>-183962.29599999991</v>
      </c>
      <c r="S70" s="1302">
        <f t="shared" si="15"/>
        <v>-182833.12199999989</v>
      </c>
      <c r="T70" s="1302">
        <f t="shared" si="15"/>
        <v>-225886.6099999999</v>
      </c>
      <c r="U70" s="1302">
        <f t="shared" si="15"/>
        <v>-185929.41999999993</v>
      </c>
      <c r="V70" s="1302">
        <f t="shared" si="15"/>
        <v>-241736.21999999991</v>
      </c>
      <c r="W70" s="1302">
        <f t="shared" si="15"/>
        <v>-247425.85999999993</v>
      </c>
      <c r="X70" s="1302">
        <f t="shared" si="15"/>
        <v>-320195.72299999988</v>
      </c>
      <c r="Y70" s="1302">
        <f t="shared" si="15"/>
        <v>-313486.6719999999</v>
      </c>
      <c r="Z70" s="1302">
        <f t="shared" si="15"/>
        <v>-277900.98299999989</v>
      </c>
      <c r="AA70" s="1302">
        <f t="shared" si="15"/>
        <v>-365666.47899999988</v>
      </c>
      <c r="AB70" s="1302">
        <f t="shared" si="15"/>
        <v>-387922.80699999991</v>
      </c>
      <c r="AC70" s="1302">
        <f t="shared" si="15"/>
        <v>-417567.38699999993</v>
      </c>
      <c r="AD70" s="1302">
        <f t="shared" si="15"/>
        <v>-503647.57099999994</v>
      </c>
      <c r="AE70" s="1302">
        <f t="shared" si="15"/>
        <v>-502980.32999999996</v>
      </c>
      <c r="AF70" s="1302">
        <f>AF63+AF66+AF67</f>
        <v>-629517.26199999999</v>
      </c>
      <c r="AG70" s="1302">
        <f>AG63+AG66+AG67</f>
        <v>-678391.10900000005</v>
      </c>
      <c r="AH70" s="1311"/>
      <c r="AN70" s="1280">
        <v>7523.0129999999999</v>
      </c>
    </row>
    <row r="71" spans="1:40" x14ac:dyDescent="0.2">
      <c r="A71" s="1236"/>
      <c r="B71" s="1237"/>
      <c r="C71" s="1302"/>
      <c r="D71" s="1302"/>
      <c r="E71" s="1302"/>
      <c r="F71" s="1303"/>
      <c r="G71" s="1303"/>
      <c r="H71" s="1303"/>
      <c r="I71" s="1303"/>
      <c r="J71" s="1303"/>
      <c r="K71" s="1303"/>
      <c r="L71" s="1303"/>
      <c r="M71" s="1303"/>
      <c r="N71" s="1303"/>
      <c r="O71" s="1303"/>
      <c r="P71" s="1304"/>
      <c r="Q71" s="1303"/>
      <c r="R71" s="1303"/>
      <c r="S71" s="1303"/>
      <c r="T71" s="1303"/>
      <c r="U71" s="1303"/>
      <c r="V71" s="1303"/>
      <c r="W71" s="1303"/>
      <c r="X71" s="1303"/>
      <c r="Y71" s="1303"/>
      <c r="Z71" s="1303"/>
      <c r="AA71" s="1303"/>
      <c r="AB71" s="1303"/>
      <c r="AC71" s="1303"/>
      <c r="AD71" s="1303"/>
      <c r="AE71" s="1303"/>
      <c r="AF71" s="1303"/>
      <c r="AG71" s="1303"/>
      <c r="AH71" s="1207"/>
      <c r="AN71" s="1280">
        <v>716.57600000000002</v>
      </c>
    </row>
    <row r="72" spans="1:40" ht="13.5" thickBot="1" x14ac:dyDescent="0.25">
      <c r="A72" s="1250"/>
      <c r="B72" s="1307"/>
      <c r="C72" s="1312"/>
      <c r="D72" s="1312"/>
      <c r="E72" s="1312"/>
      <c r="F72" s="1313"/>
      <c r="G72" s="1313"/>
      <c r="H72" s="1313"/>
      <c r="I72" s="1313"/>
      <c r="J72" s="1313"/>
      <c r="K72" s="1313"/>
      <c r="L72" s="1313"/>
      <c r="M72" s="1313"/>
      <c r="N72" s="1313"/>
      <c r="O72" s="1313"/>
      <c r="P72" s="1314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207"/>
      <c r="AN72" s="1315">
        <v>1326.8</v>
      </c>
    </row>
    <row r="73" spans="1:40" x14ac:dyDescent="0.2">
      <c r="A73" s="1316"/>
      <c r="B73" s="1207"/>
      <c r="C73" s="1227"/>
      <c r="D73" s="1227"/>
      <c r="E73" s="1227"/>
      <c r="F73" s="1227"/>
      <c r="G73" s="1227"/>
      <c r="H73" s="1317"/>
      <c r="I73" s="1317"/>
      <c r="J73" s="1317"/>
      <c r="K73" s="1317"/>
      <c r="L73" s="1317"/>
      <c r="M73" s="1317"/>
      <c r="N73" s="1317"/>
      <c r="O73" s="1317"/>
      <c r="P73" s="1318"/>
      <c r="Q73" s="1317"/>
      <c r="R73" s="1317"/>
      <c r="S73" s="1317"/>
      <c r="T73" s="1317"/>
      <c r="U73" s="1317"/>
      <c r="V73" s="1317"/>
      <c r="W73" s="1317"/>
      <c r="X73" s="1317"/>
      <c r="Y73" s="1317"/>
      <c r="Z73" s="1317"/>
      <c r="AA73" s="1317"/>
      <c r="AB73" s="1317"/>
      <c r="AC73" s="1317"/>
      <c r="AD73" s="1317"/>
      <c r="AE73" s="1317"/>
      <c r="AF73" s="1317"/>
      <c r="AG73" s="1317"/>
      <c r="AH73" s="1207"/>
      <c r="AN73" s="1315">
        <v>4180.9530000000004</v>
      </c>
    </row>
    <row r="74" spans="1:40" x14ac:dyDescent="0.2">
      <c r="A74" s="1316" t="s">
        <v>40</v>
      </c>
      <c r="B74" s="1207"/>
      <c r="C74" s="1303"/>
      <c r="D74" s="1303"/>
      <c r="E74" s="1303"/>
      <c r="F74" s="1319">
        <v>30000</v>
      </c>
      <c r="G74" s="1319">
        <f t="shared" ref="G74:AG74" si="16">+C51</f>
        <v>9511.2559999999994</v>
      </c>
      <c r="H74" s="1319">
        <f t="shared" si="16"/>
        <v>5241.8289999999997</v>
      </c>
      <c r="I74" s="1319">
        <f t="shared" si="16"/>
        <v>0</v>
      </c>
      <c r="J74" s="1319">
        <f t="shared" si="16"/>
        <v>0</v>
      </c>
      <c r="K74" s="1319">
        <f t="shared" si="16"/>
        <v>20885.825000000001</v>
      </c>
      <c r="L74" s="1319">
        <f t="shared" si="16"/>
        <v>0</v>
      </c>
      <c r="M74" s="1319">
        <f t="shared" si="16"/>
        <v>4342.8770000000004</v>
      </c>
      <c r="N74" s="1319">
        <f t="shared" si="16"/>
        <v>8456.06</v>
      </c>
      <c r="O74" s="1319">
        <f t="shared" si="16"/>
        <v>1604.9860000000001</v>
      </c>
      <c r="P74" s="1319">
        <f t="shared" si="16"/>
        <v>47774.824000000001</v>
      </c>
      <c r="Q74" s="1319">
        <f t="shared" si="16"/>
        <v>3467.9589999999998</v>
      </c>
      <c r="R74" s="1319">
        <f t="shared" si="16"/>
        <v>11269.19</v>
      </c>
      <c r="S74" s="1319">
        <f t="shared" si="16"/>
        <v>5279.7190000000001</v>
      </c>
      <c r="T74" s="1319">
        <f t="shared" si="16"/>
        <v>0</v>
      </c>
      <c r="U74" s="1319">
        <f t="shared" si="16"/>
        <v>53641.298000000003</v>
      </c>
      <c r="V74" s="1319">
        <f t="shared" si="16"/>
        <v>0</v>
      </c>
      <c r="W74" s="1319">
        <f t="shared" si="16"/>
        <v>12173.696</v>
      </c>
      <c r="X74" s="1319">
        <f t="shared" si="16"/>
        <v>7177.9780000000001</v>
      </c>
      <c r="Y74" s="1319">
        <f t="shared" si="16"/>
        <v>9073.9639999999999</v>
      </c>
      <c r="Z74" s="1319">
        <f t="shared" si="16"/>
        <v>34886.841</v>
      </c>
      <c r="AA74" s="1319">
        <f t="shared" si="16"/>
        <v>15265.097</v>
      </c>
      <c r="AB74" s="1319">
        <f t="shared" si="16"/>
        <v>20224.828000000001</v>
      </c>
      <c r="AC74" s="1319">
        <f t="shared" si="16"/>
        <v>11848.769</v>
      </c>
      <c r="AD74" s="1319">
        <f t="shared" si="16"/>
        <v>968.947</v>
      </c>
      <c r="AE74" s="1319">
        <f t="shared" si="16"/>
        <v>19943.66</v>
      </c>
      <c r="AF74" s="1319">
        <f t="shared" si="16"/>
        <v>2624</v>
      </c>
      <c r="AG74" s="1319">
        <f t="shared" si="16"/>
        <v>1289</v>
      </c>
      <c r="AH74" s="1227">
        <f>SUM(C74:AG74)</f>
        <v>336952.603</v>
      </c>
      <c r="AI74" s="1320"/>
      <c r="AJ74" s="1320"/>
      <c r="AK74" s="1321"/>
      <c r="AN74" s="1315">
        <v>2761.194</v>
      </c>
    </row>
    <row r="75" spans="1:40" x14ac:dyDescent="0.2">
      <c r="A75" s="1316" t="s">
        <v>42</v>
      </c>
      <c r="B75" s="1207"/>
      <c r="C75" s="1303"/>
      <c r="D75" s="1303"/>
      <c r="E75" s="1303"/>
      <c r="F75" s="1319"/>
      <c r="G75" s="1319">
        <f t="shared" ref="G75:AG75" si="17">+C57</f>
        <v>11180</v>
      </c>
      <c r="H75" s="1319">
        <f t="shared" si="17"/>
        <v>1000</v>
      </c>
      <c r="I75" s="1319">
        <f t="shared" si="17"/>
        <v>3172.444</v>
      </c>
      <c r="J75" s="1319">
        <f t="shared" si="17"/>
        <v>5250</v>
      </c>
      <c r="K75" s="1319">
        <f t="shared" si="17"/>
        <v>4917.0450000000001</v>
      </c>
      <c r="L75" s="1319">
        <f t="shared" si="17"/>
        <v>4893.4030000000002</v>
      </c>
      <c r="M75" s="1319">
        <f t="shared" si="17"/>
        <v>1000</v>
      </c>
      <c r="N75" s="1319">
        <f t="shared" si="17"/>
        <v>12232.64</v>
      </c>
      <c r="O75" s="1319">
        <f t="shared" si="17"/>
        <v>0</v>
      </c>
      <c r="P75" s="1319">
        <f t="shared" si="17"/>
        <v>11342.708999999999</v>
      </c>
      <c r="Q75" s="1319">
        <f t="shared" si="17"/>
        <v>12665.78</v>
      </c>
      <c r="R75" s="1319">
        <f t="shared" si="17"/>
        <v>9913.36</v>
      </c>
      <c r="S75" s="1319">
        <f t="shared" si="17"/>
        <v>5097.8150000000005</v>
      </c>
      <c r="T75" s="1319">
        <f t="shared" si="17"/>
        <v>3136.7860000000001</v>
      </c>
      <c r="U75" s="1319">
        <f t="shared" si="17"/>
        <v>23133.735000000001</v>
      </c>
      <c r="V75" s="1319">
        <f t="shared" si="17"/>
        <v>3639.9340000000002</v>
      </c>
      <c r="W75" s="1319">
        <f t="shared" si="17"/>
        <v>1000</v>
      </c>
      <c r="X75" s="1319">
        <f t="shared" si="17"/>
        <v>5560.59</v>
      </c>
      <c r="Y75" s="1319">
        <f t="shared" si="17"/>
        <v>3660</v>
      </c>
      <c r="Z75" s="1319">
        <f t="shared" si="17"/>
        <v>38014.26</v>
      </c>
      <c r="AA75" s="1319">
        <f t="shared" si="17"/>
        <v>0</v>
      </c>
      <c r="AB75" s="1319">
        <f t="shared" si="17"/>
        <v>9208.9840000000004</v>
      </c>
      <c r="AC75" s="1319">
        <f t="shared" si="17"/>
        <v>1970.5889999999999</v>
      </c>
      <c r="AD75" s="1319">
        <f t="shared" si="17"/>
        <v>3100</v>
      </c>
      <c r="AE75" s="1319">
        <f t="shared" si="17"/>
        <v>25532.272000000001</v>
      </c>
      <c r="AF75" s="1319">
        <f t="shared" si="17"/>
        <v>4216.4979999999996</v>
      </c>
      <c r="AG75" s="1319">
        <f t="shared" si="17"/>
        <v>7429.9969999999994</v>
      </c>
      <c r="AH75" s="1227">
        <f>SUM(C75:AG75)</f>
        <v>212268.84099999999</v>
      </c>
      <c r="AI75" s="1320"/>
      <c r="AJ75" s="1320"/>
      <c r="AK75" s="1321"/>
      <c r="AN75" s="1315">
        <v>6804.6840000000002</v>
      </c>
    </row>
    <row r="76" spans="1:40" ht="13.5" thickBot="1" x14ac:dyDescent="0.25">
      <c r="A76" s="1316"/>
      <c r="B76" s="1207"/>
      <c r="C76" s="1219"/>
      <c r="D76" s="1219"/>
      <c r="E76" s="1219"/>
      <c r="F76" s="1219"/>
      <c r="G76" s="1220"/>
      <c r="H76" s="1322"/>
      <c r="I76" s="1219"/>
      <c r="J76" s="1219"/>
      <c r="K76" s="1219"/>
      <c r="L76" s="1219"/>
      <c r="M76" s="1219"/>
      <c r="N76" s="1219"/>
      <c r="O76" s="1219"/>
      <c r="P76" s="1221"/>
      <c r="Q76" s="1219"/>
      <c r="R76" s="1219"/>
      <c r="S76" s="1219"/>
      <c r="T76" s="1219"/>
      <c r="U76" s="1219"/>
      <c r="V76" s="1322"/>
      <c r="W76" s="1322"/>
      <c r="X76" s="1219"/>
      <c r="Y76" s="1219"/>
      <c r="Z76" s="1219"/>
      <c r="AA76" s="1219"/>
      <c r="AB76" s="1219"/>
      <c r="AC76" s="1219"/>
      <c r="AD76" s="1219"/>
      <c r="AE76" s="1219"/>
      <c r="AF76" s="1219"/>
      <c r="AG76" s="1219"/>
      <c r="AH76" s="1207"/>
      <c r="AI76" s="1320"/>
      <c r="AJ76" s="1320"/>
      <c r="AK76" s="1321"/>
      <c r="AN76" s="1315">
        <v>14590.134</v>
      </c>
    </row>
    <row r="77" spans="1:40" x14ac:dyDescent="0.2">
      <c r="A77" s="1323" t="s">
        <v>495</v>
      </c>
      <c r="B77" s="1324" t="s">
        <v>509</v>
      </c>
      <c r="C77" s="1325"/>
      <c r="D77" s="1326"/>
      <c r="E77" s="1326"/>
      <c r="F77" s="1326"/>
      <c r="G77" s="1327"/>
      <c r="H77" s="1328"/>
      <c r="I77" s="1326"/>
      <c r="J77" s="1326"/>
      <c r="K77" s="1326"/>
      <c r="L77" s="1326"/>
      <c r="M77" s="1326"/>
      <c r="N77" s="1326"/>
      <c r="O77" s="1326"/>
      <c r="P77" s="1329"/>
      <c r="Q77" s="1326"/>
      <c r="R77" s="1326"/>
      <c r="S77" s="1326"/>
      <c r="T77" s="1326"/>
      <c r="U77" s="1326"/>
      <c r="V77" s="1328"/>
      <c r="W77" s="1328"/>
      <c r="X77" s="1326"/>
      <c r="Y77" s="1326"/>
      <c r="Z77" s="1326"/>
      <c r="AA77" s="1326"/>
      <c r="AB77" s="1326"/>
      <c r="AC77" s="1326"/>
      <c r="AD77" s="1326"/>
      <c r="AE77" s="1326"/>
      <c r="AF77" s="1326"/>
      <c r="AG77" s="1326"/>
      <c r="AH77" s="1330">
        <f>SUM(C77:AG77)</f>
        <v>0</v>
      </c>
      <c r="AI77" s="1320"/>
      <c r="AJ77" s="1320"/>
      <c r="AK77" s="1321"/>
      <c r="AN77" s="1280">
        <v>1034.9559999999999</v>
      </c>
    </row>
    <row r="78" spans="1:40" ht="13.5" thickBot="1" x14ac:dyDescent="0.25">
      <c r="A78" s="1331" t="s">
        <v>697</v>
      </c>
      <c r="B78" s="1332" t="s">
        <v>510</v>
      </c>
      <c r="C78" s="1333"/>
      <c r="D78" s="1334"/>
      <c r="E78" s="1334"/>
      <c r="F78" s="1334"/>
      <c r="G78" s="1334"/>
      <c r="H78" s="1335"/>
      <c r="I78" s="1336"/>
      <c r="J78" s="1334"/>
      <c r="K78" s="1334"/>
      <c r="L78" s="1335"/>
      <c r="M78" s="1334"/>
      <c r="N78" s="1334"/>
      <c r="O78" s="1334"/>
      <c r="P78" s="1337"/>
      <c r="Q78" s="1335"/>
      <c r="R78" s="1334"/>
      <c r="S78" s="1334"/>
      <c r="T78" s="1334"/>
      <c r="U78" s="1334"/>
      <c r="V78" s="1335"/>
      <c r="W78" s="1334"/>
      <c r="X78" s="1334"/>
      <c r="Y78" s="1334"/>
      <c r="Z78" s="1334"/>
      <c r="AA78" s="1335"/>
      <c r="AB78" s="1334"/>
      <c r="AC78" s="1334"/>
      <c r="AD78" s="1334"/>
      <c r="AE78" s="1334"/>
      <c r="AF78" s="1334"/>
      <c r="AG78" s="1334"/>
      <c r="AH78" s="1338">
        <f>SUM(C78:AG78)</f>
        <v>0</v>
      </c>
      <c r="AI78" s="1320"/>
      <c r="AJ78" s="1320"/>
      <c r="AK78" s="1321"/>
      <c r="AN78" s="1280"/>
    </row>
    <row r="79" spans="1:40" x14ac:dyDescent="0.2">
      <c r="A79" s="1323" t="s">
        <v>495</v>
      </c>
      <c r="B79" s="1324" t="s">
        <v>509</v>
      </c>
      <c r="C79" s="1339"/>
      <c r="D79" s="1339"/>
      <c r="E79" s="1339"/>
      <c r="F79" s="1339"/>
      <c r="G79" s="1339"/>
      <c r="H79" s="1340"/>
      <c r="I79" s="1341"/>
      <c r="J79" s="1339"/>
      <c r="K79" s="1339"/>
      <c r="L79" s="1340"/>
      <c r="M79" s="1339"/>
      <c r="N79" s="1339"/>
      <c r="O79" s="1339"/>
      <c r="P79" s="1342"/>
      <c r="Q79" s="1340"/>
      <c r="R79" s="1339"/>
      <c r="S79" s="1339"/>
      <c r="T79" s="1339"/>
      <c r="U79" s="1339"/>
      <c r="V79" s="1340"/>
      <c r="W79" s="1339"/>
      <c r="X79" s="1339"/>
      <c r="Y79" s="1339"/>
      <c r="Z79" s="1339"/>
      <c r="AA79" s="1340"/>
      <c r="AB79" s="1339"/>
      <c r="AC79" s="1339"/>
      <c r="AD79" s="1339"/>
      <c r="AE79" s="1339"/>
      <c r="AF79" s="1339"/>
      <c r="AG79" s="1339"/>
      <c r="AH79" s="1330">
        <f>SUM(C79:AG79)</f>
        <v>0</v>
      </c>
      <c r="AI79" s="1320"/>
      <c r="AJ79" s="1320"/>
      <c r="AK79" s="1321"/>
      <c r="AN79" s="1280"/>
    </row>
    <row r="80" spans="1:40" ht="13.5" thickBot="1" x14ac:dyDescent="0.25">
      <c r="A80" s="1331" t="s">
        <v>696</v>
      </c>
      <c r="B80" s="1332" t="s">
        <v>510</v>
      </c>
      <c r="C80" s="1339"/>
      <c r="D80" s="1339"/>
      <c r="E80" s="1339"/>
      <c r="F80" s="1339"/>
      <c r="G80" s="1339"/>
      <c r="H80" s="1340"/>
      <c r="I80" s="1341"/>
      <c r="J80" s="1339"/>
      <c r="K80" s="1339"/>
      <c r="L80" s="1340"/>
      <c r="M80" s="1339"/>
      <c r="N80" s="1339"/>
      <c r="O80" s="1339"/>
      <c r="P80" s="1342"/>
      <c r="Q80" s="1340"/>
      <c r="R80" s="1339"/>
      <c r="S80" s="1339"/>
      <c r="T80" s="1339"/>
      <c r="U80" s="1339"/>
      <c r="V80" s="1340"/>
      <c r="W80" s="1339"/>
      <c r="X80" s="1339"/>
      <c r="Y80" s="1339"/>
      <c r="Z80" s="1339"/>
      <c r="AA80" s="1340"/>
      <c r="AB80" s="1339"/>
      <c r="AC80" s="1339"/>
      <c r="AD80" s="1339"/>
      <c r="AE80" s="1339"/>
      <c r="AF80" s="1339"/>
      <c r="AG80" s="1339"/>
      <c r="AH80" s="1343"/>
      <c r="AI80" s="1320"/>
      <c r="AJ80" s="1320"/>
      <c r="AK80" s="1321"/>
      <c r="AN80" s="1280"/>
    </row>
    <row r="81" spans="1:43" x14ac:dyDescent="0.2">
      <c r="A81" s="1344"/>
      <c r="B81" s="1230"/>
      <c r="C81" s="1228"/>
      <c r="D81" s="1228"/>
      <c r="E81" s="1228"/>
      <c r="F81" s="1228"/>
      <c r="G81" s="1228"/>
      <c r="H81" s="1228"/>
      <c r="I81" s="1228"/>
      <c r="J81" s="1228"/>
      <c r="K81" s="1228"/>
      <c r="L81" s="1228"/>
      <c r="M81" s="1228"/>
      <c r="N81" s="1228"/>
      <c r="O81" s="1228"/>
      <c r="P81" s="1229"/>
      <c r="Q81" s="1228"/>
      <c r="R81" s="1228"/>
      <c r="S81" s="1228"/>
      <c r="T81" s="1228"/>
      <c r="U81" s="1228"/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320"/>
      <c r="AJ81" s="1320"/>
      <c r="AK81" s="1321"/>
      <c r="AN81" s="1280">
        <v>2000</v>
      </c>
    </row>
    <row r="82" spans="1:43" s="1321" customFormat="1" x14ac:dyDescent="0.2">
      <c r="A82" s="1236" t="s">
        <v>2</v>
      </c>
      <c r="B82" s="1207"/>
      <c r="C82" s="1345">
        <f>SUM(C84:C121)</f>
        <v>317959.821</v>
      </c>
      <c r="D82" s="1227"/>
      <c r="E82" s="1346"/>
      <c r="F82" s="1227"/>
      <c r="G82" s="1347"/>
      <c r="H82" s="1228"/>
      <c r="I82" s="1227"/>
      <c r="J82" s="1227"/>
      <c r="K82" s="1227"/>
      <c r="L82" s="1227"/>
      <c r="M82" s="1228"/>
      <c r="N82" s="1228"/>
      <c r="O82" s="1228"/>
      <c r="P82" s="1229"/>
      <c r="Q82" s="1228"/>
      <c r="R82" s="1228"/>
      <c r="S82" s="1228"/>
      <c r="T82" s="1227"/>
      <c r="U82" s="1227"/>
      <c r="V82" s="1227"/>
      <c r="W82" s="1227"/>
      <c r="X82" s="1227"/>
      <c r="Y82" s="1227"/>
      <c r="Z82" s="1227"/>
      <c r="AA82" s="1227"/>
      <c r="AB82" s="1227"/>
      <c r="AC82" s="1227"/>
      <c r="AD82" s="1227"/>
      <c r="AE82" s="1228"/>
      <c r="AF82" s="1227"/>
      <c r="AG82" s="1227"/>
      <c r="AH82" s="1207"/>
      <c r="AN82" s="1348">
        <v>2358.498</v>
      </c>
    </row>
    <row r="83" spans="1:43" s="1321" customFormat="1" x14ac:dyDescent="0.2">
      <c r="A83" s="1237"/>
      <c r="B83" s="1207"/>
      <c r="C83" s="1345"/>
      <c r="D83" s="1207"/>
      <c r="E83" s="1207"/>
      <c r="F83" s="1207"/>
      <c r="G83" s="1349"/>
      <c r="H83" s="1207"/>
      <c r="I83" s="1207"/>
      <c r="J83" s="1207"/>
      <c r="K83" s="1207"/>
      <c r="L83" s="1207"/>
      <c r="M83" s="1207"/>
      <c r="N83" s="1207"/>
      <c r="O83" s="1207"/>
      <c r="P83" s="1208"/>
      <c r="Q83" s="1207"/>
      <c r="R83" s="1207"/>
      <c r="S83" s="1207"/>
      <c r="T83" s="1207"/>
      <c r="U83" s="1207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N83" s="1348">
        <v>1458.3630000000001</v>
      </c>
    </row>
    <row r="84" spans="1:43" s="1321" customFormat="1" x14ac:dyDescent="0.2">
      <c r="A84" s="1207" t="s">
        <v>30</v>
      </c>
      <c r="B84" s="1350">
        <v>42348</v>
      </c>
      <c r="C84" s="1351"/>
      <c r="D84" s="1208"/>
      <c r="E84" s="1207"/>
      <c r="F84" s="1207"/>
      <c r="G84" s="1349"/>
      <c r="H84" s="1207"/>
      <c r="I84" s="1207"/>
      <c r="J84" s="1207"/>
      <c r="K84" s="1352"/>
      <c r="L84" s="1208"/>
      <c r="M84" s="1229"/>
      <c r="N84" s="1207"/>
      <c r="O84" s="1207"/>
      <c r="P84" s="1208"/>
      <c r="Q84" s="1207"/>
      <c r="R84" s="1207"/>
      <c r="S84" s="1207"/>
      <c r="T84" s="1207"/>
      <c r="U84" s="1207"/>
      <c r="V84" s="1207"/>
      <c r="W84" s="1207"/>
      <c r="X84" s="1207"/>
      <c r="Y84" s="1207"/>
      <c r="Z84" s="1207"/>
      <c r="AA84" s="1207"/>
      <c r="AB84" s="1207"/>
      <c r="AC84" s="1207"/>
      <c r="AD84" s="1207"/>
      <c r="AE84" s="1207"/>
      <c r="AF84" s="1207"/>
      <c r="AG84" s="1207"/>
      <c r="AH84" s="1207"/>
      <c r="AN84" s="1315">
        <v>718.548</v>
      </c>
    </row>
    <row r="85" spans="1:43" s="1321" customFormat="1" x14ac:dyDescent="0.2">
      <c r="A85" s="1207"/>
      <c r="B85" s="1350">
        <v>42255</v>
      </c>
      <c r="C85" s="1351"/>
      <c r="D85" s="1208"/>
      <c r="F85" s="1207"/>
      <c r="G85" s="1353"/>
      <c r="H85" s="1207"/>
      <c r="I85" s="1207"/>
      <c r="J85" s="1207"/>
      <c r="K85" s="1208"/>
      <c r="L85" s="1208"/>
      <c r="M85" s="1208"/>
      <c r="N85" s="1207"/>
      <c r="O85" s="1207"/>
      <c r="P85" s="1208"/>
      <c r="Q85" s="1207"/>
      <c r="R85" s="1207"/>
      <c r="S85" s="1207"/>
      <c r="T85" s="1207"/>
      <c r="U85" s="1207"/>
      <c r="V85" s="1207"/>
      <c r="W85" s="1207"/>
      <c r="X85" s="1207"/>
      <c r="Y85" s="1207"/>
      <c r="Z85" s="1207"/>
      <c r="AA85" s="1207"/>
      <c r="AB85" s="1207"/>
      <c r="AC85" s="1207"/>
      <c r="AD85" s="1207"/>
      <c r="AE85" s="1207"/>
      <c r="AF85" s="1207"/>
      <c r="AG85" s="1207"/>
      <c r="AH85" s="1207"/>
      <c r="AN85" s="1315">
        <v>1820.952</v>
      </c>
    </row>
    <row r="86" spans="1:43" x14ac:dyDescent="0.2">
      <c r="A86" s="1207"/>
      <c r="B86" s="1350">
        <v>42248</v>
      </c>
      <c r="C86" s="1345"/>
      <c r="D86" s="1354"/>
      <c r="E86" s="1207"/>
      <c r="F86" s="1207"/>
      <c r="G86" s="1353"/>
      <c r="H86" s="1207"/>
      <c r="I86" s="1207"/>
      <c r="J86" s="1207"/>
      <c r="K86" s="1352"/>
      <c r="L86" s="1208"/>
      <c r="M86" s="1208"/>
      <c r="N86" s="1207"/>
      <c r="O86" s="1207"/>
      <c r="P86" s="1208"/>
      <c r="Q86" s="1207"/>
      <c r="R86" s="1207"/>
      <c r="S86" s="1207"/>
      <c r="T86" s="1207"/>
      <c r="U86" s="1207"/>
      <c r="V86" s="1207"/>
      <c r="W86" s="1207"/>
      <c r="X86" s="1207"/>
      <c r="Y86" s="1207"/>
      <c r="Z86" s="1207"/>
      <c r="AA86" s="1207"/>
      <c r="AB86" s="1207"/>
      <c r="AC86" s="1207"/>
      <c r="AD86" s="1207"/>
      <c r="AE86" s="1207"/>
      <c r="AF86" s="1207"/>
      <c r="AG86" s="1207"/>
      <c r="AH86" s="1207"/>
      <c r="AI86" s="1355"/>
      <c r="AJ86" s="1320"/>
      <c r="AN86" s="1315">
        <v>2110.3739999999998</v>
      </c>
      <c r="AP86" s="1209">
        <v>1701.6279999999999</v>
      </c>
      <c r="AQ86" s="1209" t="s">
        <v>491</v>
      </c>
    </row>
    <row r="87" spans="1:43" x14ac:dyDescent="0.2">
      <c r="A87" s="1207"/>
      <c r="B87" s="1350">
        <v>42248</v>
      </c>
      <c r="C87" s="1356"/>
      <c r="D87" s="1345"/>
      <c r="E87" s="1357"/>
      <c r="F87" s="1207"/>
      <c r="G87" s="1349"/>
      <c r="H87" s="1207"/>
      <c r="I87" s="1207"/>
      <c r="J87" s="1207"/>
      <c r="K87" s="1207"/>
      <c r="L87" s="1207"/>
      <c r="M87" s="1207"/>
      <c r="N87" s="1207"/>
      <c r="O87" s="1207"/>
      <c r="P87" s="1208"/>
      <c r="Q87" s="1207"/>
      <c r="R87" s="1207"/>
      <c r="S87" s="1207"/>
      <c r="T87" s="1207"/>
      <c r="U87" s="1207"/>
      <c r="V87" s="1207"/>
      <c r="W87" s="1207"/>
      <c r="X87" s="1207"/>
      <c r="Y87" s="1207"/>
      <c r="Z87" s="1207"/>
      <c r="AA87" s="1207"/>
      <c r="AB87" s="1207"/>
      <c r="AC87" s="1207"/>
      <c r="AD87" s="1207"/>
      <c r="AE87" s="1207"/>
      <c r="AF87" s="1207"/>
      <c r="AG87" s="1207"/>
      <c r="AH87" s="1207"/>
      <c r="AI87" s="1280"/>
      <c r="AN87" s="1315">
        <v>2000</v>
      </c>
      <c r="AP87" s="1209">
        <v>5818.643</v>
      </c>
      <c r="AQ87" s="1209" t="s">
        <v>492</v>
      </c>
    </row>
    <row r="88" spans="1:43" x14ac:dyDescent="0.2">
      <c r="A88" s="1207" t="s">
        <v>31</v>
      </c>
      <c r="B88" s="1350">
        <v>42373</v>
      </c>
      <c r="C88" s="1358">
        <f>19923.155-9980.985-4996.328-3545.842-1400</f>
        <v>-2.2737367544323206E-12</v>
      </c>
      <c r="D88" s="1354"/>
      <c r="E88" s="1354"/>
      <c r="F88" s="1354"/>
      <c r="G88" s="1349"/>
      <c r="H88" s="1207"/>
      <c r="I88" s="1207"/>
      <c r="J88" s="1207"/>
      <c r="K88" s="1207"/>
      <c r="L88" s="1207"/>
      <c r="M88" s="1207"/>
      <c r="N88" s="1207"/>
      <c r="O88" s="1207"/>
      <c r="P88" s="1208"/>
      <c r="Q88" s="1207"/>
      <c r="R88" s="1207"/>
      <c r="S88" s="1207"/>
      <c r="T88" s="1207"/>
      <c r="U88" s="1207"/>
      <c r="V88" s="1207"/>
      <c r="W88" s="1207"/>
      <c r="X88" s="1207"/>
      <c r="Y88" s="1207"/>
      <c r="Z88" s="1207"/>
      <c r="AA88" s="1207"/>
      <c r="AB88" s="1207"/>
      <c r="AC88" s="1207"/>
      <c r="AD88" s="1207"/>
      <c r="AE88" s="1207"/>
      <c r="AF88" s="1207"/>
      <c r="AG88" s="1207"/>
      <c r="AH88" s="1207"/>
      <c r="AI88" s="1280"/>
      <c r="AN88" s="1315">
        <v>1841.7439999999999</v>
      </c>
    </row>
    <row r="89" spans="1:43" x14ac:dyDescent="0.2">
      <c r="A89" s="1207"/>
      <c r="B89" s="1350">
        <v>42374</v>
      </c>
      <c r="C89" s="1354">
        <v>13386.027</v>
      </c>
      <c r="D89" s="1354"/>
      <c r="E89" s="1354"/>
      <c r="F89" s="1207"/>
      <c r="G89" s="1353"/>
      <c r="H89" s="1207"/>
      <c r="I89" s="1207"/>
      <c r="J89" s="1207"/>
      <c r="K89" s="1207"/>
      <c r="L89" s="1207"/>
      <c r="M89" s="1207"/>
      <c r="N89" s="1207"/>
      <c r="O89" s="1207"/>
      <c r="P89" s="1208"/>
      <c r="Q89" s="1207"/>
      <c r="R89" s="1207"/>
      <c r="S89" s="1207"/>
      <c r="T89" s="1207"/>
      <c r="U89" s="1207"/>
      <c r="V89" s="1207"/>
      <c r="W89" s="1207"/>
      <c r="X89" s="1207"/>
      <c r="Y89" s="1207"/>
      <c r="Z89" s="1207"/>
      <c r="AA89" s="1207"/>
      <c r="AB89" s="1207"/>
      <c r="AC89" s="1207"/>
      <c r="AD89" s="1207"/>
      <c r="AE89" s="1207"/>
      <c r="AF89" s="1207"/>
      <c r="AG89" s="1207"/>
      <c r="AH89" s="1207"/>
      <c r="AI89" s="1280"/>
      <c r="AN89" s="1315">
        <v>747.24800000000005</v>
      </c>
    </row>
    <row r="90" spans="1:43" x14ac:dyDescent="0.2">
      <c r="A90" s="1207"/>
      <c r="B90" s="1350">
        <v>42375</v>
      </c>
      <c r="C90" s="1359">
        <v>17592.082999999999</v>
      </c>
      <c r="D90" s="1354"/>
      <c r="E90" s="1357"/>
      <c r="F90" s="1207"/>
      <c r="G90" s="1360"/>
      <c r="H90" s="1207"/>
      <c r="I90" s="1207"/>
      <c r="J90" s="1207"/>
      <c r="K90" s="1207"/>
      <c r="L90" s="1207"/>
      <c r="M90" s="1207"/>
      <c r="N90" s="1207"/>
      <c r="O90" s="1207"/>
      <c r="P90" s="1208"/>
      <c r="Q90" s="1207"/>
      <c r="R90" s="1207"/>
      <c r="S90" s="1207"/>
      <c r="T90" s="1207"/>
      <c r="U90" s="1207"/>
      <c r="V90" s="1207"/>
      <c r="W90" s="1207"/>
      <c r="X90" s="1207"/>
      <c r="Y90" s="1207"/>
      <c r="Z90" s="1207"/>
      <c r="AA90" s="1207"/>
      <c r="AB90" s="1207"/>
      <c r="AC90" s="1207"/>
      <c r="AD90" s="1207"/>
      <c r="AE90" s="1207"/>
      <c r="AF90" s="1207"/>
      <c r="AG90" s="1207"/>
      <c r="AH90" s="1207"/>
      <c r="AI90" s="1280"/>
      <c r="AN90" s="1315">
        <v>4413.4639999999999</v>
      </c>
    </row>
    <row r="91" spans="1:43" x14ac:dyDescent="0.2">
      <c r="A91" s="1207"/>
      <c r="B91" s="1350">
        <v>42342</v>
      </c>
      <c r="C91" s="1358"/>
      <c r="D91" s="1354"/>
      <c r="E91" s="1354"/>
      <c r="F91" s="1207"/>
      <c r="G91" s="1360"/>
      <c r="H91" s="1207"/>
      <c r="I91" s="1207"/>
      <c r="J91" s="1207"/>
      <c r="K91" s="1207"/>
      <c r="L91" s="1207"/>
      <c r="M91" s="1207"/>
      <c r="N91" s="1207"/>
      <c r="O91" s="1207"/>
      <c r="P91" s="1208"/>
      <c r="Q91" s="1207"/>
      <c r="R91" s="1207"/>
      <c r="S91" s="1207"/>
      <c r="T91" s="1207"/>
      <c r="U91" s="1207"/>
      <c r="V91" s="1207"/>
      <c r="W91" s="1207"/>
      <c r="X91" s="1207"/>
      <c r="Y91" s="1207"/>
      <c r="Z91" s="1207"/>
      <c r="AA91" s="1207"/>
      <c r="AB91" s="1207"/>
      <c r="AC91" s="1207"/>
      <c r="AD91" s="1207"/>
      <c r="AE91" s="1207"/>
      <c r="AF91" s="1207"/>
      <c r="AG91" s="1207"/>
      <c r="AH91" s="1207"/>
      <c r="AN91" s="1315">
        <v>1836.3130000000001</v>
      </c>
    </row>
    <row r="92" spans="1:43" x14ac:dyDescent="0.2">
      <c r="A92" s="1207"/>
      <c r="B92" s="1350">
        <v>42261</v>
      </c>
      <c r="C92" s="1358"/>
      <c r="D92" s="1354"/>
      <c r="E92" s="1354"/>
      <c r="F92" s="1207"/>
      <c r="G92" s="1207"/>
      <c r="H92" s="1207"/>
      <c r="I92" s="1207"/>
      <c r="J92" s="1207"/>
      <c r="K92" s="1207"/>
      <c r="L92" s="1207"/>
      <c r="M92" s="1207"/>
      <c r="N92" s="1207"/>
      <c r="O92" s="1207"/>
      <c r="P92" s="1208"/>
      <c r="Q92" s="1207"/>
      <c r="R92" s="1207"/>
      <c r="S92" s="1207"/>
      <c r="T92" s="1207"/>
      <c r="U92" s="1207"/>
      <c r="V92" s="1207"/>
      <c r="W92" s="1207"/>
      <c r="X92" s="1207"/>
      <c r="Y92" s="1207"/>
      <c r="Z92" s="1207"/>
      <c r="AA92" s="1207"/>
      <c r="AB92" s="1207"/>
      <c r="AC92" s="1207"/>
      <c r="AD92" s="1207"/>
      <c r="AE92" s="1207"/>
      <c r="AF92" s="1207"/>
      <c r="AG92" s="1207"/>
      <c r="AH92" s="1207"/>
      <c r="AN92" s="1315">
        <v>8000</v>
      </c>
    </row>
    <row r="93" spans="1:43" x14ac:dyDescent="0.2">
      <c r="A93" s="1207"/>
      <c r="B93" s="1350">
        <v>42254</v>
      </c>
      <c r="C93" s="1358"/>
      <c r="D93" s="1354"/>
      <c r="E93" s="1354"/>
      <c r="F93" s="1207"/>
      <c r="G93" s="1207"/>
      <c r="H93" s="1207"/>
      <c r="I93" s="1207"/>
      <c r="J93" s="1207"/>
      <c r="K93" s="1207"/>
      <c r="L93" s="1207"/>
      <c r="M93" s="1207"/>
      <c r="N93" s="1207"/>
      <c r="O93" s="1207"/>
      <c r="P93" s="1208"/>
      <c r="Q93" s="1207"/>
      <c r="R93" s="1207"/>
      <c r="S93" s="1207"/>
      <c r="T93" s="1207"/>
      <c r="U93" s="1207"/>
      <c r="V93" s="1207"/>
      <c r="W93" s="1207"/>
      <c r="X93" s="1207"/>
      <c r="Y93" s="1207"/>
      <c r="Z93" s="1207"/>
      <c r="AA93" s="1207"/>
      <c r="AB93" s="1207"/>
      <c r="AC93" s="1207"/>
      <c r="AD93" s="1207"/>
      <c r="AE93" s="1207"/>
      <c r="AF93" s="1207"/>
      <c r="AG93" s="1207"/>
      <c r="AH93" s="1207"/>
      <c r="AN93" s="1280">
        <f>SUM(AN44:AN92)</f>
        <v>167376.80400000003</v>
      </c>
      <c r="AP93" s="1361">
        <f>AN93+AP86+AP87</f>
        <v>174897.07500000004</v>
      </c>
    </row>
    <row r="94" spans="1:43" x14ac:dyDescent="0.2">
      <c r="A94" s="1207"/>
      <c r="B94" s="1350">
        <v>42355</v>
      </c>
      <c r="C94" s="1362"/>
      <c r="D94" s="1354"/>
      <c r="E94" s="1354"/>
      <c r="F94" s="1207"/>
      <c r="G94" s="1207"/>
      <c r="H94" s="1207"/>
      <c r="I94" s="1207"/>
      <c r="J94" s="1207"/>
      <c r="K94" s="1207"/>
      <c r="L94" s="1207"/>
      <c r="M94" s="1207"/>
      <c r="N94" s="1207"/>
      <c r="O94" s="1207"/>
      <c r="P94" s="1208"/>
      <c r="Q94" s="1207"/>
      <c r="R94" s="1207"/>
      <c r="S94" s="1207"/>
      <c r="T94" s="1207"/>
      <c r="U94" s="1207"/>
      <c r="V94" s="1207"/>
      <c r="W94" s="1207"/>
      <c r="X94" s="1207"/>
      <c r="Y94" s="1207"/>
      <c r="Z94" s="1207"/>
      <c r="AA94" s="1207"/>
      <c r="AB94" s="1207"/>
      <c r="AC94" s="1207"/>
      <c r="AD94" s="1207"/>
      <c r="AE94" s="1207"/>
      <c r="AF94" s="1207"/>
      <c r="AG94" s="1207"/>
      <c r="AH94" s="1207"/>
      <c r="AN94" s="1280"/>
      <c r="AP94" s="1361"/>
    </row>
    <row r="95" spans="1:43" x14ac:dyDescent="0.2">
      <c r="A95" s="1207"/>
      <c r="B95" s="1350">
        <v>42294</v>
      </c>
      <c r="C95" s="1363"/>
      <c r="D95" s="1354"/>
      <c r="E95" s="1354"/>
      <c r="F95" s="1207"/>
      <c r="G95" s="1207"/>
      <c r="H95" s="1207"/>
      <c r="I95" s="1207"/>
      <c r="J95" s="1207"/>
      <c r="K95" s="1207"/>
      <c r="L95" s="1207"/>
      <c r="M95" s="1207"/>
      <c r="N95" s="1207"/>
      <c r="O95" s="1207"/>
      <c r="P95" s="1208"/>
      <c r="Q95" s="1207"/>
      <c r="R95" s="1207"/>
      <c r="S95" s="1207"/>
      <c r="T95" s="1207"/>
      <c r="U95" s="1207"/>
      <c r="V95" s="1207"/>
      <c r="W95" s="1207"/>
      <c r="X95" s="1207"/>
      <c r="Y95" s="1207"/>
      <c r="Z95" s="1207"/>
      <c r="AA95" s="1207"/>
      <c r="AB95" s="1207"/>
      <c r="AC95" s="1207"/>
      <c r="AD95" s="1207"/>
      <c r="AE95" s="1207"/>
      <c r="AF95" s="1207"/>
      <c r="AG95" s="1207"/>
      <c r="AH95" s="1207"/>
      <c r="AN95" s="1280"/>
      <c r="AP95" s="1361"/>
    </row>
    <row r="96" spans="1:43" x14ac:dyDescent="0.2">
      <c r="A96" s="1207"/>
      <c r="B96" s="1350">
        <v>42295</v>
      </c>
      <c r="C96" s="1363"/>
      <c r="D96" s="1354"/>
      <c r="E96" s="1354"/>
      <c r="F96" s="1207"/>
      <c r="G96" s="1207"/>
      <c r="H96" s="1207"/>
      <c r="I96" s="1207"/>
      <c r="J96" s="1207"/>
      <c r="K96" s="1207"/>
      <c r="L96" s="1207"/>
      <c r="M96" s="1207"/>
      <c r="N96" s="1207"/>
      <c r="O96" s="1207"/>
      <c r="P96" s="1208"/>
      <c r="Q96" s="1207"/>
      <c r="R96" s="1207"/>
      <c r="S96" s="1207"/>
      <c r="T96" s="1207"/>
      <c r="U96" s="1207"/>
      <c r="V96" s="1207"/>
      <c r="W96" s="1207"/>
      <c r="X96" s="1207"/>
      <c r="Y96" s="1207"/>
      <c r="Z96" s="1207"/>
      <c r="AA96" s="1207"/>
      <c r="AB96" s="1207"/>
      <c r="AC96" s="1207"/>
      <c r="AD96" s="1207"/>
      <c r="AE96" s="1207"/>
      <c r="AF96" s="1207"/>
      <c r="AG96" s="1207"/>
      <c r="AH96" s="1207"/>
      <c r="AN96" s="1280"/>
      <c r="AP96" s="1361"/>
    </row>
    <row r="97" spans="1:42" x14ac:dyDescent="0.2">
      <c r="A97" s="1207"/>
      <c r="B97" s="1350">
        <v>42370</v>
      </c>
      <c r="C97" s="1363">
        <v>9511</v>
      </c>
      <c r="D97" s="1354"/>
      <c r="E97" s="1354"/>
      <c r="F97" s="1207"/>
      <c r="G97" s="1207"/>
      <c r="H97" s="1207">
        <f>5119.387+3517.9+4959.248+3390.568+1000+3250.739+3033.759+4734.246+18568.367+1421.638+4934.983+5639.265+10253.104+1251.933+1279.402+2218.696+2000+1812.4+1000+7255.918+1384.895+4991.928+18659.734+3148.666+8677.411+9362.178+6156.934+3476.635+2000+7395.283+4317+3794.272+1057.216+3243.834+2526.485</f>
        <v>166834.02399999998</v>
      </c>
      <c r="I97" s="1207"/>
      <c r="J97" s="1207"/>
      <c r="K97" s="1207"/>
      <c r="L97" s="1207"/>
      <c r="M97" s="1207"/>
      <c r="N97" s="1207"/>
      <c r="O97" s="1207"/>
      <c r="P97" s="1208"/>
      <c r="Q97" s="1207"/>
      <c r="R97" s="1207"/>
      <c r="S97" s="1207"/>
      <c r="T97" s="1207"/>
      <c r="U97" s="1207"/>
      <c r="V97" s="1207"/>
      <c r="W97" s="1207"/>
      <c r="X97" s="1207"/>
      <c r="Y97" s="1207"/>
      <c r="Z97" s="1207"/>
      <c r="AA97" s="1207"/>
      <c r="AB97" s="1207"/>
      <c r="AC97" s="1207"/>
      <c r="AD97" s="1207"/>
      <c r="AE97" s="1207"/>
      <c r="AF97" s="1207"/>
      <c r="AG97" s="1207"/>
      <c r="AH97" s="1207"/>
      <c r="AN97" s="1280"/>
      <c r="AP97" s="1361"/>
    </row>
    <row r="98" spans="1:42" x14ac:dyDescent="0.2">
      <c r="A98" s="1207"/>
      <c r="B98" s="1350">
        <v>42371</v>
      </c>
      <c r="C98" s="1363">
        <v>5242</v>
      </c>
      <c r="D98" s="1354"/>
      <c r="E98" s="1354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8"/>
      <c r="Q98" s="1207"/>
      <c r="R98" s="1207"/>
      <c r="S98" s="1207"/>
      <c r="T98" s="1207"/>
      <c r="U98" s="1207"/>
      <c r="V98" s="1207"/>
      <c r="W98" s="1207"/>
      <c r="X98" s="1207"/>
      <c r="Y98" s="1207"/>
      <c r="Z98" s="1207"/>
      <c r="AA98" s="1207"/>
      <c r="AB98" s="1207"/>
      <c r="AC98" s="1207"/>
      <c r="AD98" s="1207"/>
      <c r="AE98" s="1207"/>
      <c r="AF98" s="1207"/>
      <c r="AG98" s="1207"/>
      <c r="AH98" s="1207"/>
      <c r="AN98" s="1280"/>
      <c r="AP98" s="1361"/>
    </row>
    <row r="99" spans="1:42" x14ac:dyDescent="0.2">
      <c r="A99" s="1207"/>
      <c r="B99" s="1350">
        <v>42374</v>
      </c>
      <c r="C99" s="1363">
        <v>20886</v>
      </c>
      <c r="D99" s="1354"/>
      <c r="E99" s="1354"/>
      <c r="F99" s="1207"/>
      <c r="G99" s="1207"/>
      <c r="H99" s="1207"/>
      <c r="I99" s="1207"/>
      <c r="J99" s="1207"/>
      <c r="K99" s="1207"/>
      <c r="L99" s="1207"/>
      <c r="M99" s="1207"/>
      <c r="N99" s="1207"/>
      <c r="O99" s="1207"/>
      <c r="P99" s="1208"/>
      <c r="Q99" s="1207"/>
      <c r="R99" s="1207"/>
      <c r="S99" s="1207"/>
      <c r="T99" s="1207"/>
      <c r="U99" s="1207"/>
      <c r="V99" s="1207"/>
      <c r="W99" s="1207"/>
      <c r="X99" s="1207"/>
      <c r="Y99" s="1207"/>
      <c r="Z99" s="1207"/>
      <c r="AA99" s="1207"/>
      <c r="AB99" s="1207"/>
      <c r="AC99" s="1207"/>
      <c r="AD99" s="1207"/>
      <c r="AE99" s="1207"/>
      <c r="AF99" s="1207"/>
      <c r="AG99" s="1207"/>
      <c r="AH99" s="1207"/>
      <c r="AN99" s="1280"/>
      <c r="AP99" s="1361"/>
    </row>
    <row r="100" spans="1:42" x14ac:dyDescent="0.2">
      <c r="A100" s="1207"/>
      <c r="B100" s="1350">
        <v>42376</v>
      </c>
      <c r="C100" s="1363">
        <v>4343</v>
      </c>
      <c r="D100" s="1354"/>
      <c r="E100" s="1354"/>
      <c r="F100" s="1207"/>
      <c r="G100" s="1207"/>
      <c r="H100" s="1207"/>
      <c r="I100" s="1207"/>
      <c r="J100" s="1207"/>
      <c r="K100" s="1207"/>
      <c r="L100" s="1207"/>
      <c r="M100" s="1207"/>
      <c r="N100" s="1207"/>
      <c r="O100" s="1207"/>
      <c r="P100" s="1208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07"/>
      <c r="AA100" s="1207"/>
      <c r="AB100" s="1207"/>
      <c r="AC100" s="1207"/>
      <c r="AD100" s="1207"/>
      <c r="AE100" s="1207"/>
      <c r="AF100" s="1207"/>
      <c r="AG100" s="1207"/>
      <c r="AH100" s="1207"/>
      <c r="AN100" s="1280"/>
      <c r="AP100" s="1361"/>
    </row>
    <row r="101" spans="1:42" x14ac:dyDescent="0.2">
      <c r="A101" s="1207"/>
      <c r="B101" s="1350">
        <v>42353</v>
      </c>
      <c r="C101" s="1363"/>
      <c r="D101" s="1354"/>
      <c r="E101" s="1354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8"/>
      <c r="Q101" s="1207"/>
      <c r="R101" s="1207"/>
      <c r="S101" s="1207"/>
      <c r="T101" s="1207"/>
      <c r="U101" s="1207"/>
      <c r="V101" s="1207"/>
      <c r="W101" s="1207"/>
      <c r="X101" s="1207"/>
      <c r="Y101" s="1207"/>
      <c r="Z101" s="1207"/>
      <c r="AA101" s="1207"/>
      <c r="AB101" s="1207"/>
      <c r="AC101" s="1207"/>
      <c r="AD101" s="1207"/>
      <c r="AE101" s="1207"/>
      <c r="AF101" s="1207"/>
      <c r="AG101" s="1207"/>
      <c r="AH101" s="1207"/>
      <c r="AN101" s="1280"/>
      <c r="AP101" s="1361"/>
    </row>
    <row r="102" spans="1:42" x14ac:dyDescent="0.2">
      <c r="A102" s="1207"/>
      <c r="B102" s="1350">
        <v>42354</v>
      </c>
      <c r="C102" s="1363"/>
      <c r="D102" s="1354"/>
      <c r="E102" s="1354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8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07"/>
      <c r="AA102" s="1207"/>
      <c r="AB102" s="1207"/>
      <c r="AC102" s="1207"/>
      <c r="AD102" s="1207"/>
      <c r="AE102" s="1207"/>
      <c r="AF102" s="1207"/>
      <c r="AG102" s="1207"/>
      <c r="AH102" s="1207"/>
      <c r="AN102" s="1280"/>
      <c r="AP102" s="1361"/>
    </row>
    <row r="103" spans="1:42" x14ac:dyDescent="0.2">
      <c r="A103" s="1207"/>
      <c r="B103" s="1350">
        <v>42339</v>
      </c>
      <c r="C103" s="1363"/>
      <c r="D103" s="1354"/>
      <c r="E103" s="1354"/>
      <c r="F103" s="1207"/>
      <c r="G103" s="1207"/>
      <c r="H103" s="1207"/>
      <c r="I103" s="1207"/>
      <c r="J103" s="1207"/>
      <c r="K103" s="1207"/>
      <c r="L103" s="1207"/>
      <c r="M103" s="1207"/>
      <c r="N103" s="1207"/>
      <c r="O103" s="1207"/>
      <c r="P103" s="1208"/>
      <c r="Q103" s="1207"/>
      <c r="R103" s="1207"/>
      <c r="S103" s="1207"/>
      <c r="T103" s="1207"/>
      <c r="U103" s="1207"/>
      <c r="V103" s="1207"/>
      <c r="W103" s="1207"/>
      <c r="X103" s="1207"/>
      <c r="Y103" s="1207"/>
      <c r="Z103" s="1207"/>
      <c r="AA103" s="1207"/>
      <c r="AB103" s="1207"/>
      <c r="AC103" s="1207"/>
      <c r="AD103" s="1207"/>
      <c r="AE103" s="1207"/>
      <c r="AF103" s="1207"/>
      <c r="AG103" s="1207"/>
      <c r="AH103" s="1207"/>
      <c r="AN103" s="1280"/>
      <c r="AP103" s="1361"/>
    </row>
    <row r="104" spans="1:42" x14ac:dyDescent="0.2">
      <c r="A104" s="1207"/>
      <c r="B104" s="1350">
        <v>42355</v>
      </c>
      <c r="C104" s="1364">
        <f>11633.563+315.071+177.826+3014.71</f>
        <v>15141.169999999998</v>
      </c>
      <c r="D104" s="1354"/>
      <c r="E104" s="1354"/>
      <c r="F104" s="1207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8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07"/>
      <c r="AA104" s="1207"/>
      <c r="AB104" s="1207"/>
      <c r="AC104" s="1207"/>
      <c r="AD104" s="1207"/>
      <c r="AE104" s="1207"/>
      <c r="AF104" s="1207"/>
      <c r="AG104" s="1207"/>
      <c r="AH104" s="1207"/>
      <c r="AN104" s="1280"/>
      <c r="AP104" s="1361"/>
    </row>
    <row r="105" spans="1:42" x14ac:dyDescent="0.2">
      <c r="A105" s="1207"/>
      <c r="B105" s="1350">
        <v>42341</v>
      </c>
      <c r="C105" s="1363"/>
      <c r="D105" s="1354"/>
      <c r="E105" s="1354"/>
      <c r="F105" s="1207"/>
      <c r="G105" s="1207"/>
      <c r="H105" s="1207"/>
      <c r="I105" s="1207"/>
      <c r="J105" s="1207"/>
      <c r="K105" s="1207"/>
      <c r="L105" s="1207"/>
      <c r="M105" s="1207"/>
      <c r="N105" s="1207"/>
      <c r="O105" s="1207"/>
      <c r="P105" s="1208"/>
      <c r="Q105" s="1207"/>
      <c r="R105" s="1207"/>
      <c r="S105" s="1207"/>
      <c r="T105" s="1207"/>
      <c r="U105" s="1207"/>
      <c r="V105" s="1207"/>
      <c r="W105" s="1207"/>
      <c r="X105" s="1207"/>
      <c r="Y105" s="1207"/>
      <c r="Z105" s="1207"/>
      <c r="AA105" s="1207"/>
      <c r="AB105" s="1207"/>
      <c r="AC105" s="1207"/>
      <c r="AD105" s="1207"/>
      <c r="AE105" s="1207"/>
      <c r="AF105" s="1207"/>
      <c r="AG105" s="1207"/>
      <c r="AH105" s="1207"/>
      <c r="AN105" s="1280"/>
      <c r="AP105" s="1361"/>
    </row>
    <row r="106" spans="1:42" x14ac:dyDescent="0.2">
      <c r="A106" s="1207"/>
      <c r="B106" s="1350">
        <v>42353</v>
      </c>
      <c r="C106" s="1364"/>
      <c r="D106" s="1354"/>
      <c r="E106" s="1354"/>
      <c r="F106" s="1207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8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07"/>
      <c r="AA106" s="1207"/>
      <c r="AB106" s="1207"/>
      <c r="AC106" s="1207"/>
      <c r="AD106" s="1207"/>
      <c r="AE106" s="1207"/>
      <c r="AF106" s="1207"/>
      <c r="AG106" s="1207"/>
      <c r="AH106" s="1207"/>
      <c r="AN106" s="1280"/>
      <c r="AP106" s="1361"/>
    </row>
    <row r="107" spans="1:42" x14ac:dyDescent="0.2">
      <c r="A107" s="1207"/>
      <c r="B107" s="1350">
        <v>42353</v>
      </c>
      <c r="C107" s="1364"/>
      <c r="D107" s="1354" t="s">
        <v>813</v>
      </c>
      <c r="E107" s="1354"/>
      <c r="F107" s="1207"/>
      <c r="G107" s="1207"/>
      <c r="H107" s="1207"/>
      <c r="I107" s="1207"/>
      <c r="J107" s="1207"/>
      <c r="K107" s="1207"/>
      <c r="L107" s="1207"/>
      <c r="M107" s="1207"/>
      <c r="N107" s="1207"/>
      <c r="O107" s="1207"/>
      <c r="P107" s="1208"/>
      <c r="Q107" s="1207"/>
      <c r="R107" s="1207"/>
      <c r="S107" s="1207"/>
      <c r="T107" s="1207"/>
      <c r="U107" s="1207"/>
      <c r="V107" s="1207"/>
      <c r="W107" s="1207"/>
      <c r="X107" s="1207"/>
      <c r="Y107" s="1207"/>
      <c r="Z107" s="1207"/>
      <c r="AA107" s="1207"/>
      <c r="AB107" s="1207"/>
      <c r="AC107" s="1207"/>
      <c r="AD107" s="1207"/>
      <c r="AE107" s="1207"/>
      <c r="AF107" s="1207"/>
      <c r="AG107" s="1207"/>
      <c r="AH107" s="1207"/>
      <c r="AN107" s="1280"/>
      <c r="AP107" s="1361"/>
    </row>
    <row r="108" spans="1:42" x14ac:dyDescent="0.2">
      <c r="A108" s="1207" t="s">
        <v>436</v>
      </c>
      <c r="B108" s="1350">
        <v>42349</v>
      </c>
      <c r="C108" s="1358"/>
      <c r="D108" s="1354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8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N108" s="1280"/>
    </row>
    <row r="109" spans="1:42" x14ac:dyDescent="0.2">
      <c r="A109" s="1365" t="s">
        <v>33</v>
      </c>
      <c r="B109" s="1350">
        <v>42373</v>
      </c>
      <c r="C109" s="1351">
        <v>34308.881999999998</v>
      </c>
      <c r="D109" s="1354"/>
      <c r="E109" s="1207"/>
      <c r="F109" s="1207"/>
      <c r="G109" s="1346"/>
      <c r="H109" s="1354"/>
      <c r="I109" s="1207"/>
      <c r="J109" s="1207"/>
      <c r="K109" s="1207"/>
      <c r="L109" s="1207"/>
      <c r="M109" s="1207"/>
      <c r="N109" s="1207"/>
      <c r="O109" s="1207"/>
      <c r="P109" s="1208"/>
      <c r="Q109" s="1207"/>
      <c r="R109" s="1207"/>
      <c r="S109" s="1207"/>
      <c r="T109" s="1207"/>
      <c r="U109" s="1207"/>
      <c r="V109" s="1207"/>
      <c r="W109" s="1207"/>
      <c r="X109" s="1207"/>
      <c r="Y109" s="1207"/>
      <c r="Z109" s="1207"/>
      <c r="AA109" s="1207"/>
      <c r="AB109" s="1207"/>
      <c r="AC109" s="1207"/>
      <c r="AD109" s="1207"/>
      <c r="AE109" s="1207"/>
      <c r="AF109" s="1207"/>
      <c r="AG109" s="1207"/>
      <c r="AH109" s="1207"/>
      <c r="AN109" s="1280">
        <v>222914.55799999999</v>
      </c>
    </row>
    <row r="110" spans="1:42" x14ac:dyDescent="0.2">
      <c r="A110" s="1365" t="s">
        <v>33</v>
      </c>
      <c r="B110" s="1350">
        <v>42374</v>
      </c>
      <c r="C110" s="1351">
        <v>65426.203000000001</v>
      </c>
      <c r="D110" s="1354"/>
      <c r="E110" s="1351"/>
      <c r="F110" s="121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8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07"/>
      <c r="AA110" s="1207"/>
      <c r="AB110" s="1207"/>
      <c r="AC110" s="1207"/>
      <c r="AD110" s="1207"/>
      <c r="AE110" s="1207"/>
      <c r="AF110" s="1207"/>
      <c r="AG110" s="1207"/>
      <c r="AH110" s="1207"/>
    </row>
    <row r="111" spans="1:42" x14ac:dyDescent="0.2">
      <c r="A111" s="1365" t="s">
        <v>32</v>
      </c>
      <c r="B111" s="1350">
        <v>42375</v>
      </c>
      <c r="C111" s="1351">
        <v>132123.45600000001</v>
      </c>
      <c r="D111" s="1207"/>
      <c r="E111" s="1350"/>
      <c r="F111" s="1219"/>
      <c r="G111" s="1207"/>
      <c r="H111" s="1207"/>
      <c r="I111" s="1207"/>
      <c r="J111" s="1207"/>
      <c r="K111" s="1207"/>
      <c r="L111" s="1207"/>
      <c r="M111" s="1207"/>
      <c r="N111" s="1207"/>
      <c r="O111" s="1207"/>
      <c r="P111" s="1208"/>
      <c r="Q111" s="1207"/>
      <c r="R111" s="1207"/>
      <c r="S111" s="1207"/>
      <c r="T111" s="1207"/>
      <c r="U111" s="1207"/>
      <c r="V111" s="1207"/>
      <c r="W111" s="1207"/>
      <c r="X111" s="1207"/>
      <c r="Y111" s="1207"/>
      <c r="Z111" s="1207"/>
      <c r="AA111" s="1207"/>
      <c r="AB111" s="1207"/>
      <c r="AC111" s="1207"/>
      <c r="AD111" s="1207"/>
      <c r="AE111" s="1207"/>
      <c r="AF111" s="1207"/>
      <c r="AG111" s="1207"/>
      <c r="AH111" s="1207"/>
      <c r="AN111" s="1361">
        <f>AN109-AN93</f>
        <v>55537.753999999957</v>
      </c>
    </row>
    <row r="112" spans="1:42" x14ac:dyDescent="0.2">
      <c r="A112" s="1365" t="s">
        <v>33</v>
      </c>
      <c r="B112" s="1350">
        <v>42285</v>
      </c>
      <c r="C112" s="1351"/>
      <c r="D112" s="1207"/>
      <c r="E112" s="1350"/>
      <c r="F112" s="121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8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07"/>
      <c r="AA112" s="1207"/>
      <c r="AB112" s="1207"/>
      <c r="AC112" s="1207"/>
      <c r="AD112" s="1207"/>
      <c r="AE112" s="1207"/>
      <c r="AF112" s="1207"/>
      <c r="AG112" s="1207"/>
      <c r="AH112" s="1207"/>
    </row>
    <row r="113" spans="1:34" x14ac:dyDescent="0.2">
      <c r="A113" s="1365" t="s">
        <v>32</v>
      </c>
      <c r="B113" s="1350">
        <v>42249</v>
      </c>
      <c r="C113" s="1351"/>
      <c r="D113" s="1207"/>
      <c r="E113" s="1207"/>
      <c r="F113" s="1207"/>
      <c r="G113" s="1207"/>
      <c r="H113" s="1207"/>
      <c r="I113" s="1207"/>
      <c r="J113" s="1207"/>
      <c r="K113" s="1207"/>
      <c r="L113" s="1207"/>
      <c r="M113" s="1207"/>
      <c r="N113" s="1207"/>
      <c r="O113" s="1207"/>
      <c r="P113" s="1208"/>
      <c r="Q113" s="1207"/>
      <c r="R113" s="1207"/>
      <c r="S113" s="1207"/>
      <c r="T113" s="1207"/>
      <c r="U113" s="1207"/>
      <c r="V113" s="1207"/>
      <c r="W113" s="1207"/>
      <c r="X113" s="1207"/>
      <c r="Y113" s="1207"/>
      <c r="Z113" s="1207"/>
      <c r="AA113" s="1207"/>
      <c r="AB113" s="1207"/>
      <c r="AC113" s="1207"/>
      <c r="AD113" s="1207"/>
      <c r="AE113" s="1207"/>
      <c r="AF113" s="1207"/>
      <c r="AG113" s="1207"/>
      <c r="AH113" s="1207"/>
    </row>
    <row r="114" spans="1:34" x14ac:dyDescent="0.2">
      <c r="A114" s="1365" t="s">
        <v>1036</v>
      </c>
      <c r="B114" s="1350">
        <v>42249</v>
      </c>
      <c r="C114" s="1351"/>
      <c r="D114" s="1207"/>
      <c r="E114" s="1354"/>
      <c r="F114" s="1207"/>
      <c r="G114" s="1207"/>
      <c r="H114" s="1207"/>
      <c r="I114" s="1207"/>
      <c r="J114" s="1207"/>
      <c r="K114" s="1207"/>
      <c r="L114" s="1207"/>
      <c r="M114" s="1207"/>
      <c r="N114" s="1207"/>
      <c r="O114" s="1207"/>
      <c r="P114" s="1208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07"/>
      <c r="AA114" s="1207"/>
      <c r="AB114" s="1207"/>
      <c r="AC114" s="1207"/>
      <c r="AD114" s="1207"/>
      <c r="AE114" s="1207"/>
      <c r="AF114" s="1207"/>
      <c r="AG114" s="1207"/>
      <c r="AH114" s="1207"/>
    </row>
    <row r="115" spans="1:34" x14ac:dyDescent="0.2">
      <c r="A115" s="1365" t="s">
        <v>32</v>
      </c>
      <c r="B115" s="1350">
        <v>42250</v>
      </c>
      <c r="C115" s="1351"/>
      <c r="D115" s="1354"/>
      <c r="E115" s="1354"/>
      <c r="F115" s="1207"/>
      <c r="G115" s="1207"/>
      <c r="H115" s="1207"/>
      <c r="I115" s="1207"/>
      <c r="J115" s="1207"/>
      <c r="K115" s="1207"/>
      <c r="L115" s="1207"/>
      <c r="M115" s="1207"/>
      <c r="N115" s="1207"/>
      <c r="O115" s="1207"/>
      <c r="P115" s="1208"/>
      <c r="Q115" s="1207"/>
      <c r="R115" s="1207"/>
      <c r="S115" s="1207"/>
      <c r="T115" s="1207"/>
      <c r="U115" s="1207"/>
      <c r="V115" s="1207"/>
      <c r="W115" s="1207"/>
      <c r="X115" s="1207"/>
      <c r="Y115" s="1207"/>
      <c r="Z115" s="1207"/>
      <c r="AA115" s="1207"/>
      <c r="AB115" s="1207"/>
      <c r="AC115" s="1207"/>
      <c r="AD115" s="1207"/>
      <c r="AE115" s="1207"/>
      <c r="AF115" s="1207"/>
      <c r="AG115" s="1207"/>
      <c r="AH115" s="1207"/>
    </row>
    <row r="116" spans="1:34" x14ac:dyDescent="0.2">
      <c r="A116" s="1365" t="s">
        <v>33</v>
      </c>
      <c r="B116" s="1350">
        <v>42248</v>
      </c>
      <c r="C116" s="1351"/>
      <c r="D116" s="1207"/>
      <c r="E116" s="1207"/>
      <c r="F116" s="1207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8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07"/>
      <c r="AA116" s="1207"/>
      <c r="AB116" s="1207"/>
      <c r="AC116" s="1207"/>
      <c r="AD116" s="1207"/>
      <c r="AE116" s="1207"/>
      <c r="AF116" s="1207"/>
      <c r="AG116" s="1207"/>
      <c r="AH116" s="1207"/>
    </row>
    <row r="117" spans="1:34" x14ac:dyDescent="0.2">
      <c r="A117" s="1365" t="s">
        <v>33</v>
      </c>
      <c r="B117" s="1350">
        <v>42248</v>
      </c>
      <c r="C117" s="1351"/>
      <c r="D117" s="1207"/>
      <c r="E117" s="1354"/>
      <c r="F117" s="1207"/>
      <c r="G117" s="1207"/>
      <c r="H117" s="1207"/>
      <c r="I117" s="1207"/>
      <c r="J117" s="1207"/>
      <c r="K117" s="1207"/>
      <c r="L117" s="1207"/>
      <c r="M117" s="1207"/>
      <c r="N117" s="1207"/>
      <c r="O117" s="1207"/>
      <c r="P117" s="1208"/>
      <c r="Q117" s="1207"/>
      <c r="R117" s="1207"/>
      <c r="S117" s="1207"/>
      <c r="T117" s="1207"/>
      <c r="U117" s="1207"/>
      <c r="V117" s="1207"/>
      <c r="W117" s="1207"/>
      <c r="X117" s="1207"/>
      <c r="Y117" s="1207"/>
      <c r="Z117" s="1207"/>
      <c r="AA117" s="1207"/>
      <c r="AB117" s="1207"/>
      <c r="AC117" s="1207"/>
      <c r="AD117" s="1207"/>
      <c r="AE117" s="1207"/>
      <c r="AF117" s="1207"/>
      <c r="AG117" s="1207"/>
      <c r="AH117" s="1207"/>
    </row>
    <row r="118" spans="1:34" x14ac:dyDescent="0.2">
      <c r="A118" s="1365" t="s">
        <v>33</v>
      </c>
      <c r="B118" s="1350">
        <v>42248</v>
      </c>
      <c r="C118" s="1351"/>
      <c r="D118" s="1207"/>
      <c r="E118" s="1207"/>
      <c r="F118" s="1207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8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07"/>
      <c r="AA118" s="1207"/>
      <c r="AB118" s="1207"/>
      <c r="AC118" s="1207"/>
      <c r="AD118" s="1207"/>
      <c r="AE118" s="1207"/>
      <c r="AF118" s="1207"/>
      <c r="AG118" s="1207"/>
      <c r="AH118" s="1207"/>
    </row>
    <row r="119" spans="1:34" x14ac:dyDescent="0.2">
      <c r="A119" s="1365" t="s">
        <v>33</v>
      </c>
      <c r="B119" s="1350">
        <v>42248</v>
      </c>
      <c r="C119" s="1351"/>
      <c r="D119" s="1207"/>
      <c r="E119" s="1366"/>
      <c r="F119" s="1207"/>
      <c r="G119" s="1207"/>
      <c r="H119" s="1207"/>
      <c r="I119" s="1207"/>
      <c r="J119" s="1207"/>
      <c r="K119" s="1207"/>
      <c r="L119" s="1207"/>
      <c r="M119" s="1207"/>
      <c r="N119" s="1207"/>
      <c r="O119" s="1207"/>
      <c r="P119" s="1208"/>
      <c r="Q119" s="1207"/>
      <c r="R119" s="1207"/>
      <c r="S119" s="1207"/>
      <c r="T119" s="1207"/>
      <c r="U119" s="1207"/>
      <c r="V119" s="1207"/>
      <c r="W119" s="1207"/>
      <c r="X119" s="1207"/>
      <c r="Y119" s="1207"/>
      <c r="Z119" s="1207"/>
      <c r="AA119" s="1207"/>
      <c r="AB119" s="1207"/>
      <c r="AC119" s="1207"/>
      <c r="AD119" s="1207"/>
      <c r="AE119" s="1207"/>
      <c r="AF119" s="1207"/>
      <c r="AG119" s="1207"/>
      <c r="AH119" s="1207"/>
    </row>
    <row r="120" spans="1:34" x14ac:dyDescent="0.2">
      <c r="A120" s="1365" t="s">
        <v>32</v>
      </c>
      <c r="B120" s="1350">
        <v>42251</v>
      </c>
      <c r="C120" s="1367"/>
      <c r="D120" s="1207"/>
      <c r="E120" s="1354"/>
      <c r="F120" s="1207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8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</row>
    <row r="121" spans="1:34" x14ac:dyDescent="0.2">
      <c r="A121" s="1316" t="s">
        <v>33</v>
      </c>
      <c r="B121" s="1350">
        <v>42342</v>
      </c>
      <c r="C121" s="1351"/>
      <c r="D121" s="1207"/>
      <c r="E121" s="1207"/>
      <c r="F121" s="1207"/>
      <c r="G121" s="1354"/>
      <c r="H121" s="1354"/>
      <c r="I121" s="1207"/>
      <c r="J121" s="1207"/>
      <c r="K121" s="1207"/>
      <c r="L121" s="1207"/>
      <c r="M121" s="1207"/>
      <c r="N121" s="1207"/>
      <c r="O121" s="1207"/>
      <c r="P121" s="1208"/>
      <c r="Q121" s="1207"/>
      <c r="R121" s="1207"/>
      <c r="S121" s="1207"/>
      <c r="T121" s="1207"/>
      <c r="U121" s="1207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</row>
    <row r="122" spans="1:34" x14ac:dyDescent="0.2">
      <c r="A122" s="1207"/>
      <c r="B122" s="1350"/>
      <c r="C122" s="1345"/>
      <c r="D122" s="1207"/>
      <c r="E122" s="1207"/>
      <c r="F122" s="1207"/>
      <c r="G122" s="1354"/>
      <c r="H122" s="1207"/>
      <c r="I122" s="1207"/>
      <c r="J122" s="1207"/>
      <c r="K122" s="1207"/>
      <c r="L122" s="1207"/>
      <c r="M122" s="1207"/>
      <c r="N122" s="1207"/>
      <c r="O122" s="1207"/>
      <c r="P122" s="1208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07"/>
      <c r="AA122" s="1207"/>
      <c r="AB122" s="1207"/>
      <c r="AC122" s="1207"/>
      <c r="AD122" s="1207"/>
      <c r="AE122" s="1207"/>
      <c r="AF122" s="1207"/>
      <c r="AG122" s="1207"/>
      <c r="AH122" s="1207"/>
    </row>
    <row r="123" spans="1:34" x14ac:dyDescent="0.2">
      <c r="A123" s="1207"/>
      <c r="B123" s="1350"/>
      <c r="C123" s="1207"/>
      <c r="D123" s="1207"/>
      <c r="E123" s="1207"/>
      <c r="F123" s="1207"/>
      <c r="G123" s="1207"/>
      <c r="H123" s="1367"/>
      <c r="I123" s="1207"/>
      <c r="J123" s="1207"/>
      <c r="K123" s="1207"/>
      <c r="L123" s="1207"/>
      <c r="M123" s="1207"/>
      <c r="N123" s="1207"/>
      <c r="O123" s="1207"/>
      <c r="P123" s="1208"/>
      <c r="Q123" s="1207"/>
      <c r="R123" s="1207"/>
      <c r="S123" s="1207"/>
      <c r="T123" s="1207"/>
      <c r="U123" s="1207"/>
      <c r="V123" s="1207"/>
      <c r="W123" s="1207"/>
      <c r="X123" s="1207"/>
      <c r="Y123" s="1207"/>
      <c r="Z123" s="1207"/>
      <c r="AA123" s="1207"/>
      <c r="AB123" s="1207"/>
      <c r="AC123" s="1207"/>
      <c r="AD123" s="1207"/>
      <c r="AE123" s="1207"/>
      <c r="AF123" s="1207"/>
      <c r="AG123" s="1207"/>
      <c r="AH123" s="1207"/>
    </row>
    <row r="124" spans="1:34" x14ac:dyDescent="0.2">
      <c r="A124" s="1207"/>
      <c r="B124" s="1350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8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07"/>
      <c r="AA124" s="1207"/>
      <c r="AB124" s="1207"/>
      <c r="AC124" s="1207"/>
      <c r="AD124" s="1207"/>
      <c r="AE124" s="1207"/>
      <c r="AF124" s="1207"/>
      <c r="AG124" s="1207"/>
      <c r="AH124" s="1207"/>
    </row>
    <row r="125" spans="1:34" x14ac:dyDescent="0.2">
      <c r="A125" s="1316"/>
      <c r="B125" s="1350"/>
      <c r="C125" s="1345"/>
      <c r="D125" s="1207"/>
      <c r="E125" s="1207"/>
      <c r="F125" s="1207"/>
      <c r="G125" s="1207"/>
      <c r="H125" s="1207"/>
      <c r="I125" s="1207"/>
      <c r="J125" s="1207"/>
      <c r="K125" s="1207"/>
      <c r="L125" s="1207"/>
      <c r="M125" s="1207"/>
      <c r="N125" s="1207"/>
      <c r="O125" s="1207"/>
      <c r="P125" s="1208"/>
      <c r="Q125" s="1207"/>
      <c r="R125" s="1207"/>
      <c r="S125" s="1207"/>
      <c r="T125" s="1207"/>
      <c r="U125" s="1207"/>
      <c r="V125" s="1207"/>
      <c r="W125" s="1207"/>
      <c r="X125" s="1207"/>
      <c r="Y125" s="1207"/>
      <c r="Z125" s="1207"/>
      <c r="AA125" s="1207"/>
      <c r="AB125" s="1207"/>
      <c r="AC125" s="1207"/>
      <c r="AD125" s="1207"/>
      <c r="AE125" s="1207"/>
      <c r="AF125" s="1207"/>
      <c r="AG125" s="1207"/>
      <c r="AH125" s="1207"/>
    </row>
    <row r="126" spans="1:34" x14ac:dyDescent="0.2">
      <c r="A126" s="1316"/>
      <c r="B126" s="1350"/>
      <c r="C126" s="1345"/>
      <c r="D126" s="1207"/>
      <c r="E126" s="1207"/>
      <c r="F126" s="1207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8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07"/>
      <c r="AA126" s="1207"/>
      <c r="AB126" s="1207"/>
      <c r="AC126" s="1207"/>
      <c r="AD126" s="1207"/>
      <c r="AE126" s="1207"/>
      <c r="AF126" s="1207"/>
      <c r="AG126" s="1207"/>
      <c r="AH126" s="1207"/>
    </row>
    <row r="127" spans="1:34" x14ac:dyDescent="0.2">
      <c r="A127" s="1207"/>
      <c r="B127" s="1207"/>
      <c r="C127" s="1207"/>
      <c r="D127" s="1207"/>
      <c r="E127" s="1207"/>
      <c r="F127" s="1207"/>
      <c r="G127" s="1207"/>
      <c r="H127" s="1207"/>
      <c r="I127" s="1207"/>
      <c r="J127" s="1207"/>
      <c r="K127" s="1207"/>
      <c r="L127" s="1207"/>
      <c r="M127" s="1207"/>
      <c r="N127" s="1207"/>
      <c r="O127" s="1207"/>
      <c r="P127" s="1208"/>
      <c r="Q127" s="1207"/>
      <c r="R127" s="1207"/>
      <c r="S127" s="1207"/>
      <c r="T127" s="1207"/>
      <c r="U127" s="1207"/>
      <c r="V127" s="1207"/>
      <c r="W127" s="1207"/>
      <c r="X127" s="1207"/>
      <c r="Y127" s="1207"/>
      <c r="Z127" s="1207"/>
      <c r="AA127" s="1207"/>
      <c r="AB127" s="1207"/>
      <c r="AC127" s="1207"/>
      <c r="AD127" s="1207"/>
      <c r="AE127" s="1207"/>
      <c r="AF127" s="1207"/>
      <c r="AG127" s="1207"/>
      <c r="AH127" s="1207"/>
    </row>
    <row r="128" spans="1:34" x14ac:dyDescent="0.2">
      <c r="A128" s="1207"/>
      <c r="B128" s="1207"/>
      <c r="C128" s="1207"/>
      <c r="D128" s="1207"/>
      <c r="E128" s="1207"/>
      <c r="F128" s="1207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8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07"/>
      <c r="AA128" s="1207"/>
      <c r="AB128" s="1207"/>
      <c r="AC128" s="1207"/>
      <c r="AD128" s="1207"/>
      <c r="AE128" s="1207"/>
      <c r="AF128" s="1207"/>
      <c r="AG128" s="1207"/>
      <c r="AH128" s="1207"/>
    </row>
    <row r="129" spans="1:34" x14ac:dyDescent="0.2">
      <c r="A129" s="1207"/>
      <c r="B129" s="1207"/>
      <c r="C129" s="1207"/>
      <c r="D129" s="1207"/>
      <c r="E129" s="1207"/>
      <c r="F129" s="1207"/>
      <c r="G129" s="1207"/>
      <c r="H129" s="1207"/>
      <c r="I129" s="1207"/>
      <c r="J129" s="1207"/>
      <c r="K129" s="1207"/>
      <c r="L129" s="1207"/>
      <c r="M129" s="1207"/>
      <c r="N129" s="1207"/>
      <c r="O129" s="1207"/>
      <c r="P129" s="1208"/>
      <c r="Q129" s="1207"/>
      <c r="R129" s="1207"/>
      <c r="S129" s="1207"/>
      <c r="T129" s="1207"/>
      <c r="U129" s="1207"/>
      <c r="V129" s="1207"/>
      <c r="W129" s="1207"/>
      <c r="X129" s="1207"/>
      <c r="Y129" s="1207"/>
      <c r="Z129" s="1207"/>
      <c r="AA129" s="1207"/>
      <c r="AB129" s="1207"/>
      <c r="AC129" s="1207"/>
      <c r="AD129" s="1207"/>
      <c r="AE129" s="1207"/>
      <c r="AF129" s="1207"/>
      <c r="AG129" s="1207"/>
      <c r="AH129" s="1207"/>
    </row>
    <row r="130" spans="1:34" x14ac:dyDescent="0.2">
      <c r="A130" s="1207"/>
      <c r="B130" s="1207"/>
      <c r="C130" s="1207"/>
      <c r="D130" s="1207"/>
      <c r="E130" s="1207"/>
      <c r="F130" s="1207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8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07"/>
      <c r="AA130" s="1207"/>
      <c r="AB130" s="1207"/>
      <c r="AC130" s="1207"/>
      <c r="AD130" s="1207"/>
      <c r="AE130" s="1207"/>
      <c r="AF130" s="1207"/>
      <c r="AG130" s="1207"/>
      <c r="AH130" s="1207"/>
    </row>
    <row r="131" spans="1:34" ht="13.5" thickBot="1" x14ac:dyDescent="0.25">
      <c r="A131" s="1207"/>
      <c r="B131" s="1207"/>
      <c r="C131" s="1207"/>
      <c r="D131" s="1207"/>
      <c r="E131" s="1207"/>
      <c r="F131" s="1207"/>
      <c r="G131" s="1207"/>
      <c r="H131" s="1207"/>
      <c r="I131" s="1207"/>
      <c r="J131" s="1207"/>
      <c r="K131" s="1207"/>
      <c r="L131" s="1207"/>
      <c r="M131" s="1207"/>
      <c r="N131" s="1207"/>
      <c r="O131" s="1207"/>
      <c r="P131" s="1208"/>
      <c r="Q131" s="1207"/>
      <c r="R131" s="1207"/>
      <c r="S131" s="1207"/>
      <c r="T131" s="1207"/>
      <c r="U131" s="1207"/>
      <c r="V131" s="1207"/>
      <c r="W131" s="1207"/>
      <c r="X131" s="1207"/>
      <c r="Y131" s="1207"/>
      <c r="Z131" s="1207"/>
      <c r="AA131" s="1207"/>
      <c r="AB131" s="1207"/>
      <c r="AC131" s="1207"/>
      <c r="AD131" s="1207"/>
      <c r="AE131" s="1207"/>
      <c r="AF131" s="1207"/>
      <c r="AG131" s="1207"/>
      <c r="AH131" s="1207"/>
    </row>
    <row r="132" spans="1:34" x14ac:dyDescent="0.2">
      <c r="A132" s="1233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34"/>
      <c r="O132" s="1234"/>
      <c r="P132" s="1235"/>
      <c r="Q132" s="1234"/>
      <c r="R132" s="1234"/>
      <c r="S132" s="1234"/>
      <c r="T132" s="1234"/>
      <c r="U132" s="1234"/>
      <c r="V132" s="1234"/>
      <c r="W132" s="1234"/>
      <c r="X132" s="1234"/>
      <c r="Y132" s="1234"/>
      <c r="Z132" s="1234"/>
      <c r="AA132" s="1234"/>
      <c r="AB132" s="1234"/>
      <c r="AC132" s="1234"/>
      <c r="AD132" s="1234"/>
      <c r="AE132" s="1234"/>
      <c r="AF132" s="1234"/>
      <c r="AG132" s="1234"/>
      <c r="AH132" s="1207"/>
    </row>
    <row r="133" spans="1:34" x14ac:dyDescent="0.2">
      <c r="A133" s="1236"/>
      <c r="B133" s="1237" t="s">
        <v>37</v>
      </c>
      <c r="C133" s="1237"/>
      <c r="D133" s="1237"/>
      <c r="E133" s="1238" t="s">
        <v>910</v>
      </c>
      <c r="F133" s="1239" t="s">
        <v>95</v>
      </c>
      <c r="G133" s="1211" t="s">
        <v>6</v>
      </c>
      <c r="H133" s="1239"/>
      <c r="I133" s="1239"/>
      <c r="J133" s="1239"/>
      <c r="K133" s="1239"/>
      <c r="L133" s="1239"/>
      <c r="M133" s="1239"/>
      <c r="N133" s="1239"/>
      <c r="O133" s="1239"/>
      <c r="P133" s="1240"/>
      <c r="Q133" s="1239"/>
      <c r="R133" s="1239"/>
      <c r="S133" s="1239"/>
      <c r="T133" s="1239"/>
      <c r="U133" s="1239"/>
      <c r="V133" s="1239"/>
      <c r="W133" s="1239"/>
      <c r="X133" s="1239"/>
      <c r="Y133" s="1239"/>
      <c r="Z133" s="1239"/>
      <c r="AA133" s="1239"/>
      <c r="AB133" s="1239"/>
      <c r="AC133" s="1239"/>
      <c r="AD133" s="1239"/>
      <c r="AE133" s="1239"/>
      <c r="AF133" s="1239"/>
      <c r="AG133" s="1239"/>
      <c r="AH133" s="1207"/>
    </row>
    <row r="134" spans="1:34" x14ac:dyDescent="0.2">
      <c r="A134" s="1236"/>
      <c r="B134" s="1237"/>
      <c r="C134" s="1237"/>
      <c r="D134" s="1239"/>
      <c r="E134" s="1237"/>
      <c r="F134" s="1237"/>
      <c r="G134" s="1237"/>
      <c r="H134" s="1237"/>
      <c r="I134" s="1237"/>
      <c r="J134" s="1237"/>
      <c r="K134" s="1237"/>
      <c r="L134" s="1237"/>
      <c r="M134" s="1237"/>
      <c r="N134" s="1237"/>
      <c r="O134" s="1237"/>
      <c r="P134" s="1241"/>
      <c r="Q134" s="1237"/>
      <c r="R134" s="1237"/>
      <c r="S134" s="1237"/>
      <c r="T134" s="1237"/>
      <c r="U134" s="1237"/>
      <c r="V134" s="1237"/>
      <c r="W134" s="1237"/>
      <c r="X134" s="1237"/>
      <c r="Y134" s="1237"/>
      <c r="Z134" s="1237"/>
      <c r="AA134" s="1237"/>
      <c r="AB134" s="1237"/>
      <c r="AC134" s="1237"/>
      <c r="AD134" s="1237"/>
      <c r="AE134" s="1237"/>
      <c r="AF134" s="1237"/>
      <c r="AG134" s="1237"/>
      <c r="AH134" s="1207"/>
    </row>
    <row r="135" spans="1:34" x14ac:dyDescent="0.2">
      <c r="A135" s="1368"/>
      <c r="B135" s="1237"/>
      <c r="C135" s="1239"/>
      <c r="D135" s="1239">
        <v>42376</v>
      </c>
      <c r="E135" s="1237"/>
      <c r="F135" s="1237"/>
      <c r="G135" s="1237"/>
      <c r="H135" s="1237"/>
      <c r="I135" s="1237"/>
      <c r="J135" s="1237"/>
      <c r="K135" s="1237"/>
      <c r="L135" s="1237"/>
      <c r="M135" s="1237"/>
      <c r="N135" s="1237"/>
      <c r="O135" s="1237"/>
      <c r="P135" s="1241"/>
      <c r="Q135" s="1237"/>
      <c r="R135" s="1237"/>
      <c r="S135" s="1237"/>
      <c r="T135" s="1237"/>
      <c r="U135" s="1237"/>
      <c r="V135" s="1237"/>
      <c r="W135" s="1237"/>
      <c r="X135" s="1237"/>
      <c r="Y135" s="1237"/>
      <c r="Z135" s="1237"/>
      <c r="AA135" s="1237"/>
      <c r="AB135" s="1237"/>
      <c r="AC135" s="1237"/>
      <c r="AD135" s="1237"/>
      <c r="AE135" s="1237"/>
      <c r="AF135" s="1237"/>
      <c r="AG135" s="1237"/>
      <c r="AH135" s="1207"/>
    </row>
    <row r="136" spans="1:34" x14ac:dyDescent="0.2">
      <c r="A136" s="1236"/>
      <c r="B136" s="1237"/>
      <c r="C136" s="1239"/>
      <c r="D136" s="1239"/>
      <c r="E136" s="1237"/>
      <c r="F136" s="1237"/>
      <c r="G136" s="1237"/>
      <c r="H136" s="1237"/>
      <c r="I136" s="1237"/>
      <c r="J136" s="1237"/>
      <c r="K136" s="1237"/>
      <c r="L136" s="1237"/>
      <c r="M136" s="1237"/>
      <c r="N136" s="1237"/>
      <c r="O136" s="1237"/>
      <c r="P136" s="1241"/>
      <c r="Q136" s="1237"/>
      <c r="R136" s="1237"/>
      <c r="S136" s="1237"/>
      <c r="T136" s="1237"/>
      <c r="U136" s="1237"/>
      <c r="V136" s="1237"/>
      <c r="W136" s="1237"/>
      <c r="X136" s="1237"/>
      <c r="Y136" s="1237"/>
      <c r="Z136" s="1237"/>
      <c r="AA136" s="1237"/>
      <c r="AB136" s="1237"/>
      <c r="AC136" s="1237"/>
      <c r="AD136" s="1237"/>
      <c r="AE136" s="1237"/>
      <c r="AF136" s="1237"/>
      <c r="AG136" s="1237"/>
      <c r="AH136" s="1207"/>
    </row>
    <row r="137" spans="1:34" ht="13.5" thickBot="1" x14ac:dyDescent="0.25">
      <c r="A137" s="1236"/>
      <c r="B137" s="1237"/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1237"/>
      <c r="M137" s="1237"/>
      <c r="N137" s="1237"/>
      <c r="O137" s="1237"/>
      <c r="P137" s="1241"/>
      <c r="Q137" s="1237"/>
      <c r="R137" s="1237"/>
      <c r="S137" s="1237"/>
      <c r="T137" s="1237"/>
      <c r="U137" s="1237"/>
      <c r="V137" s="1237"/>
      <c r="W137" s="1237"/>
      <c r="X137" s="1237"/>
      <c r="Y137" s="1237"/>
      <c r="Z137" s="1237"/>
      <c r="AA137" s="1237"/>
      <c r="AB137" s="1237"/>
      <c r="AC137" s="1237"/>
      <c r="AD137" s="1237"/>
      <c r="AE137" s="1237"/>
      <c r="AF137" s="1237"/>
      <c r="AG137" s="1237"/>
      <c r="AH137" s="1207"/>
    </row>
    <row r="138" spans="1:34" ht="13.5" thickBot="1" x14ac:dyDescent="0.25">
      <c r="A138" s="1236"/>
      <c r="B138" s="1237"/>
      <c r="C138" s="1243"/>
      <c r="D138" s="1244" t="s">
        <v>16</v>
      </c>
      <c r="E138" s="1244"/>
      <c r="F138" s="1244"/>
      <c r="G138" s="1244"/>
      <c r="H138" s="1244"/>
      <c r="I138" s="1244"/>
      <c r="J138" s="1244"/>
      <c r="K138" s="1244"/>
      <c r="L138" s="1244"/>
      <c r="M138" s="1244"/>
      <c r="N138" s="1244"/>
      <c r="O138" s="1244"/>
      <c r="P138" s="1245"/>
      <c r="Q138" s="1244"/>
      <c r="R138" s="1244"/>
      <c r="S138" s="1244"/>
      <c r="T138" s="1244"/>
      <c r="U138" s="1244"/>
      <c r="V138" s="1244"/>
      <c r="W138" s="1244"/>
      <c r="X138" s="1244"/>
      <c r="Y138" s="1244"/>
      <c r="Z138" s="1244"/>
      <c r="AA138" s="1244"/>
      <c r="AB138" s="1244"/>
      <c r="AC138" s="1244"/>
      <c r="AD138" s="1244"/>
      <c r="AE138" s="1244"/>
      <c r="AF138" s="1244"/>
      <c r="AG138" s="1244"/>
      <c r="AH138" s="1207"/>
    </row>
    <row r="139" spans="1:34" ht="13.5" thickBot="1" x14ac:dyDescent="0.25">
      <c r="A139" s="1236"/>
      <c r="B139" s="1237"/>
      <c r="C139" s="1246" t="s">
        <v>452</v>
      </c>
      <c r="D139" s="1246" t="s">
        <v>453</v>
      </c>
      <c r="E139" s="1246" t="s">
        <v>434</v>
      </c>
      <c r="F139" s="1246" t="s">
        <v>390</v>
      </c>
      <c r="G139" s="1246" t="s">
        <v>454</v>
      </c>
      <c r="H139" s="1246" t="s">
        <v>455</v>
      </c>
      <c r="I139" s="1246" t="s">
        <v>456</v>
      </c>
      <c r="J139" s="1246" t="s">
        <v>457</v>
      </c>
      <c r="K139" s="1246" t="s">
        <v>458</v>
      </c>
      <c r="L139" s="1246" t="s">
        <v>216</v>
      </c>
      <c r="M139" s="1246" t="s">
        <v>459</v>
      </c>
      <c r="N139" s="1246" t="s">
        <v>297</v>
      </c>
      <c r="O139" s="1246" t="s">
        <v>211</v>
      </c>
      <c r="P139" s="1247" t="s">
        <v>270</v>
      </c>
      <c r="Q139" s="1246">
        <v>15</v>
      </c>
      <c r="R139" s="1246">
        <v>16</v>
      </c>
      <c r="S139" s="1246" t="s">
        <v>461</v>
      </c>
      <c r="T139" s="1246" t="s">
        <v>442</v>
      </c>
      <c r="U139" s="1246" t="s">
        <v>462</v>
      </c>
      <c r="V139" s="1246" t="s">
        <v>470</v>
      </c>
      <c r="W139" s="1246" t="s">
        <v>471</v>
      </c>
      <c r="X139" s="1246" t="s">
        <v>472</v>
      </c>
      <c r="Y139" s="1246" t="s">
        <v>463</v>
      </c>
      <c r="Z139" s="1246" t="s">
        <v>465</v>
      </c>
      <c r="AA139" s="1246" t="s">
        <v>466</v>
      </c>
      <c r="AB139" s="1246" t="s">
        <v>435</v>
      </c>
      <c r="AC139" s="1246" t="s">
        <v>467</v>
      </c>
      <c r="AD139" s="1246" t="s">
        <v>464</v>
      </c>
      <c r="AE139" s="1246" t="s">
        <v>429</v>
      </c>
      <c r="AF139" s="1246" t="s">
        <v>149</v>
      </c>
      <c r="AG139" s="1246" t="s">
        <v>210</v>
      </c>
      <c r="AH139" s="1207"/>
    </row>
    <row r="140" spans="1:34" x14ac:dyDescent="0.2">
      <c r="A140" s="1233"/>
      <c r="B140" s="1248"/>
      <c r="C140" s="1237"/>
      <c r="D140" s="1237"/>
      <c r="E140" s="1237"/>
      <c r="F140" s="1237"/>
      <c r="G140" s="1237"/>
      <c r="H140" s="1237"/>
      <c r="I140" s="1237"/>
      <c r="J140" s="1237"/>
      <c r="K140" s="1237"/>
      <c r="L140" s="1237"/>
      <c r="M140" s="1237"/>
      <c r="N140" s="1237"/>
      <c r="O140" s="1237"/>
      <c r="P140" s="1241"/>
      <c r="Q140" s="1237"/>
      <c r="R140" s="1237"/>
      <c r="S140" s="1237"/>
      <c r="T140" s="1237"/>
      <c r="U140" s="1237"/>
      <c r="V140" s="1237"/>
      <c r="W140" s="1237"/>
      <c r="X140" s="1237"/>
      <c r="Y140" s="1237"/>
      <c r="Z140" s="1237"/>
      <c r="AA140" s="1237"/>
      <c r="AB140" s="1237"/>
      <c r="AC140" s="1237"/>
      <c r="AD140" s="1237"/>
      <c r="AE140" s="1237"/>
      <c r="AF140" s="1237"/>
      <c r="AG140" s="1237"/>
      <c r="AH140" s="1207"/>
    </row>
    <row r="141" spans="1:34" x14ac:dyDescent="0.2">
      <c r="A141" s="1236" t="s">
        <v>0</v>
      </c>
      <c r="B141" s="1249">
        <v>13662.416999999999</v>
      </c>
      <c r="C141" s="1237"/>
      <c r="D141" s="1237"/>
      <c r="E141" s="1237"/>
      <c r="F141" s="1237"/>
      <c r="G141" s="1237"/>
      <c r="H141" s="1237"/>
      <c r="I141" s="1237"/>
      <c r="J141" s="1237"/>
      <c r="K141" s="1237"/>
      <c r="L141" s="1237"/>
      <c r="M141" s="1237"/>
      <c r="N141" s="1237"/>
      <c r="O141" s="1237"/>
      <c r="P141" s="1241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07"/>
    </row>
    <row r="142" spans="1:34" ht="13.5" thickBot="1" x14ac:dyDescent="0.25">
      <c r="A142" s="1250"/>
      <c r="B142" s="1251"/>
      <c r="C142" s="1237"/>
      <c r="D142" s="1237"/>
      <c r="E142" s="1237"/>
      <c r="F142" s="1237"/>
      <c r="G142" s="1237"/>
      <c r="H142" s="1237"/>
      <c r="I142" s="1237"/>
      <c r="J142" s="1237"/>
      <c r="K142" s="1237"/>
      <c r="L142" s="1237"/>
      <c r="M142" s="1237"/>
      <c r="N142" s="1237"/>
      <c r="O142" s="1237"/>
      <c r="P142" s="1241"/>
      <c r="Q142" s="1237"/>
      <c r="R142" s="1237"/>
      <c r="S142" s="1237"/>
      <c r="T142" s="1237"/>
      <c r="U142" s="1237"/>
      <c r="V142" s="1237"/>
      <c r="W142" s="1237"/>
      <c r="X142" s="1237"/>
      <c r="Y142" s="1237"/>
      <c r="Z142" s="1237"/>
      <c r="AA142" s="1237"/>
      <c r="AB142" s="1237"/>
      <c r="AC142" s="1237"/>
      <c r="AD142" s="1237"/>
      <c r="AE142" s="1237"/>
      <c r="AF142" s="1237"/>
      <c r="AG142" s="1237"/>
      <c r="AH142" s="1207"/>
    </row>
    <row r="143" spans="1:34" x14ac:dyDescent="0.2">
      <c r="A143" s="1233"/>
      <c r="B143" s="1253"/>
      <c r="C143" s="1237"/>
      <c r="D143" s="1237"/>
      <c r="E143" s="1237"/>
      <c r="F143" s="1237"/>
      <c r="G143" s="1237"/>
      <c r="H143" s="1237"/>
      <c r="I143" s="1237"/>
      <c r="J143" s="1237"/>
      <c r="K143" s="1237"/>
      <c r="L143" s="1237"/>
      <c r="M143" s="1237"/>
      <c r="N143" s="1237"/>
      <c r="O143" s="1237"/>
      <c r="P143" s="1241"/>
      <c r="Q143" s="1237"/>
      <c r="R143" s="1237"/>
      <c r="S143" s="1237"/>
      <c r="T143" s="1237"/>
      <c r="U143" s="1237"/>
      <c r="V143" s="1237"/>
      <c r="W143" s="1237"/>
      <c r="X143" s="1237"/>
      <c r="Y143" s="1237"/>
      <c r="Z143" s="1237"/>
      <c r="AA143" s="1237"/>
      <c r="AB143" s="1237"/>
      <c r="AC143" s="1237"/>
      <c r="AD143" s="1237"/>
      <c r="AE143" s="1237"/>
      <c r="AF143" s="1237"/>
      <c r="AG143" s="1237"/>
      <c r="AH143" s="1207"/>
    </row>
    <row r="144" spans="1:34" x14ac:dyDescent="0.2">
      <c r="A144" s="1236" t="s">
        <v>1</v>
      </c>
      <c r="B144" s="1249">
        <f>B145+B146+B147</f>
        <v>0</v>
      </c>
      <c r="C144" s="1237"/>
      <c r="D144" s="1237"/>
      <c r="E144" s="1237"/>
      <c r="F144" s="1237"/>
      <c r="G144" s="1237"/>
      <c r="H144" s="1237"/>
      <c r="I144" s="1237"/>
      <c r="J144" s="1237"/>
      <c r="K144" s="1237"/>
      <c r="L144" s="1237"/>
      <c r="M144" s="1237"/>
      <c r="N144" s="1237"/>
      <c r="O144" s="1237"/>
      <c r="P144" s="1241"/>
      <c r="Q144" s="1237"/>
      <c r="R144" s="1237"/>
      <c r="S144" s="1237"/>
      <c r="T144" s="1237"/>
      <c r="U144" s="1237"/>
      <c r="V144" s="1237"/>
      <c r="W144" s="1237"/>
      <c r="X144" s="1237"/>
      <c r="Y144" s="1237"/>
      <c r="Z144" s="1237"/>
      <c r="AA144" s="1237"/>
      <c r="AB144" s="1237"/>
      <c r="AC144" s="1237"/>
      <c r="AD144" s="1237"/>
      <c r="AE144" s="1237"/>
      <c r="AF144" s="1237"/>
      <c r="AG144" s="1237"/>
      <c r="AH144" s="1207"/>
    </row>
    <row r="145" spans="1:34" x14ac:dyDescent="0.2">
      <c r="A145" s="1236" t="s">
        <v>38</v>
      </c>
      <c r="B145" s="1249">
        <f>C195</f>
        <v>0</v>
      </c>
      <c r="C145" s="1237"/>
      <c r="D145" s="1237"/>
      <c r="E145" s="1237"/>
      <c r="F145" s="1237"/>
      <c r="G145" s="1237"/>
      <c r="H145" s="1237"/>
      <c r="I145" s="1237"/>
      <c r="J145" s="1237"/>
      <c r="K145" s="1237"/>
      <c r="L145" s="1237"/>
      <c r="M145" s="1237"/>
      <c r="N145" s="1237"/>
      <c r="O145" s="1237"/>
      <c r="P145" s="1241"/>
      <c r="Q145" s="1237"/>
      <c r="R145" s="1237"/>
      <c r="S145" s="1237"/>
      <c r="T145" s="1237"/>
      <c r="U145" s="1237"/>
      <c r="V145" s="1237"/>
      <c r="W145" s="1237"/>
      <c r="X145" s="1237"/>
      <c r="Y145" s="1237"/>
      <c r="Z145" s="1237"/>
      <c r="AA145" s="1237"/>
      <c r="AB145" s="1237"/>
      <c r="AC145" s="1237"/>
      <c r="AD145" s="1237"/>
      <c r="AE145" s="1237"/>
      <c r="AF145" s="1237"/>
      <c r="AG145" s="1237"/>
      <c r="AH145" s="1207"/>
    </row>
    <row r="146" spans="1:34" x14ac:dyDescent="0.2">
      <c r="A146" s="1236" t="s">
        <v>39</v>
      </c>
      <c r="B146" s="1249">
        <f>C215</f>
        <v>0</v>
      </c>
      <c r="C146" s="1237"/>
      <c r="D146" s="1237"/>
      <c r="E146" s="1237"/>
      <c r="F146" s="1237"/>
      <c r="G146" s="1237"/>
      <c r="H146" s="1237"/>
      <c r="I146" s="1237"/>
      <c r="J146" s="1237"/>
      <c r="K146" s="1237"/>
      <c r="L146" s="1237"/>
      <c r="M146" s="1237"/>
      <c r="N146" s="1237"/>
      <c r="O146" s="1237"/>
      <c r="P146" s="1241"/>
      <c r="Q146" s="1237"/>
      <c r="R146" s="1237"/>
      <c r="S146" s="1237"/>
      <c r="T146" s="1237"/>
      <c r="U146" s="1237"/>
      <c r="V146" s="1237"/>
      <c r="W146" s="1237"/>
      <c r="X146" s="1237"/>
      <c r="Y146" s="1237"/>
      <c r="Z146" s="1237"/>
      <c r="AA146" s="1237"/>
      <c r="AB146" s="1237"/>
      <c r="AC146" s="1237"/>
      <c r="AD146" s="1237"/>
      <c r="AE146" s="1237"/>
      <c r="AF146" s="1237"/>
      <c r="AG146" s="1237"/>
      <c r="AH146" s="1207"/>
    </row>
    <row r="147" spans="1:34" x14ac:dyDescent="0.2">
      <c r="A147" s="1236" t="s">
        <v>3</v>
      </c>
      <c r="B147" s="1249"/>
      <c r="C147" s="1237"/>
      <c r="D147" s="1237"/>
      <c r="E147" s="1237"/>
      <c r="F147" s="1237"/>
      <c r="G147" s="1237"/>
      <c r="H147" s="1237"/>
      <c r="I147" s="1237"/>
      <c r="J147" s="1237"/>
      <c r="K147" s="1237"/>
      <c r="L147" s="1237"/>
      <c r="M147" s="1237"/>
      <c r="N147" s="1237"/>
      <c r="O147" s="1237"/>
      <c r="P147" s="1241"/>
      <c r="Q147" s="1237"/>
      <c r="R147" s="1237"/>
      <c r="S147" s="1237"/>
      <c r="T147" s="1237"/>
      <c r="U147" s="1237"/>
      <c r="V147" s="1237"/>
      <c r="W147" s="1237"/>
      <c r="X147" s="1237"/>
      <c r="Y147" s="1237"/>
      <c r="Z147" s="1237"/>
      <c r="AA147" s="1237"/>
      <c r="AB147" s="1237"/>
      <c r="AC147" s="1237"/>
      <c r="AD147" s="1237"/>
      <c r="AE147" s="1237"/>
      <c r="AF147" s="1237"/>
      <c r="AG147" s="1237"/>
      <c r="AH147" s="1207"/>
    </row>
    <row r="148" spans="1:34" ht="13.5" thickBot="1" x14ac:dyDescent="0.25">
      <c r="A148" s="1250"/>
      <c r="B148" s="1251"/>
      <c r="C148" s="1237"/>
      <c r="D148" s="1237"/>
      <c r="E148" s="1237"/>
      <c r="F148" s="1237"/>
      <c r="G148" s="1237"/>
      <c r="H148" s="1237"/>
      <c r="I148" s="1237"/>
      <c r="J148" s="1237"/>
      <c r="K148" s="1237"/>
      <c r="L148" s="1237"/>
      <c r="M148" s="1237"/>
      <c r="N148" s="1237"/>
      <c r="O148" s="1237"/>
      <c r="P148" s="1241"/>
      <c r="Q148" s="1237"/>
      <c r="R148" s="1237"/>
      <c r="S148" s="1237"/>
      <c r="T148" s="1237"/>
      <c r="U148" s="1237"/>
      <c r="V148" s="1237"/>
      <c r="W148" s="1237"/>
      <c r="X148" s="1237"/>
      <c r="Y148" s="1237"/>
      <c r="Z148" s="1237"/>
      <c r="AA148" s="1237"/>
      <c r="AB148" s="1237"/>
      <c r="AC148" s="1237"/>
      <c r="AD148" s="1237"/>
      <c r="AE148" s="1237"/>
      <c r="AF148" s="1237"/>
      <c r="AG148" s="1237"/>
      <c r="AH148" s="1207"/>
    </row>
    <row r="149" spans="1:34" x14ac:dyDescent="0.2">
      <c r="A149" s="1233"/>
      <c r="B149" s="1253"/>
      <c r="C149" s="1237"/>
      <c r="D149" s="1237"/>
      <c r="E149" s="1237"/>
      <c r="F149" s="1237"/>
      <c r="G149" s="1237"/>
      <c r="H149" s="1237"/>
      <c r="I149" s="1237"/>
      <c r="J149" s="1237"/>
      <c r="K149" s="1237"/>
      <c r="L149" s="1237"/>
      <c r="M149" s="1237"/>
      <c r="N149" s="1237"/>
      <c r="O149" s="1237"/>
      <c r="P149" s="1241"/>
      <c r="Q149" s="1237"/>
      <c r="R149" s="1237"/>
      <c r="S149" s="1237"/>
      <c r="T149" s="1237"/>
      <c r="U149" s="1237"/>
      <c r="V149" s="1237"/>
      <c r="W149" s="1237"/>
      <c r="X149" s="1237"/>
      <c r="Y149" s="1237"/>
      <c r="Z149" s="1237"/>
      <c r="AA149" s="1237"/>
      <c r="AB149" s="1237"/>
      <c r="AC149" s="1237"/>
      <c r="AD149" s="1237"/>
      <c r="AE149" s="1237"/>
      <c r="AF149" s="1237"/>
      <c r="AG149" s="1237"/>
      <c r="AH149" s="1207"/>
    </row>
    <row r="150" spans="1:34" x14ac:dyDescent="0.2">
      <c r="A150" s="1236" t="s">
        <v>4</v>
      </c>
      <c r="B150" s="1249">
        <f>B141+B144</f>
        <v>13662.416999999999</v>
      </c>
      <c r="C150" s="1237"/>
      <c r="D150" s="1237"/>
      <c r="E150" s="1237"/>
      <c r="F150" s="1237"/>
      <c r="G150" s="1237"/>
      <c r="H150" s="1237"/>
      <c r="I150" s="1237"/>
      <c r="J150" s="1237"/>
      <c r="K150" s="1237"/>
      <c r="L150" s="1237"/>
      <c r="M150" s="1237"/>
      <c r="N150" s="1237"/>
      <c r="O150" s="1237"/>
      <c r="P150" s="1241"/>
      <c r="Q150" s="1237"/>
      <c r="R150" s="1237"/>
      <c r="S150" s="1237"/>
      <c r="T150" s="1237"/>
      <c r="U150" s="1237"/>
      <c r="V150" s="1237"/>
      <c r="W150" s="1237"/>
      <c r="X150" s="1237"/>
      <c r="Y150" s="1237"/>
      <c r="Z150" s="1237"/>
      <c r="AA150" s="1237"/>
      <c r="AB150" s="1237"/>
      <c r="AC150" s="1237"/>
      <c r="AD150" s="1237"/>
      <c r="AE150" s="1237"/>
      <c r="AF150" s="1237"/>
      <c r="AG150" s="1237"/>
      <c r="AH150" s="1207"/>
    </row>
    <row r="151" spans="1:34" ht="13.5" thickBot="1" x14ac:dyDescent="0.25">
      <c r="A151" s="1250"/>
      <c r="B151" s="1251"/>
      <c r="C151" s="1237"/>
      <c r="D151" s="1237"/>
      <c r="E151" s="1237"/>
      <c r="F151" s="1237"/>
      <c r="G151" s="1237"/>
      <c r="H151" s="1237"/>
      <c r="I151" s="1237"/>
      <c r="J151" s="1237"/>
      <c r="K151" s="1237"/>
      <c r="L151" s="1237"/>
      <c r="M151" s="1237"/>
      <c r="N151" s="1237"/>
      <c r="O151" s="1237"/>
      <c r="P151" s="1241"/>
      <c r="Q151" s="1237"/>
      <c r="R151" s="1237"/>
      <c r="S151" s="1237"/>
      <c r="T151" s="1237"/>
      <c r="U151" s="1237"/>
      <c r="V151" s="1237"/>
      <c r="W151" s="1237"/>
      <c r="X151" s="1237"/>
      <c r="Y151" s="1237"/>
      <c r="Z151" s="1237"/>
      <c r="AA151" s="1237"/>
      <c r="AB151" s="1237"/>
      <c r="AC151" s="1237"/>
      <c r="AD151" s="1237"/>
      <c r="AE151" s="1237"/>
      <c r="AF151" s="1237"/>
      <c r="AG151" s="1237"/>
      <c r="AH151" s="1207"/>
    </row>
    <row r="152" spans="1:34" x14ac:dyDescent="0.2">
      <c r="A152" s="1233"/>
      <c r="B152" s="1253"/>
      <c r="C152" s="1237"/>
      <c r="D152" s="1237"/>
      <c r="E152" s="1237"/>
      <c r="F152" s="1237"/>
      <c r="G152" s="1237"/>
      <c r="H152" s="1237"/>
      <c r="I152" s="1237"/>
      <c r="J152" s="1237"/>
      <c r="K152" s="1237"/>
      <c r="L152" s="1237"/>
      <c r="M152" s="1237"/>
      <c r="N152" s="1237"/>
      <c r="O152" s="1237"/>
      <c r="P152" s="1241"/>
      <c r="Q152" s="1237"/>
      <c r="R152" s="1237"/>
      <c r="S152" s="1237"/>
      <c r="T152" s="1237"/>
      <c r="U152" s="1237"/>
      <c r="V152" s="1237"/>
      <c r="W152" s="1237"/>
      <c r="X152" s="1237"/>
      <c r="Y152" s="1237"/>
      <c r="Z152" s="1237"/>
      <c r="AA152" s="1237"/>
      <c r="AB152" s="1237"/>
      <c r="AC152" s="1237"/>
      <c r="AD152" s="1237"/>
      <c r="AE152" s="1237"/>
      <c r="AF152" s="1237"/>
      <c r="AG152" s="1237"/>
      <c r="AH152" s="1207"/>
    </row>
    <row r="153" spans="1:34" ht="18" x14ac:dyDescent="0.25">
      <c r="A153" s="1236" t="s">
        <v>17</v>
      </c>
      <c r="B153" s="1249"/>
      <c r="C153" s="1237"/>
      <c r="D153" s="1237"/>
      <c r="E153" s="1237"/>
      <c r="F153" s="1237"/>
      <c r="G153" s="1237"/>
      <c r="H153" s="1237"/>
      <c r="I153" s="1749"/>
      <c r="J153" s="1749"/>
      <c r="K153" s="1749"/>
      <c r="L153" s="1749"/>
      <c r="M153" s="1748"/>
      <c r="N153" s="1748"/>
      <c r="O153" s="1748"/>
      <c r="P153" s="1748"/>
      <c r="Q153" s="1748"/>
      <c r="R153" s="1748"/>
      <c r="S153" s="1748"/>
      <c r="T153" s="1748"/>
      <c r="U153" s="1748"/>
      <c r="V153" s="1237"/>
      <c r="W153" s="1237"/>
      <c r="X153" s="1237"/>
      <c r="Y153" s="1237"/>
      <c r="Z153" s="1237"/>
      <c r="AA153" s="1237"/>
      <c r="AB153" s="1237"/>
      <c r="AC153" s="1237"/>
      <c r="AD153" s="1237"/>
      <c r="AE153" s="1237"/>
      <c r="AF153" s="1237"/>
      <c r="AG153" s="1237"/>
      <c r="AH153" s="1207"/>
    </row>
    <row r="154" spans="1:34" ht="13.5" thickBot="1" x14ac:dyDescent="0.25">
      <c r="A154" s="1250"/>
      <c r="B154" s="1251"/>
      <c r="C154" s="1237"/>
      <c r="D154" s="1237"/>
      <c r="E154" s="1237"/>
      <c r="F154" s="1237"/>
      <c r="G154" s="1237"/>
      <c r="H154" s="1237"/>
      <c r="I154" s="1237"/>
      <c r="J154" s="1237"/>
      <c r="K154" s="1237"/>
      <c r="L154" s="1237"/>
      <c r="M154" s="1237"/>
      <c r="N154" s="1237"/>
      <c r="O154" s="1237"/>
      <c r="P154" s="1241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07"/>
    </row>
    <row r="155" spans="1:34" x14ac:dyDescent="0.2">
      <c r="A155" s="1233"/>
      <c r="B155" s="1253"/>
      <c r="C155" s="1237"/>
      <c r="D155" s="1369"/>
      <c r="E155" s="1237"/>
      <c r="F155" s="1237"/>
      <c r="G155" s="1237"/>
      <c r="H155" s="1237"/>
      <c r="I155" s="1237"/>
      <c r="J155" s="1237"/>
      <c r="K155" s="1237"/>
      <c r="L155" s="1237"/>
      <c r="M155" s="1237"/>
      <c r="N155" s="1237"/>
      <c r="O155" s="1237"/>
      <c r="P155" s="1241"/>
      <c r="Q155" s="1237"/>
      <c r="R155" s="1237"/>
      <c r="S155" s="1237"/>
      <c r="T155" s="1237"/>
      <c r="U155" s="1211"/>
      <c r="V155" s="1237"/>
      <c r="W155" s="1237"/>
      <c r="X155" s="1237"/>
      <c r="Y155" s="1237"/>
      <c r="Z155" s="1211"/>
      <c r="AA155" s="1237"/>
      <c r="AB155" s="1237"/>
      <c r="AC155" s="1369"/>
      <c r="AD155" s="1237"/>
      <c r="AF155" s="1237"/>
      <c r="AG155" s="1237"/>
      <c r="AH155" s="1207"/>
    </row>
    <row r="156" spans="1:34" x14ac:dyDescent="0.2">
      <c r="A156" s="1236" t="s">
        <v>5</v>
      </c>
      <c r="B156" s="1249">
        <f>B150-B153</f>
        <v>13662.416999999999</v>
      </c>
      <c r="C156" s="1211"/>
      <c r="D156" s="1369"/>
      <c r="E156" s="1370" t="s">
        <v>285</v>
      </c>
      <c r="F156" s="1211"/>
      <c r="G156" s="1256"/>
      <c r="H156" s="1211"/>
      <c r="I156" s="1211"/>
      <c r="J156" s="1237" t="s">
        <v>1214</v>
      </c>
      <c r="K156" s="1211"/>
      <c r="L156" s="1263"/>
      <c r="M156" s="1211"/>
      <c r="N156" s="1237"/>
      <c r="O156" s="1211"/>
      <c r="P156" s="1212"/>
      <c r="Q156" s="1211"/>
      <c r="R156" s="1211"/>
      <c r="S156" s="1211"/>
      <c r="T156" s="1256"/>
      <c r="U156" s="1211"/>
      <c r="V156" s="1211"/>
      <c r="W156" s="1211"/>
      <c r="X156" s="1211"/>
      <c r="Y156" s="1211"/>
      <c r="Z156" s="1211"/>
      <c r="AA156" s="1263"/>
      <c r="AB156" s="1211"/>
      <c r="AC156" s="1371" t="s">
        <v>338</v>
      </c>
      <c r="AD156" s="1211"/>
      <c r="AF156" s="1211"/>
      <c r="AG156" s="1211"/>
      <c r="AH156" s="1207"/>
    </row>
    <row r="157" spans="1:34" ht="13.5" thickBot="1" x14ac:dyDescent="0.25">
      <c r="A157" s="1250"/>
      <c r="B157" s="1251"/>
      <c r="C157" s="1237"/>
      <c r="D157" s="1237"/>
      <c r="E157" s="1237"/>
      <c r="F157" s="1237"/>
      <c r="G157" s="1237"/>
      <c r="H157" s="1237"/>
      <c r="I157" s="1237"/>
      <c r="J157" s="1237"/>
      <c r="K157" s="1237"/>
      <c r="L157" s="1237"/>
      <c r="M157" s="1237"/>
      <c r="N157" s="1237"/>
      <c r="O157" s="1237"/>
      <c r="P157" s="1212"/>
      <c r="Q157" s="1211"/>
      <c r="R157" s="1211"/>
      <c r="S157" s="1211"/>
      <c r="T157" s="1211"/>
      <c r="U157" s="1211"/>
      <c r="V157" s="1211"/>
      <c r="W157" s="1211"/>
      <c r="X157" s="1211"/>
      <c r="Y157" s="1211"/>
      <c r="Z157" s="1211"/>
      <c r="AA157" s="1211"/>
      <c r="AB157" s="1211"/>
      <c r="AC157" s="1211"/>
      <c r="AD157" s="1211"/>
      <c r="AE157" s="1211"/>
      <c r="AF157" s="1211"/>
      <c r="AG157" s="1211"/>
      <c r="AH157" s="1207"/>
    </row>
    <row r="158" spans="1:34" x14ac:dyDescent="0.2">
      <c r="A158" s="1269"/>
      <c r="B158" s="1237"/>
      <c r="C158" s="1270"/>
      <c r="D158" s="1272"/>
      <c r="E158" s="1272"/>
      <c r="F158" s="1271"/>
      <c r="G158" s="1271"/>
      <c r="H158" s="1271"/>
      <c r="I158" s="1271"/>
      <c r="J158" s="1271"/>
      <c r="K158" s="1271"/>
      <c r="L158" s="1271"/>
      <c r="M158" s="1271"/>
      <c r="N158" s="1271"/>
      <c r="O158" s="1271"/>
      <c r="P158" s="1273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07"/>
    </row>
    <row r="159" spans="1:34" ht="13.5" thickBot="1" x14ac:dyDescent="0.25">
      <c r="A159" s="1274" t="s">
        <v>7</v>
      </c>
      <c r="B159" s="1237"/>
      <c r="C159" s="1275">
        <f t="shared" ref="C159:AG159" si="18">C160+C161+C162+C166+C165+C163+C164</f>
        <v>0</v>
      </c>
      <c r="D159" s="1275">
        <f t="shared" si="18"/>
        <v>0</v>
      </c>
      <c r="E159" s="1275">
        <f t="shared" si="18"/>
        <v>9453</v>
      </c>
      <c r="F159" s="1275">
        <f t="shared" si="18"/>
        <v>0</v>
      </c>
      <c r="G159" s="1275">
        <f t="shared" si="18"/>
        <v>0</v>
      </c>
      <c r="H159" s="1275">
        <f t="shared" si="18"/>
        <v>0</v>
      </c>
      <c r="I159" s="1275">
        <f t="shared" si="18"/>
        <v>0</v>
      </c>
      <c r="J159" s="1275">
        <f t="shared" si="18"/>
        <v>6400</v>
      </c>
      <c r="K159" s="1275">
        <f t="shared" si="18"/>
        <v>0</v>
      </c>
      <c r="L159" s="1275">
        <f t="shared" si="18"/>
        <v>0</v>
      </c>
      <c r="M159" s="1275">
        <f t="shared" si="18"/>
        <v>0</v>
      </c>
      <c r="N159" s="1275">
        <f t="shared" si="18"/>
        <v>0</v>
      </c>
      <c r="O159" s="1275">
        <f t="shared" si="18"/>
        <v>0</v>
      </c>
      <c r="P159" s="1276">
        <f t="shared" si="18"/>
        <v>0</v>
      </c>
      <c r="Q159" s="1275">
        <f t="shared" si="18"/>
        <v>0</v>
      </c>
      <c r="R159" s="1275">
        <f t="shared" si="18"/>
        <v>0</v>
      </c>
      <c r="S159" s="1275">
        <f t="shared" si="18"/>
        <v>0</v>
      </c>
      <c r="T159" s="1275">
        <f t="shared" si="18"/>
        <v>0</v>
      </c>
      <c r="U159" s="1275">
        <f t="shared" si="18"/>
        <v>0</v>
      </c>
      <c r="V159" s="1275">
        <f t="shared" si="18"/>
        <v>0</v>
      </c>
      <c r="W159" s="1275">
        <f t="shared" si="18"/>
        <v>0</v>
      </c>
      <c r="X159" s="1275">
        <f t="shared" si="18"/>
        <v>0</v>
      </c>
      <c r="Y159" s="1275">
        <f t="shared" si="18"/>
        <v>0</v>
      </c>
      <c r="Z159" s="1275">
        <f t="shared" si="18"/>
        <v>0</v>
      </c>
      <c r="AA159" s="1275">
        <f t="shared" si="18"/>
        <v>0</v>
      </c>
      <c r="AB159" s="1275">
        <f t="shared" si="18"/>
        <v>0</v>
      </c>
      <c r="AC159" s="1275">
        <f t="shared" si="18"/>
        <v>0.34500000000116415</v>
      </c>
      <c r="AD159" s="1275">
        <f t="shared" si="18"/>
        <v>0</v>
      </c>
      <c r="AE159" s="1275">
        <f t="shared" si="18"/>
        <v>0</v>
      </c>
      <c r="AF159" s="1275">
        <f t="shared" si="18"/>
        <v>0</v>
      </c>
      <c r="AG159" s="1275">
        <f t="shared" si="18"/>
        <v>0</v>
      </c>
      <c r="AH159" s="1227">
        <f t="shared" ref="AH159:AH167" si="19">SUM(C159:AG159)</f>
        <v>15853.345000000001</v>
      </c>
    </row>
    <row r="160" spans="1:34" x14ac:dyDescent="0.2">
      <c r="A160" s="1274" t="s">
        <v>8</v>
      </c>
      <c r="B160" s="1237"/>
      <c r="C160" s="1302"/>
      <c r="D160" s="1302"/>
      <c r="E160" s="1302"/>
      <c r="F160" s="1303"/>
      <c r="G160" s="1303"/>
      <c r="H160" s="1303"/>
      <c r="I160" s="1303"/>
      <c r="J160" s="1303"/>
      <c r="K160" s="1303"/>
      <c r="L160" s="1303"/>
      <c r="M160" s="1303"/>
      <c r="N160" s="1303"/>
      <c r="O160" s="1303"/>
      <c r="P160" s="1304"/>
      <c r="Q160" s="1303"/>
      <c r="R160" s="1303"/>
      <c r="S160" s="1303"/>
      <c r="T160" s="1303"/>
      <c r="U160" s="1303"/>
      <c r="V160" s="1303"/>
      <c r="W160" s="1303"/>
      <c r="X160" s="1303"/>
      <c r="Y160" s="1303"/>
      <c r="Z160" s="1303"/>
      <c r="AA160" s="1303"/>
      <c r="AB160" s="1303"/>
      <c r="AC160" s="1303"/>
      <c r="AD160" s="1303"/>
      <c r="AE160" s="1303"/>
      <c r="AF160" s="1303"/>
      <c r="AG160" s="1303"/>
      <c r="AH160" s="1227">
        <f t="shared" si="19"/>
        <v>0</v>
      </c>
    </row>
    <row r="161" spans="1:35" x14ac:dyDescent="0.2">
      <c r="A161" s="1274" t="s">
        <v>9</v>
      </c>
      <c r="B161" s="1237"/>
      <c r="C161" s="1302"/>
      <c r="D161" s="1302"/>
      <c r="E161" s="1302"/>
      <c r="F161" s="1303"/>
      <c r="G161" s="1303"/>
      <c r="H161" s="1303"/>
      <c r="I161" s="1303"/>
      <c r="J161" s="1303"/>
      <c r="K161" s="1303"/>
      <c r="L161" s="1303"/>
      <c r="M161" s="1303"/>
      <c r="N161" s="1303"/>
      <c r="O161" s="1303"/>
      <c r="P161" s="1304"/>
      <c r="Q161" s="1303"/>
      <c r="R161" s="1303"/>
      <c r="S161" s="1303"/>
      <c r="T161" s="1303"/>
      <c r="U161" s="1303"/>
      <c r="V161" s="1303"/>
      <c r="W161" s="1303"/>
      <c r="X161" s="1303"/>
      <c r="Y161" s="1303"/>
      <c r="Z161" s="1303"/>
      <c r="AA161" s="1303"/>
      <c r="AB161" s="1303"/>
      <c r="AC161" s="1303"/>
      <c r="AD161" s="1303"/>
      <c r="AE161" s="1303"/>
      <c r="AF161" s="1303"/>
      <c r="AG161" s="1303"/>
      <c r="AH161" s="1227">
        <f t="shared" si="19"/>
        <v>0</v>
      </c>
    </row>
    <row r="162" spans="1:35" s="1289" customFormat="1" x14ac:dyDescent="0.2">
      <c r="A162" s="1285" t="s">
        <v>10</v>
      </c>
      <c r="B162" s="1372"/>
      <c r="C162" s="1373"/>
      <c r="D162" s="1374"/>
      <c r="E162" s="1374">
        <v>9453</v>
      </c>
      <c r="F162" s="1375"/>
      <c r="G162" s="1376"/>
      <c r="H162" s="1375"/>
      <c r="I162" s="1375"/>
      <c r="J162" s="1375">
        <v>6400</v>
      </c>
      <c r="K162" s="1375"/>
      <c r="L162" s="1377"/>
      <c r="M162" s="1375"/>
      <c r="N162" s="1375"/>
      <c r="O162" s="1375"/>
      <c r="P162" s="1375"/>
      <c r="Q162" s="1375"/>
      <c r="R162" s="1375"/>
      <c r="S162" s="1375"/>
      <c r="T162" s="1376"/>
      <c r="U162" s="1375"/>
      <c r="V162" s="1375"/>
      <c r="W162" s="1375"/>
      <c r="X162" s="1375"/>
      <c r="Y162" s="1375"/>
      <c r="Z162" s="1375"/>
      <c r="AA162" s="1377"/>
      <c r="AB162" s="1375"/>
      <c r="AC162" s="1375"/>
      <c r="AD162" s="1375"/>
      <c r="AE162" s="1378"/>
      <c r="AF162" s="1375"/>
      <c r="AG162" s="1375"/>
      <c r="AH162" s="1231">
        <f t="shared" si="19"/>
        <v>15853</v>
      </c>
    </row>
    <row r="163" spans="1:35" s="1289" customFormat="1" x14ac:dyDescent="0.2">
      <c r="A163" s="1285" t="s">
        <v>356</v>
      </c>
      <c r="B163" s="1372"/>
      <c r="C163" s="1379"/>
      <c r="D163" s="1379"/>
      <c r="E163" s="1379"/>
      <c r="F163" s="1379"/>
      <c r="G163" s="1379"/>
      <c r="H163" s="1379"/>
      <c r="I163" s="1379"/>
      <c r="J163" s="1379"/>
      <c r="K163" s="1379"/>
      <c r="L163" s="1379"/>
      <c r="M163" s="1379"/>
      <c r="N163" s="1379"/>
      <c r="O163" s="1379"/>
      <c r="P163" s="1379"/>
      <c r="Q163" s="1379"/>
      <c r="R163" s="1379"/>
      <c r="S163" s="1379"/>
      <c r="T163" s="1379"/>
      <c r="U163" s="1379"/>
      <c r="V163" s="1379"/>
      <c r="W163" s="1379"/>
      <c r="X163" s="1379"/>
      <c r="Y163" s="1379"/>
      <c r="Z163" s="1379"/>
      <c r="AA163" s="1379"/>
      <c r="AB163" s="1379"/>
      <c r="AC163" s="1380">
        <v>45895.345000000001</v>
      </c>
      <c r="AD163" s="1379"/>
      <c r="AE163" s="1379"/>
      <c r="AF163" s="1379"/>
      <c r="AG163" s="1379"/>
      <c r="AH163" s="1231">
        <f t="shared" si="19"/>
        <v>45895.345000000001</v>
      </c>
    </row>
    <row r="164" spans="1:35" x14ac:dyDescent="0.2">
      <c r="A164" s="1274" t="s">
        <v>357</v>
      </c>
      <c r="B164" s="1237"/>
      <c r="C164" s="1306"/>
      <c r="D164" s="1302"/>
      <c r="E164" s="1306"/>
      <c r="F164" s="1303"/>
      <c r="G164" s="1303"/>
      <c r="H164" s="1304"/>
      <c r="I164" s="1304"/>
      <c r="J164" s="1304"/>
      <c r="K164" s="1304"/>
      <c r="L164" s="1304"/>
      <c r="M164" s="1304"/>
      <c r="N164" s="1304"/>
      <c r="O164" s="1304"/>
      <c r="P164" s="1304"/>
      <c r="Q164" s="1304"/>
      <c r="R164" s="1304"/>
      <c r="S164" s="1304"/>
      <c r="T164" s="1304"/>
      <c r="U164" s="1304"/>
      <c r="V164" s="1304"/>
      <c r="W164" s="1304"/>
      <c r="X164" s="1304"/>
      <c r="Y164" s="1304"/>
      <c r="Z164" s="1304"/>
      <c r="AA164" s="1304"/>
      <c r="AB164" s="1304"/>
      <c r="AC164" s="1304">
        <v>-45895</v>
      </c>
      <c r="AD164" s="1304"/>
      <c r="AE164" s="1304"/>
      <c r="AF164" s="1304"/>
      <c r="AG164" s="1304"/>
      <c r="AH164" s="1227">
        <f t="shared" si="19"/>
        <v>-45895</v>
      </c>
    </row>
    <row r="165" spans="1:35" x14ac:dyDescent="0.2">
      <c r="A165" s="1274" t="s">
        <v>41</v>
      </c>
      <c r="B165" s="1237"/>
      <c r="C165" s="1306"/>
      <c r="D165" s="1302"/>
      <c r="E165" s="1306"/>
      <c r="F165" s="1303"/>
      <c r="G165" s="1303"/>
      <c r="H165" s="1304"/>
      <c r="I165" s="1304"/>
      <c r="J165" s="1304"/>
      <c r="K165" s="1304"/>
      <c r="L165" s="1304"/>
      <c r="M165" s="1304"/>
      <c r="N165" s="1304"/>
      <c r="O165" s="1304"/>
      <c r="P165" s="1304"/>
      <c r="Q165" s="1304"/>
      <c r="R165" s="1304"/>
      <c r="S165" s="1304"/>
      <c r="T165" s="1304"/>
      <c r="U165" s="1304"/>
      <c r="V165" s="1304"/>
      <c r="W165" s="1304"/>
      <c r="X165" s="1304"/>
      <c r="Y165" s="1304"/>
      <c r="Z165" s="1304"/>
      <c r="AA165" s="1304"/>
      <c r="AB165" s="1304"/>
      <c r="AC165" s="1304"/>
      <c r="AD165" s="1304"/>
      <c r="AE165" s="1304"/>
      <c r="AF165" s="1304"/>
      <c r="AG165" s="1304"/>
      <c r="AH165" s="1227">
        <f t="shared" si="19"/>
        <v>0</v>
      </c>
    </row>
    <row r="166" spans="1:35" x14ac:dyDescent="0.2">
      <c r="A166" s="1274" t="s">
        <v>11</v>
      </c>
      <c r="B166" s="1237"/>
      <c r="C166" s="1302"/>
      <c r="D166" s="1306"/>
      <c r="E166" s="1306"/>
      <c r="F166" s="1304"/>
      <c r="G166" s="1304"/>
      <c r="H166" s="1304"/>
      <c r="I166" s="1304"/>
      <c r="J166" s="1304"/>
      <c r="K166" s="1304"/>
      <c r="L166" s="1304"/>
      <c r="M166" s="1304"/>
      <c r="N166" s="1304"/>
      <c r="O166" s="1304"/>
      <c r="P166" s="1304"/>
      <c r="Q166" s="1304"/>
      <c r="R166" s="1304"/>
      <c r="S166" s="1304"/>
      <c r="T166" s="1304"/>
      <c r="U166" s="1304"/>
      <c r="V166" s="1304"/>
      <c r="W166" s="1304"/>
      <c r="X166" s="1304"/>
      <c r="Y166" s="1304"/>
      <c r="Z166" s="1304"/>
      <c r="AA166" s="1304"/>
      <c r="AB166" s="1318"/>
      <c r="AC166" s="1304"/>
      <c r="AD166" s="1304"/>
      <c r="AE166" s="1304"/>
      <c r="AF166" s="1304"/>
      <c r="AG166" s="1304"/>
      <c r="AH166" s="1227">
        <f t="shared" si="19"/>
        <v>0</v>
      </c>
    </row>
    <row r="167" spans="1:35" ht="13.5" thickBot="1" x14ac:dyDescent="0.25">
      <c r="A167" s="1294"/>
      <c r="B167" s="1237"/>
      <c r="C167" s="1302"/>
      <c r="D167" s="1302"/>
      <c r="E167" s="1302"/>
      <c r="F167" s="1303"/>
      <c r="G167" s="1303"/>
      <c r="H167" s="1303"/>
      <c r="I167" s="1303"/>
      <c r="J167" s="1303"/>
      <c r="K167" s="1303"/>
      <c r="L167" s="1303"/>
      <c r="M167" s="1303"/>
      <c r="N167" s="1303"/>
      <c r="O167" s="1303"/>
      <c r="P167" s="1304"/>
      <c r="Q167" s="1303"/>
      <c r="R167" s="1303"/>
      <c r="S167" s="1303"/>
      <c r="T167" s="1303"/>
      <c r="U167" s="1303"/>
      <c r="V167" s="1303"/>
      <c r="W167" s="1303"/>
      <c r="X167" s="1303"/>
      <c r="Y167" s="1303"/>
      <c r="Z167" s="1303"/>
      <c r="AA167" s="1303"/>
      <c r="AB167" s="1303"/>
      <c r="AC167" s="1303"/>
      <c r="AD167" s="1303"/>
      <c r="AE167" s="1303"/>
      <c r="AF167" s="1303"/>
      <c r="AG167" s="1303"/>
      <c r="AH167" s="1227">
        <f t="shared" si="19"/>
        <v>0</v>
      </c>
    </row>
    <row r="168" spans="1:35" x14ac:dyDescent="0.2">
      <c r="A168" s="1269"/>
      <c r="B168" s="1237"/>
      <c r="C168" s="1296"/>
      <c r="D168" s="1297"/>
      <c r="E168" s="1297"/>
      <c r="F168" s="1298"/>
      <c r="G168" s="1298"/>
      <c r="H168" s="1298"/>
      <c r="I168" s="1298"/>
      <c r="J168" s="1298"/>
      <c r="K168" s="1298"/>
      <c r="L168" s="1298"/>
      <c r="M168" s="1298"/>
      <c r="N168" s="1298"/>
      <c r="O168" s="1298"/>
      <c r="P168" s="1299"/>
      <c r="Q168" s="1298"/>
      <c r="R168" s="1298"/>
      <c r="S168" s="1298"/>
      <c r="T168" s="1298"/>
      <c r="U168" s="1298"/>
      <c r="V168" s="1298"/>
      <c r="W168" s="1298"/>
      <c r="X168" s="1298"/>
      <c r="Y168" s="1298"/>
      <c r="Z168" s="1298"/>
      <c r="AA168" s="1298"/>
      <c r="AB168" s="1298"/>
      <c r="AC168" s="1298"/>
      <c r="AD168" s="1298"/>
      <c r="AE168" s="1298"/>
      <c r="AF168" s="1298"/>
      <c r="AG168" s="1298"/>
      <c r="AH168" s="1207"/>
    </row>
    <row r="169" spans="1:35" ht="13.5" thickBot="1" x14ac:dyDescent="0.25">
      <c r="A169" s="1274" t="s">
        <v>12</v>
      </c>
      <c r="B169" s="1237"/>
      <c r="C169" s="1275">
        <f t="shared" ref="C169:AG169" si="20">C170</f>
        <v>0</v>
      </c>
      <c r="D169" s="1275">
        <f t="shared" si="20"/>
        <v>0</v>
      </c>
      <c r="E169" s="1275">
        <f t="shared" si="20"/>
        <v>0</v>
      </c>
      <c r="F169" s="1275">
        <f t="shared" si="20"/>
        <v>0</v>
      </c>
      <c r="G169" s="1275">
        <f t="shared" si="20"/>
        <v>0</v>
      </c>
      <c r="H169" s="1275">
        <f t="shared" si="20"/>
        <v>0</v>
      </c>
      <c r="I169" s="1275">
        <f t="shared" si="20"/>
        <v>0</v>
      </c>
      <c r="J169" s="1275">
        <f t="shared" si="20"/>
        <v>0</v>
      </c>
      <c r="K169" s="1275">
        <f t="shared" si="20"/>
        <v>0</v>
      </c>
      <c r="L169" s="1275">
        <f t="shared" si="20"/>
        <v>0</v>
      </c>
      <c r="M169" s="1275">
        <f t="shared" si="20"/>
        <v>0</v>
      </c>
      <c r="N169" s="1275">
        <f t="shared" si="20"/>
        <v>0</v>
      </c>
      <c r="O169" s="1275">
        <f t="shared" si="20"/>
        <v>0</v>
      </c>
      <c r="P169" s="1276">
        <f t="shared" si="20"/>
        <v>0</v>
      </c>
      <c r="Q169" s="1275">
        <f t="shared" si="20"/>
        <v>0</v>
      </c>
      <c r="R169" s="1275">
        <f t="shared" si="20"/>
        <v>0</v>
      </c>
      <c r="S169" s="1275">
        <f t="shared" si="20"/>
        <v>0</v>
      </c>
      <c r="T169" s="1275">
        <f t="shared" si="20"/>
        <v>0</v>
      </c>
      <c r="U169" s="1275">
        <f t="shared" si="20"/>
        <v>0</v>
      </c>
      <c r="V169" s="1275">
        <f t="shared" si="20"/>
        <v>0</v>
      </c>
      <c r="W169" s="1275">
        <f t="shared" si="20"/>
        <v>0</v>
      </c>
      <c r="X169" s="1275">
        <f t="shared" si="20"/>
        <v>0</v>
      </c>
      <c r="Y169" s="1275">
        <f t="shared" si="20"/>
        <v>0</v>
      </c>
      <c r="Z169" s="1275">
        <f t="shared" si="20"/>
        <v>0</v>
      </c>
      <c r="AA169" s="1275">
        <f t="shared" si="20"/>
        <v>0</v>
      </c>
      <c r="AB169" s="1275">
        <f t="shared" si="20"/>
        <v>0</v>
      </c>
      <c r="AC169" s="1275">
        <f t="shared" si="20"/>
        <v>0</v>
      </c>
      <c r="AD169" s="1275">
        <f t="shared" si="20"/>
        <v>0</v>
      </c>
      <c r="AE169" s="1275">
        <f t="shared" si="20"/>
        <v>0</v>
      </c>
      <c r="AF169" s="1275">
        <f t="shared" si="20"/>
        <v>0</v>
      </c>
      <c r="AG169" s="1275">
        <f t="shared" si="20"/>
        <v>0</v>
      </c>
      <c r="AH169" s="1207"/>
    </row>
    <row r="170" spans="1:35" x14ac:dyDescent="0.2">
      <c r="A170" s="1274" t="s">
        <v>8</v>
      </c>
      <c r="B170" s="1237"/>
      <c r="C170" s="1302"/>
      <c r="D170" s="1302"/>
      <c r="E170" s="1302"/>
      <c r="F170" s="1303"/>
      <c r="G170" s="1303"/>
      <c r="H170" s="1303"/>
      <c r="I170" s="1303"/>
      <c r="J170" s="1303"/>
      <c r="K170" s="1303"/>
      <c r="L170" s="1303"/>
      <c r="M170" s="1303"/>
      <c r="N170" s="1303"/>
      <c r="O170" s="1303"/>
      <c r="P170" s="1304"/>
      <c r="Q170" s="1303"/>
      <c r="R170" s="1303"/>
      <c r="S170" s="1303"/>
      <c r="T170" s="1303"/>
      <c r="U170" s="1303"/>
      <c r="V170" s="1303"/>
      <c r="W170" s="1303"/>
      <c r="X170" s="1303"/>
      <c r="Y170" s="1303"/>
      <c r="Z170" s="1303"/>
      <c r="AA170" s="1303"/>
      <c r="AB170" s="1303"/>
      <c r="AC170" s="1303"/>
      <c r="AD170" s="1303"/>
      <c r="AE170" s="1303"/>
      <c r="AF170" s="1303"/>
      <c r="AG170" s="1303"/>
      <c r="AH170" s="1207"/>
    </row>
    <row r="171" spans="1:35" x14ac:dyDescent="0.2">
      <c r="A171" s="1274" t="s">
        <v>775</v>
      </c>
      <c r="B171" s="1237"/>
      <c r="C171" s="1381"/>
      <c r="D171" s="1381"/>
      <c r="E171" s="1381"/>
      <c r="F171" s="1381"/>
      <c r="G171" s="1381"/>
      <c r="H171" s="1381"/>
      <c r="I171" s="1381"/>
      <c r="J171" s="1381"/>
      <c r="K171" s="1381"/>
      <c r="L171" s="1382">
        <v>1229.4570000000001</v>
      </c>
      <c r="M171" s="1382"/>
      <c r="N171" s="1382"/>
      <c r="O171" s="1382"/>
      <c r="P171" s="1382"/>
      <c r="Q171" s="1382">
        <v>845.03899999999999</v>
      </c>
      <c r="R171" s="1382"/>
      <c r="S171" s="1382"/>
      <c r="T171" s="1382">
        <v>999.30899999999997</v>
      </c>
      <c r="U171" s="1382"/>
      <c r="V171" s="1382">
        <v>4688</v>
      </c>
      <c r="W171" s="1382"/>
      <c r="X171" s="1382"/>
      <c r="Y171" s="1382"/>
      <c r="Z171" s="1382"/>
      <c r="AA171" s="1382">
        <v>3531.58</v>
      </c>
      <c r="AB171" s="1382">
        <v>816.702</v>
      </c>
      <c r="AC171" s="1382">
        <v>1000</v>
      </c>
      <c r="AD171" s="1382"/>
      <c r="AE171" s="1382"/>
      <c r="AF171" s="1382">
        <v>3640.2980000000002</v>
      </c>
      <c r="AG171" s="1382">
        <v>848.40300000000002</v>
      </c>
      <c r="AH171" s="1227"/>
    </row>
    <row r="172" spans="1:35" ht="13.5" thickBot="1" x14ac:dyDescent="0.25">
      <c r="A172" s="1294"/>
      <c r="B172" s="1237"/>
      <c r="C172" s="1302"/>
      <c r="D172" s="1302"/>
      <c r="E172" s="1302"/>
      <c r="F172" s="1303"/>
      <c r="G172" s="1303"/>
      <c r="H172" s="1303"/>
      <c r="I172" s="1303"/>
      <c r="J172" s="1303"/>
      <c r="K172" s="1303"/>
      <c r="L172" s="1303"/>
      <c r="M172" s="1303"/>
      <c r="N172" s="1303"/>
      <c r="O172" s="1303"/>
      <c r="P172" s="1304"/>
      <c r="Q172" s="1303"/>
      <c r="R172" s="1303"/>
      <c r="S172" s="1303"/>
      <c r="T172" s="1303"/>
      <c r="U172" s="1303"/>
      <c r="V172" s="1303"/>
      <c r="W172" s="1303"/>
      <c r="X172" s="1303"/>
      <c r="Y172" s="1303"/>
      <c r="Z172" s="1303"/>
      <c r="AA172" s="1303"/>
      <c r="AB172" s="1303"/>
      <c r="AC172" s="1303"/>
      <c r="AD172" s="1303"/>
      <c r="AE172" s="1303"/>
      <c r="AF172" s="1303"/>
      <c r="AG172" s="1303"/>
      <c r="AH172" s="1207"/>
    </row>
    <row r="173" spans="1:35" x14ac:dyDescent="0.2">
      <c r="A173" s="1269"/>
      <c r="B173" s="1237"/>
      <c r="C173" s="1296"/>
      <c r="D173" s="1297"/>
      <c r="E173" s="1297"/>
      <c r="F173" s="1298"/>
      <c r="G173" s="1298"/>
      <c r="H173" s="1298"/>
      <c r="I173" s="1298"/>
      <c r="J173" s="1298"/>
      <c r="K173" s="1298"/>
      <c r="L173" s="1298"/>
      <c r="M173" s="1298"/>
      <c r="N173" s="1298"/>
      <c r="O173" s="1298"/>
      <c r="P173" s="1299"/>
      <c r="Q173" s="1298"/>
      <c r="R173" s="1298"/>
      <c r="S173" s="1298"/>
      <c r="T173" s="1298"/>
      <c r="U173" s="1298"/>
      <c r="V173" s="1298"/>
      <c r="W173" s="1298"/>
      <c r="X173" s="1298"/>
      <c r="Y173" s="1298"/>
      <c r="Z173" s="1298"/>
      <c r="AA173" s="1298"/>
      <c r="AB173" s="1298"/>
      <c r="AC173" s="1298"/>
      <c r="AD173" s="1298"/>
      <c r="AE173" s="1298"/>
      <c r="AF173" s="1298"/>
      <c r="AG173" s="1298"/>
      <c r="AH173" s="1207"/>
    </row>
    <row r="174" spans="1:35" x14ac:dyDescent="0.2">
      <c r="A174" s="1274" t="s">
        <v>13</v>
      </c>
      <c r="B174" s="1237"/>
      <c r="C174" s="1300">
        <f t="shared" ref="C174:AG174" si="21">C169-C159</f>
        <v>0</v>
      </c>
      <c r="D174" s="1300">
        <f t="shared" si="21"/>
        <v>0</v>
      </c>
      <c r="E174" s="1300">
        <f t="shared" si="21"/>
        <v>-9453</v>
      </c>
      <c r="F174" s="1300">
        <f t="shared" si="21"/>
        <v>0</v>
      </c>
      <c r="G174" s="1300">
        <f t="shared" si="21"/>
        <v>0</v>
      </c>
      <c r="H174" s="1300">
        <f t="shared" si="21"/>
        <v>0</v>
      </c>
      <c r="I174" s="1300">
        <f t="shared" si="21"/>
        <v>0</v>
      </c>
      <c r="J174" s="1300">
        <f t="shared" si="21"/>
        <v>-6400</v>
      </c>
      <c r="K174" s="1300">
        <f t="shared" si="21"/>
        <v>0</v>
      </c>
      <c r="L174" s="1300">
        <f t="shared" si="21"/>
        <v>0</v>
      </c>
      <c r="M174" s="1300">
        <f t="shared" si="21"/>
        <v>0</v>
      </c>
      <c r="N174" s="1300">
        <f t="shared" si="21"/>
        <v>0</v>
      </c>
      <c r="O174" s="1300">
        <f t="shared" si="21"/>
        <v>0</v>
      </c>
      <c r="P174" s="1301">
        <f t="shared" si="21"/>
        <v>0</v>
      </c>
      <c r="Q174" s="1300">
        <f t="shared" si="21"/>
        <v>0</v>
      </c>
      <c r="R174" s="1300">
        <f t="shared" si="21"/>
        <v>0</v>
      </c>
      <c r="S174" s="1300">
        <f t="shared" si="21"/>
        <v>0</v>
      </c>
      <c r="T174" s="1300">
        <f t="shared" si="21"/>
        <v>0</v>
      </c>
      <c r="U174" s="1300">
        <f t="shared" si="21"/>
        <v>0</v>
      </c>
      <c r="V174" s="1300">
        <f t="shared" si="21"/>
        <v>0</v>
      </c>
      <c r="W174" s="1300">
        <f t="shared" si="21"/>
        <v>0</v>
      </c>
      <c r="X174" s="1300">
        <f t="shared" si="21"/>
        <v>0</v>
      </c>
      <c r="Y174" s="1300">
        <f t="shared" si="21"/>
        <v>0</v>
      </c>
      <c r="Z174" s="1300">
        <f t="shared" si="21"/>
        <v>0</v>
      </c>
      <c r="AA174" s="1300">
        <f t="shared" si="21"/>
        <v>0</v>
      </c>
      <c r="AB174" s="1300">
        <f t="shared" si="21"/>
        <v>0</v>
      </c>
      <c r="AC174" s="1300">
        <f t="shared" si="21"/>
        <v>-0.34500000000116415</v>
      </c>
      <c r="AD174" s="1300">
        <f t="shared" si="21"/>
        <v>0</v>
      </c>
      <c r="AE174" s="1300">
        <f t="shared" si="21"/>
        <v>0</v>
      </c>
      <c r="AF174" s="1300">
        <f t="shared" si="21"/>
        <v>0</v>
      </c>
      <c r="AG174" s="1300">
        <f t="shared" si="21"/>
        <v>0</v>
      </c>
      <c r="AH174" s="1207"/>
    </row>
    <row r="175" spans="1:35" ht="13.5" thickBot="1" x14ac:dyDescent="0.25">
      <c r="A175" s="1274"/>
      <c r="B175" s="1237"/>
      <c r="C175" s="1300"/>
      <c r="D175" s="1302"/>
      <c r="E175" s="1302"/>
      <c r="F175" s="1303"/>
      <c r="G175" s="1303"/>
      <c r="H175" s="1303"/>
      <c r="I175" s="1303"/>
      <c r="J175" s="1303"/>
      <c r="K175" s="1303"/>
      <c r="L175" s="1303"/>
      <c r="M175" s="1303"/>
      <c r="N175" s="1303"/>
      <c r="O175" s="1303"/>
      <c r="P175" s="1304"/>
      <c r="Q175" s="1303"/>
      <c r="R175" s="1303"/>
      <c r="S175" s="1303"/>
      <c r="T175" s="1303"/>
      <c r="U175" s="1303"/>
      <c r="V175" s="1303"/>
      <c r="W175" s="1303"/>
      <c r="X175" s="1303"/>
      <c r="Y175" s="1303"/>
      <c r="Z175" s="1303"/>
      <c r="AA175" s="1303"/>
      <c r="AB175" s="1303"/>
      <c r="AC175" s="1303"/>
      <c r="AD175" s="1303"/>
      <c r="AE175" s="1303"/>
      <c r="AF175" s="1303"/>
      <c r="AG175" s="1303"/>
      <c r="AH175" s="1207"/>
      <c r="AI175" s="1209" t="s">
        <v>813</v>
      </c>
    </row>
    <row r="176" spans="1:35" x14ac:dyDescent="0.2">
      <c r="A176" s="1233"/>
      <c r="B176" s="1234"/>
      <c r="C176" s="1305"/>
      <c r="D176" s="1297"/>
      <c r="E176" s="1297"/>
      <c r="F176" s="1298"/>
      <c r="G176" s="1298"/>
      <c r="H176" s="1298"/>
      <c r="I176" s="1298"/>
      <c r="J176" s="1298"/>
      <c r="K176" s="1298"/>
      <c r="L176" s="1298"/>
      <c r="M176" s="1298"/>
      <c r="N176" s="1298"/>
      <c r="O176" s="1298"/>
      <c r="P176" s="1299"/>
      <c r="Q176" s="1298"/>
      <c r="R176" s="1298"/>
      <c r="S176" s="1298"/>
      <c r="T176" s="1298"/>
      <c r="U176" s="1298"/>
      <c r="V176" s="1298"/>
      <c r="W176" s="1298"/>
      <c r="X176" s="1298"/>
      <c r="Y176" s="1298"/>
      <c r="Z176" s="1298"/>
      <c r="AA176" s="1298"/>
      <c r="AB176" s="1298"/>
      <c r="AC176" s="1298"/>
      <c r="AD176" s="1298"/>
      <c r="AE176" s="1298"/>
      <c r="AF176" s="1298"/>
      <c r="AG176" s="1298"/>
      <c r="AH176" s="1207"/>
    </row>
    <row r="177" spans="1:34" x14ac:dyDescent="0.2">
      <c r="A177" s="1236" t="s">
        <v>15</v>
      </c>
      <c r="B177" s="1237"/>
      <c r="C177" s="1302">
        <f>B156+C174</f>
        <v>13662.416999999999</v>
      </c>
      <c r="D177" s="1302">
        <f t="shared" ref="D177:AG177" si="22">C184+D174</f>
        <v>13662.416999999999</v>
      </c>
      <c r="E177" s="1302">
        <f t="shared" si="22"/>
        <v>4209.4169999999995</v>
      </c>
      <c r="F177" s="1302">
        <f t="shared" si="22"/>
        <v>4209.4169999999995</v>
      </c>
      <c r="G177" s="1302">
        <f t="shared" si="22"/>
        <v>4209.4169999999995</v>
      </c>
      <c r="H177" s="1302">
        <f t="shared" si="22"/>
        <v>4209.4169999999995</v>
      </c>
      <c r="I177" s="1302">
        <f t="shared" si="22"/>
        <v>4209.4169999999995</v>
      </c>
      <c r="J177" s="1302">
        <f t="shared" si="22"/>
        <v>-2190.5830000000005</v>
      </c>
      <c r="K177" s="1302">
        <f t="shared" si="22"/>
        <v>-2190.5830000000005</v>
      </c>
      <c r="L177" s="1302">
        <f t="shared" si="22"/>
        <v>-2190.5830000000005</v>
      </c>
      <c r="M177" s="1302">
        <f t="shared" si="22"/>
        <v>-2190.5830000000005</v>
      </c>
      <c r="N177" s="1302">
        <f t="shared" si="22"/>
        <v>-2190.5830000000005</v>
      </c>
      <c r="O177" s="1302">
        <f t="shared" si="22"/>
        <v>-2190.5830000000005</v>
      </c>
      <c r="P177" s="1306">
        <f t="shared" si="22"/>
        <v>-2190.5830000000005</v>
      </c>
      <c r="Q177" s="1302">
        <f t="shared" si="22"/>
        <v>-2190.5830000000005</v>
      </c>
      <c r="R177" s="1302">
        <f t="shared" si="22"/>
        <v>-2190.5830000000005</v>
      </c>
      <c r="S177" s="1302">
        <f t="shared" si="22"/>
        <v>-2190.5830000000005</v>
      </c>
      <c r="T177" s="1302">
        <f t="shared" si="22"/>
        <v>-2190.5830000000005</v>
      </c>
      <c r="U177" s="1302">
        <f t="shared" si="22"/>
        <v>-2190.5830000000005</v>
      </c>
      <c r="V177" s="1302">
        <f t="shared" si="22"/>
        <v>-2190.5830000000005</v>
      </c>
      <c r="W177" s="1302">
        <f t="shared" si="22"/>
        <v>-2190.5830000000005</v>
      </c>
      <c r="X177" s="1302">
        <f t="shared" si="22"/>
        <v>-2190.5830000000005</v>
      </c>
      <c r="Y177" s="1302">
        <f t="shared" si="22"/>
        <v>-2190.5830000000005</v>
      </c>
      <c r="Z177" s="1302">
        <f t="shared" si="22"/>
        <v>-2190.5830000000005</v>
      </c>
      <c r="AA177" s="1302">
        <f t="shared" si="22"/>
        <v>-2190.5830000000005</v>
      </c>
      <c r="AB177" s="1302">
        <f t="shared" si="22"/>
        <v>-2190.5830000000005</v>
      </c>
      <c r="AC177" s="1302">
        <f t="shared" si="22"/>
        <v>-2190.9280000000017</v>
      </c>
      <c r="AD177" s="1302">
        <f t="shared" si="22"/>
        <v>-2190.9280000000017</v>
      </c>
      <c r="AE177" s="1302">
        <f t="shared" si="22"/>
        <v>-2190.9280000000017</v>
      </c>
      <c r="AF177" s="1302">
        <f t="shared" si="22"/>
        <v>-2190.9280000000017</v>
      </c>
      <c r="AG177" s="1302">
        <f t="shared" si="22"/>
        <v>-2190.9280000000017</v>
      </c>
      <c r="AH177" s="1207"/>
    </row>
    <row r="178" spans="1:34" ht="13.5" thickBot="1" x14ac:dyDescent="0.25">
      <c r="A178" s="1250"/>
      <c r="B178" s="1307"/>
      <c r="C178" s="1308"/>
      <c r="D178" s="1308"/>
      <c r="E178" s="1308"/>
      <c r="F178" s="1309"/>
      <c r="G178" s="1309"/>
      <c r="H178" s="1309"/>
      <c r="I178" s="1309"/>
      <c r="J178" s="1309"/>
      <c r="K178" s="1309"/>
      <c r="L178" s="1309"/>
      <c r="M178" s="1309"/>
      <c r="N178" s="1309"/>
      <c r="O178" s="1309"/>
      <c r="P178" s="1310"/>
      <c r="Q178" s="1309"/>
      <c r="R178" s="1309"/>
      <c r="S178" s="1309"/>
      <c r="T178" s="1309"/>
      <c r="U178" s="1309"/>
      <c r="V178" s="1309"/>
      <c r="W178" s="1309"/>
      <c r="X178" s="1309"/>
      <c r="Y178" s="1309"/>
      <c r="Z178" s="1309"/>
      <c r="AA178" s="1309"/>
      <c r="AB178" s="1309"/>
      <c r="AC178" s="1309"/>
      <c r="AD178" s="1309"/>
      <c r="AE178" s="1309"/>
      <c r="AF178" s="1309"/>
      <c r="AG178" s="1309"/>
      <c r="AH178" s="1207"/>
    </row>
    <row r="179" spans="1:34" x14ac:dyDescent="0.2">
      <c r="A179" s="1233"/>
      <c r="B179" s="1234"/>
      <c r="C179" s="1297"/>
      <c r="D179" s="1297"/>
      <c r="E179" s="1297"/>
      <c r="F179" s="1298"/>
      <c r="G179" s="1298"/>
      <c r="H179" s="1298"/>
      <c r="I179" s="1298"/>
      <c r="J179" s="1298"/>
      <c r="K179" s="1298"/>
      <c r="L179" s="1298"/>
      <c r="M179" s="1298"/>
      <c r="N179" s="1298"/>
      <c r="O179" s="1298"/>
      <c r="P179" s="1299"/>
      <c r="Q179" s="1298"/>
      <c r="R179" s="1298"/>
      <c r="S179" s="1298"/>
      <c r="T179" s="1298"/>
      <c r="U179" s="1298"/>
      <c r="V179" s="1298"/>
      <c r="W179" s="1298"/>
      <c r="X179" s="1298"/>
      <c r="Y179" s="1298"/>
      <c r="Z179" s="1298"/>
      <c r="AA179" s="1298"/>
      <c r="AB179" s="1298"/>
      <c r="AC179" s="1298"/>
      <c r="AD179" s="1298"/>
      <c r="AE179" s="1298"/>
      <c r="AF179" s="1298"/>
      <c r="AG179" s="1298"/>
      <c r="AH179" s="1207"/>
    </row>
    <row r="180" spans="1:34" x14ac:dyDescent="0.2">
      <c r="A180" s="1236" t="s">
        <v>82</v>
      </c>
      <c r="B180" s="1237"/>
      <c r="C180" s="1302">
        <f t="shared" ref="C180:AG181" si="23">C188</f>
        <v>0</v>
      </c>
      <c r="D180" s="1302">
        <f t="shared" si="23"/>
        <v>0</v>
      </c>
      <c r="E180" s="1302">
        <f t="shared" si="23"/>
        <v>2.2737367544323206E-13</v>
      </c>
      <c r="F180" s="1302">
        <f t="shared" si="23"/>
        <v>0</v>
      </c>
      <c r="G180" s="1302">
        <f t="shared" si="23"/>
        <v>0</v>
      </c>
      <c r="H180" s="1302">
        <f t="shared" si="23"/>
        <v>0</v>
      </c>
      <c r="I180" s="1302">
        <f t="shared" si="23"/>
        <v>0</v>
      </c>
      <c r="J180" s="1302">
        <f t="shared" si="23"/>
        <v>0</v>
      </c>
      <c r="K180" s="1302">
        <f t="shared" si="23"/>
        <v>0</v>
      </c>
      <c r="L180" s="1302">
        <f t="shared" si="23"/>
        <v>0</v>
      </c>
      <c r="M180" s="1302">
        <f t="shared" si="23"/>
        <v>0</v>
      </c>
      <c r="N180" s="1302">
        <f t="shared" si="23"/>
        <v>0</v>
      </c>
      <c r="O180" s="1302">
        <f t="shared" si="23"/>
        <v>0</v>
      </c>
      <c r="P180" s="1306">
        <f t="shared" si="23"/>
        <v>0</v>
      </c>
      <c r="Q180" s="1302">
        <f t="shared" si="23"/>
        <v>0</v>
      </c>
      <c r="R180" s="1302">
        <f t="shared" si="23"/>
        <v>0</v>
      </c>
      <c r="S180" s="1302">
        <f t="shared" si="23"/>
        <v>0</v>
      </c>
      <c r="T180" s="1302">
        <f t="shared" si="23"/>
        <v>0</v>
      </c>
      <c r="U180" s="1302">
        <f t="shared" si="23"/>
        <v>0</v>
      </c>
      <c r="V180" s="1302">
        <f t="shared" si="23"/>
        <v>0</v>
      </c>
      <c r="W180" s="1302">
        <f t="shared" si="23"/>
        <v>0</v>
      </c>
      <c r="X180" s="1302">
        <f t="shared" si="23"/>
        <v>0</v>
      </c>
      <c r="Y180" s="1302">
        <f t="shared" si="23"/>
        <v>0</v>
      </c>
      <c r="Z180" s="1302">
        <f t="shared" si="23"/>
        <v>0</v>
      </c>
      <c r="AA180" s="1302">
        <f t="shared" si="23"/>
        <v>0</v>
      </c>
      <c r="AB180" s="1302">
        <f t="shared" si="23"/>
        <v>0</v>
      </c>
      <c r="AC180" s="1302">
        <f t="shared" si="23"/>
        <v>0</v>
      </c>
      <c r="AD180" s="1302">
        <f t="shared" si="23"/>
        <v>0</v>
      </c>
      <c r="AE180" s="1302">
        <f t="shared" si="23"/>
        <v>0</v>
      </c>
      <c r="AF180" s="1302">
        <f t="shared" si="23"/>
        <v>0</v>
      </c>
      <c r="AG180" s="1302">
        <f t="shared" si="23"/>
        <v>0</v>
      </c>
      <c r="AH180" s="1207"/>
    </row>
    <row r="181" spans="1:34" x14ac:dyDescent="0.2">
      <c r="A181" s="1236" t="s">
        <v>83</v>
      </c>
      <c r="B181" s="1237"/>
      <c r="C181" s="1306">
        <f t="shared" si="23"/>
        <v>0</v>
      </c>
      <c r="D181" s="1306">
        <f t="shared" si="23"/>
        <v>0</v>
      </c>
      <c r="E181" s="1306">
        <f t="shared" si="23"/>
        <v>0</v>
      </c>
      <c r="F181" s="1306">
        <f t="shared" si="23"/>
        <v>0</v>
      </c>
      <c r="G181" s="1306">
        <f t="shared" si="23"/>
        <v>0</v>
      </c>
      <c r="H181" s="1306">
        <f t="shared" si="23"/>
        <v>0</v>
      </c>
      <c r="I181" s="1306">
        <f t="shared" si="23"/>
        <v>0</v>
      </c>
      <c r="J181" s="1306">
        <f t="shared" si="23"/>
        <v>0</v>
      </c>
      <c r="K181" s="1306">
        <f t="shared" si="23"/>
        <v>0</v>
      </c>
      <c r="L181" s="1306">
        <f t="shared" si="23"/>
        <v>0</v>
      </c>
      <c r="M181" s="1306">
        <f t="shared" si="23"/>
        <v>0</v>
      </c>
      <c r="N181" s="1306">
        <f t="shared" si="23"/>
        <v>0</v>
      </c>
      <c r="O181" s="1306">
        <f t="shared" si="23"/>
        <v>0</v>
      </c>
      <c r="P181" s="1306">
        <f t="shared" si="23"/>
        <v>0</v>
      </c>
      <c r="Q181" s="1306">
        <f t="shared" si="23"/>
        <v>0</v>
      </c>
      <c r="R181" s="1306">
        <f t="shared" si="23"/>
        <v>0</v>
      </c>
      <c r="S181" s="1306">
        <f t="shared" si="23"/>
        <v>0</v>
      </c>
      <c r="T181" s="1306">
        <f t="shared" si="23"/>
        <v>0</v>
      </c>
      <c r="U181" s="1306">
        <f t="shared" si="23"/>
        <v>0</v>
      </c>
      <c r="V181" s="1306">
        <f t="shared" si="23"/>
        <v>0</v>
      </c>
      <c r="W181" s="1306">
        <f t="shared" si="23"/>
        <v>0</v>
      </c>
      <c r="X181" s="1306">
        <f t="shared" si="23"/>
        <v>0</v>
      </c>
      <c r="Y181" s="1306">
        <f t="shared" si="23"/>
        <v>0</v>
      </c>
      <c r="Z181" s="1306">
        <f t="shared" si="23"/>
        <v>0</v>
      </c>
      <c r="AA181" s="1306">
        <f t="shared" si="23"/>
        <v>0</v>
      </c>
      <c r="AB181" s="1306">
        <f t="shared" si="23"/>
        <v>0</v>
      </c>
      <c r="AC181" s="1306">
        <f t="shared" si="23"/>
        <v>0</v>
      </c>
      <c r="AD181" s="1306">
        <f t="shared" si="23"/>
        <v>0</v>
      </c>
      <c r="AE181" s="1306">
        <f t="shared" si="23"/>
        <v>0</v>
      </c>
      <c r="AF181" s="1306">
        <f t="shared" si="23"/>
        <v>0</v>
      </c>
      <c r="AG181" s="1306">
        <f t="shared" si="23"/>
        <v>0</v>
      </c>
      <c r="AH181" s="1207"/>
    </row>
    <row r="182" spans="1:34" ht="13.5" thickBot="1" x14ac:dyDescent="0.25">
      <c r="A182" s="1250"/>
      <c r="B182" s="1307"/>
      <c r="C182" s="1308"/>
      <c r="D182" s="1308"/>
      <c r="E182" s="1308"/>
      <c r="F182" s="1309"/>
      <c r="G182" s="1309"/>
      <c r="H182" s="1309"/>
      <c r="I182" s="1309"/>
      <c r="J182" s="1309"/>
      <c r="K182" s="1309"/>
      <c r="L182" s="1309"/>
      <c r="M182" s="1309"/>
      <c r="N182" s="1309"/>
      <c r="O182" s="1309"/>
      <c r="P182" s="1310"/>
      <c r="Q182" s="1309"/>
      <c r="R182" s="1309"/>
      <c r="S182" s="1309"/>
      <c r="T182" s="1309"/>
      <c r="U182" s="1309"/>
      <c r="V182" s="1309"/>
      <c r="W182" s="1309"/>
      <c r="X182" s="1309"/>
      <c r="Y182" s="1309"/>
      <c r="Z182" s="1309"/>
      <c r="AA182" s="1309"/>
      <c r="AB182" s="1309"/>
      <c r="AC182" s="1309"/>
      <c r="AD182" s="1309"/>
      <c r="AE182" s="1309"/>
      <c r="AF182" s="1309"/>
      <c r="AG182" s="1309"/>
      <c r="AH182" s="1207"/>
    </row>
    <row r="183" spans="1:34" x14ac:dyDescent="0.2">
      <c r="A183" s="1236"/>
      <c r="B183" s="1237"/>
      <c r="C183" s="1302"/>
      <c r="D183" s="1302"/>
      <c r="E183" s="1302"/>
      <c r="F183" s="1303"/>
      <c r="G183" s="1303"/>
      <c r="H183" s="1303"/>
      <c r="I183" s="1303"/>
      <c r="J183" s="1303"/>
      <c r="K183" s="1303"/>
      <c r="L183" s="1303"/>
      <c r="M183" s="1303"/>
      <c r="N183" s="1303"/>
      <c r="O183" s="1303"/>
      <c r="P183" s="1304"/>
      <c r="Q183" s="1303"/>
      <c r="R183" s="1303"/>
      <c r="S183" s="1303"/>
      <c r="T183" s="1303"/>
      <c r="U183" s="1303"/>
      <c r="V183" s="1303"/>
      <c r="W183" s="1303"/>
      <c r="X183" s="1303"/>
      <c r="Y183" s="1303"/>
      <c r="Z183" s="1303"/>
      <c r="AA183" s="1303"/>
      <c r="AB183" s="1303"/>
      <c r="AC183" s="1303"/>
      <c r="AD183" s="1303"/>
      <c r="AE183" s="1303"/>
      <c r="AF183" s="1303"/>
      <c r="AG183" s="1303"/>
      <c r="AH183" s="1208"/>
    </row>
    <row r="184" spans="1:34" x14ac:dyDescent="0.2">
      <c r="A184" s="1236" t="s">
        <v>14</v>
      </c>
      <c r="B184" s="1237"/>
      <c r="C184" s="1302">
        <f t="shared" ref="C184:AG184" si="24">C177+C180+C181</f>
        <v>13662.416999999999</v>
      </c>
      <c r="D184" s="1302">
        <f t="shared" si="24"/>
        <v>13662.416999999999</v>
      </c>
      <c r="E184" s="1302">
        <f t="shared" si="24"/>
        <v>4209.4169999999995</v>
      </c>
      <c r="F184" s="1302">
        <f t="shared" si="24"/>
        <v>4209.4169999999995</v>
      </c>
      <c r="G184" s="1302">
        <f t="shared" si="24"/>
        <v>4209.4169999999995</v>
      </c>
      <c r="H184" s="1302">
        <f t="shared" si="24"/>
        <v>4209.4169999999995</v>
      </c>
      <c r="I184" s="1302">
        <f t="shared" si="24"/>
        <v>4209.4169999999995</v>
      </c>
      <c r="J184" s="1302">
        <f t="shared" si="24"/>
        <v>-2190.5830000000005</v>
      </c>
      <c r="K184" s="1302">
        <f t="shared" si="24"/>
        <v>-2190.5830000000005</v>
      </c>
      <c r="L184" s="1302">
        <f t="shared" si="24"/>
        <v>-2190.5830000000005</v>
      </c>
      <c r="M184" s="1302">
        <f t="shared" si="24"/>
        <v>-2190.5830000000005</v>
      </c>
      <c r="N184" s="1302">
        <f t="shared" si="24"/>
        <v>-2190.5830000000005</v>
      </c>
      <c r="O184" s="1302">
        <f t="shared" si="24"/>
        <v>-2190.5830000000005</v>
      </c>
      <c r="P184" s="1306">
        <f t="shared" si="24"/>
        <v>-2190.5830000000005</v>
      </c>
      <c r="Q184" s="1302">
        <f t="shared" si="24"/>
        <v>-2190.5830000000005</v>
      </c>
      <c r="R184" s="1302">
        <f t="shared" si="24"/>
        <v>-2190.5830000000005</v>
      </c>
      <c r="S184" s="1302">
        <f t="shared" si="24"/>
        <v>-2190.5830000000005</v>
      </c>
      <c r="T184" s="1302">
        <f t="shared" si="24"/>
        <v>-2190.5830000000005</v>
      </c>
      <c r="U184" s="1302">
        <f t="shared" si="24"/>
        <v>-2190.5830000000005</v>
      </c>
      <c r="V184" s="1302">
        <f t="shared" si="24"/>
        <v>-2190.5830000000005</v>
      </c>
      <c r="W184" s="1302">
        <f t="shared" si="24"/>
        <v>-2190.5830000000005</v>
      </c>
      <c r="X184" s="1302">
        <f t="shared" si="24"/>
        <v>-2190.5830000000005</v>
      </c>
      <c r="Y184" s="1302">
        <f t="shared" si="24"/>
        <v>-2190.5830000000005</v>
      </c>
      <c r="Z184" s="1302">
        <f t="shared" si="24"/>
        <v>-2190.5830000000005</v>
      </c>
      <c r="AA184" s="1302">
        <f t="shared" si="24"/>
        <v>-2190.5830000000005</v>
      </c>
      <c r="AB184" s="1302">
        <f t="shared" si="24"/>
        <v>-2190.5830000000005</v>
      </c>
      <c r="AC184" s="1302">
        <f t="shared" si="24"/>
        <v>-2190.9280000000017</v>
      </c>
      <c r="AD184" s="1302">
        <f t="shared" si="24"/>
        <v>-2190.9280000000017</v>
      </c>
      <c r="AE184" s="1302">
        <f t="shared" si="24"/>
        <v>-2190.9280000000017</v>
      </c>
      <c r="AF184" s="1302">
        <f t="shared" si="24"/>
        <v>-2190.9280000000017</v>
      </c>
      <c r="AG184" s="1302">
        <f t="shared" si="24"/>
        <v>-2190.9280000000017</v>
      </c>
      <c r="AH184" s="1229"/>
    </row>
    <row r="185" spans="1:34" x14ac:dyDescent="0.2">
      <c r="A185" s="1236"/>
      <c r="B185" s="1237"/>
      <c r="C185" s="1302"/>
      <c r="D185" s="1302"/>
      <c r="E185" s="1302"/>
      <c r="F185" s="1303"/>
      <c r="G185" s="1303"/>
      <c r="H185" s="1303"/>
      <c r="I185" s="1303"/>
      <c r="J185" s="1303"/>
      <c r="K185" s="1303"/>
      <c r="L185" s="1303"/>
      <c r="M185" s="1303"/>
      <c r="N185" s="1303"/>
      <c r="O185" s="1303"/>
      <c r="P185" s="1304"/>
      <c r="Q185" s="1303"/>
      <c r="R185" s="1303"/>
      <c r="S185" s="1303"/>
      <c r="T185" s="1303"/>
      <c r="U185" s="1303"/>
      <c r="V185" s="1303"/>
      <c r="W185" s="1303"/>
      <c r="X185" s="1303"/>
      <c r="Y185" s="1303"/>
      <c r="Z185" s="1303"/>
      <c r="AA185" s="1303"/>
      <c r="AB185" s="1303"/>
      <c r="AC185" s="1303"/>
      <c r="AD185" s="1303"/>
      <c r="AE185" s="1303"/>
      <c r="AF185" s="1303"/>
      <c r="AG185" s="1303"/>
      <c r="AH185" s="1208"/>
    </row>
    <row r="186" spans="1:34" ht="13.5" thickBot="1" x14ac:dyDescent="0.25">
      <c r="A186" s="1250"/>
      <c r="B186" s="1307"/>
      <c r="C186" s="1312"/>
      <c r="D186" s="1312"/>
      <c r="E186" s="1312"/>
      <c r="F186" s="1313"/>
      <c r="G186" s="1313"/>
      <c r="H186" s="1313"/>
      <c r="I186" s="1313"/>
      <c r="J186" s="1313"/>
      <c r="K186" s="1313"/>
      <c r="L186" s="1313"/>
      <c r="M186" s="1313"/>
      <c r="N186" s="1313"/>
      <c r="O186" s="1313"/>
      <c r="P186" s="1314"/>
      <c r="Q186" s="1313"/>
      <c r="R186" s="1313"/>
      <c r="S186" s="1313"/>
      <c r="T186" s="1313"/>
      <c r="U186" s="1313"/>
      <c r="V186" s="1313"/>
      <c r="W186" s="1313"/>
      <c r="X186" s="1313"/>
      <c r="Y186" s="1313"/>
      <c r="Z186" s="1313"/>
      <c r="AA186" s="1313"/>
      <c r="AB186" s="1313"/>
      <c r="AC186" s="1313"/>
      <c r="AD186" s="1313"/>
      <c r="AE186" s="1313"/>
      <c r="AF186" s="1313"/>
      <c r="AG186" s="1313"/>
      <c r="AH186" s="1208"/>
    </row>
    <row r="187" spans="1:34" x14ac:dyDescent="0.2">
      <c r="A187" s="1316"/>
      <c r="B187" s="1207"/>
      <c r="C187" s="1227"/>
      <c r="D187" s="1227"/>
      <c r="E187" s="1227"/>
      <c r="F187" s="1227"/>
      <c r="G187" s="1227"/>
      <c r="H187" s="1227"/>
      <c r="I187" s="1227"/>
      <c r="J187" s="1227"/>
      <c r="K187" s="1227"/>
      <c r="L187" s="1227"/>
      <c r="M187" s="1227"/>
      <c r="N187" s="1227"/>
      <c r="O187" s="1227"/>
      <c r="P187" s="1229"/>
      <c r="Q187" s="1227"/>
      <c r="R187" s="1227"/>
      <c r="S187" s="1227"/>
      <c r="T187" s="1227"/>
      <c r="U187" s="1227"/>
      <c r="V187" s="1227"/>
      <c r="W187" s="1227"/>
      <c r="X187" s="1227"/>
      <c r="Y187" s="1227"/>
      <c r="Z187" s="1227"/>
      <c r="AA187" s="1227"/>
      <c r="AB187" s="1227"/>
      <c r="AC187" s="1227"/>
      <c r="AD187" s="1227"/>
      <c r="AE187" s="1227"/>
      <c r="AF187" s="1227"/>
      <c r="AG187" s="1227"/>
      <c r="AH187" s="1208"/>
    </row>
    <row r="188" spans="1:34" x14ac:dyDescent="0.2">
      <c r="A188" s="1344"/>
      <c r="B188" s="1383"/>
      <c r="C188" s="1219"/>
      <c r="D188" s="1219"/>
      <c r="E188" s="1219">
        <f>9119.468-195-111-471.414-615-865-1041.028-1292.418-1760-296.85-92.864-212.5-1270-867.394-29</f>
        <v>2.2737367544323206E-13</v>
      </c>
      <c r="F188" s="1219"/>
      <c r="G188" s="1219"/>
      <c r="H188" s="1219"/>
      <c r="I188" s="1219"/>
      <c r="J188" s="1219"/>
      <c r="K188" s="1219"/>
      <c r="L188" s="1219"/>
      <c r="M188" s="1219"/>
      <c r="N188" s="1219"/>
      <c r="O188" s="1221"/>
      <c r="P188" s="1221"/>
      <c r="Q188" s="1219"/>
      <c r="R188" s="1219"/>
      <c r="S188" s="1219"/>
      <c r="T188" s="1219"/>
      <c r="U188" s="1219"/>
      <c r="V188" s="1219"/>
      <c r="W188" s="1219"/>
      <c r="X188" s="1219"/>
      <c r="Y188" s="1219"/>
      <c r="Z188" s="1219"/>
      <c r="AA188" s="1384"/>
      <c r="AB188" s="1219"/>
      <c r="AC188" s="1219"/>
      <c r="AD188" s="1219"/>
      <c r="AE188" s="1219"/>
      <c r="AF188" s="1219"/>
      <c r="AG188" s="1219"/>
      <c r="AH188" s="1229"/>
    </row>
    <row r="189" spans="1:34" x14ac:dyDescent="0.2">
      <c r="A189" s="1316"/>
      <c r="B189" s="1207"/>
      <c r="C189" s="1219"/>
      <c r="D189" s="1219"/>
      <c r="E189" s="1219"/>
      <c r="F189" s="1219"/>
      <c r="G189" s="1219"/>
      <c r="H189" s="1219"/>
      <c r="I189" s="1219"/>
      <c r="J189" s="1219"/>
      <c r="K189" s="1219"/>
      <c r="L189" s="1219"/>
      <c r="M189" s="1219"/>
      <c r="N189" s="1219"/>
      <c r="O189" s="1219"/>
      <c r="P189" s="1221"/>
      <c r="Q189" s="1219"/>
      <c r="R189" s="1219"/>
      <c r="S189" s="1219"/>
      <c r="T189" s="1219"/>
      <c r="U189" s="1219"/>
      <c r="V189" s="1219"/>
      <c r="W189" s="1219"/>
      <c r="X189" s="1219"/>
      <c r="Y189" s="1219"/>
      <c r="Z189" s="1219"/>
      <c r="AA189" s="1219"/>
      <c r="AB189" s="1219"/>
      <c r="AC189" s="1219"/>
      <c r="AD189" s="1219"/>
      <c r="AE189" s="1219"/>
      <c r="AF189" s="1219"/>
      <c r="AG189" s="1219"/>
      <c r="AH189" s="1229"/>
    </row>
    <row r="190" spans="1:34" x14ac:dyDescent="0.2">
      <c r="A190" s="1210" t="s">
        <v>415</v>
      </c>
      <c r="B190" s="1215">
        <f>SUM(B191:B194)</f>
        <v>375000</v>
      </c>
      <c r="C190" s="1207"/>
      <c r="D190" s="1207"/>
      <c r="E190" s="1207"/>
      <c r="F190" s="1207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8"/>
      <c r="Q190" s="1207"/>
      <c r="R190" s="1207"/>
      <c r="S190" s="1207"/>
      <c r="T190" s="1385"/>
      <c r="U190" s="1345"/>
      <c r="V190" s="1207"/>
      <c r="W190" s="1207"/>
      <c r="X190" s="1207"/>
      <c r="Y190" s="1207"/>
      <c r="Z190" s="1207"/>
      <c r="AA190" s="1384"/>
      <c r="AB190" s="1207"/>
      <c r="AC190" s="1207"/>
      <c r="AD190" s="1207"/>
      <c r="AE190" s="1207"/>
      <c r="AF190" s="1207"/>
      <c r="AG190" s="1207"/>
      <c r="AH190" s="1207"/>
    </row>
    <row r="191" spans="1:34" x14ac:dyDescent="0.2">
      <c r="A191" s="1365" t="s">
        <v>414</v>
      </c>
      <c r="B191" s="1219">
        <v>25000</v>
      </c>
      <c r="C191" s="1207"/>
      <c r="D191" s="1229"/>
      <c r="E191" s="1207"/>
      <c r="F191" s="1207"/>
      <c r="G191" s="1207"/>
      <c r="H191" s="1207"/>
      <c r="I191" s="1207"/>
      <c r="J191" s="1207"/>
      <c r="K191" s="1207"/>
      <c r="L191" s="1207"/>
      <c r="M191" s="1207"/>
      <c r="N191" s="1207"/>
      <c r="O191" s="1207"/>
      <c r="P191" s="1208"/>
      <c r="Q191" s="1207"/>
      <c r="R191" s="1207"/>
      <c r="S191" s="1219"/>
      <c r="T191" s="1350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</row>
    <row r="192" spans="1:34" x14ac:dyDescent="0.2">
      <c r="A192" s="1365" t="s">
        <v>287</v>
      </c>
      <c r="B192" s="1219">
        <v>200000</v>
      </c>
      <c r="C192" s="1207"/>
      <c r="D192" s="1207"/>
      <c r="E192" s="1207"/>
      <c r="F192" s="1207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8"/>
      <c r="Q192" s="1207"/>
      <c r="R192" s="1207"/>
      <c r="S192" s="1219"/>
      <c r="T192" s="1350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</row>
    <row r="193" spans="1:34" x14ac:dyDescent="0.2">
      <c r="A193" s="1316" t="s">
        <v>413</v>
      </c>
      <c r="B193" s="1386">
        <v>75000</v>
      </c>
      <c r="C193" s="1207"/>
      <c r="D193" s="1207"/>
      <c r="E193" s="1207"/>
      <c r="F193" s="1207"/>
      <c r="G193" s="1207"/>
      <c r="H193" s="1207"/>
      <c r="I193" s="1207"/>
      <c r="J193" s="1207"/>
      <c r="K193" s="1207"/>
      <c r="L193" s="1227"/>
      <c r="M193" s="1207"/>
      <c r="N193" s="1207"/>
      <c r="O193" s="1207"/>
      <c r="P193" s="1208"/>
      <c r="Q193" s="1207"/>
      <c r="R193" s="1207"/>
      <c r="S193" s="1219"/>
      <c r="T193" s="1350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</row>
    <row r="194" spans="1:34" x14ac:dyDescent="0.2">
      <c r="A194" s="1316" t="s">
        <v>441</v>
      </c>
      <c r="B194" s="1219">
        <v>75000</v>
      </c>
      <c r="C194" s="1207"/>
      <c r="D194" s="1207"/>
      <c r="E194" s="1207"/>
      <c r="F194" s="1207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8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</row>
    <row r="195" spans="1:34" x14ac:dyDescent="0.2">
      <c r="A195" s="1207"/>
      <c r="B195" s="1207"/>
      <c r="C195" s="1207"/>
      <c r="D195" s="1207"/>
      <c r="E195" s="1207"/>
      <c r="F195" s="1207"/>
      <c r="G195" s="1207"/>
      <c r="H195" s="1207"/>
      <c r="I195" s="1207"/>
      <c r="J195" s="1207"/>
      <c r="K195" s="1207"/>
      <c r="L195" s="1207"/>
      <c r="M195" s="1207"/>
      <c r="N195" s="1207"/>
      <c r="O195" s="1207"/>
      <c r="P195" s="1208"/>
      <c r="Q195" s="1207"/>
      <c r="R195" s="1207"/>
      <c r="S195" s="1207"/>
      <c r="T195" s="1207"/>
      <c r="U195" s="1207"/>
      <c r="V195" s="1207"/>
      <c r="W195" s="1207"/>
      <c r="X195" s="1207"/>
      <c r="Y195" s="1207"/>
      <c r="Z195" s="1207"/>
      <c r="AA195" s="1207"/>
      <c r="AB195" s="1207"/>
      <c r="AC195" s="1207"/>
      <c r="AD195" s="1207"/>
      <c r="AE195" s="1207"/>
      <c r="AF195" s="1207"/>
      <c r="AG195" s="1207"/>
      <c r="AH195" s="1207"/>
    </row>
    <row r="196" spans="1:34" ht="13.5" thickBot="1" x14ac:dyDescent="0.25">
      <c r="A196" s="1207"/>
      <c r="B196" s="1207"/>
      <c r="C196" s="1207"/>
      <c r="D196" s="1207"/>
      <c r="E196" s="1207"/>
      <c r="F196" s="1207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8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07"/>
      <c r="AA196" s="1207"/>
      <c r="AB196" s="1207"/>
      <c r="AC196" s="1207"/>
      <c r="AD196" s="1207"/>
      <c r="AE196" s="1207"/>
      <c r="AF196" s="1207"/>
      <c r="AG196" s="1207"/>
      <c r="AH196" s="1207"/>
    </row>
    <row r="197" spans="1:34" x14ac:dyDescent="0.2">
      <c r="A197" s="1233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34"/>
      <c r="O197" s="1234"/>
      <c r="P197" s="1235"/>
      <c r="Q197" s="1234"/>
      <c r="R197" s="1234"/>
      <c r="S197" s="1234"/>
      <c r="T197" s="1234"/>
      <c r="U197" s="1234"/>
      <c r="V197" s="1234"/>
      <c r="W197" s="1234"/>
      <c r="X197" s="1234"/>
      <c r="Y197" s="1234"/>
      <c r="Z197" s="1234"/>
      <c r="AA197" s="1234"/>
      <c r="AB197" s="1234"/>
      <c r="AC197" s="1234"/>
      <c r="AD197" s="1234"/>
      <c r="AE197" s="1234"/>
      <c r="AF197" s="1234"/>
      <c r="AG197" s="1234"/>
      <c r="AH197" s="1207"/>
    </row>
    <row r="198" spans="1:34" x14ac:dyDescent="0.2">
      <c r="A198" s="1236"/>
      <c r="B198" s="1237" t="s">
        <v>37</v>
      </c>
      <c r="C198" s="1237"/>
      <c r="D198" s="1237"/>
      <c r="E198" s="1238" t="s">
        <v>910</v>
      </c>
      <c r="F198" s="1239" t="s">
        <v>96</v>
      </c>
      <c r="G198" s="1211"/>
      <c r="H198" s="1239"/>
      <c r="I198" s="1239"/>
      <c r="J198" s="1239"/>
      <c r="K198" s="1239"/>
      <c r="L198" s="1239"/>
      <c r="M198" s="1239"/>
      <c r="N198" s="1239"/>
      <c r="O198" s="1239"/>
      <c r="P198" s="1240"/>
      <c r="Q198" s="1239"/>
      <c r="R198" s="1239"/>
      <c r="S198" s="1239"/>
      <c r="T198" s="1239"/>
      <c r="U198" s="1239"/>
      <c r="V198" s="1239"/>
      <c r="W198" s="1239"/>
      <c r="X198" s="1239"/>
      <c r="Y198" s="1239"/>
      <c r="Z198" s="1239"/>
      <c r="AA198" s="1239"/>
      <c r="AB198" s="1239"/>
      <c r="AC198" s="1239"/>
      <c r="AD198" s="1239"/>
      <c r="AE198" s="1239"/>
      <c r="AF198" s="1239"/>
      <c r="AG198" s="1239"/>
      <c r="AH198" s="1207"/>
    </row>
    <row r="199" spans="1:34" x14ac:dyDescent="0.2">
      <c r="A199" s="1236"/>
      <c r="B199" s="1237"/>
      <c r="C199" s="1237"/>
      <c r="D199" s="1239"/>
      <c r="E199" s="1237"/>
      <c r="F199" s="1237"/>
      <c r="G199" s="1237"/>
      <c r="H199" s="1237"/>
      <c r="I199" s="1237"/>
      <c r="J199" s="1237"/>
      <c r="K199" s="1237"/>
      <c r="L199" s="1237"/>
      <c r="M199" s="1237"/>
      <c r="N199" s="1237"/>
      <c r="O199" s="1237"/>
      <c r="P199" s="1241"/>
      <c r="Q199" s="1237"/>
      <c r="R199" s="1237"/>
      <c r="S199" s="1237"/>
      <c r="T199" s="1237"/>
      <c r="U199" s="1237"/>
      <c r="V199" s="1237"/>
      <c r="W199" s="1237"/>
      <c r="X199" s="1237"/>
      <c r="Y199" s="1237"/>
      <c r="Z199" s="1237"/>
      <c r="AA199" s="1237"/>
      <c r="AB199" s="1237"/>
      <c r="AC199" s="1237"/>
      <c r="AD199" s="1237"/>
      <c r="AE199" s="1237"/>
      <c r="AF199" s="1237"/>
      <c r="AG199" s="1237"/>
      <c r="AH199" s="1207"/>
    </row>
    <row r="200" spans="1:34" x14ac:dyDescent="0.2">
      <c r="A200" s="1236"/>
      <c r="B200" s="1237"/>
      <c r="C200" s="1239"/>
      <c r="D200" s="1239">
        <v>42376</v>
      </c>
      <c r="E200" s="1237"/>
      <c r="F200" s="1237"/>
      <c r="G200" s="1237"/>
      <c r="H200" s="1237"/>
      <c r="I200" s="1237"/>
      <c r="J200" s="1237"/>
      <c r="K200" s="1237"/>
      <c r="L200" s="1237"/>
      <c r="M200" s="1237"/>
      <c r="N200" s="1237"/>
      <c r="O200" s="1237"/>
      <c r="P200" s="1241"/>
      <c r="Q200" s="1237"/>
      <c r="R200" s="1237"/>
      <c r="S200" s="1237"/>
      <c r="T200" s="1237"/>
      <c r="U200" s="1237"/>
      <c r="V200" s="1237"/>
      <c r="W200" s="1237"/>
      <c r="X200" s="1237"/>
      <c r="Y200" s="1237"/>
      <c r="Z200" s="1237"/>
      <c r="AA200" s="1237"/>
      <c r="AB200" s="1237"/>
      <c r="AC200" s="1237"/>
      <c r="AD200" s="1237"/>
      <c r="AE200" s="1237"/>
      <c r="AF200" s="1237"/>
      <c r="AG200" s="1237"/>
      <c r="AH200" s="1207"/>
    </row>
    <row r="201" spans="1:34" x14ac:dyDescent="0.2">
      <c r="A201" s="1236"/>
      <c r="B201" s="1237"/>
      <c r="C201" s="1239"/>
      <c r="D201" s="1239"/>
      <c r="E201" s="1237"/>
      <c r="F201" s="1237"/>
      <c r="G201" s="1237"/>
      <c r="H201" s="1237"/>
      <c r="I201" s="1237"/>
      <c r="J201" s="1237"/>
      <c r="K201" s="1237"/>
      <c r="L201" s="1237"/>
      <c r="M201" s="1237"/>
      <c r="N201" s="1237"/>
      <c r="O201" s="1237"/>
      <c r="P201" s="1241"/>
      <c r="Q201" s="1237"/>
      <c r="R201" s="1237"/>
      <c r="S201" s="1237"/>
      <c r="T201" s="1237"/>
      <c r="U201" s="1237"/>
      <c r="V201" s="1237"/>
      <c r="W201" s="1237"/>
      <c r="X201" s="1237"/>
      <c r="Y201" s="1237"/>
      <c r="Z201" s="1237"/>
      <c r="AA201" s="1237"/>
      <c r="AB201" s="1237"/>
      <c r="AC201" s="1237"/>
      <c r="AD201" s="1237"/>
      <c r="AE201" s="1237"/>
      <c r="AF201" s="1237"/>
      <c r="AG201" s="1237"/>
      <c r="AH201" s="1207"/>
    </row>
    <row r="202" spans="1:34" ht="13.5" thickBot="1" x14ac:dyDescent="0.25">
      <c r="A202" s="1236"/>
      <c r="B202" s="1237"/>
      <c r="C202" s="1237"/>
      <c r="D202" s="1237"/>
      <c r="E202" s="1237"/>
      <c r="F202" s="1237"/>
      <c r="G202" s="1237"/>
      <c r="H202" s="1237"/>
      <c r="I202" s="1237"/>
      <c r="J202" s="1237"/>
      <c r="K202" s="1237"/>
      <c r="L202" s="1237"/>
      <c r="M202" s="1237"/>
      <c r="N202" s="1237"/>
      <c r="O202" s="1237"/>
      <c r="P202" s="1241"/>
      <c r="Q202" s="1237"/>
      <c r="R202" s="1237"/>
      <c r="S202" s="1237"/>
      <c r="T202" s="1237"/>
      <c r="U202" s="1237"/>
      <c r="V202" s="1237"/>
      <c r="W202" s="1237"/>
      <c r="X202" s="1237"/>
      <c r="Y202" s="1237"/>
      <c r="Z202" s="1237"/>
      <c r="AA202" s="1237"/>
      <c r="AB202" s="1237"/>
      <c r="AC202" s="1237"/>
      <c r="AD202" s="1237"/>
      <c r="AE202" s="1237"/>
      <c r="AF202" s="1237"/>
      <c r="AG202" s="1237"/>
      <c r="AH202" s="1207"/>
    </row>
    <row r="203" spans="1:34" ht="13.5" thickBot="1" x14ac:dyDescent="0.25">
      <c r="A203" s="1236"/>
      <c r="B203" s="1237"/>
      <c r="C203" s="1243"/>
      <c r="D203" s="1244" t="s">
        <v>16</v>
      </c>
      <c r="E203" s="1244"/>
      <c r="F203" s="1244"/>
      <c r="G203" s="1244"/>
      <c r="H203" s="1244"/>
      <c r="I203" s="1244"/>
      <c r="J203" s="1244"/>
      <c r="K203" s="1244"/>
      <c r="L203" s="1244"/>
      <c r="M203" s="1244"/>
      <c r="N203" s="1244"/>
      <c r="O203" s="1244"/>
      <c r="P203" s="1245"/>
      <c r="Q203" s="1244"/>
      <c r="R203" s="1244"/>
      <c r="S203" s="1244"/>
      <c r="T203" s="1244"/>
      <c r="U203" s="1244"/>
      <c r="V203" s="1244"/>
      <c r="W203" s="1244"/>
      <c r="X203" s="1244"/>
      <c r="Y203" s="1244"/>
      <c r="Z203" s="1244"/>
      <c r="AA203" s="1244"/>
      <c r="AB203" s="1244"/>
      <c r="AC203" s="1244"/>
      <c r="AD203" s="1244"/>
      <c r="AE203" s="1244"/>
      <c r="AF203" s="1244"/>
      <c r="AG203" s="1244"/>
      <c r="AH203" s="1207"/>
    </row>
    <row r="204" spans="1:34" ht="13.5" thickBot="1" x14ac:dyDescent="0.25">
      <c r="A204" s="1236"/>
      <c r="B204" s="1237"/>
      <c r="C204" s="1246" t="s">
        <v>452</v>
      </c>
      <c r="D204" s="1246" t="s">
        <v>453</v>
      </c>
      <c r="E204" s="1246" t="s">
        <v>434</v>
      </c>
      <c r="F204" s="1246" t="s">
        <v>390</v>
      </c>
      <c r="G204" s="1246" t="s">
        <v>454</v>
      </c>
      <c r="H204" s="1246" t="s">
        <v>455</v>
      </c>
      <c r="I204" s="1246" t="s">
        <v>456</v>
      </c>
      <c r="J204" s="1246" t="s">
        <v>457</v>
      </c>
      <c r="K204" s="1246" t="s">
        <v>458</v>
      </c>
      <c r="L204" s="1246" t="s">
        <v>216</v>
      </c>
      <c r="M204" s="1246" t="s">
        <v>459</v>
      </c>
      <c r="N204" s="1246" t="s">
        <v>297</v>
      </c>
      <c r="O204" s="1246" t="s">
        <v>211</v>
      </c>
      <c r="P204" s="1247" t="s">
        <v>270</v>
      </c>
      <c r="Q204" s="1246">
        <v>15</v>
      </c>
      <c r="R204" s="1246">
        <v>16</v>
      </c>
      <c r="S204" s="1246" t="s">
        <v>461</v>
      </c>
      <c r="T204" s="1246" t="s">
        <v>442</v>
      </c>
      <c r="U204" s="1246" t="s">
        <v>462</v>
      </c>
      <c r="V204" s="1246" t="s">
        <v>470</v>
      </c>
      <c r="W204" s="1246" t="s">
        <v>471</v>
      </c>
      <c r="X204" s="1246" t="s">
        <v>472</v>
      </c>
      <c r="Y204" s="1246" t="s">
        <v>463</v>
      </c>
      <c r="Z204" s="1246" t="s">
        <v>465</v>
      </c>
      <c r="AA204" s="1246" t="s">
        <v>466</v>
      </c>
      <c r="AB204" s="1246" t="s">
        <v>435</v>
      </c>
      <c r="AC204" s="1246" t="s">
        <v>467</v>
      </c>
      <c r="AD204" s="1246" t="s">
        <v>464</v>
      </c>
      <c r="AE204" s="1246" t="s">
        <v>429</v>
      </c>
      <c r="AF204" s="1246" t="s">
        <v>149</v>
      </c>
      <c r="AG204" s="1246" t="s">
        <v>210</v>
      </c>
      <c r="AH204" s="1207"/>
    </row>
    <row r="205" spans="1:34" x14ac:dyDescent="0.2">
      <c r="A205" s="1233"/>
      <c r="B205" s="1248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37"/>
      <c r="O205" s="1237"/>
      <c r="P205" s="1241"/>
      <c r="Q205" s="1237"/>
      <c r="R205" s="1237"/>
      <c r="S205" s="1237"/>
      <c r="T205" s="1237"/>
      <c r="U205" s="1237"/>
      <c r="V205" s="1237"/>
      <c r="W205" s="1237"/>
      <c r="X205" s="1237"/>
      <c r="Y205" s="1237"/>
      <c r="Z205" s="1237"/>
      <c r="AA205" s="1237"/>
      <c r="AB205" s="1237"/>
      <c r="AC205" s="1237"/>
      <c r="AD205" s="1237"/>
      <c r="AE205" s="1237"/>
      <c r="AF205" s="1237"/>
      <c r="AG205" s="1237"/>
      <c r="AH205" s="1207"/>
    </row>
    <row r="206" spans="1:34" x14ac:dyDescent="0.2">
      <c r="A206" s="1236" t="s">
        <v>0</v>
      </c>
      <c r="B206" s="1249">
        <v>8505.2950000000001</v>
      </c>
      <c r="C206" s="1237"/>
      <c r="D206" s="1237"/>
      <c r="E206" s="1237"/>
      <c r="F206" s="1237"/>
      <c r="G206" s="1237"/>
      <c r="H206" s="1237"/>
      <c r="I206" s="1237"/>
      <c r="J206" s="1237"/>
      <c r="K206" s="1237"/>
      <c r="L206" s="1237"/>
      <c r="M206" s="1237"/>
      <c r="N206" s="1237"/>
      <c r="O206" s="1237"/>
      <c r="P206" s="1241"/>
      <c r="Q206" s="1237"/>
      <c r="R206" s="1237"/>
      <c r="S206" s="1237"/>
      <c r="T206" s="1237"/>
      <c r="U206" s="1237"/>
      <c r="V206" s="1237"/>
      <c r="W206" s="1237"/>
      <c r="X206" s="1237"/>
      <c r="Y206" s="1237"/>
      <c r="Z206" s="1237"/>
      <c r="AA206" s="1237"/>
      <c r="AB206" s="1237"/>
      <c r="AC206" s="1237"/>
      <c r="AD206" s="1237"/>
      <c r="AE206" s="1237"/>
      <c r="AF206" s="1237"/>
      <c r="AG206" s="1237"/>
      <c r="AH206" s="1207"/>
    </row>
    <row r="207" spans="1:34" ht="13.5" thickBot="1" x14ac:dyDescent="0.25">
      <c r="A207" s="1250"/>
      <c r="B207" s="1251"/>
      <c r="C207" s="1237"/>
      <c r="D207" s="1237"/>
      <c r="E207" s="1237"/>
      <c r="F207" s="1237"/>
      <c r="G207" s="1237"/>
      <c r="H207" s="1237"/>
      <c r="I207" s="1237"/>
      <c r="J207" s="1237"/>
      <c r="K207" s="1237"/>
      <c r="L207" s="1237"/>
      <c r="M207" s="1237"/>
      <c r="N207" s="1237"/>
      <c r="O207" s="1237"/>
      <c r="P207" s="1241"/>
      <c r="Q207" s="1237"/>
      <c r="R207" s="1237"/>
      <c r="S207" s="1237"/>
      <c r="T207" s="1237"/>
      <c r="U207" s="1237"/>
      <c r="V207" s="1237"/>
      <c r="W207" s="1237"/>
      <c r="X207" s="1237"/>
      <c r="Y207" s="1237"/>
      <c r="Z207" s="1237"/>
      <c r="AA207" s="1237"/>
      <c r="AB207" s="1237"/>
      <c r="AC207" s="1237"/>
      <c r="AD207" s="1237"/>
      <c r="AE207" s="1237"/>
      <c r="AF207" s="1237"/>
      <c r="AG207" s="1237"/>
      <c r="AH207" s="1207"/>
    </row>
    <row r="208" spans="1:34" x14ac:dyDescent="0.2">
      <c r="A208" s="1233"/>
      <c r="B208" s="1253"/>
      <c r="C208" s="1237"/>
      <c r="D208" s="1237"/>
      <c r="E208" s="1237"/>
      <c r="F208" s="1237"/>
      <c r="G208" s="1237"/>
      <c r="H208" s="1237"/>
      <c r="I208" s="1237"/>
      <c r="J208" s="1237"/>
      <c r="K208" s="1237"/>
      <c r="L208" s="1237"/>
      <c r="M208" s="1237"/>
      <c r="N208" s="1237"/>
      <c r="O208" s="1237"/>
      <c r="P208" s="1241"/>
      <c r="Q208" s="1237"/>
      <c r="R208" s="1237"/>
      <c r="S208" s="1237"/>
      <c r="T208" s="1237"/>
      <c r="U208" s="1237"/>
      <c r="V208" s="1237"/>
      <c r="W208" s="1237"/>
      <c r="X208" s="1237"/>
      <c r="Y208" s="1237"/>
      <c r="Z208" s="1237"/>
      <c r="AA208" s="1237"/>
      <c r="AB208" s="1237"/>
      <c r="AC208" s="1237"/>
      <c r="AD208" s="1237"/>
      <c r="AE208" s="1237"/>
      <c r="AF208" s="1237"/>
      <c r="AG208" s="1237"/>
      <c r="AH208" s="1207"/>
    </row>
    <row r="209" spans="1:34" x14ac:dyDescent="0.2">
      <c r="A209" s="1236" t="s">
        <v>1</v>
      </c>
      <c r="B209" s="1249">
        <f>B210+B211+B212</f>
        <v>0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7"/>
      <c r="O209" s="1237"/>
      <c r="P209" s="1241"/>
      <c r="Q209" s="1237"/>
      <c r="R209" s="1237"/>
      <c r="S209" s="1237"/>
      <c r="T209" s="1237"/>
      <c r="U209" s="1237"/>
      <c r="V209" s="1237"/>
      <c r="W209" s="1237"/>
      <c r="X209" s="1237"/>
      <c r="Y209" s="1237"/>
      <c r="Z209" s="1237"/>
      <c r="AA209" s="1237"/>
      <c r="AB209" s="1237"/>
      <c r="AC209" s="1237"/>
      <c r="AD209" s="1237"/>
      <c r="AE209" s="1237"/>
      <c r="AF209" s="1237"/>
      <c r="AG209" s="1237"/>
      <c r="AH209" s="1207"/>
    </row>
    <row r="210" spans="1:34" x14ac:dyDescent="0.2">
      <c r="A210" s="1236" t="s">
        <v>38</v>
      </c>
      <c r="B210" s="1249">
        <f>C258</f>
        <v>0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7"/>
      <c r="O210" s="1237"/>
      <c r="P210" s="1241"/>
      <c r="Q210" s="1237"/>
      <c r="R210" s="1237"/>
      <c r="S210" s="1237"/>
      <c r="T210" s="1237"/>
      <c r="U210" s="1237"/>
      <c r="V210" s="1237"/>
      <c r="W210" s="1237"/>
      <c r="X210" s="1237"/>
      <c r="Y210" s="1237"/>
      <c r="Z210" s="1237"/>
      <c r="AA210" s="1237"/>
      <c r="AB210" s="1237"/>
      <c r="AC210" s="1237"/>
      <c r="AD210" s="1237"/>
      <c r="AE210" s="1237"/>
      <c r="AF210" s="1237"/>
      <c r="AG210" s="1237"/>
      <c r="AH210" s="1207"/>
    </row>
    <row r="211" spans="1:34" x14ac:dyDescent="0.2">
      <c r="A211" s="1236" t="s">
        <v>39</v>
      </c>
      <c r="B211" s="1249">
        <f>C280</f>
        <v>0</v>
      </c>
      <c r="C211" s="1237"/>
      <c r="D211" s="1237"/>
      <c r="E211" s="1237"/>
      <c r="F211" s="1237"/>
      <c r="G211" s="1237"/>
      <c r="H211" s="1237"/>
      <c r="I211" s="1237"/>
      <c r="J211" s="1237"/>
      <c r="K211" s="1237"/>
      <c r="L211" s="1237"/>
      <c r="M211" s="1237"/>
      <c r="N211" s="1237"/>
      <c r="O211" s="1237"/>
      <c r="P211" s="1241"/>
      <c r="Q211" s="1237"/>
      <c r="R211" s="1237"/>
      <c r="S211" s="1237"/>
      <c r="T211" s="1237"/>
      <c r="U211" s="1237"/>
      <c r="V211" s="1237"/>
      <c r="W211" s="1237"/>
      <c r="X211" s="1237"/>
      <c r="Y211" s="1237"/>
      <c r="Z211" s="1237"/>
      <c r="AA211" s="1237"/>
      <c r="AB211" s="1237"/>
      <c r="AC211" s="1237"/>
      <c r="AD211" s="1237"/>
      <c r="AE211" s="1237"/>
      <c r="AF211" s="1237"/>
      <c r="AG211" s="1237"/>
      <c r="AH211" s="1207"/>
    </row>
    <row r="212" spans="1:34" x14ac:dyDescent="0.2">
      <c r="A212" s="1236" t="s">
        <v>3</v>
      </c>
      <c r="B212" s="1249"/>
      <c r="C212" s="1237"/>
      <c r="D212" s="1237"/>
      <c r="E212" s="1237"/>
      <c r="F212" s="1237"/>
      <c r="G212" s="1237"/>
      <c r="H212" s="1237"/>
      <c r="I212" s="1237"/>
      <c r="J212" s="1237"/>
      <c r="K212" s="1237"/>
      <c r="L212" s="1237"/>
      <c r="M212" s="1237"/>
      <c r="N212" s="1237"/>
      <c r="O212" s="1237"/>
      <c r="P212" s="1241"/>
      <c r="Q212" s="1237"/>
      <c r="R212" s="1237"/>
      <c r="S212" s="1237"/>
      <c r="T212" s="1237"/>
      <c r="U212" s="1237"/>
      <c r="V212" s="1237"/>
      <c r="W212" s="1237"/>
      <c r="X212" s="1237"/>
      <c r="Y212" s="1237"/>
      <c r="Z212" s="1237"/>
      <c r="AA212" s="1237"/>
      <c r="AB212" s="1237"/>
      <c r="AC212" s="1237"/>
      <c r="AD212" s="1237"/>
      <c r="AE212" s="1237"/>
      <c r="AF212" s="1237"/>
      <c r="AG212" s="1237"/>
      <c r="AH212" s="1207"/>
    </row>
    <row r="213" spans="1:34" ht="13.5" thickBot="1" x14ac:dyDescent="0.25">
      <c r="A213" s="1250"/>
      <c r="B213" s="1251"/>
      <c r="C213" s="1237"/>
      <c r="D213" s="1237"/>
      <c r="E213" s="1237"/>
      <c r="F213" s="1237"/>
      <c r="G213" s="1237"/>
      <c r="H213" s="1237"/>
      <c r="I213" s="1237"/>
      <c r="J213" s="1237"/>
      <c r="K213" s="1237"/>
      <c r="L213" s="1237"/>
      <c r="M213" s="1237"/>
      <c r="N213" s="1237"/>
      <c r="O213" s="1237"/>
      <c r="P213" s="1241"/>
      <c r="Q213" s="1237"/>
      <c r="R213" s="1237"/>
      <c r="S213" s="1237"/>
      <c r="T213" s="1237"/>
      <c r="U213" s="1237"/>
      <c r="V213" s="1237"/>
      <c r="W213" s="1237"/>
      <c r="X213" s="1237"/>
      <c r="Y213" s="1237"/>
      <c r="Z213" s="1237"/>
      <c r="AA213" s="1237"/>
      <c r="AB213" s="1237"/>
      <c r="AC213" s="1237"/>
      <c r="AD213" s="1237"/>
      <c r="AE213" s="1237"/>
      <c r="AF213" s="1237"/>
      <c r="AG213" s="1237"/>
      <c r="AH213" s="1207"/>
    </row>
    <row r="214" spans="1:34" x14ac:dyDescent="0.2">
      <c r="A214" s="1233"/>
      <c r="B214" s="1253"/>
      <c r="C214" s="1237"/>
      <c r="D214" s="1237"/>
      <c r="E214" s="1237"/>
      <c r="F214" s="1237"/>
      <c r="G214" s="1237"/>
      <c r="H214" s="1237"/>
      <c r="I214" s="1237"/>
      <c r="J214" s="1237"/>
      <c r="K214" s="1237"/>
      <c r="L214" s="1237"/>
      <c r="M214" s="1237"/>
      <c r="N214" s="1237"/>
      <c r="O214" s="1237"/>
      <c r="P214" s="1241"/>
      <c r="Q214" s="1237"/>
      <c r="R214" s="1237"/>
      <c r="S214" s="1237"/>
      <c r="T214" s="1237"/>
      <c r="U214" s="1237"/>
      <c r="V214" s="1237"/>
      <c r="W214" s="1237"/>
      <c r="X214" s="1237"/>
      <c r="Y214" s="1237"/>
      <c r="Z214" s="1237"/>
      <c r="AA214" s="1237"/>
      <c r="AB214" s="1237"/>
      <c r="AC214" s="1237"/>
      <c r="AD214" s="1237"/>
      <c r="AE214" s="1237"/>
      <c r="AF214" s="1237"/>
      <c r="AG214" s="1237"/>
      <c r="AH214" s="1207"/>
    </row>
    <row r="215" spans="1:34" x14ac:dyDescent="0.2">
      <c r="A215" s="1236" t="s">
        <v>4</v>
      </c>
      <c r="B215" s="1249">
        <f>B206-B209</f>
        <v>8505.2950000000001</v>
      </c>
      <c r="C215" s="1237"/>
      <c r="D215" s="1237"/>
      <c r="E215" s="1237"/>
      <c r="F215" s="1237"/>
      <c r="G215" s="1237"/>
      <c r="H215" s="1237"/>
      <c r="I215" s="1237"/>
      <c r="J215" s="1237"/>
      <c r="K215" s="1237"/>
      <c r="L215" s="1237"/>
      <c r="M215" s="1237"/>
      <c r="N215" s="1237"/>
      <c r="O215" s="1237"/>
      <c r="P215" s="1241"/>
      <c r="Q215" s="1237"/>
      <c r="R215" s="1237"/>
      <c r="S215" s="1237"/>
      <c r="T215" s="1237"/>
      <c r="U215" s="1237"/>
      <c r="V215" s="1237"/>
      <c r="W215" s="1237"/>
      <c r="X215" s="1237"/>
      <c r="Y215" s="1237"/>
      <c r="Z215" s="1237"/>
      <c r="AA215" s="1237"/>
      <c r="AB215" s="1237"/>
      <c r="AC215" s="1237"/>
      <c r="AD215" s="1237"/>
      <c r="AE215" s="1237"/>
      <c r="AF215" s="1237"/>
      <c r="AG215" s="1237"/>
      <c r="AH215" s="1207"/>
    </row>
    <row r="216" spans="1:34" ht="13.5" thickBot="1" x14ac:dyDescent="0.25">
      <c r="A216" s="1250"/>
      <c r="B216" s="1251"/>
      <c r="C216" s="1237"/>
      <c r="D216" s="1237"/>
      <c r="E216" s="1237"/>
      <c r="F216" s="1237"/>
      <c r="G216" s="1237"/>
      <c r="H216" s="1237"/>
      <c r="I216" s="1237"/>
      <c r="J216" s="1237"/>
      <c r="K216" s="1237"/>
      <c r="L216" s="1237"/>
      <c r="M216" s="1237"/>
      <c r="N216" s="1237"/>
      <c r="O216" s="1237"/>
      <c r="P216" s="1241"/>
      <c r="Q216" s="1237"/>
      <c r="R216" s="1237"/>
      <c r="S216" s="1237"/>
      <c r="T216" s="1237"/>
      <c r="U216" s="1237"/>
      <c r="V216" s="1237"/>
      <c r="W216" s="1237"/>
      <c r="X216" s="1237"/>
      <c r="Y216" s="1237"/>
      <c r="Z216" s="1237"/>
      <c r="AA216" s="1237"/>
      <c r="AB216" s="1237"/>
      <c r="AC216" s="1237"/>
      <c r="AD216" s="1237"/>
      <c r="AE216" s="1237"/>
      <c r="AF216" s="1237"/>
      <c r="AG216" s="1237"/>
      <c r="AH216" s="1207"/>
    </row>
    <row r="217" spans="1:34" x14ac:dyDescent="0.2">
      <c r="A217" s="1233"/>
      <c r="B217" s="1253"/>
      <c r="C217" s="1237"/>
      <c r="D217" s="1237"/>
      <c r="E217" s="1237"/>
      <c r="F217" s="1237"/>
      <c r="G217" s="1237"/>
      <c r="H217" s="1237"/>
      <c r="I217" s="1237"/>
      <c r="J217" s="1237"/>
      <c r="K217" s="1237"/>
      <c r="L217" s="1237"/>
      <c r="M217" s="1237"/>
      <c r="N217" s="1237"/>
      <c r="O217" s="1237"/>
      <c r="P217" s="1241"/>
      <c r="Q217" s="1237"/>
      <c r="R217" s="1237"/>
      <c r="S217" s="1237"/>
      <c r="T217" s="1237"/>
      <c r="U217" s="1237"/>
      <c r="V217" s="1237"/>
      <c r="W217" s="1237"/>
      <c r="X217" s="1237"/>
      <c r="Y217" s="1237"/>
      <c r="Z217" s="1237"/>
      <c r="AA217" s="1237"/>
      <c r="AB217" s="1237"/>
      <c r="AC217" s="1237"/>
      <c r="AD217" s="1237"/>
      <c r="AE217" s="1237"/>
      <c r="AF217" s="1237"/>
      <c r="AG217" s="1237"/>
      <c r="AH217" s="1207"/>
    </row>
    <row r="218" spans="1:34" x14ac:dyDescent="0.2">
      <c r="A218" s="1236" t="s">
        <v>17</v>
      </c>
      <c r="B218" s="1249"/>
      <c r="C218" s="1237"/>
      <c r="D218" s="1237"/>
      <c r="E218" s="1237"/>
      <c r="F218" s="1237"/>
      <c r="G218" s="1237"/>
      <c r="H218" s="1237"/>
      <c r="I218" s="1237"/>
      <c r="J218" s="1237"/>
      <c r="K218" s="1237"/>
      <c r="L218" s="1237"/>
      <c r="M218" s="1237"/>
      <c r="N218" s="1237"/>
      <c r="O218" s="1237"/>
      <c r="P218" s="1241"/>
      <c r="Q218" s="1237"/>
      <c r="R218" s="1237"/>
      <c r="S218" s="1237"/>
      <c r="T218" s="1237"/>
      <c r="U218" s="1237"/>
      <c r="V218" s="1237"/>
      <c r="W218" s="1237"/>
      <c r="X218" s="1237"/>
      <c r="Y218" s="1237"/>
      <c r="Z218" s="1237"/>
      <c r="AA218" s="1237"/>
      <c r="AB218" s="1237"/>
      <c r="AC218" s="1237"/>
      <c r="AD218" s="1237"/>
      <c r="AE218" s="1237"/>
      <c r="AF218" s="1237"/>
      <c r="AG218" s="1237"/>
      <c r="AH218" s="1207"/>
    </row>
    <row r="219" spans="1:34" ht="13.5" thickBot="1" x14ac:dyDescent="0.25">
      <c r="A219" s="1250"/>
      <c r="B219" s="1251"/>
      <c r="C219" s="1237"/>
      <c r="D219" s="1237"/>
      <c r="E219" s="1237"/>
      <c r="F219" s="1237"/>
      <c r="G219" s="1237"/>
      <c r="H219" s="1237"/>
      <c r="I219" s="1237"/>
      <c r="J219" s="1237"/>
      <c r="K219" s="1237"/>
      <c r="L219" s="1237"/>
      <c r="M219" s="1237"/>
      <c r="N219" s="1237"/>
      <c r="O219" s="1237"/>
      <c r="P219" s="1241"/>
      <c r="Q219" s="1237"/>
      <c r="R219" s="1237"/>
      <c r="S219" s="1237"/>
      <c r="T219" s="1237"/>
      <c r="U219" s="1237"/>
      <c r="V219" s="1237"/>
      <c r="W219" s="1237"/>
      <c r="X219" s="1258"/>
      <c r="Y219" s="1237"/>
      <c r="Z219" s="1237"/>
      <c r="AA219" s="1237"/>
      <c r="AB219" s="1237"/>
      <c r="AC219" s="1237"/>
      <c r="AD219" s="1237"/>
      <c r="AE219" s="1237"/>
      <c r="AF219" s="1237"/>
      <c r="AG219" s="1237"/>
      <c r="AH219" s="1207"/>
    </row>
    <row r="220" spans="1:34" x14ac:dyDescent="0.2">
      <c r="A220" s="1233"/>
      <c r="B220" s="1253"/>
      <c r="C220" s="1212"/>
      <c r="D220" s="1211"/>
      <c r="E220" s="1237"/>
      <c r="F220" s="1237"/>
      <c r="G220" s="1414" t="s">
        <v>1215</v>
      </c>
      <c r="H220" s="1211"/>
      <c r="I220" s="1237"/>
      <c r="J220" s="1211"/>
      <c r="K220" s="1237"/>
      <c r="L220" s="1237"/>
      <c r="M220" s="1237"/>
      <c r="N220" s="1237"/>
      <c r="O220" s="1237"/>
      <c r="P220" s="1241"/>
      <c r="Q220" s="1212"/>
      <c r="R220" s="1237"/>
      <c r="S220" s="1237"/>
      <c r="T220" s="1237"/>
      <c r="U220" s="1237"/>
      <c r="V220" s="1237"/>
      <c r="W220" s="1237"/>
      <c r="X220" s="1237"/>
      <c r="Y220" s="1237"/>
      <c r="Z220" s="1237"/>
      <c r="AA220" s="1237"/>
      <c r="AB220" s="1237"/>
      <c r="AC220" s="1256"/>
      <c r="AD220" s="1369"/>
      <c r="AE220" s="1211"/>
      <c r="AF220" s="1211"/>
      <c r="AH220" s="1207"/>
    </row>
    <row r="221" spans="1:34" x14ac:dyDescent="0.2">
      <c r="A221" s="1236" t="s">
        <v>5</v>
      </c>
      <c r="B221" s="1249">
        <f>B215-B218</f>
        <v>8505.2950000000001</v>
      </c>
      <c r="C221" s="1212"/>
      <c r="D221" s="1211"/>
      <c r="E221" s="1387"/>
      <c r="G221" s="1414" t="s">
        <v>946</v>
      </c>
      <c r="H221" s="1211"/>
      <c r="I221" s="1211" t="s">
        <v>280</v>
      </c>
      <c r="J221" s="1211"/>
      <c r="K221" s="1212"/>
      <c r="L221" s="1211"/>
      <c r="M221" s="1211"/>
      <c r="N221" s="1212" t="s">
        <v>809</v>
      </c>
      <c r="O221" s="1211"/>
      <c r="P221" s="1241"/>
      <c r="Q221" s="1212"/>
      <c r="R221" s="1237"/>
      <c r="S221" s="1211"/>
      <c r="T221" s="1211"/>
      <c r="U221" s="1211"/>
      <c r="V221" s="1211"/>
      <c r="W221" s="1237"/>
      <c r="X221" s="1388"/>
      <c r="Y221" s="1211"/>
      <c r="Z221" s="1237"/>
      <c r="AA221" s="1211"/>
      <c r="AB221" s="1211"/>
      <c r="AC221" s="1256"/>
      <c r="AD221" s="1369"/>
      <c r="AE221" s="1211"/>
      <c r="AF221" s="1211" t="s">
        <v>1216</v>
      </c>
      <c r="AG221" s="1370" t="s">
        <v>1044</v>
      </c>
      <c r="AH221" s="1207"/>
    </row>
    <row r="222" spans="1:34" ht="13.5" thickBot="1" x14ac:dyDescent="0.25">
      <c r="A222" s="1250"/>
      <c r="B222" s="1251"/>
      <c r="D222" s="1237"/>
      <c r="E222" s="1237"/>
      <c r="F222" s="1237"/>
      <c r="G222" s="1237"/>
      <c r="H222" s="1237"/>
      <c r="I222" s="1237"/>
      <c r="J222" s="1211"/>
      <c r="K222" s="1237"/>
      <c r="L222" s="1237"/>
      <c r="M222" s="1237"/>
      <c r="N222" s="1237"/>
      <c r="O222" s="1237"/>
      <c r="P222" s="1241"/>
      <c r="Q222" s="1237"/>
      <c r="R222" s="1237"/>
      <c r="S222" s="1237"/>
      <c r="T222" s="1237"/>
      <c r="U222" s="1211"/>
      <c r="V222" s="1237"/>
      <c r="W222" s="1237"/>
      <c r="X222" s="1237"/>
      <c r="Y222" s="1237"/>
      <c r="Z222" s="1237"/>
      <c r="AA222" s="1237"/>
      <c r="AB222" s="1237"/>
      <c r="AC222" s="1237"/>
      <c r="AD222" s="1237"/>
      <c r="AE222" s="1237"/>
      <c r="AF222" s="1237"/>
      <c r="AG222" s="1237"/>
      <c r="AH222" s="1207"/>
    </row>
    <row r="223" spans="1:34" x14ac:dyDescent="0.2">
      <c r="A223" s="1269"/>
      <c r="B223" s="1237"/>
      <c r="C223" s="1270"/>
      <c r="D223" s="1272"/>
      <c r="E223" s="1271"/>
      <c r="F223" s="1271"/>
      <c r="G223" s="1271"/>
      <c r="H223" s="1271"/>
      <c r="I223" s="1271"/>
      <c r="J223" s="1271"/>
      <c r="K223" s="1271"/>
      <c r="L223" s="1271"/>
      <c r="M223" s="1271"/>
      <c r="N223" s="1271"/>
      <c r="O223" s="1271"/>
      <c r="P223" s="1273"/>
      <c r="Q223" s="1271"/>
      <c r="R223" s="1271"/>
      <c r="S223" s="1271"/>
      <c r="T223" s="1271"/>
      <c r="U223" s="1271"/>
      <c r="V223" s="1271"/>
      <c r="W223" s="1271"/>
      <c r="X223" s="1271"/>
      <c r="Y223" s="1271"/>
      <c r="Z223" s="1271"/>
      <c r="AA223" s="1271"/>
      <c r="AB223" s="1271"/>
      <c r="AC223" s="1271"/>
      <c r="AD223" s="1271"/>
      <c r="AE223" s="1271"/>
      <c r="AF223" s="1271"/>
      <c r="AG223" s="1271"/>
      <c r="AH223" s="1207"/>
    </row>
    <row r="224" spans="1:34" ht="13.5" thickBot="1" x14ac:dyDescent="0.25">
      <c r="A224" s="1274" t="s">
        <v>7</v>
      </c>
      <c r="B224" s="1237"/>
      <c r="C224" s="1275">
        <f t="shared" ref="C224:AG224" si="25">C225+C226+C227+C229+C228</f>
        <v>0</v>
      </c>
      <c r="D224" s="1275">
        <f t="shared" si="25"/>
        <v>0</v>
      </c>
      <c r="E224" s="1275">
        <f t="shared" si="25"/>
        <v>0</v>
      </c>
      <c r="F224" s="1275">
        <f t="shared" si="25"/>
        <v>0</v>
      </c>
      <c r="G224" s="1275">
        <f t="shared" si="25"/>
        <v>0</v>
      </c>
      <c r="H224" s="1275">
        <f t="shared" si="25"/>
        <v>0</v>
      </c>
      <c r="I224" s="1275">
        <f t="shared" si="25"/>
        <v>13608</v>
      </c>
      <c r="J224" s="1275">
        <f t="shared" si="25"/>
        <v>0</v>
      </c>
      <c r="K224" s="1275">
        <f t="shared" si="25"/>
        <v>0</v>
      </c>
      <c r="L224" s="1275">
        <f t="shared" si="25"/>
        <v>0</v>
      </c>
      <c r="M224" s="1275">
        <f t="shared" si="25"/>
        <v>0</v>
      </c>
      <c r="N224" s="1275">
        <f t="shared" si="25"/>
        <v>4439</v>
      </c>
      <c r="O224" s="1275">
        <f t="shared" si="25"/>
        <v>0</v>
      </c>
      <c r="P224" s="1276">
        <f t="shared" si="25"/>
        <v>0</v>
      </c>
      <c r="Q224" s="1275">
        <f t="shared" si="25"/>
        <v>0</v>
      </c>
      <c r="R224" s="1275">
        <f t="shared" si="25"/>
        <v>0</v>
      </c>
      <c r="S224" s="1275">
        <f t="shared" si="25"/>
        <v>0</v>
      </c>
      <c r="T224" s="1275">
        <f t="shared" si="25"/>
        <v>0</v>
      </c>
      <c r="U224" s="1275">
        <f t="shared" si="25"/>
        <v>0</v>
      </c>
      <c r="V224" s="1275">
        <f t="shared" si="25"/>
        <v>0</v>
      </c>
      <c r="W224" s="1275">
        <f t="shared" si="25"/>
        <v>0</v>
      </c>
      <c r="X224" s="1275">
        <f t="shared" si="25"/>
        <v>0</v>
      </c>
      <c r="Y224" s="1275">
        <f t="shared" si="25"/>
        <v>0</v>
      </c>
      <c r="Z224" s="1275">
        <f t="shared" si="25"/>
        <v>0</v>
      </c>
      <c r="AA224" s="1275">
        <f t="shared" si="25"/>
        <v>0</v>
      </c>
      <c r="AB224" s="1275">
        <f t="shared" si="25"/>
        <v>0</v>
      </c>
      <c r="AC224" s="1275">
        <f t="shared" si="25"/>
        <v>0</v>
      </c>
      <c r="AD224" s="1275">
        <f t="shared" si="25"/>
        <v>0</v>
      </c>
      <c r="AE224" s="1275">
        <f t="shared" si="25"/>
        <v>0</v>
      </c>
      <c r="AF224" s="1275">
        <f t="shared" si="25"/>
        <v>9999.8989999999994</v>
      </c>
      <c r="AG224" s="1275">
        <f t="shared" si="25"/>
        <v>4771</v>
      </c>
      <c r="AH224" s="1227">
        <f>SUM(C224:AG224)</f>
        <v>32817.898999999998</v>
      </c>
    </row>
    <row r="225" spans="1:34" x14ac:dyDescent="0.2">
      <c r="A225" s="1274" t="s">
        <v>8</v>
      </c>
      <c r="B225" s="1389"/>
      <c r="C225" s="1302"/>
      <c r="D225" s="1302"/>
      <c r="E225" s="1303"/>
      <c r="F225" s="1303"/>
      <c r="G225" s="1303"/>
      <c r="H225" s="1303"/>
      <c r="I225" s="1303"/>
      <c r="J225" s="1303"/>
      <c r="K225" s="1303"/>
      <c r="L225" s="1303"/>
      <c r="M225" s="1303"/>
      <c r="N225" s="1303"/>
      <c r="O225" s="1303"/>
      <c r="P225" s="1304"/>
      <c r="Q225" s="1303"/>
      <c r="R225" s="1303"/>
      <c r="S225" s="1303"/>
      <c r="T225" s="1303"/>
      <c r="U225" s="1303"/>
      <c r="V225" s="1303"/>
      <c r="W225" s="1303"/>
      <c r="X225" s="1303"/>
      <c r="Y225" s="1303"/>
      <c r="Z225" s="1303"/>
      <c r="AA225" s="1303"/>
      <c r="AB225" s="1303"/>
      <c r="AC225" s="1303"/>
      <c r="AD225" s="1303"/>
      <c r="AE225" s="1303"/>
      <c r="AF225" s="1303"/>
      <c r="AG225" s="1303"/>
      <c r="AH225" s="1227">
        <f>SUM(C225:AG225)</f>
        <v>0</v>
      </c>
    </row>
    <row r="226" spans="1:34" x14ac:dyDescent="0.2">
      <c r="A226" s="1274" t="s">
        <v>9</v>
      </c>
      <c r="B226" s="1389"/>
      <c r="C226" s="1302"/>
      <c r="D226" s="1302"/>
      <c r="E226" s="1303"/>
      <c r="F226" s="1303"/>
      <c r="G226" s="1303"/>
      <c r="H226" s="1303"/>
      <c r="I226" s="1303"/>
      <c r="J226" s="1303"/>
      <c r="K226" s="1303"/>
      <c r="L226" s="1303"/>
      <c r="M226" s="1319"/>
      <c r="N226" s="1303"/>
      <c r="O226" s="1303"/>
      <c r="P226" s="1304"/>
      <c r="Q226" s="1303"/>
      <c r="R226" s="1303"/>
      <c r="S226" s="1303"/>
      <c r="T226" s="1303"/>
      <c r="U226" s="1303"/>
      <c r="V226" s="1303"/>
      <c r="W226" s="1303"/>
      <c r="X226" s="1303"/>
      <c r="Y226" s="1303"/>
      <c r="Z226" s="1303"/>
      <c r="AA226" s="1303"/>
      <c r="AB226" s="1303"/>
      <c r="AC226" s="1303"/>
      <c r="AD226" s="1303"/>
      <c r="AE226" s="1303"/>
      <c r="AF226" s="1303"/>
      <c r="AG226" s="1303">
        <v>4771</v>
      </c>
      <c r="AH226" s="1227">
        <f>SUM(C226:AG226)</f>
        <v>4771</v>
      </c>
    </row>
    <row r="227" spans="1:34" s="1289" customFormat="1" x14ac:dyDescent="0.2">
      <c r="A227" s="1285" t="s">
        <v>10</v>
      </c>
      <c r="B227" s="1372"/>
      <c r="C227" s="1374"/>
      <c r="D227" s="1374"/>
      <c r="E227" s="1375"/>
      <c r="F227" s="1375"/>
      <c r="G227" s="1375"/>
      <c r="H227" s="1375"/>
      <c r="I227" s="1390">
        <v>13608</v>
      </c>
      <c r="J227" s="1375"/>
      <c r="K227" s="1375"/>
      <c r="L227" s="1391"/>
      <c r="M227" s="1375"/>
      <c r="N227" s="1375">
        <v>4439</v>
      </c>
      <c r="O227" s="1375"/>
      <c r="P227" s="1375"/>
      <c r="Q227" s="1375"/>
      <c r="R227" s="1375"/>
      <c r="S227" s="1375"/>
      <c r="T227" s="1375"/>
      <c r="U227" s="1375"/>
      <c r="V227" s="1375"/>
      <c r="W227" s="1375"/>
      <c r="X227" s="1377"/>
      <c r="Y227" s="1375"/>
      <c r="Z227" s="1375"/>
      <c r="AA227" s="1375"/>
      <c r="AB227" s="1375"/>
      <c r="AC227" s="1376"/>
      <c r="AD227" s="1378"/>
      <c r="AE227" s="1375"/>
      <c r="AF227" s="1391">
        <v>9999.8989999999994</v>
      </c>
      <c r="AG227" s="1375"/>
      <c r="AH227" s="1231">
        <f>SUM(C227:AG227)</f>
        <v>28046.898999999998</v>
      </c>
    </row>
    <row r="228" spans="1:34" s="1289" customFormat="1" x14ac:dyDescent="0.2">
      <c r="A228" s="1285" t="s">
        <v>356</v>
      </c>
      <c r="B228" s="1372"/>
      <c r="C228" s="1374"/>
      <c r="D228" s="1374"/>
      <c r="E228" s="1374"/>
      <c r="F228" s="1375"/>
      <c r="G228" s="1391"/>
      <c r="H228" s="1375"/>
      <c r="I228" s="1375"/>
      <c r="J228" s="1375"/>
      <c r="K228" s="1375"/>
      <c r="L228" s="1375"/>
      <c r="M228" s="1375"/>
      <c r="N228" s="1375"/>
      <c r="O228" s="1375"/>
      <c r="P228" s="1375"/>
      <c r="Q228" s="1375"/>
      <c r="R228" s="1375"/>
      <c r="S228" s="1375"/>
      <c r="T228" s="1375"/>
      <c r="U228" s="1375"/>
      <c r="V228" s="1375"/>
      <c r="W228" s="1375"/>
      <c r="X228" s="1375"/>
      <c r="Y228" s="1375"/>
      <c r="Z228" s="1375"/>
      <c r="AA228" s="1375"/>
      <c r="AB228" s="1375"/>
      <c r="AC228" s="1375"/>
      <c r="AD228" s="1375"/>
      <c r="AE228" s="1375"/>
      <c r="AF228" s="1375"/>
      <c r="AG228" s="1375"/>
      <c r="AH228" s="1231">
        <f>SUM(C228:AG228)</f>
        <v>0</v>
      </c>
    </row>
    <row r="229" spans="1:34" x14ac:dyDescent="0.2">
      <c r="A229" s="1274" t="s">
        <v>11</v>
      </c>
      <c r="B229" s="1237"/>
      <c r="C229" s="1302">
        <v>0</v>
      </c>
      <c r="D229" s="1306"/>
      <c r="E229" s="1306"/>
      <c r="F229" s="1304"/>
      <c r="G229" s="1304"/>
      <c r="H229" s="1304"/>
      <c r="I229" s="1304"/>
      <c r="J229" s="1304"/>
      <c r="K229" s="1304"/>
      <c r="L229" s="1304"/>
      <c r="M229" s="1304"/>
      <c r="N229" s="1304"/>
      <c r="O229" s="1304"/>
      <c r="P229" s="1304"/>
      <c r="Q229" s="1304"/>
      <c r="R229" s="1304"/>
      <c r="S229" s="1304"/>
      <c r="T229" s="1304"/>
      <c r="U229" s="1304"/>
      <c r="V229" s="1304"/>
      <c r="W229" s="1304"/>
      <c r="X229" s="1304"/>
      <c r="Y229" s="1304"/>
      <c r="Z229" s="1304"/>
      <c r="AA229" s="1304"/>
      <c r="AB229" s="1304"/>
      <c r="AC229" s="1304"/>
      <c r="AD229" s="1304"/>
      <c r="AE229" s="1304"/>
      <c r="AF229" s="1304"/>
      <c r="AG229" s="1304"/>
      <c r="AH229" s="1207"/>
    </row>
    <row r="230" spans="1:34" ht="13.5" thickBot="1" x14ac:dyDescent="0.25">
      <c r="A230" s="1294"/>
      <c r="B230" s="1237"/>
      <c r="C230" s="1302"/>
      <c r="D230" s="1302"/>
      <c r="E230" s="1302"/>
      <c r="F230" s="1303"/>
      <c r="G230" s="1303"/>
      <c r="H230" s="1303"/>
      <c r="I230" s="1303"/>
      <c r="J230" s="1303"/>
      <c r="K230" s="1303"/>
      <c r="L230" s="1303"/>
      <c r="M230" s="1303"/>
      <c r="N230" s="1303"/>
      <c r="O230" s="1303"/>
      <c r="P230" s="1304"/>
      <c r="Q230" s="1303"/>
      <c r="R230" s="1303"/>
      <c r="S230" s="1303"/>
      <c r="T230" s="1303"/>
      <c r="U230" s="1303"/>
      <c r="V230" s="1303"/>
      <c r="W230" s="1303"/>
      <c r="X230" s="1303"/>
      <c r="Y230" s="1303"/>
      <c r="Z230" s="1303"/>
      <c r="AA230" s="1303"/>
      <c r="AB230" s="1303"/>
      <c r="AC230" s="1303"/>
      <c r="AD230" s="1303"/>
      <c r="AE230" s="1303"/>
      <c r="AF230" s="1303"/>
      <c r="AG230" s="1303"/>
      <c r="AH230" s="1207"/>
    </row>
    <row r="231" spans="1:34" x14ac:dyDescent="0.2">
      <c r="A231" s="1269"/>
      <c r="B231" s="1237"/>
      <c r="C231" s="1296"/>
      <c r="D231" s="1297"/>
      <c r="E231" s="1297"/>
      <c r="F231" s="1298"/>
      <c r="G231" s="1298"/>
      <c r="H231" s="1298"/>
      <c r="I231" s="1298"/>
      <c r="J231" s="1298"/>
      <c r="K231" s="1298"/>
      <c r="L231" s="1298"/>
      <c r="M231" s="1298"/>
      <c r="N231" s="1298"/>
      <c r="O231" s="1298"/>
      <c r="P231" s="1299"/>
      <c r="Q231" s="1298"/>
      <c r="R231" s="1298"/>
      <c r="S231" s="1298"/>
      <c r="T231" s="1298"/>
      <c r="U231" s="1298"/>
      <c r="V231" s="1298"/>
      <c r="W231" s="1298"/>
      <c r="X231" s="1298"/>
      <c r="Y231" s="1298"/>
      <c r="Z231" s="1298"/>
      <c r="AA231" s="1298"/>
      <c r="AB231" s="1298"/>
      <c r="AC231" s="1298"/>
      <c r="AD231" s="1298"/>
      <c r="AE231" s="1298"/>
      <c r="AF231" s="1298"/>
      <c r="AG231" s="1298"/>
      <c r="AH231" s="1207"/>
    </row>
    <row r="232" spans="1:34" ht="13.5" thickBot="1" x14ac:dyDescent="0.25">
      <c r="A232" s="1274" t="s">
        <v>12</v>
      </c>
      <c r="B232" s="1237"/>
      <c r="C232" s="1275">
        <f t="shared" ref="C232:AG232" si="26">C233</f>
        <v>0</v>
      </c>
      <c r="D232" s="1275">
        <f t="shared" si="26"/>
        <v>0</v>
      </c>
      <c r="E232" s="1275">
        <f t="shared" si="26"/>
        <v>0</v>
      </c>
      <c r="F232" s="1275">
        <f t="shared" si="26"/>
        <v>0</v>
      </c>
      <c r="G232" s="1275">
        <f t="shared" si="26"/>
        <v>0</v>
      </c>
      <c r="H232" s="1275">
        <f t="shared" si="26"/>
        <v>0</v>
      </c>
      <c r="I232" s="1275">
        <f t="shared" si="26"/>
        <v>0</v>
      </c>
      <c r="J232" s="1275">
        <f t="shared" si="26"/>
        <v>0</v>
      </c>
      <c r="K232" s="1275">
        <f t="shared" si="26"/>
        <v>0</v>
      </c>
      <c r="L232" s="1275">
        <f t="shared" si="26"/>
        <v>0</v>
      </c>
      <c r="M232" s="1275">
        <f t="shared" si="26"/>
        <v>0</v>
      </c>
      <c r="N232" s="1275">
        <f t="shared" si="26"/>
        <v>0</v>
      </c>
      <c r="O232" s="1275">
        <f t="shared" si="26"/>
        <v>0</v>
      </c>
      <c r="P232" s="1276">
        <f t="shared" si="26"/>
        <v>0</v>
      </c>
      <c r="Q232" s="1275">
        <f t="shared" si="26"/>
        <v>0</v>
      </c>
      <c r="R232" s="1275">
        <f t="shared" si="26"/>
        <v>0</v>
      </c>
      <c r="S232" s="1275">
        <f t="shared" si="26"/>
        <v>0</v>
      </c>
      <c r="T232" s="1275">
        <f t="shared" si="26"/>
        <v>0</v>
      </c>
      <c r="U232" s="1275">
        <f t="shared" si="26"/>
        <v>0</v>
      </c>
      <c r="V232" s="1275">
        <f t="shared" si="26"/>
        <v>0</v>
      </c>
      <c r="W232" s="1275">
        <f t="shared" si="26"/>
        <v>0</v>
      </c>
      <c r="X232" s="1275">
        <f t="shared" si="26"/>
        <v>0</v>
      </c>
      <c r="Y232" s="1275">
        <f t="shared" si="26"/>
        <v>0</v>
      </c>
      <c r="Z232" s="1275">
        <f t="shared" si="26"/>
        <v>0</v>
      </c>
      <c r="AA232" s="1275">
        <f t="shared" si="26"/>
        <v>0</v>
      </c>
      <c r="AB232" s="1275">
        <f t="shared" si="26"/>
        <v>0</v>
      </c>
      <c r="AC232" s="1275">
        <f t="shared" si="26"/>
        <v>0</v>
      </c>
      <c r="AD232" s="1275">
        <f t="shared" si="26"/>
        <v>0</v>
      </c>
      <c r="AE232" s="1275">
        <f t="shared" si="26"/>
        <v>0</v>
      </c>
      <c r="AF232" s="1275">
        <f t="shared" si="26"/>
        <v>0</v>
      </c>
      <c r="AG232" s="1275">
        <f t="shared" si="26"/>
        <v>0</v>
      </c>
      <c r="AH232" s="1207"/>
    </row>
    <row r="233" spans="1:34" x14ac:dyDescent="0.2">
      <c r="A233" s="1274" t="s">
        <v>8</v>
      </c>
      <c r="B233" s="1237"/>
      <c r="C233" s="1302"/>
      <c r="D233" s="1302"/>
      <c r="E233" s="1302"/>
      <c r="F233" s="1303"/>
      <c r="G233" s="1303"/>
      <c r="H233" s="1303"/>
      <c r="I233" s="1303"/>
      <c r="J233" s="1303"/>
      <c r="K233" s="1303"/>
      <c r="L233" s="1303"/>
      <c r="M233" s="1303"/>
      <c r="N233" s="1303"/>
      <c r="O233" s="1303"/>
      <c r="P233" s="1304"/>
      <c r="Q233" s="1303"/>
      <c r="R233" s="1303"/>
      <c r="S233" s="1303"/>
      <c r="T233" s="1303"/>
      <c r="U233" s="1303"/>
      <c r="V233" s="1303"/>
      <c r="W233" s="1303"/>
      <c r="X233" s="1303"/>
      <c r="Y233" s="1303"/>
      <c r="Z233" s="1303"/>
      <c r="AA233" s="1303"/>
      <c r="AB233" s="1303"/>
      <c r="AC233" s="1303"/>
      <c r="AD233" s="1303"/>
      <c r="AE233" s="1303"/>
      <c r="AF233" s="1303"/>
      <c r="AG233" s="1303"/>
      <c r="AH233" s="1207"/>
    </row>
    <row r="234" spans="1:34" x14ac:dyDescent="0.2">
      <c r="A234" s="1274" t="s">
        <v>775</v>
      </c>
      <c r="B234" s="1237"/>
      <c r="C234" s="1381"/>
      <c r="D234" s="1381"/>
      <c r="E234" s="1381"/>
      <c r="F234" s="1381"/>
      <c r="G234" s="1381"/>
      <c r="H234" s="1381"/>
      <c r="I234" s="1381"/>
      <c r="J234" s="1381"/>
      <c r="K234" s="1381"/>
      <c r="L234" s="1382">
        <v>3706.279</v>
      </c>
      <c r="M234" s="1382"/>
      <c r="N234" s="1382"/>
      <c r="O234" s="1382">
        <v>1000</v>
      </c>
      <c r="P234" s="1382"/>
      <c r="Q234" s="1382">
        <v>3411.1400000000003</v>
      </c>
      <c r="R234" s="1382"/>
      <c r="S234" s="1382"/>
      <c r="T234" s="1382">
        <v>8071.74</v>
      </c>
      <c r="U234" s="1382"/>
      <c r="V234" s="1382">
        <v>7752.99</v>
      </c>
      <c r="W234" s="1382"/>
      <c r="X234" s="1382"/>
      <c r="Y234" s="1382">
        <v>1044.46</v>
      </c>
      <c r="Z234" s="1382"/>
      <c r="AA234" s="1382">
        <v>2429.703</v>
      </c>
      <c r="AB234" s="1382"/>
      <c r="AC234" s="1382">
        <v>1550</v>
      </c>
      <c r="AD234" s="1382"/>
      <c r="AE234" s="1382">
        <v>1550</v>
      </c>
      <c r="AF234" s="1382">
        <v>3273.2869999999998</v>
      </c>
      <c r="AG234" s="1382">
        <v>3250.1309999999999</v>
      </c>
      <c r="AH234" s="1227">
        <f>SUM(C234:AG234)</f>
        <v>37039.729999999996</v>
      </c>
    </row>
    <row r="235" spans="1:34" ht="13.5" thickBot="1" x14ac:dyDescent="0.25">
      <c r="A235" s="1294"/>
      <c r="B235" s="1237"/>
      <c r="C235" s="1302"/>
      <c r="D235" s="1302"/>
      <c r="E235" s="1302"/>
      <c r="F235" s="1303"/>
      <c r="G235" s="1303"/>
      <c r="H235" s="1303"/>
      <c r="I235" s="1303"/>
      <c r="J235" s="1303"/>
      <c r="K235" s="1303"/>
      <c r="L235" s="1303"/>
      <c r="M235" s="1303"/>
      <c r="N235" s="1303"/>
      <c r="O235" s="1303"/>
      <c r="P235" s="1304"/>
      <c r="Q235" s="1303"/>
      <c r="R235" s="1303"/>
      <c r="S235" s="1303"/>
      <c r="T235" s="1303"/>
      <c r="U235" s="1303"/>
      <c r="V235" s="1303"/>
      <c r="W235" s="1303"/>
      <c r="X235" s="1303"/>
      <c r="Y235" s="1303"/>
      <c r="Z235" s="1303"/>
      <c r="AA235" s="1303"/>
      <c r="AB235" s="1303"/>
      <c r="AC235" s="1303"/>
      <c r="AD235" s="1303"/>
      <c r="AE235" s="1303"/>
      <c r="AF235" s="1303"/>
      <c r="AG235" s="1303"/>
      <c r="AH235" s="1207"/>
    </row>
    <row r="236" spans="1:34" x14ac:dyDescent="0.2">
      <c r="A236" s="1269"/>
      <c r="B236" s="1237"/>
      <c r="C236" s="1296"/>
      <c r="D236" s="1297"/>
      <c r="E236" s="1297"/>
      <c r="F236" s="1298"/>
      <c r="G236" s="1298"/>
      <c r="H236" s="1298"/>
      <c r="I236" s="1298"/>
      <c r="J236" s="1298"/>
      <c r="K236" s="1298"/>
      <c r="L236" s="1298"/>
      <c r="M236" s="1298"/>
      <c r="N236" s="1298"/>
      <c r="O236" s="1298"/>
      <c r="P236" s="1299"/>
      <c r="Q236" s="1298"/>
      <c r="R236" s="1298"/>
      <c r="S236" s="1298"/>
      <c r="T236" s="1298"/>
      <c r="U236" s="1298"/>
      <c r="V236" s="1298"/>
      <c r="W236" s="1298"/>
      <c r="X236" s="1298"/>
      <c r="Y236" s="1298"/>
      <c r="Z236" s="1298"/>
      <c r="AA236" s="1298"/>
      <c r="AB236" s="1298"/>
      <c r="AC236" s="1298"/>
      <c r="AD236" s="1298"/>
      <c r="AE236" s="1298"/>
      <c r="AF236" s="1298"/>
      <c r="AG236" s="1298"/>
      <c r="AH236" s="1207"/>
    </row>
    <row r="237" spans="1:34" x14ac:dyDescent="0.2">
      <c r="A237" s="1274" t="s">
        <v>13</v>
      </c>
      <c r="B237" s="1237"/>
      <c r="C237" s="1300">
        <f t="shared" ref="C237:AG237" si="27">C232-C224</f>
        <v>0</v>
      </c>
      <c r="D237" s="1300">
        <f t="shared" si="27"/>
        <v>0</v>
      </c>
      <c r="E237" s="1300">
        <f t="shared" si="27"/>
        <v>0</v>
      </c>
      <c r="F237" s="1300">
        <f t="shared" si="27"/>
        <v>0</v>
      </c>
      <c r="G237" s="1300">
        <f t="shared" si="27"/>
        <v>0</v>
      </c>
      <c r="H237" s="1300">
        <f t="shared" si="27"/>
        <v>0</v>
      </c>
      <c r="I237" s="1300">
        <f t="shared" si="27"/>
        <v>-13608</v>
      </c>
      <c r="J237" s="1300">
        <f t="shared" si="27"/>
        <v>0</v>
      </c>
      <c r="K237" s="1300">
        <f t="shared" si="27"/>
        <v>0</v>
      </c>
      <c r="L237" s="1300">
        <f t="shared" si="27"/>
        <v>0</v>
      </c>
      <c r="M237" s="1300">
        <f t="shared" si="27"/>
        <v>0</v>
      </c>
      <c r="N237" s="1300">
        <f t="shared" si="27"/>
        <v>-4439</v>
      </c>
      <c r="O237" s="1300">
        <f t="shared" si="27"/>
        <v>0</v>
      </c>
      <c r="P237" s="1301">
        <f t="shared" si="27"/>
        <v>0</v>
      </c>
      <c r="Q237" s="1300">
        <f t="shared" si="27"/>
        <v>0</v>
      </c>
      <c r="R237" s="1300">
        <f t="shared" si="27"/>
        <v>0</v>
      </c>
      <c r="S237" s="1300">
        <f t="shared" si="27"/>
        <v>0</v>
      </c>
      <c r="T237" s="1300">
        <f t="shared" si="27"/>
        <v>0</v>
      </c>
      <c r="U237" s="1300">
        <f t="shared" si="27"/>
        <v>0</v>
      </c>
      <c r="V237" s="1300">
        <f t="shared" si="27"/>
        <v>0</v>
      </c>
      <c r="W237" s="1300">
        <f t="shared" si="27"/>
        <v>0</v>
      </c>
      <c r="X237" s="1300">
        <f t="shared" si="27"/>
        <v>0</v>
      </c>
      <c r="Y237" s="1300">
        <f t="shared" si="27"/>
        <v>0</v>
      </c>
      <c r="Z237" s="1300">
        <f t="shared" si="27"/>
        <v>0</v>
      </c>
      <c r="AA237" s="1300">
        <f t="shared" si="27"/>
        <v>0</v>
      </c>
      <c r="AB237" s="1300">
        <f t="shared" si="27"/>
        <v>0</v>
      </c>
      <c r="AC237" s="1300">
        <f t="shared" si="27"/>
        <v>0</v>
      </c>
      <c r="AD237" s="1300">
        <f t="shared" si="27"/>
        <v>0</v>
      </c>
      <c r="AE237" s="1300">
        <f t="shared" si="27"/>
        <v>0</v>
      </c>
      <c r="AF237" s="1300">
        <f t="shared" si="27"/>
        <v>-9999.8989999999994</v>
      </c>
      <c r="AG237" s="1300">
        <f t="shared" si="27"/>
        <v>-4771</v>
      </c>
      <c r="AH237" s="1207"/>
    </row>
    <row r="238" spans="1:34" ht="13.5" thickBot="1" x14ac:dyDescent="0.25">
      <c r="A238" s="1274"/>
      <c r="B238" s="1237"/>
      <c r="C238" s="1300"/>
      <c r="D238" s="1302"/>
      <c r="E238" s="1302"/>
      <c r="F238" s="1303"/>
      <c r="G238" s="1303"/>
      <c r="H238" s="1303"/>
      <c r="I238" s="1303"/>
      <c r="J238" s="1303"/>
      <c r="K238" s="1303"/>
      <c r="L238" s="1303"/>
      <c r="M238" s="1303"/>
      <c r="N238" s="1303"/>
      <c r="O238" s="1303"/>
      <c r="P238" s="1304"/>
      <c r="Q238" s="1303"/>
      <c r="R238" s="1303"/>
      <c r="S238" s="1303"/>
      <c r="T238" s="1303"/>
      <c r="U238" s="1303"/>
      <c r="V238" s="1303"/>
      <c r="W238" s="1303"/>
      <c r="X238" s="1303"/>
      <c r="Y238" s="1303"/>
      <c r="Z238" s="1303"/>
      <c r="AA238" s="1303"/>
      <c r="AB238" s="1303"/>
      <c r="AC238" s="1303"/>
      <c r="AD238" s="1303"/>
      <c r="AE238" s="1303"/>
      <c r="AF238" s="1303"/>
      <c r="AG238" s="1303"/>
      <c r="AH238" s="1207"/>
    </row>
    <row r="239" spans="1:34" x14ac:dyDescent="0.2">
      <c r="A239" s="1233"/>
      <c r="B239" s="1234"/>
      <c r="C239" s="1305"/>
      <c r="D239" s="1297"/>
      <c r="E239" s="1297"/>
      <c r="F239" s="1298"/>
      <c r="G239" s="1298"/>
      <c r="H239" s="1298"/>
      <c r="I239" s="1298"/>
      <c r="J239" s="1298"/>
      <c r="K239" s="1298"/>
      <c r="L239" s="1298"/>
      <c r="M239" s="1298"/>
      <c r="N239" s="1298"/>
      <c r="O239" s="1298"/>
      <c r="P239" s="1299"/>
      <c r="Q239" s="1298"/>
      <c r="R239" s="1298"/>
      <c r="S239" s="1298"/>
      <c r="T239" s="1298"/>
      <c r="U239" s="1298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07"/>
    </row>
    <row r="240" spans="1:34" x14ac:dyDescent="0.2">
      <c r="A240" s="1236" t="s">
        <v>15</v>
      </c>
      <c r="B240" s="1237"/>
      <c r="C240" s="1302">
        <f>B221+C237</f>
        <v>8505.2950000000001</v>
      </c>
      <c r="D240" s="1302">
        <f t="shared" ref="D240:AG240" si="28">C247+D237</f>
        <v>8505.2950000000001</v>
      </c>
      <c r="E240" s="1302">
        <f t="shared" si="28"/>
        <v>8505.2950000000001</v>
      </c>
      <c r="F240" s="1302">
        <f t="shared" si="28"/>
        <v>8505.2950000000001</v>
      </c>
      <c r="G240" s="1302">
        <f t="shared" si="28"/>
        <v>8505.2950000000001</v>
      </c>
      <c r="H240" s="1302">
        <f t="shared" si="28"/>
        <v>8505.2950000000001</v>
      </c>
      <c r="I240" s="1302">
        <f t="shared" si="28"/>
        <v>-5102.7049999999999</v>
      </c>
      <c r="J240" s="1302">
        <f t="shared" si="28"/>
        <v>-4110.9719999999998</v>
      </c>
      <c r="K240" s="1302">
        <f t="shared" si="28"/>
        <v>-4110.9719999999998</v>
      </c>
      <c r="L240" s="1302">
        <f t="shared" si="28"/>
        <v>-4110.9719999999998</v>
      </c>
      <c r="M240" s="1302">
        <f t="shared" si="28"/>
        <v>-4110.9719999999998</v>
      </c>
      <c r="N240" s="1302">
        <f t="shared" si="28"/>
        <v>-8549.9719999999998</v>
      </c>
      <c r="O240" s="1302">
        <f t="shared" si="28"/>
        <v>-8549.9719999999998</v>
      </c>
      <c r="P240" s="1306">
        <f t="shared" si="28"/>
        <v>-8549.9719999999998</v>
      </c>
      <c r="Q240" s="1302">
        <f t="shared" si="28"/>
        <v>-8549.9719999999998</v>
      </c>
      <c r="R240" s="1302">
        <f t="shared" si="28"/>
        <v>-8549.9719999999998</v>
      </c>
      <c r="S240" s="1302">
        <f t="shared" si="28"/>
        <v>-8549.9719999999998</v>
      </c>
      <c r="T240" s="1302">
        <f t="shared" si="28"/>
        <v>-8549.9719999999998</v>
      </c>
      <c r="U240" s="1302">
        <f t="shared" si="28"/>
        <v>-8549.9719999999998</v>
      </c>
      <c r="V240" s="1302">
        <f t="shared" si="28"/>
        <v>-8549.9719999999998</v>
      </c>
      <c r="W240" s="1302">
        <f t="shared" si="28"/>
        <v>-8549.9719999999998</v>
      </c>
      <c r="X240" s="1302">
        <f t="shared" si="28"/>
        <v>-8549.9719999999998</v>
      </c>
      <c r="Y240" s="1302">
        <f t="shared" si="28"/>
        <v>-8549.9719999999998</v>
      </c>
      <c r="Z240" s="1302">
        <f t="shared" si="28"/>
        <v>-8549.9719999999998</v>
      </c>
      <c r="AA240" s="1302">
        <f t="shared" si="28"/>
        <v>-8549.9719999999998</v>
      </c>
      <c r="AB240" s="1302">
        <f t="shared" si="28"/>
        <v>-8549.9719999999998</v>
      </c>
      <c r="AC240" s="1302">
        <f t="shared" si="28"/>
        <v>-8549.9719999999998</v>
      </c>
      <c r="AD240" s="1302">
        <f t="shared" si="28"/>
        <v>-8549.9719999999998</v>
      </c>
      <c r="AE240" s="1302">
        <f t="shared" si="28"/>
        <v>-8549.9719999999998</v>
      </c>
      <c r="AF240" s="1302">
        <f t="shared" si="28"/>
        <v>-18549.870999999999</v>
      </c>
      <c r="AG240" s="1302">
        <f t="shared" si="28"/>
        <v>-23320.870999999999</v>
      </c>
      <c r="AH240" s="1207"/>
    </row>
    <row r="241" spans="1:34" ht="13.5" thickBot="1" x14ac:dyDescent="0.25">
      <c r="A241" s="1250"/>
      <c r="B241" s="1307"/>
      <c r="C241" s="1308"/>
      <c r="D241" s="1308"/>
      <c r="E241" s="1308"/>
      <c r="F241" s="1309"/>
      <c r="G241" s="1309"/>
      <c r="H241" s="1309"/>
      <c r="I241" s="1309"/>
      <c r="J241" s="1309"/>
      <c r="K241" s="1309"/>
      <c r="L241" s="1309"/>
      <c r="M241" s="1309"/>
      <c r="N241" s="1309"/>
      <c r="O241" s="1309"/>
      <c r="P241" s="1310"/>
      <c r="Q241" s="1309"/>
      <c r="R241" s="1309"/>
      <c r="S241" s="1309"/>
      <c r="T241" s="1309"/>
      <c r="U241" s="1309"/>
      <c r="V241" s="1309"/>
      <c r="W241" s="1309"/>
      <c r="X241" s="1309"/>
      <c r="Y241" s="1309"/>
      <c r="Z241" s="1309"/>
      <c r="AA241" s="1309"/>
      <c r="AB241" s="1309"/>
      <c r="AC241" s="1309"/>
      <c r="AD241" s="1309"/>
      <c r="AE241" s="1309"/>
      <c r="AF241" s="1309"/>
      <c r="AG241" s="1309"/>
      <c r="AH241" s="1207"/>
    </row>
    <row r="242" spans="1:34" x14ac:dyDescent="0.2">
      <c r="A242" s="1233"/>
      <c r="B242" s="1234"/>
      <c r="C242" s="1297"/>
      <c r="D242" s="1297"/>
      <c r="E242" s="1297"/>
      <c r="F242" s="1298"/>
      <c r="G242" s="1298"/>
      <c r="H242" s="1298"/>
      <c r="I242" s="1298"/>
      <c r="J242" s="1298"/>
      <c r="K242" s="1298"/>
      <c r="L242" s="1298"/>
      <c r="M242" s="1298"/>
      <c r="N242" s="1298"/>
      <c r="O242" s="1298"/>
      <c r="P242" s="1299"/>
      <c r="Q242" s="1298"/>
      <c r="R242" s="1298"/>
      <c r="S242" s="1298"/>
      <c r="T242" s="1298"/>
      <c r="U242" s="1298"/>
      <c r="V242" s="1298"/>
      <c r="W242" s="1298"/>
      <c r="X242" s="1298"/>
      <c r="Y242" s="1298"/>
      <c r="Z242" s="1298"/>
      <c r="AA242" s="1298"/>
      <c r="AB242" s="1298"/>
      <c r="AC242" s="1298"/>
      <c r="AD242" s="1298"/>
      <c r="AE242" s="1298"/>
      <c r="AF242" s="1298"/>
      <c r="AG242" s="1298"/>
      <c r="AH242" s="1207"/>
    </row>
    <row r="243" spans="1:34" x14ac:dyDescent="0.2">
      <c r="A243" s="1236" t="s">
        <v>82</v>
      </c>
      <c r="B243" s="1237"/>
      <c r="C243" s="1302">
        <f t="shared" ref="C243:AG244" si="29">C251</f>
        <v>0</v>
      </c>
      <c r="D243" s="1302">
        <f t="shared" si="29"/>
        <v>0</v>
      </c>
      <c r="E243" s="1302">
        <f t="shared" si="29"/>
        <v>0</v>
      </c>
      <c r="F243" s="1302">
        <f t="shared" si="29"/>
        <v>0</v>
      </c>
      <c r="G243" s="1302">
        <f t="shared" si="29"/>
        <v>0</v>
      </c>
      <c r="H243" s="1302">
        <f t="shared" si="29"/>
        <v>0</v>
      </c>
      <c r="I243" s="1302">
        <f t="shared" si="29"/>
        <v>991.73299999999995</v>
      </c>
      <c r="J243" s="1302">
        <f t="shared" si="29"/>
        <v>0</v>
      </c>
      <c r="K243" s="1302">
        <f t="shared" si="29"/>
        <v>0</v>
      </c>
      <c r="L243" s="1302">
        <f t="shared" si="29"/>
        <v>0</v>
      </c>
      <c r="M243" s="1302">
        <f t="shared" si="29"/>
        <v>0</v>
      </c>
      <c r="N243" s="1302">
        <f t="shared" si="29"/>
        <v>0</v>
      </c>
      <c r="O243" s="1302">
        <f t="shared" si="29"/>
        <v>0</v>
      </c>
      <c r="P243" s="1306">
        <f t="shared" si="29"/>
        <v>0</v>
      </c>
      <c r="Q243" s="1302">
        <f t="shared" si="29"/>
        <v>0</v>
      </c>
      <c r="R243" s="1302">
        <f t="shared" si="29"/>
        <v>0</v>
      </c>
      <c r="S243" s="1302">
        <f t="shared" si="29"/>
        <v>0</v>
      </c>
      <c r="T243" s="1302">
        <f t="shared" si="29"/>
        <v>0</v>
      </c>
      <c r="U243" s="1302">
        <f t="shared" si="29"/>
        <v>0</v>
      </c>
      <c r="V243" s="1302">
        <f t="shared" si="29"/>
        <v>0</v>
      </c>
      <c r="W243" s="1302">
        <f t="shared" si="29"/>
        <v>0</v>
      </c>
      <c r="X243" s="1302">
        <f t="shared" si="29"/>
        <v>0</v>
      </c>
      <c r="Y243" s="1302">
        <f t="shared" si="29"/>
        <v>0</v>
      </c>
      <c r="Z243" s="1302">
        <f t="shared" si="29"/>
        <v>0</v>
      </c>
      <c r="AA243" s="1302">
        <f t="shared" si="29"/>
        <v>0</v>
      </c>
      <c r="AB243" s="1302">
        <f t="shared" si="29"/>
        <v>0</v>
      </c>
      <c r="AC243" s="1302">
        <f t="shared" si="29"/>
        <v>0</v>
      </c>
      <c r="AD243" s="1302">
        <f t="shared" si="29"/>
        <v>0</v>
      </c>
      <c r="AE243" s="1302">
        <f t="shared" si="29"/>
        <v>0</v>
      </c>
      <c r="AF243" s="1302">
        <f t="shared" si="29"/>
        <v>0</v>
      </c>
      <c r="AG243" s="1302">
        <f t="shared" si="29"/>
        <v>0</v>
      </c>
      <c r="AH243" s="1207"/>
    </row>
    <row r="244" spans="1:34" x14ac:dyDescent="0.2">
      <c r="A244" s="1236" t="s">
        <v>83</v>
      </c>
      <c r="B244" s="1237"/>
      <c r="C244" s="1306">
        <f t="shared" si="29"/>
        <v>0</v>
      </c>
      <c r="D244" s="1306">
        <f t="shared" si="29"/>
        <v>0</v>
      </c>
      <c r="E244" s="1306">
        <f t="shared" si="29"/>
        <v>0</v>
      </c>
      <c r="F244" s="1306">
        <f t="shared" si="29"/>
        <v>0</v>
      </c>
      <c r="G244" s="1306">
        <f t="shared" si="29"/>
        <v>0</v>
      </c>
      <c r="H244" s="1306">
        <f t="shared" si="29"/>
        <v>0</v>
      </c>
      <c r="I244" s="1306">
        <f t="shared" si="29"/>
        <v>0</v>
      </c>
      <c r="J244" s="1306">
        <f t="shared" si="29"/>
        <v>0</v>
      </c>
      <c r="K244" s="1306">
        <f t="shared" si="29"/>
        <v>0</v>
      </c>
      <c r="L244" s="1306">
        <f t="shared" si="29"/>
        <v>0</v>
      </c>
      <c r="M244" s="1306">
        <f t="shared" si="29"/>
        <v>0</v>
      </c>
      <c r="N244" s="1306">
        <f t="shared" si="29"/>
        <v>0</v>
      </c>
      <c r="O244" s="1306">
        <f t="shared" si="29"/>
        <v>0</v>
      </c>
      <c r="P244" s="1306">
        <f t="shared" si="29"/>
        <v>0</v>
      </c>
      <c r="Q244" s="1306">
        <f t="shared" si="29"/>
        <v>0</v>
      </c>
      <c r="R244" s="1306">
        <f t="shared" si="29"/>
        <v>0</v>
      </c>
      <c r="S244" s="1306">
        <f t="shared" si="29"/>
        <v>0</v>
      </c>
      <c r="T244" s="1306">
        <f t="shared" si="29"/>
        <v>0</v>
      </c>
      <c r="U244" s="1306">
        <f t="shared" si="29"/>
        <v>0</v>
      </c>
      <c r="V244" s="1306">
        <f t="shared" si="29"/>
        <v>0</v>
      </c>
      <c r="W244" s="1306">
        <f t="shared" si="29"/>
        <v>0</v>
      </c>
      <c r="X244" s="1306">
        <f t="shared" si="29"/>
        <v>0</v>
      </c>
      <c r="Y244" s="1306">
        <f t="shared" si="29"/>
        <v>0</v>
      </c>
      <c r="Z244" s="1306">
        <f t="shared" si="29"/>
        <v>0</v>
      </c>
      <c r="AA244" s="1306">
        <f t="shared" si="29"/>
        <v>0</v>
      </c>
      <c r="AB244" s="1306">
        <f t="shared" si="29"/>
        <v>0</v>
      </c>
      <c r="AC244" s="1306">
        <f t="shared" si="29"/>
        <v>0</v>
      </c>
      <c r="AD244" s="1306">
        <f t="shared" si="29"/>
        <v>0</v>
      </c>
      <c r="AE244" s="1306">
        <f t="shared" si="29"/>
        <v>0</v>
      </c>
      <c r="AF244" s="1306">
        <f t="shared" si="29"/>
        <v>0</v>
      </c>
      <c r="AG244" s="1306">
        <f t="shared" si="29"/>
        <v>0</v>
      </c>
      <c r="AH244" s="1207"/>
    </row>
    <row r="245" spans="1:34" ht="13.5" thickBot="1" x14ac:dyDescent="0.25">
      <c r="A245" s="1250"/>
      <c r="B245" s="1307"/>
      <c r="C245" s="1308"/>
      <c r="D245" s="1308"/>
      <c r="E245" s="1308"/>
      <c r="F245" s="1309"/>
      <c r="G245" s="1309"/>
      <c r="H245" s="1309"/>
      <c r="I245" s="1309"/>
      <c r="J245" s="1309"/>
      <c r="K245" s="1309"/>
      <c r="L245" s="1309"/>
      <c r="M245" s="1309"/>
      <c r="N245" s="1309"/>
      <c r="O245" s="1309"/>
      <c r="P245" s="1310"/>
      <c r="Q245" s="1309"/>
      <c r="R245" s="1309"/>
      <c r="S245" s="1309"/>
      <c r="T245" s="1309"/>
      <c r="U245" s="1309"/>
      <c r="V245" s="1309"/>
      <c r="W245" s="1309"/>
      <c r="X245" s="1309"/>
      <c r="Y245" s="1309"/>
      <c r="Z245" s="1309"/>
      <c r="AA245" s="1309"/>
      <c r="AB245" s="1309"/>
      <c r="AC245" s="1309"/>
      <c r="AD245" s="1309"/>
      <c r="AE245" s="1309"/>
      <c r="AF245" s="1309"/>
      <c r="AG245" s="1309"/>
      <c r="AH245" s="1207"/>
    </row>
    <row r="246" spans="1:34" x14ac:dyDescent="0.2">
      <c r="A246" s="1236"/>
      <c r="B246" s="1237"/>
      <c r="C246" s="1302"/>
      <c r="D246" s="1302"/>
      <c r="E246" s="1302"/>
      <c r="F246" s="1303"/>
      <c r="G246" s="1303"/>
      <c r="H246" s="1303"/>
      <c r="I246" s="1303"/>
      <c r="J246" s="1303"/>
      <c r="K246" s="1303"/>
      <c r="L246" s="1303"/>
      <c r="M246" s="1303"/>
      <c r="N246" s="1303"/>
      <c r="O246" s="1303"/>
      <c r="P246" s="1304"/>
      <c r="Q246" s="1303"/>
      <c r="R246" s="1303"/>
      <c r="S246" s="1303"/>
      <c r="T246" s="1303"/>
      <c r="U246" s="1303"/>
      <c r="V246" s="1303"/>
      <c r="W246" s="1303"/>
      <c r="X246" s="1303"/>
      <c r="Y246" s="1303"/>
      <c r="Z246" s="1303"/>
      <c r="AA246" s="1303"/>
      <c r="AB246" s="1303"/>
      <c r="AC246" s="1303"/>
      <c r="AD246" s="1303"/>
      <c r="AE246" s="1303"/>
      <c r="AF246" s="1303"/>
      <c r="AG246" s="1303"/>
      <c r="AH246" s="1207"/>
    </row>
    <row r="247" spans="1:34" x14ac:dyDescent="0.2">
      <c r="A247" s="1236" t="s">
        <v>14</v>
      </c>
      <c r="B247" s="1237"/>
      <c r="C247" s="1302">
        <f t="shared" ref="C247:AG247" si="30">C240+C243+C244</f>
        <v>8505.2950000000001</v>
      </c>
      <c r="D247" s="1302">
        <f t="shared" si="30"/>
        <v>8505.2950000000001</v>
      </c>
      <c r="E247" s="1302">
        <f t="shared" si="30"/>
        <v>8505.2950000000001</v>
      </c>
      <c r="F247" s="1302">
        <f t="shared" si="30"/>
        <v>8505.2950000000001</v>
      </c>
      <c r="G247" s="1302">
        <f t="shared" si="30"/>
        <v>8505.2950000000001</v>
      </c>
      <c r="H247" s="1302">
        <f t="shared" si="30"/>
        <v>8505.2950000000001</v>
      </c>
      <c r="I247" s="1302">
        <f t="shared" si="30"/>
        <v>-4110.9719999999998</v>
      </c>
      <c r="J247" s="1302">
        <f t="shared" si="30"/>
        <v>-4110.9719999999998</v>
      </c>
      <c r="K247" s="1302">
        <f t="shared" si="30"/>
        <v>-4110.9719999999998</v>
      </c>
      <c r="L247" s="1302">
        <f t="shared" si="30"/>
        <v>-4110.9719999999998</v>
      </c>
      <c r="M247" s="1302">
        <f t="shared" si="30"/>
        <v>-4110.9719999999998</v>
      </c>
      <c r="N247" s="1302">
        <f t="shared" si="30"/>
        <v>-8549.9719999999998</v>
      </c>
      <c r="O247" s="1302">
        <f t="shared" si="30"/>
        <v>-8549.9719999999998</v>
      </c>
      <c r="P247" s="1306">
        <f t="shared" si="30"/>
        <v>-8549.9719999999998</v>
      </c>
      <c r="Q247" s="1302">
        <f t="shared" si="30"/>
        <v>-8549.9719999999998</v>
      </c>
      <c r="R247" s="1302">
        <f t="shared" si="30"/>
        <v>-8549.9719999999998</v>
      </c>
      <c r="S247" s="1302">
        <f t="shared" si="30"/>
        <v>-8549.9719999999998</v>
      </c>
      <c r="T247" s="1302">
        <f t="shared" si="30"/>
        <v>-8549.9719999999998</v>
      </c>
      <c r="U247" s="1302">
        <f t="shared" si="30"/>
        <v>-8549.9719999999998</v>
      </c>
      <c r="V247" s="1302">
        <f t="shared" si="30"/>
        <v>-8549.9719999999998</v>
      </c>
      <c r="W247" s="1302">
        <f t="shared" si="30"/>
        <v>-8549.9719999999998</v>
      </c>
      <c r="X247" s="1302">
        <f t="shared" si="30"/>
        <v>-8549.9719999999998</v>
      </c>
      <c r="Y247" s="1302">
        <f t="shared" si="30"/>
        <v>-8549.9719999999998</v>
      </c>
      <c r="Z247" s="1302">
        <f t="shared" si="30"/>
        <v>-8549.9719999999998</v>
      </c>
      <c r="AA247" s="1302">
        <f t="shared" si="30"/>
        <v>-8549.9719999999998</v>
      </c>
      <c r="AB247" s="1302">
        <f t="shared" si="30"/>
        <v>-8549.9719999999998</v>
      </c>
      <c r="AC247" s="1302">
        <f t="shared" si="30"/>
        <v>-8549.9719999999998</v>
      </c>
      <c r="AD247" s="1302">
        <f t="shared" si="30"/>
        <v>-8549.9719999999998</v>
      </c>
      <c r="AE247" s="1302">
        <f t="shared" si="30"/>
        <v>-8549.9719999999998</v>
      </c>
      <c r="AF247" s="1302">
        <f t="shared" si="30"/>
        <v>-18549.870999999999</v>
      </c>
      <c r="AG247" s="1302">
        <f t="shared" si="30"/>
        <v>-23320.870999999999</v>
      </c>
      <c r="AH247" s="1207"/>
    </row>
    <row r="248" spans="1:34" x14ac:dyDescent="0.2">
      <c r="A248" s="1236"/>
      <c r="B248" s="1237"/>
      <c r="C248" s="1302"/>
      <c r="D248" s="1302"/>
      <c r="E248" s="1302"/>
      <c r="F248" s="1303"/>
      <c r="G248" s="1303"/>
      <c r="H248" s="1303"/>
      <c r="I248" s="1303"/>
      <c r="J248" s="1303"/>
      <c r="K248" s="1303"/>
      <c r="L248" s="1303"/>
      <c r="M248" s="1303"/>
      <c r="N248" s="1303"/>
      <c r="O248" s="1303"/>
      <c r="P248" s="1304"/>
      <c r="Q248" s="1303"/>
      <c r="R248" s="1303"/>
      <c r="S248" s="1303"/>
      <c r="T248" s="1303"/>
      <c r="U248" s="1303"/>
      <c r="V248" s="1303"/>
      <c r="W248" s="1303"/>
      <c r="X248" s="1303"/>
      <c r="Y248" s="1303"/>
      <c r="Z248" s="1303"/>
      <c r="AA248" s="1303"/>
      <c r="AB248" s="1303"/>
      <c r="AC248" s="1303"/>
      <c r="AD248" s="1303"/>
      <c r="AE248" s="1303"/>
      <c r="AF248" s="1303"/>
      <c r="AG248" s="1303"/>
      <c r="AH248" s="1207"/>
    </row>
    <row r="249" spans="1:34" ht="13.5" thickBot="1" x14ac:dyDescent="0.25">
      <c r="A249" s="1250"/>
      <c r="B249" s="1307"/>
      <c r="C249" s="1312"/>
      <c r="D249" s="1312"/>
      <c r="E249" s="1312"/>
      <c r="F249" s="1313"/>
      <c r="G249" s="1313"/>
      <c r="H249" s="1313"/>
      <c r="I249" s="1313"/>
      <c r="J249" s="1313"/>
      <c r="K249" s="1313"/>
      <c r="L249" s="1313"/>
      <c r="M249" s="1313"/>
      <c r="N249" s="1313"/>
      <c r="O249" s="1313"/>
      <c r="P249" s="1314"/>
      <c r="Q249" s="1313"/>
      <c r="R249" s="1313"/>
      <c r="S249" s="1313"/>
      <c r="T249" s="1313"/>
      <c r="U249" s="1313"/>
      <c r="V249" s="1313"/>
      <c r="W249" s="1313"/>
      <c r="X249" s="1313"/>
      <c r="Y249" s="1313"/>
      <c r="Z249" s="1313"/>
      <c r="AA249" s="1313"/>
      <c r="AB249" s="1313"/>
      <c r="AC249" s="1313"/>
      <c r="AD249" s="1313"/>
      <c r="AE249" s="1313"/>
      <c r="AF249" s="1313"/>
      <c r="AG249" s="1313"/>
      <c r="AH249" s="1207"/>
    </row>
    <row r="250" spans="1:34" x14ac:dyDescent="0.2">
      <c r="A250" s="1316"/>
      <c r="B250" s="1207"/>
      <c r="C250" s="1227"/>
      <c r="D250" s="1227"/>
      <c r="E250" s="1227"/>
      <c r="F250" s="1227"/>
      <c r="G250" s="1227"/>
      <c r="H250" s="1227"/>
      <c r="I250" s="1227"/>
      <c r="J250" s="1227"/>
      <c r="K250" s="1227"/>
      <c r="L250" s="1227"/>
      <c r="M250" s="1227"/>
      <c r="N250" s="1227"/>
      <c r="O250" s="1227"/>
      <c r="P250" s="1229"/>
      <c r="Q250" s="1227"/>
      <c r="R250" s="1227"/>
      <c r="S250" s="1227"/>
      <c r="T250" s="1227"/>
      <c r="U250" s="1227"/>
      <c r="V250" s="1227"/>
      <c r="W250" s="1227"/>
      <c r="X250" s="1227"/>
      <c r="Y250" s="1227"/>
      <c r="Z250" s="1227"/>
      <c r="AA250" s="1227"/>
      <c r="AB250" s="1227"/>
      <c r="AC250" s="1227"/>
      <c r="AD250" s="1227"/>
      <c r="AE250" s="1227"/>
      <c r="AF250" s="1227"/>
      <c r="AG250" s="1227"/>
      <c r="AH250" s="1227">
        <f>SUM(C250:AG250)</f>
        <v>0</v>
      </c>
    </row>
    <row r="251" spans="1:34" x14ac:dyDescent="0.2">
      <c r="A251" s="1316"/>
      <c r="B251" s="1207"/>
      <c r="C251" s="1219"/>
      <c r="D251" s="1219"/>
      <c r="E251" s="1219"/>
      <c r="F251" s="1219"/>
      <c r="G251" s="1220"/>
      <c r="H251" s="1219"/>
      <c r="I251" s="1219">
        <v>991.73299999999995</v>
      </c>
      <c r="J251" s="1219"/>
      <c r="K251" s="1219"/>
      <c r="L251" s="1220"/>
      <c r="M251" s="1220"/>
      <c r="N251" s="1221"/>
      <c r="O251" s="1220"/>
      <c r="P251" s="1221"/>
      <c r="Q251" s="1219"/>
      <c r="R251" s="1219"/>
      <c r="S251" s="1219"/>
      <c r="T251" s="1219"/>
      <c r="U251" s="1219"/>
      <c r="V251" s="1221"/>
      <c r="W251" s="1219"/>
      <c r="X251" s="1219"/>
      <c r="Y251" s="1219"/>
      <c r="Z251" s="1219"/>
      <c r="AA251" s="1384"/>
      <c r="AB251" s="1219"/>
      <c r="AC251" s="1219"/>
      <c r="AD251" s="1220"/>
      <c r="AE251" s="1219"/>
      <c r="AF251" s="1221"/>
      <c r="AG251" s="1219"/>
      <c r="AH251" s="1345"/>
    </row>
    <row r="252" spans="1:34" x14ac:dyDescent="0.2">
      <c r="A252" s="1207"/>
      <c r="B252" s="1207"/>
      <c r="C252" s="1207"/>
      <c r="D252" s="1219"/>
      <c r="E252" s="1347"/>
      <c r="F252" s="1207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8"/>
      <c r="Q252" s="1227"/>
      <c r="R252" s="1207"/>
      <c r="S252" s="1345"/>
      <c r="T252" s="1207"/>
      <c r="U252" s="1207"/>
      <c r="V252" s="1207"/>
      <c r="W252" s="1207"/>
      <c r="X252" s="1207"/>
      <c r="Y252" s="1345"/>
      <c r="Z252" s="1345"/>
      <c r="AA252" s="1345"/>
      <c r="AB252" s="1345"/>
      <c r="AC252" s="1345"/>
      <c r="AD252" s="1345"/>
      <c r="AE252" s="1345"/>
      <c r="AF252" s="1345"/>
      <c r="AG252" s="1345"/>
      <c r="AH252" s="1227">
        <f>SUM(C252:AG252)</f>
        <v>0</v>
      </c>
    </row>
    <row r="253" spans="1:34" x14ac:dyDescent="0.2">
      <c r="A253" s="1210" t="s">
        <v>415</v>
      </c>
      <c r="B253" s="1215">
        <f>B254+B255+B257</f>
        <v>425000</v>
      </c>
      <c r="C253" s="1207"/>
      <c r="D253" s="1207"/>
      <c r="E253" s="1207"/>
      <c r="F253" s="1207"/>
      <c r="G253" s="1207"/>
      <c r="H253" s="1207"/>
      <c r="I253" s="1207"/>
      <c r="J253" s="1207"/>
      <c r="K253" s="1392"/>
      <c r="L253" s="1207"/>
      <c r="M253" s="1207"/>
      <c r="N253" s="1207"/>
      <c r="O253" s="1207"/>
      <c r="P253" s="1208"/>
      <c r="Q253" s="1207"/>
      <c r="R253" s="1207"/>
      <c r="S253" s="1207"/>
      <c r="T253" s="1207"/>
      <c r="U253" s="1207"/>
      <c r="V253" s="1207"/>
      <c r="W253" s="1207"/>
      <c r="X253" s="1207"/>
      <c r="Y253" s="1207"/>
      <c r="Z253" s="1207"/>
      <c r="AA253" s="1384"/>
      <c r="AB253" s="1207"/>
      <c r="AC253" s="1207"/>
      <c r="AD253" s="1207"/>
      <c r="AE253" s="1207"/>
      <c r="AF253" s="1207"/>
      <c r="AG253" s="1207"/>
      <c r="AH253" s="1207"/>
    </row>
    <row r="254" spans="1:34" x14ac:dyDescent="0.2">
      <c r="A254" s="1365" t="s">
        <v>414</v>
      </c>
      <c r="B254" s="1219">
        <v>25000</v>
      </c>
      <c r="C254" s="1207"/>
      <c r="D254" s="1207"/>
      <c r="E254" s="1227"/>
      <c r="F254" s="1227"/>
      <c r="G254" s="1227"/>
      <c r="H254" s="1207"/>
      <c r="I254" s="1207"/>
      <c r="J254" s="1207"/>
      <c r="K254" s="1207"/>
      <c r="L254" s="1207"/>
      <c r="M254" s="1207"/>
      <c r="N254" s="1207"/>
      <c r="O254" s="1207"/>
      <c r="P254" s="1208"/>
      <c r="Q254" s="1207"/>
      <c r="R254" s="1207"/>
      <c r="S254" s="1207"/>
      <c r="T254" s="1207"/>
      <c r="U254" s="1227"/>
      <c r="V254" s="1207"/>
      <c r="W254" s="1207"/>
      <c r="X254" s="1207"/>
      <c r="Y254" s="1207"/>
      <c r="Z254" s="1207"/>
      <c r="AA254" s="1354"/>
      <c r="AB254" s="1207"/>
      <c r="AC254" s="1207"/>
      <c r="AD254" s="1207"/>
      <c r="AE254" s="1207"/>
      <c r="AF254" s="1207"/>
      <c r="AG254" s="1227"/>
      <c r="AH254" s="1207"/>
    </row>
    <row r="255" spans="1:34" x14ac:dyDescent="0.2">
      <c r="A255" s="1365" t="s">
        <v>287</v>
      </c>
      <c r="B255" s="1219">
        <v>300000</v>
      </c>
      <c r="C255" s="1207"/>
      <c r="D255" s="1207"/>
      <c r="E255" s="1207"/>
      <c r="F255" s="1207"/>
      <c r="G255" s="1207"/>
      <c r="H255" s="1207"/>
      <c r="I255" s="1207"/>
      <c r="J255" s="1207"/>
      <c r="K255" s="1207"/>
      <c r="L255" s="1207"/>
      <c r="M255" s="1207"/>
      <c r="N255" s="1207"/>
      <c r="O255" s="1207"/>
      <c r="P255" s="1208"/>
      <c r="Q255" s="1207"/>
      <c r="R255" s="1207"/>
      <c r="S255" s="1207"/>
      <c r="T255" s="1207"/>
      <c r="U255" s="1227"/>
      <c r="V255" s="1207"/>
      <c r="W255" s="1207"/>
      <c r="X255" s="1207"/>
      <c r="Y255" s="1207"/>
      <c r="Z255" s="1207"/>
      <c r="AA255" s="1207"/>
      <c r="AB255" s="1207"/>
      <c r="AC255" s="1207"/>
      <c r="AD255" s="1207"/>
      <c r="AE255" s="1207"/>
      <c r="AF255" s="1392"/>
      <c r="AG255" s="1207"/>
      <c r="AH255" s="1207"/>
    </row>
    <row r="256" spans="1:34" x14ac:dyDescent="0.2">
      <c r="A256" s="1316" t="s">
        <v>413</v>
      </c>
      <c r="B256" s="1219"/>
      <c r="C256" s="1207"/>
      <c r="D256" s="1207"/>
      <c r="E256" s="1207"/>
      <c r="F256" s="1207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8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07"/>
      <c r="AA256" s="1207"/>
      <c r="AB256" s="1207"/>
      <c r="AC256" s="1207"/>
      <c r="AD256" s="1207"/>
      <c r="AE256" s="1207"/>
      <c r="AF256" s="1207"/>
      <c r="AG256" s="1207"/>
      <c r="AH256" s="1207"/>
    </row>
    <row r="257" spans="1:34" x14ac:dyDescent="0.2">
      <c r="A257" s="1316" t="s">
        <v>441</v>
      </c>
      <c r="B257" s="1219">
        <v>100000</v>
      </c>
      <c r="C257" s="1207"/>
      <c r="D257" s="1207"/>
      <c r="E257" s="1207"/>
      <c r="F257" s="1207"/>
      <c r="G257" s="1207"/>
      <c r="H257" s="1207"/>
      <c r="I257" s="1207"/>
      <c r="J257" s="1207"/>
      <c r="K257" s="1207"/>
      <c r="L257" s="1207"/>
      <c r="M257" s="1207"/>
      <c r="N257" s="1207"/>
      <c r="O257" s="1207"/>
      <c r="P257" s="1208"/>
      <c r="Q257" s="1207"/>
      <c r="R257" s="1207"/>
      <c r="S257" s="1207"/>
      <c r="T257" s="1207"/>
      <c r="U257" s="1207"/>
      <c r="V257" s="1207"/>
      <c r="W257" s="1207"/>
      <c r="X257" s="1207"/>
      <c r="Y257" s="1207"/>
      <c r="Z257" s="1207"/>
      <c r="AA257" s="1207"/>
      <c r="AB257" s="1207"/>
      <c r="AC257" s="1207"/>
      <c r="AD257" s="1207"/>
      <c r="AE257" s="1207"/>
      <c r="AF257" s="1207"/>
      <c r="AG257" s="1207"/>
      <c r="AH257" s="1207"/>
    </row>
    <row r="258" spans="1:34" x14ac:dyDescent="0.2">
      <c r="A258" s="1207"/>
      <c r="B258" s="1207"/>
      <c r="C258" s="1207"/>
      <c r="D258" s="1207"/>
      <c r="E258" s="1207"/>
      <c r="F258" s="1207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8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07"/>
      <c r="AA258" s="1207"/>
      <c r="AB258" s="1207"/>
      <c r="AC258" s="1207"/>
      <c r="AD258" s="1207"/>
      <c r="AE258" s="1207"/>
      <c r="AF258" s="1207"/>
      <c r="AG258" s="1207"/>
      <c r="AH258" s="1207"/>
    </row>
    <row r="259" spans="1:34" x14ac:dyDescent="0.2">
      <c r="A259" s="1207"/>
      <c r="B259" s="1207"/>
      <c r="C259" s="1207"/>
      <c r="D259" s="1207"/>
      <c r="E259" s="1207"/>
      <c r="F259" s="1207"/>
      <c r="G259" s="1207"/>
      <c r="H259" s="1207"/>
      <c r="I259" s="1207"/>
      <c r="J259" s="1207"/>
      <c r="K259" s="1207"/>
      <c r="L259" s="1207"/>
      <c r="M259" s="1207"/>
      <c r="N259" s="1207"/>
      <c r="O259" s="1207"/>
      <c r="P259" s="1208"/>
      <c r="Q259" s="1207"/>
      <c r="R259" s="1207"/>
      <c r="S259" s="1207"/>
      <c r="T259" s="1207"/>
      <c r="U259" s="1207"/>
      <c r="V259" s="1207"/>
      <c r="W259" s="1207"/>
      <c r="X259" s="1207"/>
      <c r="Y259" s="1207"/>
      <c r="Z259" s="1207"/>
      <c r="AA259" s="1207"/>
      <c r="AB259" s="1207"/>
      <c r="AC259" s="1207"/>
      <c r="AD259" s="1207"/>
      <c r="AE259" s="1207"/>
      <c r="AF259" s="1207"/>
      <c r="AG259" s="1207"/>
      <c r="AH259" s="1207"/>
    </row>
    <row r="260" spans="1:34" ht="13.5" thickBot="1" x14ac:dyDescent="0.25">
      <c r="A260" s="1207"/>
      <c r="B260" s="1207"/>
      <c r="C260" s="1207"/>
      <c r="D260" s="1207"/>
      <c r="E260" s="1207"/>
      <c r="F260" s="1207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8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1207"/>
      <c r="AD260" s="1207"/>
      <c r="AE260" s="1207"/>
      <c r="AF260" s="1207"/>
      <c r="AG260" s="1207"/>
      <c r="AH260" s="1207"/>
    </row>
    <row r="261" spans="1:34" x14ac:dyDescent="0.2">
      <c r="A261" s="1233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34"/>
      <c r="O261" s="1234"/>
      <c r="P261" s="1235"/>
      <c r="Q261" s="1234"/>
      <c r="R261" s="1234"/>
      <c r="S261" s="1234"/>
      <c r="T261" s="1234"/>
      <c r="U261" s="1234"/>
      <c r="V261" s="1234"/>
      <c r="W261" s="1234"/>
      <c r="X261" s="1234"/>
      <c r="Y261" s="1234"/>
      <c r="Z261" s="1234"/>
      <c r="AA261" s="1234"/>
      <c r="AB261" s="1234"/>
      <c r="AC261" s="1234"/>
      <c r="AD261" s="1234"/>
      <c r="AE261" s="1234"/>
      <c r="AF261" s="1234"/>
      <c r="AG261" s="1234"/>
      <c r="AH261" s="1207"/>
    </row>
    <row r="262" spans="1:34" x14ac:dyDescent="0.2">
      <c r="A262" s="1236"/>
      <c r="B262" s="1237" t="s">
        <v>37</v>
      </c>
      <c r="C262" s="1237"/>
      <c r="D262" s="1237"/>
      <c r="E262" s="1238" t="s">
        <v>910</v>
      </c>
      <c r="F262" s="1239" t="s">
        <v>340</v>
      </c>
      <c r="G262" s="1211"/>
      <c r="H262" s="1239"/>
      <c r="I262" s="1239"/>
      <c r="J262" s="1239"/>
      <c r="K262" s="1239"/>
      <c r="L262" s="1239"/>
      <c r="M262" s="1239"/>
      <c r="N262" s="1239"/>
      <c r="O262" s="1239"/>
      <c r="P262" s="1240"/>
      <c r="Q262" s="1239"/>
      <c r="R262" s="1239"/>
      <c r="S262" s="1239"/>
      <c r="T262" s="1239"/>
      <c r="U262" s="1239"/>
      <c r="V262" s="1239"/>
      <c r="W262" s="1239"/>
      <c r="X262" s="1239"/>
      <c r="Y262" s="1239"/>
      <c r="Z262" s="1239"/>
      <c r="AA262" s="1239"/>
      <c r="AB262" s="1239"/>
      <c r="AC262" s="1239"/>
      <c r="AD262" s="1239"/>
      <c r="AE262" s="1239"/>
      <c r="AF262" s="1239"/>
      <c r="AG262" s="1239"/>
      <c r="AH262" s="1207"/>
    </row>
    <row r="263" spans="1:34" x14ac:dyDescent="0.2">
      <c r="A263" s="1236"/>
      <c r="B263" s="1237"/>
      <c r="C263" s="1237"/>
      <c r="D263" s="1237"/>
      <c r="E263" s="1237"/>
      <c r="F263" s="1237"/>
      <c r="G263" s="1237"/>
      <c r="H263" s="1237"/>
      <c r="I263" s="1237"/>
      <c r="J263" s="1237"/>
      <c r="K263" s="1237"/>
      <c r="L263" s="1237"/>
      <c r="M263" s="1237"/>
      <c r="N263" s="1237"/>
      <c r="O263" s="1237"/>
      <c r="P263" s="1241"/>
      <c r="Q263" s="1237"/>
      <c r="R263" s="1237"/>
      <c r="S263" s="1237"/>
      <c r="T263" s="1237"/>
      <c r="U263" s="1237"/>
      <c r="V263" s="1237"/>
      <c r="W263" s="1237"/>
      <c r="X263" s="1237"/>
      <c r="Y263" s="1237"/>
      <c r="Z263" s="1237"/>
      <c r="AA263" s="1237"/>
      <c r="AB263" s="1237"/>
      <c r="AC263" s="1237"/>
      <c r="AD263" s="1237"/>
      <c r="AE263" s="1237"/>
      <c r="AF263" s="1237"/>
      <c r="AG263" s="1237"/>
      <c r="AH263" s="1207"/>
    </row>
    <row r="264" spans="1:34" x14ac:dyDescent="0.2">
      <c r="A264" s="1236"/>
      <c r="B264" s="1237"/>
      <c r="C264" s="1239"/>
      <c r="D264" s="1239">
        <v>42376</v>
      </c>
      <c r="E264" s="1237"/>
      <c r="F264" s="1237"/>
      <c r="G264" s="1237"/>
      <c r="H264" s="1237"/>
      <c r="I264" s="1237"/>
      <c r="J264" s="1237"/>
      <c r="K264" s="1237"/>
      <c r="L264" s="1237"/>
      <c r="M264" s="1237"/>
      <c r="N264" s="1237"/>
      <c r="O264" s="1237"/>
      <c r="P264" s="1241"/>
      <c r="Q264" s="1237"/>
      <c r="R264" s="1237"/>
      <c r="S264" s="1237"/>
      <c r="T264" s="1237"/>
      <c r="U264" s="1237"/>
      <c r="V264" s="1237"/>
      <c r="W264" s="1237"/>
      <c r="X264" s="1237"/>
      <c r="Y264" s="1237"/>
      <c r="Z264" s="1237"/>
      <c r="AA264" s="1237"/>
      <c r="AB264" s="1237"/>
      <c r="AC264" s="1237"/>
      <c r="AD264" s="1237"/>
      <c r="AE264" s="1237"/>
      <c r="AF264" s="1237"/>
      <c r="AG264" s="1237"/>
      <c r="AH264" s="1207"/>
    </row>
    <row r="265" spans="1:34" x14ac:dyDescent="0.2">
      <c r="A265" s="1236"/>
      <c r="B265" s="1237"/>
      <c r="C265" s="1239"/>
      <c r="D265" s="1239"/>
      <c r="E265" s="1237"/>
      <c r="F265" s="1237"/>
      <c r="G265" s="1237"/>
      <c r="H265" s="1237"/>
      <c r="I265" s="1237"/>
      <c r="J265" s="1237"/>
      <c r="K265" s="1237"/>
      <c r="L265" s="1237"/>
      <c r="M265" s="1237"/>
      <c r="N265" s="1237"/>
      <c r="O265" s="1237"/>
      <c r="P265" s="1241"/>
      <c r="Q265" s="1237"/>
      <c r="R265" s="1237"/>
      <c r="S265" s="1237"/>
      <c r="T265" s="1237"/>
      <c r="U265" s="1237"/>
      <c r="V265" s="1237"/>
      <c r="W265" s="1237"/>
      <c r="X265" s="1237"/>
      <c r="Y265" s="1237"/>
      <c r="Z265" s="1237"/>
      <c r="AA265" s="1237"/>
      <c r="AB265" s="1237"/>
      <c r="AC265" s="1237"/>
      <c r="AD265" s="1237"/>
      <c r="AE265" s="1237"/>
      <c r="AF265" s="1237"/>
      <c r="AG265" s="1237"/>
      <c r="AH265" s="1207"/>
    </row>
    <row r="266" spans="1:34" ht="13.5" thickBot="1" x14ac:dyDescent="0.25">
      <c r="A266" s="1236"/>
      <c r="B266" s="1237"/>
      <c r="C266" s="1237"/>
      <c r="D266" s="1237"/>
      <c r="E266" s="1237"/>
      <c r="F266" s="1237"/>
      <c r="G266" s="1237"/>
      <c r="H266" s="1237"/>
      <c r="I266" s="1237"/>
      <c r="J266" s="1237"/>
      <c r="K266" s="1237"/>
      <c r="L266" s="1237"/>
      <c r="M266" s="1237"/>
      <c r="N266" s="1237"/>
      <c r="O266" s="1237"/>
      <c r="P266" s="1241"/>
      <c r="Q266" s="1237"/>
      <c r="R266" s="1237"/>
      <c r="S266" s="1237"/>
      <c r="T266" s="1237"/>
      <c r="U266" s="1237"/>
      <c r="V266" s="1237"/>
      <c r="W266" s="1237"/>
      <c r="X266" s="1237"/>
      <c r="Y266" s="1237"/>
      <c r="Z266" s="1237"/>
      <c r="AA266" s="1237"/>
      <c r="AB266" s="1237"/>
      <c r="AC266" s="1237"/>
      <c r="AD266" s="1237"/>
      <c r="AE266" s="1237"/>
      <c r="AF266" s="1237"/>
      <c r="AG266" s="1237"/>
      <c r="AH266" s="1207"/>
    </row>
    <row r="267" spans="1:34" ht="13.5" thickBot="1" x14ac:dyDescent="0.25">
      <c r="A267" s="1236"/>
      <c r="B267" s="1237"/>
      <c r="C267" s="1243"/>
      <c r="D267" s="1244" t="s">
        <v>16</v>
      </c>
      <c r="E267" s="1244"/>
      <c r="F267" s="1244"/>
      <c r="G267" s="1244"/>
      <c r="H267" s="1244"/>
      <c r="I267" s="1244"/>
      <c r="J267" s="1244"/>
      <c r="K267" s="1244"/>
      <c r="L267" s="1244"/>
      <c r="M267" s="1244"/>
      <c r="N267" s="1244"/>
      <c r="O267" s="1244"/>
      <c r="P267" s="1245"/>
      <c r="Q267" s="1244"/>
      <c r="R267" s="1244"/>
      <c r="S267" s="1244"/>
      <c r="T267" s="1244"/>
      <c r="U267" s="1244"/>
      <c r="V267" s="1244"/>
      <c r="W267" s="1244"/>
      <c r="X267" s="1244"/>
      <c r="Y267" s="1244"/>
      <c r="Z267" s="1244"/>
      <c r="AA267" s="1244"/>
      <c r="AB267" s="1244"/>
      <c r="AC267" s="1244"/>
      <c r="AD267" s="1244"/>
      <c r="AE267" s="1244"/>
      <c r="AF267" s="1244"/>
      <c r="AG267" s="1244"/>
      <c r="AH267" s="1207"/>
    </row>
    <row r="268" spans="1:34" ht="13.5" thickBot="1" x14ac:dyDescent="0.25">
      <c r="A268" s="1236"/>
      <c r="B268" s="1237"/>
      <c r="C268" s="1246" t="s">
        <v>452</v>
      </c>
      <c r="D268" s="1246" t="s">
        <v>453</v>
      </c>
      <c r="E268" s="1246" t="s">
        <v>434</v>
      </c>
      <c r="F268" s="1246" t="s">
        <v>390</v>
      </c>
      <c r="G268" s="1246" t="s">
        <v>454</v>
      </c>
      <c r="H268" s="1246" t="s">
        <v>455</v>
      </c>
      <c r="I268" s="1246" t="s">
        <v>456</v>
      </c>
      <c r="J268" s="1246" t="s">
        <v>457</v>
      </c>
      <c r="K268" s="1246" t="s">
        <v>458</v>
      </c>
      <c r="L268" s="1246" t="s">
        <v>216</v>
      </c>
      <c r="M268" s="1246" t="s">
        <v>459</v>
      </c>
      <c r="N268" s="1246" t="s">
        <v>297</v>
      </c>
      <c r="O268" s="1246" t="s">
        <v>211</v>
      </c>
      <c r="P268" s="1247" t="s">
        <v>270</v>
      </c>
      <c r="Q268" s="1246">
        <v>15</v>
      </c>
      <c r="R268" s="1246">
        <v>16</v>
      </c>
      <c r="S268" s="1246" t="s">
        <v>461</v>
      </c>
      <c r="T268" s="1246" t="s">
        <v>442</v>
      </c>
      <c r="U268" s="1246" t="s">
        <v>462</v>
      </c>
      <c r="V268" s="1246" t="s">
        <v>470</v>
      </c>
      <c r="W268" s="1246" t="s">
        <v>471</v>
      </c>
      <c r="X268" s="1246" t="s">
        <v>472</v>
      </c>
      <c r="Y268" s="1246" t="s">
        <v>463</v>
      </c>
      <c r="Z268" s="1246" t="s">
        <v>465</v>
      </c>
      <c r="AA268" s="1246" t="s">
        <v>466</v>
      </c>
      <c r="AB268" s="1246" t="s">
        <v>435</v>
      </c>
      <c r="AC268" s="1246" t="s">
        <v>467</v>
      </c>
      <c r="AD268" s="1246" t="s">
        <v>464</v>
      </c>
      <c r="AE268" s="1246" t="s">
        <v>429</v>
      </c>
      <c r="AF268" s="1246" t="s">
        <v>149</v>
      </c>
      <c r="AG268" s="1246" t="s">
        <v>210</v>
      </c>
      <c r="AH268" s="1207"/>
    </row>
    <row r="269" spans="1:34" x14ac:dyDescent="0.2">
      <c r="A269" s="1233"/>
      <c r="B269" s="1248"/>
      <c r="C269" s="1237"/>
      <c r="D269" s="1237"/>
      <c r="E269" s="1237"/>
      <c r="F269" s="1237"/>
      <c r="G269" s="1237"/>
      <c r="H269" s="1237"/>
      <c r="I269" s="1237"/>
      <c r="J269" s="1237"/>
      <c r="K269" s="1237"/>
      <c r="L269" s="1237"/>
      <c r="M269" s="1237"/>
      <c r="N269" s="1237"/>
      <c r="O269" s="1237"/>
      <c r="P269" s="1241"/>
      <c r="Q269" s="1237"/>
      <c r="R269" s="1237"/>
      <c r="S269" s="1237"/>
      <c r="T269" s="1237"/>
      <c r="U269" s="1237"/>
      <c r="V269" s="1237"/>
      <c r="W269" s="1237"/>
      <c r="X269" s="1237"/>
      <c r="Y269" s="1237"/>
      <c r="Z269" s="1237"/>
      <c r="AA269" s="1237"/>
      <c r="AB269" s="1237"/>
      <c r="AC269" s="1237"/>
      <c r="AD269" s="1237"/>
      <c r="AE269" s="1237"/>
      <c r="AF269" s="1237"/>
      <c r="AG269" s="1237"/>
      <c r="AH269" s="1207"/>
    </row>
    <row r="270" spans="1:34" x14ac:dyDescent="0.2">
      <c r="A270" s="1236" t="s">
        <v>0</v>
      </c>
      <c r="B270" s="1249">
        <v>-21507.096000000001</v>
      </c>
      <c r="C270" s="1237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41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07"/>
    </row>
    <row r="271" spans="1:34" ht="13.5" thickBot="1" x14ac:dyDescent="0.25">
      <c r="A271" s="1250"/>
      <c r="B271" s="1251"/>
      <c r="C271" s="1237"/>
      <c r="D271" s="1237"/>
      <c r="E271" s="1237"/>
      <c r="F271" s="1237"/>
      <c r="G271" s="1237"/>
      <c r="H271" s="1237"/>
      <c r="I271" s="1237"/>
      <c r="J271" s="1237"/>
      <c r="K271" s="1237"/>
      <c r="L271" s="1237"/>
      <c r="M271" s="1237"/>
      <c r="N271" s="1237"/>
      <c r="O271" s="1237"/>
      <c r="P271" s="1241"/>
      <c r="Q271" s="1237"/>
      <c r="R271" s="1237"/>
      <c r="S271" s="1237"/>
      <c r="T271" s="1237"/>
      <c r="U271" s="1237"/>
      <c r="V271" s="1237"/>
      <c r="W271" s="1237"/>
      <c r="X271" s="1237"/>
      <c r="Y271" s="1237"/>
      <c r="Z271" s="1237"/>
      <c r="AA271" s="1237"/>
      <c r="AB271" s="1237"/>
      <c r="AC271" s="1237"/>
      <c r="AD271" s="1237"/>
      <c r="AE271" s="1237"/>
      <c r="AF271" s="1237"/>
      <c r="AG271" s="1237"/>
      <c r="AH271" s="1207"/>
    </row>
    <row r="272" spans="1:34" x14ac:dyDescent="0.2">
      <c r="A272" s="1233"/>
      <c r="B272" s="1253"/>
      <c r="C272" s="1237"/>
      <c r="D272" s="1237"/>
      <c r="E272" s="1237"/>
      <c r="F272" s="1237"/>
      <c r="G272" s="1237"/>
      <c r="H272" s="1237"/>
      <c r="I272" s="1237"/>
      <c r="J272" s="1237"/>
      <c r="K272" s="1237"/>
      <c r="L272" s="1237"/>
      <c r="M272" s="1237"/>
      <c r="N272" s="1237"/>
      <c r="O272" s="1237"/>
      <c r="P272" s="1241"/>
      <c r="Q272" s="1237"/>
      <c r="R272" s="1237"/>
      <c r="S272" s="1237"/>
      <c r="T272" s="1237"/>
      <c r="U272" s="1237"/>
      <c r="V272" s="1237"/>
      <c r="W272" s="1237"/>
      <c r="X272" s="1237"/>
      <c r="Y272" s="1237"/>
      <c r="Z272" s="1237"/>
      <c r="AA272" s="1237"/>
      <c r="AB272" s="1237"/>
      <c r="AC272" s="1237"/>
      <c r="AD272" s="1237"/>
      <c r="AE272" s="1237"/>
      <c r="AF272" s="1237"/>
      <c r="AG272" s="1237"/>
      <c r="AH272" s="1207"/>
    </row>
    <row r="273" spans="1:34" x14ac:dyDescent="0.2">
      <c r="A273" s="1236" t="s">
        <v>1</v>
      </c>
      <c r="B273" s="1249">
        <f>B274+B275+B276</f>
        <v>0</v>
      </c>
      <c r="C273" s="1237"/>
      <c r="D273" s="1237"/>
      <c r="E273" s="1237"/>
      <c r="F273" s="1237"/>
      <c r="G273" s="1237"/>
      <c r="H273" s="1237"/>
      <c r="I273" s="1237"/>
      <c r="J273" s="1237"/>
      <c r="K273" s="1237"/>
      <c r="L273" s="1237"/>
      <c r="M273" s="1237"/>
      <c r="N273" s="1237"/>
      <c r="O273" s="1237"/>
      <c r="P273" s="1241"/>
      <c r="Q273" s="1237"/>
      <c r="R273" s="1237"/>
      <c r="S273" s="1237"/>
      <c r="T273" s="1237"/>
      <c r="U273" s="1237"/>
      <c r="V273" s="1237"/>
      <c r="W273" s="1237"/>
      <c r="X273" s="1237"/>
      <c r="Y273" s="1237"/>
      <c r="Z273" s="1237"/>
      <c r="AA273" s="1237"/>
      <c r="AB273" s="1237"/>
      <c r="AC273" s="1237"/>
      <c r="AD273" s="1237"/>
      <c r="AE273" s="1237"/>
      <c r="AF273" s="1237"/>
      <c r="AG273" s="1237"/>
      <c r="AH273" s="1207"/>
    </row>
    <row r="274" spans="1:34" x14ac:dyDescent="0.2">
      <c r="A274" s="1236" t="s">
        <v>38</v>
      </c>
      <c r="B274" s="1249">
        <f>C322</f>
        <v>0</v>
      </c>
      <c r="C274" s="1237"/>
      <c r="D274" s="1237"/>
      <c r="E274" s="1237"/>
      <c r="F274" s="1237"/>
      <c r="G274" s="1237"/>
      <c r="H274" s="1237"/>
      <c r="I274" s="1237"/>
      <c r="J274" s="1237"/>
      <c r="K274" s="1237"/>
      <c r="L274" s="1237"/>
      <c r="M274" s="1237"/>
      <c r="N274" s="1237"/>
      <c r="O274" s="1237"/>
      <c r="P274" s="1241"/>
      <c r="Q274" s="1237"/>
      <c r="R274" s="1237"/>
      <c r="S274" s="1237"/>
      <c r="T274" s="1237"/>
      <c r="U274" s="1237"/>
      <c r="V274" s="1237"/>
      <c r="W274" s="1237"/>
      <c r="X274" s="1237"/>
      <c r="Y274" s="1237"/>
      <c r="Z274" s="1237"/>
      <c r="AA274" s="1237"/>
      <c r="AB274" s="1237"/>
      <c r="AC274" s="1237"/>
      <c r="AD274" s="1237"/>
      <c r="AE274" s="1237"/>
      <c r="AF274" s="1237"/>
      <c r="AG274" s="1237"/>
      <c r="AH274" s="1207"/>
    </row>
    <row r="275" spans="1:34" x14ac:dyDescent="0.2">
      <c r="A275" s="1236" t="s">
        <v>39</v>
      </c>
      <c r="B275" s="1249">
        <f>C345</f>
        <v>0</v>
      </c>
      <c r="C275" s="1237"/>
      <c r="D275" s="1237"/>
      <c r="E275" s="1237"/>
      <c r="F275" s="1237"/>
      <c r="G275" s="1237"/>
      <c r="H275" s="1237"/>
      <c r="I275" s="1237"/>
      <c r="J275" s="1237"/>
      <c r="K275" s="1237"/>
      <c r="L275" s="1237"/>
      <c r="M275" s="1237"/>
      <c r="N275" s="1237"/>
      <c r="O275" s="1237"/>
      <c r="P275" s="1241"/>
      <c r="Q275" s="1237"/>
      <c r="R275" s="1237"/>
      <c r="S275" s="1237"/>
      <c r="T275" s="1237"/>
      <c r="U275" s="1237"/>
      <c r="V275" s="1237"/>
      <c r="W275" s="1237"/>
      <c r="X275" s="1237"/>
      <c r="Y275" s="1237"/>
      <c r="Z275" s="1237"/>
      <c r="AA275" s="1237"/>
      <c r="AB275" s="1237"/>
      <c r="AC275" s="1237"/>
      <c r="AD275" s="1237"/>
      <c r="AE275" s="1237"/>
      <c r="AF275" s="1237"/>
      <c r="AG275" s="1237"/>
      <c r="AH275" s="1207"/>
    </row>
    <row r="276" spans="1:34" x14ac:dyDescent="0.2">
      <c r="A276" s="1236" t="s">
        <v>3</v>
      </c>
      <c r="B276" s="1249"/>
      <c r="C276" s="1237"/>
      <c r="D276" s="1237"/>
      <c r="E276" s="1237"/>
      <c r="F276" s="1237"/>
      <c r="G276" s="1237"/>
      <c r="H276" s="1237"/>
      <c r="I276" s="1237"/>
      <c r="J276" s="1237"/>
      <c r="K276" s="1237"/>
      <c r="L276" s="1237"/>
      <c r="M276" s="1237"/>
      <c r="N276" s="1237"/>
      <c r="O276" s="1237"/>
      <c r="P276" s="1241"/>
      <c r="Q276" s="1237"/>
      <c r="R276" s="1237"/>
      <c r="S276" s="1237"/>
      <c r="T276" s="1237"/>
      <c r="U276" s="1237"/>
      <c r="V276" s="1237"/>
      <c r="W276" s="1237"/>
      <c r="X276" s="1237"/>
      <c r="Y276" s="1237"/>
      <c r="Z276" s="1237"/>
      <c r="AA276" s="1237"/>
      <c r="AB276" s="1237"/>
      <c r="AC276" s="1237"/>
      <c r="AD276" s="1237"/>
      <c r="AE276" s="1237"/>
      <c r="AF276" s="1237"/>
      <c r="AG276" s="1237"/>
      <c r="AH276" s="1207"/>
    </row>
    <row r="277" spans="1:34" ht="13.5" thickBot="1" x14ac:dyDescent="0.25">
      <c r="A277" s="1250"/>
      <c r="B277" s="1251"/>
      <c r="C277" s="1237"/>
      <c r="D277" s="1237"/>
      <c r="E277" s="1237"/>
      <c r="F277" s="1237"/>
      <c r="G277" s="1237"/>
      <c r="H277" s="1237"/>
      <c r="I277" s="1237"/>
      <c r="J277" s="1237"/>
      <c r="K277" s="1237"/>
      <c r="L277" s="1237"/>
      <c r="M277" s="1237"/>
      <c r="N277" s="1237"/>
      <c r="O277" s="1237"/>
      <c r="P277" s="1241"/>
      <c r="Q277" s="1237"/>
      <c r="R277" s="1237"/>
      <c r="S277" s="1237"/>
      <c r="T277" s="1237"/>
      <c r="U277" s="1237"/>
      <c r="V277" s="1237"/>
      <c r="W277" s="1237"/>
      <c r="X277" s="1237"/>
      <c r="Y277" s="1237"/>
      <c r="Z277" s="1237"/>
      <c r="AA277" s="1237"/>
      <c r="AB277" s="1237"/>
      <c r="AC277" s="1237"/>
      <c r="AD277" s="1237"/>
      <c r="AE277" s="1237"/>
      <c r="AF277" s="1237"/>
      <c r="AG277" s="1237"/>
      <c r="AH277" s="1207"/>
    </row>
    <row r="278" spans="1:34" x14ac:dyDescent="0.2">
      <c r="A278" s="1233"/>
      <c r="B278" s="1253"/>
      <c r="C278" s="1237"/>
      <c r="D278" s="1237"/>
      <c r="E278" s="1237"/>
      <c r="F278" s="1237"/>
      <c r="G278" s="1237"/>
      <c r="H278" s="1237"/>
      <c r="I278" s="1237"/>
      <c r="J278" s="1237"/>
      <c r="K278" s="1237"/>
      <c r="L278" s="1237"/>
      <c r="M278" s="1237"/>
      <c r="N278" s="1237"/>
      <c r="O278" s="1237"/>
      <c r="P278" s="1241"/>
      <c r="Q278" s="1237"/>
      <c r="R278" s="1237"/>
      <c r="S278" s="1237"/>
      <c r="T278" s="1237"/>
      <c r="U278" s="1237"/>
      <c r="V278" s="1237"/>
      <c r="W278" s="1237"/>
      <c r="X278" s="1237"/>
      <c r="Y278" s="1237"/>
      <c r="Z278" s="1237"/>
      <c r="AA278" s="1237"/>
      <c r="AB278" s="1237"/>
      <c r="AC278" s="1237"/>
      <c r="AD278" s="1237"/>
      <c r="AE278" s="1237"/>
      <c r="AF278" s="1237"/>
      <c r="AG278" s="1237"/>
      <c r="AH278" s="1207"/>
    </row>
    <row r="279" spans="1:34" x14ac:dyDescent="0.2">
      <c r="A279" s="1236" t="s">
        <v>4</v>
      </c>
      <c r="B279" s="1249">
        <f>B270-B273</f>
        <v>-21507.096000000001</v>
      </c>
      <c r="C279" s="1237"/>
      <c r="D279" s="1237"/>
      <c r="E279" s="1237"/>
      <c r="F279" s="1237"/>
      <c r="G279" s="1237"/>
      <c r="H279" s="1237"/>
      <c r="I279" s="1237"/>
      <c r="J279" s="1237"/>
      <c r="K279" s="1237"/>
      <c r="L279" s="1237"/>
      <c r="M279" s="1237"/>
      <c r="N279" s="1237"/>
      <c r="O279" s="1237"/>
      <c r="P279" s="1241"/>
      <c r="Q279" s="1237"/>
      <c r="R279" s="1237"/>
      <c r="S279" s="1237"/>
      <c r="T279" s="1237"/>
      <c r="U279" s="1237"/>
      <c r="V279" s="1237"/>
      <c r="W279" s="1237"/>
      <c r="X279" s="1237"/>
      <c r="Y279" s="1237"/>
      <c r="Z279" s="1237"/>
      <c r="AA279" s="1237"/>
      <c r="AB279" s="1237"/>
      <c r="AC279" s="1237"/>
      <c r="AD279" s="1237"/>
      <c r="AE279" s="1237"/>
      <c r="AF279" s="1237"/>
      <c r="AG279" s="1237"/>
      <c r="AH279" s="1207"/>
    </row>
    <row r="280" spans="1:34" ht="21" thickBot="1" x14ac:dyDescent="0.35">
      <c r="A280" s="1250"/>
      <c r="B280" s="1251"/>
      <c r="C280" s="1237"/>
      <c r="D280" s="1237"/>
      <c r="E280" s="1237"/>
      <c r="F280" s="1393"/>
      <c r="G280" s="1237"/>
      <c r="H280" s="1237"/>
      <c r="I280" s="1237"/>
      <c r="J280" s="1237"/>
      <c r="K280" s="1237"/>
      <c r="L280" s="1237"/>
      <c r="M280" s="1237"/>
      <c r="N280" s="1237"/>
      <c r="O280" s="1237"/>
      <c r="P280" s="1241"/>
      <c r="Q280" s="1237"/>
      <c r="R280" s="1237"/>
      <c r="S280" s="1237"/>
      <c r="T280" s="1237"/>
      <c r="U280" s="1237"/>
      <c r="V280" s="1237"/>
      <c r="W280" s="1237"/>
      <c r="X280" s="1237"/>
      <c r="Y280" s="1237"/>
      <c r="Z280" s="1237"/>
      <c r="AA280" s="1237"/>
      <c r="AB280" s="1237"/>
      <c r="AC280" s="1237"/>
      <c r="AD280" s="1237"/>
      <c r="AE280" s="1237"/>
      <c r="AF280" s="1237"/>
      <c r="AG280" s="1237"/>
      <c r="AH280" s="1207"/>
    </row>
    <row r="281" spans="1:34" x14ac:dyDescent="0.2">
      <c r="A281" s="1233"/>
      <c r="B281" s="1253"/>
      <c r="C281" s="1237"/>
      <c r="D281" s="1237"/>
      <c r="E281" s="1237"/>
      <c r="F281" s="1237"/>
      <c r="G281" s="1237"/>
      <c r="H281" s="1237"/>
      <c r="I281" s="1237"/>
      <c r="J281" s="1237"/>
      <c r="K281" s="1237"/>
      <c r="L281" s="1237"/>
      <c r="M281" s="1237"/>
      <c r="N281" s="1237"/>
      <c r="O281" s="1237"/>
      <c r="P281" s="1241"/>
      <c r="Q281" s="1237"/>
      <c r="R281" s="1237"/>
      <c r="S281" s="1237"/>
      <c r="T281" s="1237"/>
      <c r="U281" s="1237"/>
      <c r="V281" s="1237"/>
      <c r="W281" s="1237"/>
      <c r="X281" s="1237"/>
      <c r="Y281" s="1237"/>
      <c r="Z281" s="1237"/>
      <c r="AA281" s="1237"/>
      <c r="AB281" s="1237"/>
      <c r="AC281" s="1237"/>
      <c r="AD281" s="1237"/>
      <c r="AE281" s="1237"/>
      <c r="AF281" s="1237"/>
      <c r="AG281" s="1237"/>
      <c r="AH281" s="1207"/>
    </row>
    <row r="282" spans="1:34" x14ac:dyDescent="0.2">
      <c r="A282" s="1236" t="s">
        <v>17</v>
      </c>
      <c r="B282" s="1249"/>
      <c r="C282" s="1237"/>
      <c r="D282" s="1237"/>
      <c r="E282" s="1237"/>
      <c r="F282" s="1237"/>
      <c r="G282" s="1237"/>
      <c r="H282" s="1237"/>
      <c r="I282" s="1237"/>
      <c r="J282" s="1237"/>
      <c r="K282" s="1237"/>
      <c r="L282" s="1237"/>
      <c r="M282" s="1237"/>
      <c r="N282" s="1237"/>
      <c r="O282" s="1237"/>
      <c r="P282" s="1241"/>
      <c r="Q282" s="1237"/>
      <c r="R282" s="1237"/>
      <c r="S282" s="1237"/>
      <c r="T282" s="1237"/>
      <c r="U282" s="1237"/>
      <c r="V282" s="1237"/>
      <c r="W282" s="1237"/>
      <c r="X282" s="1237"/>
      <c r="Y282" s="1237"/>
      <c r="Z282" s="1237"/>
      <c r="AA282" s="1237"/>
      <c r="AB282" s="1237"/>
      <c r="AC282" s="1237"/>
      <c r="AD282" s="1237"/>
      <c r="AE282" s="1237"/>
      <c r="AF282" s="1237"/>
      <c r="AG282" s="1237"/>
      <c r="AH282" s="1207"/>
    </row>
    <row r="283" spans="1:34" ht="13.5" thickBot="1" x14ac:dyDescent="0.25">
      <c r="A283" s="1250"/>
      <c r="B283" s="1251"/>
      <c r="C283" s="1237"/>
      <c r="D283" s="1237"/>
      <c r="E283" s="1237"/>
      <c r="F283" s="1237"/>
      <c r="G283" s="1237"/>
      <c r="H283" s="1237"/>
      <c r="I283" s="1237"/>
      <c r="J283" s="1237"/>
      <c r="K283" s="1237"/>
      <c r="L283" s="1237"/>
      <c r="M283" s="1237"/>
      <c r="N283" s="1237"/>
      <c r="O283" s="1237"/>
      <c r="P283" s="1241"/>
      <c r="Q283" s="1237"/>
      <c r="R283" s="1237"/>
      <c r="S283" s="1237"/>
      <c r="T283" s="1237"/>
      <c r="U283" s="1237"/>
      <c r="V283" s="1237"/>
      <c r="W283" s="1237"/>
      <c r="X283" s="1258"/>
      <c r="Y283" s="1237"/>
      <c r="Z283" s="1237"/>
      <c r="AA283" s="1237"/>
      <c r="AB283" s="1237"/>
      <c r="AC283" s="1237"/>
      <c r="AD283" s="1237"/>
      <c r="AE283" s="1237"/>
      <c r="AF283" s="1211"/>
      <c r="AG283" s="1237"/>
      <c r="AH283" s="1207"/>
    </row>
    <row r="284" spans="1:34" ht="23.25" x14ac:dyDescent="0.35">
      <c r="A284" s="1233"/>
      <c r="B284" s="1253"/>
      <c r="D284" s="1237"/>
      <c r="E284" s="1211"/>
      <c r="F284" s="1750"/>
      <c r="G284" s="1750"/>
      <c r="H284" s="1237"/>
      <c r="I284" s="1370"/>
      <c r="J284" s="1237"/>
      <c r="K284" s="1394"/>
      <c r="L284" s="1237"/>
      <c r="M284" s="1237"/>
      <c r="N284" s="1237"/>
      <c r="O284" s="1237"/>
      <c r="P284" s="1241"/>
      <c r="R284" s="1237"/>
      <c r="S284" s="1237"/>
      <c r="T284" s="1237"/>
      <c r="U284" s="1237"/>
      <c r="V284" s="1237"/>
      <c r="W284" s="1237"/>
      <c r="X284" s="1211"/>
      <c r="Y284" s="1211"/>
      <c r="Z284" s="1211"/>
      <c r="AA284" s="1211"/>
      <c r="AB284" s="1237"/>
      <c r="AC284" s="1237"/>
      <c r="AD284" s="1237"/>
      <c r="AE284" s="1237"/>
      <c r="AF284" s="1211"/>
      <c r="AH284" s="1207"/>
    </row>
    <row r="285" spans="1:34" x14ac:dyDescent="0.2">
      <c r="A285" s="1236" t="s">
        <v>5</v>
      </c>
      <c r="B285" s="1249">
        <f>B279-B282</f>
        <v>-21507.096000000001</v>
      </c>
      <c r="C285" s="1392"/>
      <c r="D285" s="1211"/>
      <c r="E285" s="1371"/>
      <c r="F285" s="1211" t="s">
        <v>223</v>
      </c>
      <c r="G285" s="1211"/>
      <c r="H285" s="1211"/>
      <c r="I285" s="1211"/>
      <c r="J285" s="1211"/>
      <c r="K285" s="1211"/>
      <c r="L285" s="1211"/>
      <c r="M285" s="1211"/>
      <c r="N285" s="1211"/>
      <c r="O285" s="1211" t="s">
        <v>1154</v>
      </c>
      <c r="P285" s="1212"/>
      <c r="R285" s="1211"/>
      <c r="S285" s="1212"/>
      <c r="T285" s="1211"/>
      <c r="U285" s="1237"/>
      <c r="V285" s="1211" t="s">
        <v>1217</v>
      </c>
      <c r="W285" s="1237"/>
      <c r="X285" s="1256"/>
      <c r="Y285" s="1211"/>
      <c r="Z285" s="1212"/>
      <c r="AA285" s="1212"/>
      <c r="AB285" s="1212"/>
      <c r="AC285" s="1395"/>
      <c r="AD285" s="1395"/>
      <c r="AE285" s="1211"/>
      <c r="AF285" s="1211" t="s">
        <v>1218</v>
      </c>
      <c r="AG285" s="1370" t="s">
        <v>1044</v>
      </c>
      <c r="AH285" s="1207"/>
    </row>
    <row r="286" spans="1:34" ht="13.5" thickBot="1" x14ac:dyDescent="0.25">
      <c r="A286" s="1250"/>
      <c r="B286" s="1251"/>
      <c r="C286" s="1237"/>
      <c r="D286" s="1237"/>
      <c r="E286" s="1237"/>
      <c r="F286" s="1237"/>
      <c r="G286" s="1237"/>
      <c r="H286" s="1237"/>
      <c r="I286" s="1237"/>
      <c r="J286" s="1237"/>
      <c r="K286" s="1237"/>
      <c r="L286" s="1237"/>
      <c r="M286" s="1211"/>
      <c r="N286" s="1237"/>
      <c r="O286" s="1237"/>
      <c r="P286" s="1241"/>
      <c r="Q286" s="1237"/>
      <c r="R286" s="1237"/>
      <c r="S286" s="1237"/>
      <c r="T286" s="1237"/>
      <c r="U286" s="1237"/>
      <c r="V286" s="1237"/>
      <c r="W286" s="1237"/>
      <c r="X286" s="1237"/>
      <c r="Y286" s="1237"/>
      <c r="Z286" s="1237"/>
      <c r="AA286" s="1237"/>
      <c r="AB286" s="1237"/>
      <c r="AC286" s="1237"/>
      <c r="AD286" s="1237"/>
      <c r="AE286" s="1237"/>
      <c r="AF286" s="1237"/>
      <c r="AG286" s="1237"/>
      <c r="AH286" s="1207"/>
    </row>
    <row r="287" spans="1:34" x14ac:dyDescent="0.2">
      <c r="A287" s="1269"/>
      <c r="B287" s="1237"/>
      <c r="C287" s="1270"/>
      <c r="D287" s="1272"/>
      <c r="E287" s="1272"/>
      <c r="F287" s="1271"/>
      <c r="G287" s="1271"/>
      <c r="H287" s="1271"/>
      <c r="I287" s="1271"/>
      <c r="J287" s="1271"/>
      <c r="K287" s="1271"/>
      <c r="L287" s="1271"/>
      <c r="M287" s="1271"/>
      <c r="N287" s="1271"/>
      <c r="O287" s="1271"/>
      <c r="P287" s="1273"/>
      <c r="Q287" s="1271"/>
      <c r="R287" s="1271"/>
      <c r="S287" s="1271"/>
      <c r="T287" s="1271"/>
      <c r="U287" s="1271"/>
      <c r="V287" s="1271"/>
      <c r="W287" s="1271"/>
      <c r="X287" s="1271"/>
      <c r="Y287" s="1271"/>
      <c r="Z287" s="1271"/>
      <c r="AA287" s="1271"/>
      <c r="AB287" s="1271"/>
      <c r="AC287" s="1271"/>
      <c r="AD287" s="1271"/>
      <c r="AE287" s="1271"/>
      <c r="AF287" s="1271"/>
      <c r="AG287" s="1271"/>
      <c r="AH287" s="1207"/>
    </row>
    <row r="288" spans="1:34" ht="13.5" thickBot="1" x14ac:dyDescent="0.25">
      <c r="A288" s="1274" t="s">
        <v>7</v>
      </c>
      <c r="B288" s="1237"/>
      <c r="C288" s="1275">
        <f t="shared" ref="C288:AG288" si="31">C289+C290+C291+C293+C292</f>
        <v>0</v>
      </c>
      <c r="D288" s="1275">
        <f t="shared" si="31"/>
        <v>0</v>
      </c>
      <c r="E288" s="1275">
        <f t="shared" si="31"/>
        <v>0</v>
      </c>
      <c r="F288" s="1275">
        <f t="shared" si="31"/>
        <v>0</v>
      </c>
      <c r="G288" s="1275">
        <f t="shared" si="31"/>
        <v>0</v>
      </c>
      <c r="H288" s="1275">
        <f t="shared" si="31"/>
        <v>0</v>
      </c>
      <c r="I288" s="1275">
        <f t="shared" si="31"/>
        <v>0</v>
      </c>
      <c r="J288" s="1275">
        <f t="shared" si="31"/>
        <v>0</v>
      </c>
      <c r="K288" s="1275">
        <f t="shared" si="31"/>
        <v>0</v>
      </c>
      <c r="L288" s="1275">
        <f t="shared" si="31"/>
        <v>0</v>
      </c>
      <c r="M288" s="1275">
        <f t="shared" si="31"/>
        <v>0</v>
      </c>
      <c r="N288" s="1275">
        <f t="shared" si="31"/>
        <v>0</v>
      </c>
      <c r="O288" s="1275">
        <f t="shared" si="31"/>
        <v>40000</v>
      </c>
      <c r="P288" s="1276">
        <f t="shared" si="31"/>
        <v>0</v>
      </c>
      <c r="Q288" s="1275">
        <f t="shared" si="31"/>
        <v>0</v>
      </c>
      <c r="R288" s="1275">
        <f t="shared" si="31"/>
        <v>0</v>
      </c>
      <c r="S288" s="1275">
        <f t="shared" si="31"/>
        <v>0</v>
      </c>
      <c r="T288" s="1275">
        <f t="shared" si="31"/>
        <v>0</v>
      </c>
      <c r="U288" s="1275">
        <f t="shared" si="31"/>
        <v>0</v>
      </c>
      <c r="V288" s="1275">
        <f t="shared" si="31"/>
        <v>3424</v>
      </c>
      <c r="W288" s="1275">
        <f t="shared" si="31"/>
        <v>0</v>
      </c>
      <c r="X288" s="1275">
        <f t="shared" si="31"/>
        <v>0</v>
      </c>
      <c r="Y288" s="1275">
        <f t="shared" si="31"/>
        <v>0</v>
      </c>
      <c r="Z288" s="1275">
        <f t="shared" si="31"/>
        <v>0</v>
      </c>
      <c r="AA288" s="1275">
        <f t="shared" si="31"/>
        <v>0</v>
      </c>
      <c r="AB288" s="1275">
        <f t="shared" si="31"/>
        <v>0</v>
      </c>
      <c r="AC288" s="1275">
        <f t="shared" si="31"/>
        <v>0</v>
      </c>
      <c r="AD288" s="1275">
        <f t="shared" si="31"/>
        <v>0</v>
      </c>
      <c r="AE288" s="1275">
        <f t="shared" si="31"/>
        <v>0</v>
      </c>
      <c r="AF288" s="1275">
        <f t="shared" si="31"/>
        <v>120000</v>
      </c>
      <c r="AG288" s="1275">
        <f t="shared" si="31"/>
        <v>6216</v>
      </c>
      <c r="AH288" s="1227">
        <f>SUM(C288:AG288)</f>
        <v>169640</v>
      </c>
    </row>
    <row r="289" spans="1:34" x14ac:dyDescent="0.2">
      <c r="A289" s="1274" t="s">
        <v>8</v>
      </c>
      <c r="B289" s="1389"/>
      <c r="C289" s="1302"/>
      <c r="D289" s="1302"/>
      <c r="E289" s="1396"/>
      <c r="F289" s="1303"/>
      <c r="G289" s="1303"/>
      <c r="H289" s="1303"/>
      <c r="I289" s="1319"/>
      <c r="J289" s="1303"/>
      <c r="K289" s="1303"/>
      <c r="L289" s="1303"/>
      <c r="M289" s="1303"/>
      <c r="N289" s="1303"/>
      <c r="O289" s="1303"/>
      <c r="P289" s="1304"/>
      <c r="Q289" s="1303"/>
      <c r="R289" s="1303"/>
      <c r="S289" s="1303"/>
      <c r="T289" s="1303"/>
      <c r="U289" s="1303"/>
      <c r="V289" s="1303"/>
      <c r="W289" s="1303"/>
      <c r="X289" s="1303"/>
      <c r="Y289" s="1303"/>
      <c r="Z289" s="1303"/>
      <c r="AA289" s="1303"/>
      <c r="AB289" s="1303"/>
      <c r="AC289" s="1303"/>
      <c r="AD289" s="1303"/>
      <c r="AE289" s="1303"/>
      <c r="AF289" s="1303"/>
      <c r="AG289" s="1397"/>
      <c r="AH289" s="1227">
        <f>SUM(C289:AG289)</f>
        <v>0</v>
      </c>
    </row>
    <row r="290" spans="1:34" x14ac:dyDescent="0.2">
      <c r="A290" s="1274" t="s">
        <v>9</v>
      </c>
      <c r="B290" s="1389"/>
      <c r="C290" s="1302"/>
      <c r="D290" s="1302"/>
      <c r="E290" s="1396"/>
      <c r="F290" s="1303"/>
      <c r="G290" s="1303"/>
      <c r="H290" s="1303"/>
      <c r="I290" s="1303"/>
      <c r="J290" s="1303"/>
      <c r="K290" s="1303"/>
      <c r="L290" s="1303"/>
      <c r="M290" s="1303"/>
      <c r="N290" s="1303"/>
      <c r="O290" s="1319"/>
      <c r="P290" s="1304"/>
      <c r="Q290" s="1303"/>
      <c r="R290" s="1303"/>
      <c r="S290" s="1303"/>
      <c r="T290" s="1303"/>
      <c r="U290" s="1303"/>
      <c r="V290" s="1319">
        <v>3424</v>
      </c>
      <c r="W290" s="1319"/>
      <c r="X290" s="1319"/>
      <c r="Y290" s="1319"/>
      <c r="Z290" s="1319"/>
      <c r="AA290" s="1319"/>
      <c r="AB290" s="1319"/>
      <c r="AC290" s="1319"/>
      <c r="AD290" s="1319"/>
      <c r="AE290" s="1303"/>
      <c r="AF290" s="1303"/>
      <c r="AG290" s="1303">
        <v>6216</v>
      </c>
      <c r="AH290" s="1227">
        <f>SUM(C290:AG290)</f>
        <v>9640</v>
      </c>
    </row>
    <row r="291" spans="1:34" s="1289" customFormat="1" x14ac:dyDescent="0.2">
      <c r="A291" s="1285" t="s">
        <v>10</v>
      </c>
      <c r="B291" s="1372"/>
      <c r="C291" s="1398"/>
      <c r="D291" s="1374"/>
      <c r="E291" s="1374"/>
      <c r="F291" s="1375"/>
      <c r="G291" s="1375"/>
      <c r="H291" s="1375"/>
      <c r="I291" s="1375"/>
      <c r="J291" s="1375"/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/>
      <c r="U291" s="1375"/>
      <c r="V291" s="1375"/>
      <c r="W291" s="1375"/>
      <c r="X291" s="1376"/>
      <c r="Y291" s="1375"/>
      <c r="Z291" s="1390"/>
      <c r="AA291" s="1399"/>
      <c r="AB291" s="1375"/>
      <c r="AC291" s="1375"/>
      <c r="AD291" s="1377"/>
      <c r="AE291" s="1375"/>
      <c r="AF291" s="1375">
        <v>120000</v>
      </c>
      <c r="AG291" s="1375"/>
      <c r="AH291" s="1231">
        <f>SUM(C291:AG291)</f>
        <v>120000</v>
      </c>
    </row>
    <row r="292" spans="1:34" s="1289" customFormat="1" x14ac:dyDescent="0.2">
      <c r="A292" s="1285" t="s">
        <v>356</v>
      </c>
      <c r="B292" s="1372"/>
      <c r="C292" s="1379"/>
      <c r="D292" s="1379"/>
      <c r="E292" s="1379"/>
      <c r="F292" s="1380"/>
      <c r="G292" s="1379"/>
      <c r="H292" s="1379"/>
      <c r="I292" s="1379"/>
      <c r="J292" s="1379"/>
      <c r="K292" s="1379"/>
      <c r="L292" s="1379"/>
      <c r="M292" s="1379"/>
      <c r="N292" s="1379"/>
      <c r="O292" s="1379"/>
      <c r="P292" s="1379"/>
      <c r="Q292" s="1379"/>
      <c r="R292" s="1379"/>
      <c r="S292" s="1379"/>
      <c r="T292" s="1379"/>
      <c r="U292" s="1379"/>
      <c r="V292" s="1379"/>
      <c r="W292" s="1379"/>
      <c r="X292" s="1379"/>
      <c r="Y292" s="1379"/>
      <c r="Z292" s="1379"/>
      <c r="AA292" s="1379"/>
      <c r="AB292" s="1379"/>
      <c r="AC292" s="1379"/>
      <c r="AD292" s="1379"/>
      <c r="AE292" s="1379"/>
      <c r="AF292" s="1379"/>
      <c r="AG292" s="1379"/>
      <c r="AH292" s="1231">
        <f>SUM(C292:AG292)</f>
        <v>0</v>
      </c>
    </row>
    <row r="293" spans="1:34" x14ac:dyDescent="0.2">
      <c r="A293" s="1274" t="s">
        <v>11</v>
      </c>
      <c r="B293" s="1237"/>
      <c r="C293" s="1302"/>
      <c r="D293" s="1306"/>
      <c r="E293" s="1400"/>
      <c r="F293" s="1304"/>
      <c r="G293" s="1304"/>
      <c r="H293" s="1304"/>
      <c r="I293" s="1304"/>
      <c r="J293" s="1319"/>
      <c r="K293" s="1304"/>
      <c r="L293" s="1304"/>
      <c r="M293" s="1304"/>
      <c r="N293" s="1304"/>
      <c r="O293" s="1304">
        <v>40000</v>
      </c>
      <c r="P293" s="1318"/>
      <c r="Q293" s="1318"/>
      <c r="R293" s="1304"/>
      <c r="S293" s="1318"/>
      <c r="T293" s="1304"/>
      <c r="U293" s="1304"/>
      <c r="V293" s="1319"/>
      <c r="W293" s="1319"/>
      <c r="X293" s="1317"/>
      <c r="Y293" s="1318"/>
      <c r="Z293" s="1319"/>
      <c r="AA293" s="1317"/>
      <c r="AB293" s="1319"/>
      <c r="AC293" s="1304"/>
      <c r="AD293" s="1319"/>
      <c r="AE293" s="1304"/>
      <c r="AF293" s="1304"/>
      <c r="AG293" s="1304"/>
      <c r="AH293" s="1207"/>
    </row>
    <row r="294" spans="1:34" ht="13.5" thickBot="1" x14ac:dyDescent="0.25">
      <c r="A294" s="1294"/>
      <c r="B294" s="1237"/>
      <c r="C294" s="1302"/>
      <c r="D294" s="1302"/>
      <c r="E294" s="1302"/>
      <c r="F294" s="1303"/>
      <c r="G294" s="1303"/>
      <c r="H294" s="1303"/>
      <c r="I294" s="1303"/>
      <c r="J294" s="1303"/>
      <c r="K294" s="1303"/>
      <c r="L294" s="1303"/>
      <c r="M294" s="1303"/>
      <c r="N294" s="1303"/>
      <c r="O294" s="1303"/>
      <c r="P294" s="1304"/>
      <c r="Q294" s="1303"/>
      <c r="R294" s="1303"/>
      <c r="S294" s="1303"/>
      <c r="T294" s="1303"/>
      <c r="U294" s="1303"/>
      <c r="V294" s="1303"/>
      <c r="W294" s="1303"/>
      <c r="X294" s="1303"/>
      <c r="Y294" s="1303"/>
      <c r="Z294" s="1303"/>
      <c r="AA294" s="1303"/>
      <c r="AB294" s="1303"/>
      <c r="AC294" s="1303"/>
      <c r="AD294" s="1303"/>
      <c r="AE294" s="1303"/>
      <c r="AF294" s="1303"/>
      <c r="AG294" s="1303"/>
      <c r="AH294" s="1207"/>
    </row>
    <row r="295" spans="1:34" x14ac:dyDescent="0.2">
      <c r="A295" s="1269"/>
      <c r="B295" s="1237"/>
      <c r="C295" s="1296"/>
      <c r="D295" s="1297"/>
      <c r="E295" s="1297"/>
      <c r="F295" s="1298"/>
      <c r="G295" s="1298"/>
      <c r="H295" s="1298"/>
      <c r="I295" s="1298"/>
      <c r="J295" s="1298"/>
      <c r="K295" s="1298"/>
      <c r="L295" s="1298"/>
      <c r="M295" s="1298"/>
      <c r="N295" s="1298"/>
      <c r="O295" s="1298"/>
      <c r="P295" s="1299"/>
      <c r="Q295" s="1298"/>
      <c r="R295" s="1298"/>
      <c r="S295" s="1298"/>
      <c r="T295" s="1298"/>
      <c r="U295" s="1298"/>
      <c r="V295" s="1298"/>
      <c r="W295" s="1298"/>
      <c r="X295" s="1298"/>
      <c r="Y295" s="1298"/>
      <c r="Z295" s="1298"/>
      <c r="AA295" s="1298"/>
      <c r="AB295" s="1298"/>
      <c r="AC295" s="1298"/>
      <c r="AD295" s="1298"/>
      <c r="AE295" s="1298"/>
      <c r="AF295" s="1298"/>
      <c r="AG295" s="1298"/>
      <c r="AH295" s="1207"/>
    </row>
    <row r="296" spans="1:34" ht="13.5" thickBot="1" x14ac:dyDescent="0.25">
      <c r="A296" s="1274" t="s">
        <v>12</v>
      </c>
      <c r="B296" s="1237"/>
      <c r="C296" s="1275">
        <f t="shared" ref="C296:AG296" si="32">C297</f>
        <v>0</v>
      </c>
      <c r="D296" s="1275">
        <f t="shared" si="32"/>
        <v>0</v>
      </c>
      <c r="E296" s="1275">
        <f t="shared" si="32"/>
        <v>0</v>
      </c>
      <c r="F296" s="1275">
        <f t="shared" si="32"/>
        <v>0</v>
      </c>
      <c r="G296" s="1275">
        <f t="shared" si="32"/>
        <v>0</v>
      </c>
      <c r="H296" s="1275">
        <f t="shared" si="32"/>
        <v>0</v>
      </c>
      <c r="I296" s="1275">
        <f t="shared" si="32"/>
        <v>0</v>
      </c>
      <c r="J296" s="1275">
        <f t="shared" si="32"/>
        <v>0</v>
      </c>
      <c r="K296" s="1275">
        <f t="shared" si="32"/>
        <v>0</v>
      </c>
      <c r="L296" s="1275">
        <f t="shared" si="32"/>
        <v>0</v>
      </c>
      <c r="M296" s="1275">
        <f t="shared" si="32"/>
        <v>0</v>
      </c>
      <c r="N296" s="1275">
        <f t="shared" si="32"/>
        <v>0</v>
      </c>
      <c r="O296" s="1275">
        <f t="shared" si="32"/>
        <v>0</v>
      </c>
      <c r="P296" s="1276">
        <f t="shared" si="32"/>
        <v>0</v>
      </c>
      <c r="Q296" s="1275">
        <f t="shared" si="32"/>
        <v>0</v>
      </c>
      <c r="R296" s="1275">
        <f t="shared" si="32"/>
        <v>0</v>
      </c>
      <c r="S296" s="1275">
        <f t="shared" si="32"/>
        <v>0</v>
      </c>
      <c r="T296" s="1275">
        <f t="shared" si="32"/>
        <v>0</v>
      </c>
      <c r="U296" s="1275">
        <f t="shared" si="32"/>
        <v>0</v>
      </c>
      <c r="V296" s="1275">
        <f t="shared" si="32"/>
        <v>0</v>
      </c>
      <c r="W296" s="1275">
        <f t="shared" si="32"/>
        <v>0</v>
      </c>
      <c r="X296" s="1275">
        <f t="shared" si="32"/>
        <v>0</v>
      </c>
      <c r="Y296" s="1275">
        <f t="shared" si="32"/>
        <v>0</v>
      </c>
      <c r="Z296" s="1275">
        <f t="shared" si="32"/>
        <v>0</v>
      </c>
      <c r="AA296" s="1275">
        <f t="shared" si="32"/>
        <v>0</v>
      </c>
      <c r="AB296" s="1275">
        <f t="shared" si="32"/>
        <v>0</v>
      </c>
      <c r="AC296" s="1275">
        <f t="shared" si="32"/>
        <v>0</v>
      </c>
      <c r="AD296" s="1275">
        <f t="shared" si="32"/>
        <v>0</v>
      </c>
      <c r="AE296" s="1275">
        <f t="shared" si="32"/>
        <v>0</v>
      </c>
      <c r="AF296" s="1275">
        <f t="shared" si="32"/>
        <v>0</v>
      </c>
      <c r="AG296" s="1275">
        <f t="shared" si="32"/>
        <v>0</v>
      </c>
      <c r="AH296" s="1207"/>
    </row>
    <row r="297" spans="1:34" x14ac:dyDescent="0.2">
      <c r="A297" s="1274" t="s">
        <v>8</v>
      </c>
      <c r="B297" s="1237"/>
      <c r="C297" s="1302"/>
      <c r="D297" s="1302"/>
      <c r="E297" s="1302"/>
      <c r="F297" s="1303"/>
      <c r="G297" s="1303"/>
      <c r="H297" s="1303"/>
      <c r="I297" s="1303"/>
      <c r="J297" s="1303"/>
      <c r="K297" s="1303"/>
      <c r="L297" s="1303"/>
      <c r="M297" s="1303"/>
      <c r="N297" s="1303"/>
      <c r="O297" s="1303"/>
      <c r="P297" s="1304"/>
      <c r="Q297" s="1303"/>
      <c r="R297" s="1303"/>
      <c r="S297" s="1303"/>
      <c r="T297" s="1303"/>
      <c r="U297" s="1303"/>
      <c r="V297" s="1303"/>
      <c r="W297" s="1303"/>
      <c r="X297" s="1303"/>
      <c r="Y297" s="1303"/>
      <c r="Z297" s="1303"/>
      <c r="AA297" s="1303"/>
      <c r="AB297" s="1303"/>
      <c r="AC297" s="1303"/>
      <c r="AD297" s="1303"/>
      <c r="AE297" s="1303"/>
      <c r="AF297" s="1303"/>
      <c r="AG297" s="1303"/>
      <c r="AH297" s="1207"/>
    </row>
    <row r="298" spans="1:34" x14ac:dyDescent="0.2">
      <c r="A298" s="1274" t="s">
        <v>775</v>
      </c>
      <c r="B298" s="1237"/>
      <c r="C298" s="1381"/>
      <c r="D298" s="1381"/>
      <c r="E298" s="1381"/>
      <c r="F298" s="1382">
        <v>1579.4369999999999</v>
      </c>
      <c r="G298" s="1382">
        <v>5538.6869999999999</v>
      </c>
      <c r="H298" s="1382"/>
      <c r="I298" s="1382"/>
      <c r="J298" s="1382">
        <v>5611.4269999999997</v>
      </c>
      <c r="K298" s="1382">
        <v>466.2</v>
      </c>
      <c r="L298" s="1382">
        <v>7726.2350000000006</v>
      </c>
      <c r="M298" s="1382">
        <v>2863.15</v>
      </c>
      <c r="N298" s="1382">
        <v>2286.442</v>
      </c>
      <c r="O298" s="1382">
        <v>2700.8620000000001</v>
      </c>
      <c r="P298" s="1382">
        <v>4546.4539999999997</v>
      </c>
      <c r="Q298" s="1382">
        <v>17830.788999999997</v>
      </c>
      <c r="R298" s="1382">
        <v>2248.0720000000001</v>
      </c>
      <c r="S298" s="1382">
        <v>1313.019</v>
      </c>
      <c r="T298" s="1382">
        <v>4783.2539999999999</v>
      </c>
      <c r="U298" s="1382"/>
      <c r="V298" s="1382">
        <v>5973.6489999999994</v>
      </c>
      <c r="W298" s="1382"/>
      <c r="X298" s="1382">
        <v>1550</v>
      </c>
      <c r="Y298" s="1382">
        <v>4789.7649999999994</v>
      </c>
      <c r="Z298" s="1382"/>
      <c r="AA298" s="1382">
        <v>9805.3860000000004</v>
      </c>
      <c r="AB298" s="1382">
        <v>1313.027</v>
      </c>
      <c r="AC298" s="1382">
        <v>4387.6579999999994</v>
      </c>
      <c r="AD298" s="1382">
        <v>5181.3760000000002</v>
      </c>
      <c r="AE298" s="1382">
        <v>3444.2719999999999</v>
      </c>
      <c r="AF298" s="1382">
        <v>8395.2479999999996</v>
      </c>
      <c r="AG298" s="1382">
        <v>26671.231000000003</v>
      </c>
      <c r="AH298" s="1227">
        <f>SUM(C298:AG298)</f>
        <v>131005.63999999998</v>
      </c>
    </row>
    <row r="299" spans="1:34" ht="13.5" thickBot="1" x14ac:dyDescent="0.25">
      <c r="A299" s="1294"/>
      <c r="B299" s="1237"/>
      <c r="C299" s="1302"/>
      <c r="D299" s="1302"/>
      <c r="E299" s="1302"/>
      <c r="F299" s="1303"/>
      <c r="G299" s="1303"/>
      <c r="H299" s="1303"/>
      <c r="I299" s="1303"/>
      <c r="J299" s="1303"/>
      <c r="K299" s="1303"/>
      <c r="L299" s="1303"/>
      <c r="M299" s="1303"/>
      <c r="N299" s="1303"/>
      <c r="O299" s="1303"/>
      <c r="P299" s="1304"/>
      <c r="Q299" s="1303"/>
      <c r="R299" s="1303"/>
      <c r="S299" s="1303"/>
      <c r="T299" s="1303"/>
      <c r="U299" s="1303"/>
      <c r="V299" s="1303"/>
      <c r="W299" s="1303"/>
      <c r="X299" s="1303"/>
      <c r="Y299" s="1303"/>
      <c r="Z299" s="1303"/>
      <c r="AA299" s="1303"/>
      <c r="AB299" s="1303"/>
      <c r="AC299" s="1303"/>
      <c r="AD299" s="1303"/>
      <c r="AE299" s="1303"/>
      <c r="AF299" s="1303"/>
      <c r="AG299" s="1303"/>
      <c r="AH299" s="1207"/>
    </row>
    <row r="300" spans="1:34" x14ac:dyDescent="0.2">
      <c r="A300" s="1269"/>
      <c r="B300" s="1237"/>
      <c r="C300" s="1296"/>
      <c r="D300" s="1297"/>
      <c r="E300" s="1297"/>
      <c r="F300" s="1298"/>
      <c r="G300" s="1298"/>
      <c r="H300" s="1298"/>
      <c r="I300" s="1298"/>
      <c r="J300" s="1298"/>
      <c r="K300" s="1298"/>
      <c r="L300" s="1298"/>
      <c r="M300" s="1298"/>
      <c r="N300" s="1298"/>
      <c r="O300" s="1298"/>
      <c r="P300" s="1299"/>
      <c r="Q300" s="1298"/>
      <c r="R300" s="1298"/>
      <c r="S300" s="1298"/>
      <c r="T300" s="1298"/>
      <c r="U300" s="1298"/>
      <c r="V300" s="1298"/>
      <c r="W300" s="1298"/>
      <c r="X300" s="1298"/>
      <c r="Y300" s="1298"/>
      <c r="Z300" s="1298"/>
      <c r="AA300" s="1298"/>
      <c r="AB300" s="1298"/>
      <c r="AC300" s="1298"/>
      <c r="AD300" s="1298"/>
      <c r="AE300" s="1298"/>
      <c r="AF300" s="1298"/>
      <c r="AG300" s="1298"/>
      <c r="AH300" s="1207"/>
    </row>
    <row r="301" spans="1:34" x14ac:dyDescent="0.2">
      <c r="A301" s="1274" t="s">
        <v>13</v>
      </c>
      <c r="B301" s="1237"/>
      <c r="C301" s="1300">
        <f t="shared" ref="C301:AG301" si="33">C296-C288</f>
        <v>0</v>
      </c>
      <c r="D301" s="1300">
        <f t="shared" si="33"/>
        <v>0</v>
      </c>
      <c r="E301" s="1300">
        <f t="shared" si="33"/>
        <v>0</v>
      </c>
      <c r="F301" s="1300">
        <f t="shared" si="33"/>
        <v>0</v>
      </c>
      <c r="G301" s="1300">
        <f t="shared" si="33"/>
        <v>0</v>
      </c>
      <c r="H301" s="1300">
        <f t="shared" si="33"/>
        <v>0</v>
      </c>
      <c r="I301" s="1300">
        <f t="shared" si="33"/>
        <v>0</v>
      </c>
      <c r="J301" s="1300">
        <f t="shared" si="33"/>
        <v>0</v>
      </c>
      <c r="K301" s="1300">
        <f t="shared" si="33"/>
        <v>0</v>
      </c>
      <c r="L301" s="1300">
        <f t="shared" si="33"/>
        <v>0</v>
      </c>
      <c r="M301" s="1300">
        <f t="shared" si="33"/>
        <v>0</v>
      </c>
      <c r="N301" s="1300">
        <f t="shared" si="33"/>
        <v>0</v>
      </c>
      <c r="O301" s="1300">
        <f t="shared" si="33"/>
        <v>-40000</v>
      </c>
      <c r="P301" s="1301">
        <f t="shared" si="33"/>
        <v>0</v>
      </c>
      <c r="Q301" s="1300">
        <f t="shared" si="33"/>
        <v>0</v>
      </c>
      <c r="R301" s="1300">
        <f t="shared" si="33"/>
        <v>0</v>
      </c>
      <c r="S301" s="1300">
        <f t="shared" si="33"/>
        <v>0</v>
      </c>
      <c r="T301" s="1300">
        <f t="shared" si="33"/>
        <v>0</v>
      </c>
      <c r="U301" s="1300">
        <f t="shared" si="33"/>
        <v>0</v>
      </c>
      <c r="V301" s="1300">
        <f t="shared" si="33"/>
        <v>-3424</v>
      </c>
      <c r="W301" s="1300">
        <f t="shared" si="33"/>
        <v>0</v>
      </c>
      <c r="X301" s="1300">
        <f t="shared" si="33"/>
        <v>0</v>
      </c>
      <c r="Y301" s="1300">
        <f t="shared" si="33"/>
        <v>0</v>
      </c>
      <c r="Z301" s="1300">
        <f t="shared" si="33"/>
        <v>0</v>
      </c>
      <c r="AA301" s="1300">
        <f t="shared" si="33"/>
        <v>0</v>
      </c>
      <c r="AB301" s="1300">
        <f t="shared" si="33"/>
        <v>0</v>
      </c>
      <c r="AC301" s="1300">
        <f t="shared" si="33"/>
        <v>0</v>
      </c>
      <c r="AD301" s="1300">
        <f t="shared" si="33"/>
        <v>0</v>
      </c>
      <c r="AE301" s="1300">
        <f t="shared" si="33"/>
        <v>0</v>
      </c>
      <c r="AF301" s="1300">
        <f t="shared" si="33"/>
        <v>-120000</v>
      </c>
      <c r="AG301" s="1300">
        <f t="shared" si="33"/>
        <v>-6216</v>
      </c>
      <c r="AH301" s="1207"/>
    </row>
    <row r="302" spans="1:34" ht="13.5" thickBot="1" x14ac:dyDescent="0.25">
      <c r="A302" s="1274"/>
      <c r="B302" s="1237"/>
      <c r="C302" s="1300"/>
      <c r="D302" s="1302"/>
      <c r="E302" s="1302"/>
      <c r="F302" s="1303"/>
      <c r="G302" s="1303"/>
      <c r="H302" s="1303"/>
      <c r="I302" s="1303"/>
      <c r="J302" s="1303"/>
      <c r="K302" s="1303"/>
      <c r="L302" s="1303"/>
      <c r="M302" s="1303"/>
      <c r="N302" s="1303"/>
      <c r="O302" s="1303"/>
      <c r="P302" s="1304"/>
      <c r="Q302" s="1303"/>
      <c r="R302" s="1303"/>
      <c r="S302" s="1303"/>
      <c r="T302" s="1303"/>
      <c r="U302" s="1303"/>
      <c r="V302" s="1303"/>
      <c r="W302" s="1303"/>
      <c r="X302" s="1303"/>
      <c r="Y302" s="1303"/>
      <c r="Z302" s="1303"/>
      <c r="AA302" s="1303"/>
      <c r="AB302" s="1303"/>
      <c r="AC302" s="1303"/>
      <c r="AD302" s="1303"/>
      <c r="AE302" s="1303"/>
      <c r="AF302" s="1303"/>
      <c r="AG302" s="1303"/>
      <c r="AH302" s="1207"/>
    </row>
    <row r="303" spans="1:34" x14ac:dyDescent="0.2">
      <c r="A303" s="1233"/>
      <c r="B303" s="1234"/>
      <c r="C303" s="1305"/>
      <c r="D303" s="1297"/>
      <c r="E303" s="1297"/>
      <c r="F303" s="1298"/>
      <c r="G303" s="1298"/>
      <c r="H303" s="1298"/>
      <c r="I303" s="1298"/>
      <c r="J303" s="1298"/>
      <c r="K303" s="1298"/>
      <c r="L303" s="1298"/>
      <c r="M303" s="1298"/>
      <c r="N303" s="1298"/>
      <c r="O303" s="1298"/>
      <c r="P303" s="1299"/>
      <c r="Q303" s="1298"/>
      <c r="R303" s="1298"/>
      <c r="S303" s="1298"/>
      <c r="T303" s="1298"/>
      <c r="U303" s="1298"/>
      <c r="V303" s="1298"/>
      <c r="W303" s="1298"/>
      <c r="X303" s="1298"/>
      <c r="Y303" s="1298"/>
      <c r="Z303" s="1298"/>
      <c r="AA303" s="1298"/>
      <c r="AB303" s="1298"/>
      <c r="AC303" s="1298"/>
      <c r="AD303" s="1298"/>
      <c r="AE303" s="1298"/>
      <c r="AF303" s="1298"/>
      <c r="AG303" s="1298"/>
      <c r="AH303" s="1207"/>
    </row>
    <row r="304" spans="1:34" x14ac:dyDescent="0.2">
      <c r="A304" s="1236" t="s">
        <v>15</v>
      </c>
      <c r="B304" s="1237"/>
      <c r="C304" s="1302">
        <f>B285+C301</f>
        <v>-21507.096000000001</v>
      </c>
      <c r="D304" s="1302">
        <f t="shared" ref="D304:AG304" si="34">C311+D301</f>
        <v>-21507.096000000001</v>
      </c>
      <c r="E304" s="1302">
        <f t="shared" si="34"/>
        <v>-21507.096000000001</v>
      </c>
      <c r="F304" s="1302">
        <f t="shared" si="34"/>
        <v>-21507.096000000001</v>
      </c>
      <c r="G304" s="1302">
        <f t="shared" si="34"/>
        <v>-21507.096000000001</v>
      </c>
      <c r="H304" s="1302">
        <f t="shared" si="34"/>
        <v>-21507.096000000001</v>
      </c>
      <c r="I304" s="1302">
        <f t="shared" si="34"/>
        <v>-21507.096000000001</v>
      </c>
      <c r="J304" s="1302">
        <f t="shared" si="34"/>
        <v>-21507.096000000001</v>
      </c>
      <c r="K304" s="1302">
        <f t="shared" si="34"/>
        <v>-21507.096000000001</v>
      </c>
      <c r="L304" s="1302">
        <f t="shared" si="34"/>
        <v>-21507.096000000001</v>
      </c>
      <c r="M304" s="1302">
        <f t="shared" si="34"/>
        <v>-21507.096000000001</v>
      </c>
      <c r="N304" s="1302">
        <f t="shared" si="34"/>
        <v>-21507.096000000001</v>
      </c>
      <c r="O304" s="1302">
        <f t="shared" si="34"/>
        <v>-61507.096000000005</v>
      </c>
      <c r="P304" s="1306">
        <f t="shared" si="34"/>
        <v>-61507.096000000005</v>
      </c>
      <c r="Q304" s="1302">
        <f t="shared" si="34"/>
        <v>-61507.096000000005</v>
      </c>
      <c r="R304" s="1302">
        <f t="shared" si="34"/>
        <v>-61507.096000000005</v>
      </c>
      <c r="S304" s="1302">
        <f t="shared" si="34"/>
        <v>-61507.096000000005</v>
      </c>
      <c r="T304" s="1302">
        <f t="shared" si="34"/>
        <v>-61507.096000000005</v>
      </c>
      <c r="U304" s="1302">
        <f t="shared" si="34"/>
        <v>-61507.096000000005</v>
      </c>
      <c r="V304" s="1302">
        <f t="shared" si="34"/>
        <v>-64931.096000000005</v>
      </c>
      <c r="W304" s="1302">
        <f t="shared" si="34"/>
        <v>-64931.096000000005</v>
      </c>
      <c r="X304" s="1302">
        <f t="shared" si="34"/>
        <v>-64931.096000000005</v>
      </c>
      <c r="Y304" s="1302">
        <f t="shared" si="34"/>
        <v>-64931.096000000005</v>
      </c>
      <c r="Z304" s="1302">
        <f t="shared" si="34"/>
        <v>-64931.096000000005</v>
      </c>
      <c r="AA304" s="1302">
        <f t="shared" si="34"/>
        <v>-64931.096000000005</v>
      </c>
      <c r="AB304" s="1302">
        <f t="shared" si="34"/>
        <v>-64931.096000000005</v>
      </c>
      <c r="AC304" s="1302">
        <f t="shared" si="34"/>
        <v>-64931.096000000005</v>
      </c>
      <c r="AD304" s="1302">
        <f t="shared" si="34"/>
        <v>-64931.096000000005</v>
      </c>
      <c r="AE304" s="1302">
        <f t="shared" si="34"/>
        <v>-64931.096000000005</v>
      </c>
      <c r="AF304" s="1302">
        <f t="shared" si="34"/>
        <v>-184931.09600000002</v>
      </c>
      <c r="AG304" s="1302">
        <f t="shared" si="34"/>
        <v>-191147.09600000002</v>
      </c>
      <c r="AH304" s="1207"/>
    </row>
    <row r="305" spans="1:34" ht="13.5" thickBot="1" x14ac:dyDescent="0.25">
      <c r="A305" s="1250"/>
      <c r="B305" s="1307"/>
      <c r="C305" s="1308"/>
      <c r="D305" s="1308"/>
      <c r="E305" s="1308"/>
      <c r="F305" s="1309"/>
      <c r="G305" s="1309"/>
      <c r="H305" s="1309"/>
      <c r="I305" s="1309"/>
      <c r="J305" s="1309"/>
      <c r="K305" s="1309"/>
      <c r="L305" s="1309"/>
      <c r="M305" s="1309"/>
      <c r="N305" s="1309"/>
      <c r="O305" s="1309"/>
      <c r="P305" s="1310"/>
      <c r="Q305" s="1309"/>
      <c r="R305" s="1309"/>
      <c r="S305" s="1309"/>
      <c r="T305" s="1309"/>
      <c r="U305" s="1309"/>
      <c r="V305" s="1309"/>
      <c r="W305" s="1309"/>
      <c r="X305" s="1309"/>
      <c r="Y305" s="1309"/>
      <c r="Z305" s="1309"/>
      <c r="AA305" s="1309"/>
      <c r="AB305" s="1309"/>
      <c r="AC305" s="1309"/>
      <c r="AD305" s="1309"/>
      <c r="AE305" s="1309"/>
      <c r="AF305" s="1309"/>
      <c r="AG305" s="1309"/>
      <c r="AH305" s="1207"/>
    </row>
    <row r="306" spans="1:34" x14ac:dyDescent="0.2">
      <c r="A306" s="1233"/>
      <c r="B306" s="1234"/>
      <c r="C306" s="1297"/>
      <c r="D306" s="1297"/>
      <c r="E306" s="1297"/>
      <c r="F306" s="1298"/>
      <c r="G306" s="1298"/>
      <c r="H306" s="1298"/>
      <c r="I306" s="1298"/>
      <c r="J306" s="1298"/>
      <c r="K306" s="1298"/>
      <c r="L306" s="1298"/>
      <c r="M306" s="1298"/>
      <c r="N306" s="1298"/>
      <c r="O306" s="1298"/>
      <c r="P306" s="1299"/>
      <c r="Q306" s="1298"/>
      <c r="R306" s="1298"/>
      <c r="S306" s="1298"/>
      <c r="T306" s="1298"/>
      <c r="U306" s="1298"/>
      <c r="V306" s="1298"/>
      <c r="W306" s="1298"/>
      <c r="X306" s="1298"/>
      <c r="Y306" s="1298"/>
      <c r="Z306" s="1298"/>
      <c r="AA306" s="1298"/>
      <c r="AB306" s="1298"/>
      <c r="AC306" s="1298"/>
      <c r="AD306" s="1298"/>
      <c r="AE306" s="1298"/>
      <c r="AF306" s="1298"/>
      <c r="AG306" s="1298"/>
      <c r="AH306" s="1207"/>
    </row>
    <row r="307" spans="1:34" x14ac:dyDescent="0.2">
      <c r="A307" s="1236" t="s">
        <v>82</v>
      </c>
      <c r="B307" s="1237"/>
      <c r="C307" s="1302">
        <f t="shared" ref="C307:AG308" si="35">C315</f>
        <v>0</v>
      </c>
      <c r="D307" s="1302">
        <f t="shared" si="35"/>
        <v>0</v>
      </c>
      <c r="E307" s="1302">
        <f t="shared" si="35"/>
        <v>0</v>
      </c>
      <c r="F307" s="1302">
        <f t="shared" si="35"/>
        <v>0</v>
      </c>
      <c r="G307" s="1302">
        <f t="shared" si="35"/>
        <v>0</v>
      </c>
      <c r="H307" s="1302">
        <f t="shared" si="35"/>
        <v>0</v>
      </c>
      <c r="I307" s="1302">
        <f t="shared" si="35"/>
        <v>0</v>
      </c>
      <c r="J307" s="1302">
        <f t="shared" si="35"/>
        <v>0</v>
      </c>
      <c r="K307" s="1302">
        <f t="shared" si="35"/>
        <v>0</v>
      </c>
      <c r="L307" s="1302">
        <f t="shared" si="35"/>
        <v>0</v>
      </c>
      <c r="M307" s="1302">
        <f t="shared" si="35"/>
        <v>0</v>
      </c>
      <c r="N307" s="1302">
        <f t="shared" si="35"/>
        <v>0</v>
      </c>
      <c r="O307" s="1302">
        <f t="shared" si="35"/>
        <v>0</v>
      </c>
      <c r="P307" s="1306">
        <f t="shared" si="35"/>
        <v>0</v>
      </c>
      <c r="Q307" s="1302">
        <f t="shared" si="35"/>
        <v>0</v>
      </c>
      <c r="R307" s="1302">
        <f t="shared" si="35"/>
        <v>0</v>
      </c>
      <c r="S307" s="1302">
        <f t="shared" si="35"/>
        <v>0</v>
      </c>
      <c r="T307" s="1302">
        <f t="shared" si="35"/>
        <v>0</v>
      </c>
      <c r="U307" s="1302">
        <f t="shared" si="35"/>
        <v>0</v>
      </c>
      <c r="V307" s="1302">
        <f t="shared" si="35"/>
        <v>0</v>
      </c>
      <c r="W307" s="1302">
        <f t="shared" si="35"/>
        <v>0</v>
      </c>
      <c r="X307" s="1302">
        <f t="shared" si="35"/>
        <v>0</v>
      </c>
      <c r="Y307" s="1302">
        <f t="shared" si="35"/>
        <v>0</v>
      </c>
      <c r="Z307" s="1302">
        <f t="shared" si="35"/>
        <v>0</v>
      </c>
      <c r="AA307" s="1302">
        <f t="shared" si="35"/>
        <v>0</v>
      </c>
      <c r="AB307" s="1302">
        <f t="shared" si="35"/>
        <v>0</v>
      </c>
      <c r="AC307" s="1302">
        <f t="shared" si="35"/>
        <v>0</v>
      </c>
      <c r="AD307" s="1302">
        <f t="shared" si="35"/>
        <v>0</v>
      </c>
      <c r="AE307" s="1302">
        <f t="shared" si="35"/>
        <v>0</v>
      </c>
      <c r="AF307" s="1302">
        <f t="shared" si="35"/>
        <v>0</v>
      </c>
      <c r="AG307" s="1302">
        <f t="shared" si="35"/>
        <v>0</v>
      </c>
      <c r="AH307" s="1207"/>
    </row>
    <row r="308" spans="1:34" x14ac:dyDescent="0.2">
      <c r="A308" s="1236" t="s">
        <v>83</v>
      </c>
      <c r="B308" s="1237"/>
      <c r="C308" s="1306">
        <f t="shared" si="35"/>
        <v>0</v>
      </c>
      <c r="D308" s="1306">
        <f t="shared" si="35"/>
        <v>0</v>
      </c>
      <c r="E308" s="1306">
        <f t="shared" si="35"/>
        <v>0</v>
      </c>
      <c r="F308" s="1306">
        <f t="shared" si="35"/>
        <v>0</v>
      </c>
      <c r="G308" s="1306">
        <f t="shared" si="35"/>
        <v>0</v>
      </c>
      <c r="H308" s="1306">
        <f t="shared" si="35"/>
        <v>0</v>
      </c>
      <c r="I308" s="1306">
        <f t="shared" si="35"/>
        <v>0</v>
      </c>
      <c r="J308" s="1306">
        <f t="shared" si="35"/>
        <v>0</v>
      </c>
      <c r="K308" s="1306">
        <f t="shared" si="35"/>
        <v>0</v>
      </c>
      <c r="L308" s="1306">
        <f t="shared" si="35"/>
        <v>0</v>
      </c>
      <c r="M308" s="1306">
        <f t="shared" si="35"/>
        <v>0</v>
      </c>
      <c r="N308" s="1306">
        <f t="shared" si="35"/>
        <v>0</v>
      </c>
      <c r="O308" s="1306">
        <f t="shared" si="35"/>
        <v>0</v>
      </c>
      <c r="P308" s="1306">
        <f t="shared" si="35"/>
        <v>0</v>
      </c>
      <c r="Q308" s="1306">
        <f t="shared" si="35"/>
        <v>0</v>
      </c>
      <c r="R308" s="1306">
        <f t="shared" si="35"/>
        <v>0</v>
      </c>
      <c r="S308" s="1306">
        <f t="shared" si="35"/>
        <v>0</v>
      </c>
      <c r="T308" s="1306">
        <f t="shared" si="35"/>
        <v>0</v>
      </c>
      <c r="U308" s="1306">
        <f t="shared" si="35"/>
        <v>0</v>
      </c>
      <c r="V308" s="1306">
        <f t="shared" si="35"/>
        <v>0</v>
      </c>
      <c r="W308" s="1306">
        <f t="shared" si="35"/>
        <v>0</v>
      </c>
      <c r="X308" s="1306">
        <f t="shared" si="35"/>
        <v>0</v>
      </c>
      <c r="Y308" s="1306">
        <f t="shared" si="35"/>
        <v>0</v>
      </c>
      <c r="Z308" s="1306">
        <f t="shared" si="35"/>
        <v>0</v>
      </c>
      <c r="AA308" s="1306">
        <f t="shared" si="35"/>
        <v>0</v>
      </c>
      <c r="AB308" s="1306">
        <f t="shared" si="35"/>
        <v>0</v>
      </c>
      <c r="AC308" s="1306">
        <f t="shared" si="35"/>
        <v>0</v>
      </c>
      <c r="AD308" s="1306">
        <f t="shared" si="35"/>
        <v>0</v>
      </c>
      <c r="AE308" s="1306">
        <f t="shared" si="35"/>
        <v>0</v>
      </c>
      <c r="AF308" s="1306">
        <f t="shared" si="35"/>
        <v>0</v>
      </c>
      <c r="AG308" s="1306">
        <f t="shared" si="35"/>
        <v>0</v>
      </c>
      <c r="AH308" s="1207"/>
    </row>
    <row r="309" spans="1:34" ht="13.5" thickBot="1" x14ac:dyDescent="0.25">
      <c r="A309" s="1250"/>
      <c r="B309" s="1307"/>
      <c r="C309" s="1308"/>
      <c r="D309" s="1308"/>
      <c r="E309" s="1308"/>
      <c r="F309" s="1309"/>
      <c r="G309" s="1309"/>
      <c r="H309" s="1309"/>
      <c r="I309" s="1309"/>
      <c r="J309" s="1309"/>
      <c r="K309" s="1309"/>
      <c r="L309" s="1309"/>
      <c r="M309" s="1309"/>
      <c r="N309" s="1309"/>
      <c r="O309" s="1309"/>
      <c r="P309" s="1310"/>
      <c r="Q309" s="1309"/>
      <c r="R309" s="1309"/>
      <c r="S309" s="1309"/>
      <c r="T309" s="1309"/>
      <c r="U309" s="1309"/>
      <c r="V309" s="1309"/>
      <c r="W309" s="1309"/>
      <c r="X309" s="1309"/>
      <c r="Y309" s="1309"/>
      <c r="Z309" s="1309"/>
      <c r="AA309" s="1309"/>
      <c r="AB309" s="1309"/>
      <c r="AC309" s="1309"/>
      <c r="AD309" s="1309"/>
      <c r="AE309" s="1309"/>
      <c r="AF309" s="1309"/>
      <c r="AG309" s="1309"/>
      <c r="AH309" s="1207"/>
    </row>
    <row r="310" spans="1:34" x14ac:dyDescent="0.2">
      <c r="A310" s="1236"/>
      <c r="B310" s="1237"/>
      <c r="C310" s="1302"/>
      <c r="D310" s="1302"/>
      <c r="E310" s="1302"/>
      <c r="F310" s="1303"/>
      <c r="G310" s="1303"/>
      <c r="H310" s="1303"/>
      <c r="I310" s="1303"/>
      <c r="J310" s="1303"/>
      <c r="K310" s="1303"/>
      <c r="L310" s="1303"/>
      <c r="M310" s="1303"/>
      <c r="N310" s="1303"/>
      <c r="O310" s="1303"/>
      <c r="P310" s="1304"/>
      <c r="Q310" s="1303"/>
      <c r="R310" s="1303"/>
      <c r="S310" s="1303"/>
      <c r="T310" s="1303"/>
      <c r="U310" s="1303"/>
      <c r="V310" s="1303"/>
      <c r="W310" s="1303"/>
      <c r="X310" s="1303"/>
      <c r="Y310" s="1303"/>
      <c r="Z310" s="1303"/>
      <c r="AA310" s="1303"/>
      <c r="AB310" s="1303"/>
      <c r="AC310" s="1303"/>
      <c r="AD310" s="1303"/>
      <c r="AE310" s="1303"/>
      <c r="AF310" s="1303"/>
      <c r="AG310" s="1303"/>
      <c r="AH310" s="1207"/>
    </row>
    <row r="311" spans="1:34" x14ac:dyDescent="0.2">
      <c r="A311" s="1236" t="s">
        <v>14</v>
      </c>
      <c r="B311" s="1237"/>
      <c r="C311" s="1302">
        <f t="shared" ref="C311:AG311" si="36">C304+C307+C308</f>
        <v>-21507.096000000001</v>
      </c>
      <c r="D311" s="1302">
        <f t="shared" si="36"/>
        <v>-21507.096000000001</v>
      </c>
      <c r="E311" s="1302">
        <f t="shared" si="36"/>
        <v>-21507.096000000001</v>
      </c>
      <c r="F311" s="1302">
        <f t="shared" si="36"/>
        <v>-21507.096000000001</v>
      </c>
      <c r="G311" s="1302">
        <f t="shared" si="36"/>
        <v>-21507.096000000001</v>
      </c>
      <c r="H311" s="1302">
        <f t="shared" si="36"/>
        <v>-21507.096000000001</v>
      </c>
      <c r="I311" s="1302">
        <f t="shared" si="36"/>
        <v>-21507.096000000001</v>
      </c>
      <c r="J311" s="1302">
        <f t="shared" si="36"/>
        <v>-21507.096000000001</v>
      </c>
      <c r="K311" s="1302">
        <f t="shared" si="36"/>
        <v>-21507.096000000001</v>
      </c>
      <c r="L311" s="1302">
        <f t="shared" si="36"/>
        <v>-21507.096000000001</v>
      </c>
      <c r="M311" s="1302">
        <f t="shared" si="36"/>
        <v>-21507.096000000001</v>
      </c>
      <c r="N311" s="1302">
        <f t="shared" si="36"/>
        <v>-21507.096000000001</v>
      </c>
      <c r="O311" s="1302">
        <f t="shared" si="36"/>
        <v>-61507.096000000005</v>
      </c>
      <c r="P311" s="1306">
        <f t="shared" si="36"/>
        <v>-61507.096000000005</v>
      </c>
      <c r="Q311" s="1302">
        <f t="shared" si="36"/>
        <v>-61507.096000000005</v>
      </c>
      <c r="R311" s="1302">
        <f t="shared" si="36"/>
        <v>-61507.096000000005</v>
      </c>
      <c r="S311" s="1302">
        <f t="shared" si="36"/>
        <v>-61507.096000000005</v>
      </c>
      <c r="T311" s="1302">
        <f t="shared" si="36"/>
        <v>-61507.096000000005</v>
      </c>
      <c r="U311" s="1302">
        <f t="shared" si="36"/>
        <v>-61507.096000000005</v>
      </c>
      <c r="V311" s="1302">
        <f t="shared" si="36"/>
        <v>-64931.096000000005</v>
      </c>
      <c r="W311" s="1302">
        <f t="shared" si="36"/>
        <v>-64931.096000000005</v>
      </c>
      <c r="X311" s="1302">
        <f t="shared" si="36"/>
        <v>-64931.096000000005</v>
      </c>
      <c r="Y311" s="1302">
        <f t="shared" si="36"/>
        <v>-64931.096000000005</v>
      </c>
      <c r="Z311" s="1302">
        <f t="shared" si="36"/>
        <v>-64931.096000000005</v>
      </c>
      <c r="AA311" s="1302">
        <f t="shared" si="36"/>
        <v>-64931.096000000005</v>
      </c>
      <c r="AB311" s="1302">
        <f t="shared" si="36"/>
        <v>-64931.096000000005</v>
      </c>
      <c r="AC311" s="1302">
        <f t="shared" si="36"/>
        <v>-64931.096000000005</v>
      </c>
      <c r="AD311" s="1302">
        <f t="shared" si="36"/>
        <v>-64931.096000000005</v>
      </c>
      <c r="AE311" s="1302">
        <f t="shared" si="36"/>
        <v>-64931.096000000005</v>
      </c>
      <c r="AF311" s="1302">
        <f t="shared" si="36"/>
        <v>-184931.09600000002</v>
      </c>
      <c r="AG311" s="1302">
        <f t="shared" si="36"/>
        <v>-191147.09600000002</v>
      </c>
      <c r="AH311" s="1207"/>
    </row>
    <row r="312" spans="1:34" x14ac:dyDescent="0.2">
      <c r="A312" s="1236"/>
      <c r="B312" s="1237"/>
      <c r="C312" s="1302"/>
      <c r="D312" s="1302"/>
      <c r="E312" s="1302"/>
      <c r="F312" s="1303"/>
      <c r="G312" s="1303"/>
      <c r="H312" s="1303"/>
      <c r="I312" s="1303"/>
      <c r="J312" s="1303"/>
      <c r="K312" s="1303"/>
      <c r="L312" s="1303"/>
      <c r="M312" s="1303"/>
      <c r="N312" s="1303"/>
      <c r="O312" s="1303"/>
      <c r="P312" s="1304"/>
      <c r="Q312" s="1303"/>
      <c r="R312" s="1303"/>
      <c r="S312" s="1303"/>
      <c r="T312" s="1303"/>
      <c r="U312" s="1303"/>
      <c r="V312" s="1303"/>
      <c r="W312" s="1303"/>
      <c r="X312" s="1303"/>
      <c r="Y312" s="1303"/>
      <c r="Z312" s="1303"/>
      <c r="AA312" s="1303"/>
      <c r="AB312" s="1303"/>
      <c r="AC312" s="1303"/>
      <c r="AD312" s="1303"/>
      <c r="AE312" s="1303"/>
      <c r="AF312" s="1303"/>
      <c r="AG312" s="1303"/>
      <c r="AH312" s="1207"/>
    </row>
    <row r="313" spans="1:34" ht="13.5" thickBot="1" x14ac:dyDescent="0.25">
      <c r="A313" s="1250"/>
      <c r="B313" s="1307"/>
      <c r="C313" s="1312"/>
      <c r="D313" s="1312"/>
      <c r="E313" s="1312"/>
      <c r="F313" s="1313"/>
      <c r="G313" s="1313"/>
      <c r="H313" s="1313"/>
      <c r="I313" s="1313"/>
      <c r="J313" s="1313"/>
      <c r="K313" s="1313"/>
      <c r="L313" s="1313"/>
      <c r="M313" s="1313"/>
      <c r="N313" s="1313"/>
      <c r="O313" s="1313"/>
      <c r="P313" s="1314"/>
      <c r="Q313" s="1313"/>
      <c r="R313" s="1313"/>
      <c r="S313" s="1313"/>
      <c r="T313" s="1313"/>
      <c r="U313" s="1313"/>
      <c r="V313" s="1313"/>
      <c r="W313" s="1313"/>
      <c r="X313" s="1313"/>
      <c r="Y313" s="1313"/>
      <c r="Z313" s="1313"/>
      <c r="AA313" s="1313"/>
      <c r="AB313" s="1313"/>
      <c r="AC313" s="1313"/>
      <c r="AD313" s="1313"/>
      <c r="AE313" s="1313"/>
      <c r="AF313" s="1313"/>
      <c r="AG313" s="1313"/>
      <c r="AH313" s="1207"/>
    </row>
    <row r="314" spans="1:34" x14ac:dyDescent="0.2">
      <c r="A314" s="1316"/>
      <c r="B314" s="1207"/>
      <c r="C314" s="1227"/>
      <c r="D314" s="1227"/>
      <c r="E314" s="1227"/>
      <c r="F314" s="1227"/>
      <c r="G314" s="1227"/>
      <c r="H314" s="1227"/>
      <c r="I314" s="1227"/>
      <c r="J314" s="1227"/>
      <c r="K314" s="1227"/>
      <c r="L314" s="1227"/>
      <c r="M314" s="1227"/>
      <c r="N314" s="1227"/>
      <c r="O314" s="1227"/>
      <c r="P314" s="1229"/>
      <c r="Q314" s="1227"/>
      <c r="R314" s="1227"/>
      <c r="S314" s="1227"/>
      <c r="T314" s="1227"/>
      <c r="U314" s="1227"/>
      <c r="V314" s="1227"/>
      <c r="W314" s="1227"/>
      <c r="X314" s="1227"/>
      <c r="Y314" s="1227"/>
      <c r="Z314" s="1227"/>
      <c r="AA314" s="1227"/>
      <c r="AB314" s="1227"/>
      <c r="AC314" s="1227"/>
      <c r="AD314" s="1227"/>
      <c r="AE314" s="1227"/>
      <c r="AF314" s="1227"/>
      <c r="AG314" s="1227"/>
      <c r="AH314" s="1227">
        <f>SUM(C314:AG314)</f>
        <v>0</v>
      </c>
    </row>
    <row r="315" spans="1:34" x14ac:dyDescent="0.2">
      <c r="A315" s="1344"/>
      <c r="B315" s="1383"/>
      <c r="C315" s="1219"/>
      <c r="D315" s="1221"/>
      <c r="E315" s="1356"/>
      <c r="F315" s="1219"/>
      <c r="G315" s="1219"/>
      <c r="H315" s="1220"/>
      <c r="I315" s="1219">
        <f>31269.34-12460.163-18809.177</f>
        <v>0</v>
      </c>
      <c r="J315" s="1219"/>
      <c r="K315" s="1219"/>
      <c r="L315" s="1219"/>
      <c r="M315" s="1220"/>
      <c r="N315" s="1220"/>
      <c r="O315" s="1220"/>
      <c r="P315" s="1221"/>
      <c r="Q315" s="1219"/>
      <c r="R315" s="1219"/>
      <c r="S315" s="1219"/>
      <c r="T315" s="1219"/>
      <c r="U315" s="1219"/>
      <c r="V315" s="1219"/>
      <c r="W315" s="1220"/>
      <c r="X315" s="1220"/>
      <c r="Y315" s="1220"/>
      <c r="Z315" s="1220"/>
      <c r="AA315" s="1220"/>
      <c r="AB315" s="1220"/>
      <c r="AC315" s="1220"/>
      <c r="AD315" s="1221"/>
      <c r="AE315" s="1219"/>
      <c r="AF315" s="1219"/>
      <c r="AG315" s="1219"/>
      <c r="AH315" s="1227"/>
    </row>
    <row r="316" spans="1:34" x14ac:dyDescent="0.2">
      <c r="A316" s="1207"/>
      <c r="B316" s="1207"/>
      <c r="C316" s="1207"/>
      <c r="D316" s="1207"/>
      <c r="E316" s="134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1208"/>
      <c r="Q316" s="1207"/>
      <c r="R316" s="1207"/>
      <c r="S316" s="1207"/>
      <c r="T316" s="1207"/>
      <c r="U316" s="1207"/>
      <c r="V316" s="1207"/>
      <c r="W316" s="1207"/>
      <c r="X316" s="1207"/>
      <c r="Y316" s="1207"/>
      <c r="Z316" s="1207"/>
      <c r="AA316" s="1207"/>
      <c r="AB316" s="1207"/>
      <c r="AC316" s="1207"/>
      <c r="AD316" s="1207"/>
      <c r="AE316" s="1207"/>
      <c r="AF316" s="1207"/>
      <c r="AG316" s="1207"/>
      <c r="AH316" s="1227"/>
    </row>
    <row r="317" spans="1:34" x14ac:dyDescent="0.2">
      <c r="A317" s="1210" t="s">
        <v>415</v>
      </c>
      <c r="B317" s="1215">
        <f>B318+B319+B321+B320</f>
        <v>1020000</v>
      </c>
      <c r="C317" s="1367"/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1208"/>
      <c r="Q317" s="1207"/>
      <c r="R317" s="1207"/>
      <c r="S317" s="1207"/>
      <c r="T317" s="1207"/>
      <c r="U317" s="1401"/>
      <c r="V317" s="1220"/>
      <c r="W317" s="1227"/>
      <c r="X317" s="1207"/>
      <c r="Y317" s="1207"/>
      <c r="Z317" s="1207"/>
      <c r="AA317" s="1384"/>
      <c r="AB317" s="1207"/>
      <c r="AC317" s="1207"/>
      <c r="AD317" s="1207"/>
      <c r="AE317" s="1207"/>
      <c r="AF317" s="1207"/>
      <c r="AG317" s="1207"/>
      <c r="AH317" s="1207"/>
    </row>
    <row r="318" spans="1:34" x14ac:dyDescent="0.2">
      <c r="A318" s="1365" t="s">
        <v>414</v>
      </c>
      <c r="B318" s="1219">
        <v>20000</v>
      </c>
      <c r="C318" s="1207"/>
      <c r="D318" s="1207"/>
      <c r="E318" s="122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8"/>
      <c r="Q318" s="1207"/>
      <c r="R318" s="1207"/>
      <c r="S318" s="1207"/>
      <c r="T318" s="1207"/>
      <c r="U318" s="1230"/>
      <c r="V318" s="1230"/>
      <c r="W318" s="1207"/>
      <c r="X318" s="1207"/>
      <c r="Y318" s="1207"/>
      <c r="Z318" s="1207"/>
      <c r="AA318" s="1207"/>
      <c r="AB318" s="1207"/>
      <c r="AC318" s="1227"/>
      <c r="AD318" s="1227"/>
      <c r="AE318" s="1207"/>
      <c r="AF318" s="1207"/>
      <c r="AG318" s="1207"/>
      <c r="AH318" s="1207"/>
    </row>
    <row r="319" spans="1:34" x14ac:dyDescent="0.2">
      <c r="A319" s="1365" t="s">
        <v>287</v>
      </c>
      <c r="B319" s="1219">
        <v>600000</v>
      </c>
      <c r="C319" s="1207"/>
      <c r="D319" s="1207"/>
      <c r="E319" s="1207"/>
      <c r="F319" s="1207"/>
      <c r="G319" s="1207"/>
      <c r="H319" s="1207"/>
      <c r="I319" s="1207"/>
      <c r="J319" s="1207"/>
      <c r="K319" s="1227"/>
      <c r="L319" s="1207"/>
      <c r="M319" s="1207"/>
      <c r="N319" s="1207"/>
      <c r="O319" s="1207"/>
      <c r="P319" s="1208"/>
      <c r="Q319" s="1207"/>
      <c r="R319" s="1207"/>
      <c r="S319" s="1207"/>
      <c r="T319" s="1207"/>
      <c r="U319" s="1402"/>
      <c r="V319" s="1230"/>
      <c r="W319" s="1207"/>
      <c r="X319" s="1227"/>
      <c r="Y319" s="1207"/>
      <c r="Z319" s="1207"/>
      <c r="AA319" s="1207"/>
      <c r="AB319" s="1207"/>
      <c r="AC319" s="1207"/>
      <c r="AD319" s="1207"/>
      <c r="AE319" s="1207"/>
      <c r="AF319" s="1207"/>
      <c r="AG319" s="1207"/>
    </row>
    <row r="320" spans="1:34" x14ac:dyDescent="0.2">
      <c r="A320" s="1316" t="s">
        <v>413</v>
      </c>
      <c r="B320" s="1219">
        <v>200000</v>
      </c>
      <c r="C320" s="1207"/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8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07"/>
      <c r="AA320" s="1207"/>
      <c r="AB320" s="1207"/>
      <c r="AC320" s="1207"/>
      <c r="AD320" s="1207"/>
      <c r="AE320" s="1207"/>
      <c r="AF320" s="1207"/>
      <c r="AG320" s="1207"/>
    </row>
    <row r="321" spans="1:33" x14ac:dyDescent="0.2">
      <c r="A321" s="1316" t="s">
        <v>441</v>
      </c>
      <c r="B321" s="1219">
        <v>200000</v>
      </c>
      <c r="C321" s="1207"/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1208"/>
      <c r="Q321" s="1207"/>
      <c r="R321" s="1207"/>
      <c r="S321" s="1207"/>
      <c r="T321" s="1207"/>
      <c r="U321" s="1207"/>
      <c r="V321" s="1207"/>
      <c r="W321" s="1207"/>
      <c r="X321" s="1207"/>
      <c r="Y321" s="1207"/>
      <c r="Z321" s="1207"/>
      <c r="AA321" s="1207"/>
      <c r="AB321" s="1207"/>
      <c r="AC321" s="1207"/>
      <c r="AD321" s="1207"/>
      <c r="AE321" s="1207"/>
      <c r="AF321" s="1207"/>
      <c r="AG321" s="1207"/>
    </row>
    <row r="322" spans="1:33" x14ac:dyDescent="0.2">
      <c r="A322" s="1207"/>
      <c r="B322" s="1207"/>
      <c r="C322" s="1207"/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8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07"/>
      <c r="AA322" s="1207"/>
      <c r="AB322" s="1207"/>
      <c r="AC322" s="1207"/>
      <c r="AD322" s="1207"/>
      <c r="AE322" s="1207"/>
      <c r="AF322" s="1207"/>
      <c r="AG322" s="1207"/>
    </row>
    <row r="323" spans="1:33" x14ac:dyDescent="0.2">
      <c r="A323" s="1223" t="s">
        <v>449</v>
      </c>
      <c r="B323" s="1280"/>
      <c r="L323" s="1283"/>
    </row>
    <row r="324" spans="1:33" x14ac:dyDescent="0.2">
      <c r="AB324" s="1283"/>
      <c r="AC324" s="1283"/>
      <c r="AD324" s="1283"/>
      <c r="AE324" s="1283"/>
    </row>
    <row r="331" spans="1:33" ht="15" x14ac:dyDescent="0.2">
      <c r="A331" s="1403"/>
      <c r="B331" s="1404"/>
    </row>
    <row r="332" spans="1:33" ht="15" x14ac:dyDescent="0.2">
      <c r="A332" s="1403"/>
      <c r="B332" s="1404"/>
    </row>
    <row r="333" spans="1:33" ht="15" x14ac:dyDescent="0.2">
      <c r="A333" s="1403"/>
      <c r="B333" s="1404"/>
    </row>
    <row r="338" spans="1:2" s="1209" customFormat="1" ht="18" x14ac:dyDescent="0.25">
      <c r="A338" s="1751"/>
      <c r="B338" s="1751"/>
    </row>
    <row r="339" spans="1:2" s="1209" customFormat="1" x14ac:dyDescent="0.2">
      <c r="A339" s="1206"/>
      <c r="B339" s="1206"/>
    </row>
    <row r="341" spans="1:2" s="1209" customFormat="1" x14ac:dyDescent="0.2">
      <c r="A341" s="1223"/>
      <c r="B341" s="1280"/>
    </row>
    <row r="342" spans="1:2" s="1209" customFormat="1" x14ac:dyDescent="0.2">
      <c r="A342" s="1223"/>
      <c r="B342" s="1280"/>
    </row>
    <row r="343" spans="1:2" s="1209" customFormat="1" x14ac:dyDescent="0.2">
      <c r="A343" s="1223"/>
      <c r="B343" s="1280"/>
    </row>
    <row r="344" spans="1:2" s="1209" customFormat="1" x14ac:dyDescent="0.2">
      <c r="A344" s="1223"/>
      <c r="B344" s="1280"/>
    </row>
    <row r="345" spans="1:2" s="1209" customFormat="1" x14ac:dyDescent="0.2">
      <c r="A345" s="1223"/>
      <c r="B345" s="1280"/>
    </row>
    <row r="346" spans="1:2" s="1209" customFormat="1" x14ac:dyDescent="0.2">
      <c r="A346" s="1223"/>
      <c r="B346" s="1280"/>
    </row>
    <row r="347" spans="1:2" s="1209" customFormat="1" x14ac:dyDescent="0.2">
      <c r="A347" s="1223"/>
      <c r="B347" s="1280"/>
    </row>
    <row r="348" spans="1:2" s="1209" customFormat="1" x14ac:dyDescent="0.2">
      <c r="A348" s="1223"/>
      <c r="B348" s="1280"/>
    </row>
    <row r="349" spans="1:2" s="1209" customFormat="1" x14ac:dyDescent="0.2">
      <c r="A349" s="1223"/>
      <c r="B349" s="1280"/>
    </row>
    <row r="350" spans="1:2" s="1209" customFormat="1" x14ac:dyDescent="0.2">
      <c r="A350" s="1223"/>
      <c r="B350" s="1280"/>
    </row>
    <row r="351" spans="1:2" s="1209" customFormat="1" x14ac:dyDescent="0.2">
      <c r="A351" s="1223"/>
      <c r="B351" s="1280"/>
    </row>
    <row r="354" spans="2:2" s="1209" customFormat="1" x14ac:dyDescent="0.2">
      <c r="B354" s="1280"/>
    </row>
    <row r="355" spans="2:2" s="1209" customFormat="1" x14ac:dyDescent="0.2">
      <c r="B355" s="1280"/>
    </row>
    <row r="356" spans="2:2" s="1209" customFormat="1" x14ac:dyDescent="0.2">
      <c r="B356" s="1280"/>
    </row>
    <row r="358" spans="2:2" s="1209" customFormat="1" x14ac:dyDescent="0.2">
      <c r="B358" s="1405"/>
    </row>
  </sheetData>
  <mergeCells count="5">
    <mergeCell ref="AC37:AD37"/>
    <mergeCell ref="I153:L153"/>
    <mergeCell ref="M153:U153"/>
    <mergeCell ref="F284:G284"/>
    <mergeCell ref="A338:B338"/>
  </mergeCells>
  <pageMargins left="0.78740157480314965" right="0.78740157480314965" top="0.98425196850393704" bottom="0.98425196850393704" header="0.51181102362204722" footer="0.51181102362204722"/>
  <pageSetup paperSize="9" scale="34" fitToHeight="2" orientation="landscape" horizontalDpi="300" verticalDpi="300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O192"/>
  <sheetViews>
    <sheetView workbookViewId="0">
      <selection activeCell="J16" sqref="J16"/>
    </sheetView>
  </sheetViews>
  <sheetFormatPr defaultColWidth="11.42578125" defaultRowHeight="12.75" x14ac:dyDescent="0.2"/>
  <cols>
    <col min="1" max="1" width="40.5703125" customWidth="1"/>
    <col min="2" max="2" width="19.42578125" customWidth="1"/>
    <col min="3" max="7" width="16.140625" customWidth="1"/>
    <col min="8" max="9" width="15.7109375" customWidth="1"/>
    <col min="10" max="10" width="12.85546875" bestFit="1" customWidth="1"/>
    <col min="11" max="11" width="14.7109375" bestFit="1" customWidth="1"/>
    <col min="12" max="15" width="11.85546875" bestFit="1" customWidth="1"/>
  </cols>
  <sheetData>
    <row r="3" spans="1:15" ht="13.5" thickBot="1" x14ac:dyDescent="0.25"/>
    <row r="4" spans="1:15" x14ac:dyDescent="0.2">
      <c r="A4" s="2"/>
      <c r="B4" s="3"/>
      <c r="C4" s="3"/>
      <c r="D4" s="3"/>
      <c r="E4" s="3"/>
      <c r="F4" s="3"/>
      <c r="G4" s="3"/>
      <c r="H4" s="119">
        <v>42395</v>
      </c>
      <c r="I4" s="60"/>
    </row>
    <row r="5" spans="1:15" x14ac:dyDescent="0.2">
      <c r="A5" s="5"/>
      <c r="B5" s="6"/>
      <c r="C5" s="6"/>
      <c r="D5" s="6"/>
      <c r="E5" s="6"/>
      <c r="F5" s="6"/>
      <c r="G5" s="6"/>
      <c r="H5" s="7"/>
      <c r="I5" s="6"/>
      <c r="J5">
        <v>100</v>
      </c>
      <c r="K5">
        <v>121</v>
      </c>
    </row>
    <row r="6" spans="1:15" ht="18" x14ac:dyDescent="0.25">
      <c r="A6" s="5"/>
      <c r="B6" s="505" t="s">
        <v>1320</v>
      </c>
      <c r="C6" s="6"/>
      <c r="D6" s="6"/>
      <c r="E6" s="6"/>
      <c r="F6" s="6"/>
      <c r="G6" s="6"/>
      <c r="H6" s="7"/>
      <c r="I6" s="6"/>
      <c r="K6">
        <f>+J5/K5</f>
        <v>0.82644628099173556</v>
      </c>
    </row>
    <row r="7" spans="1:15" x14ac:dyDescent="0.2">
      <c r="A7" s="5"/>
      <c r="B7" s="6"/>
      <c r="C7" s="6"/>
      <c r="D7" s="6"/>
      <c r="E7" s="6"/>
      <c r="F7" s="6"/>
      <c r="G7" s="6"/>
      <c r="H7" s="7"/>
      <c r="I7" s="6"/>
      <c r="J7">
        <v>14614496</v>
      </c>
      <c r="K7" s="1084">
        <v>17739897</v>
      </c>
    </row>
    <row r="8" spans="1:15" x14ac:dyDescent="0.2">
      <c r="A8" s="5"/>
      <c r="B8" s="6"/>
      <c r="C8" s="6"/>
      <c r="D8" s="6"/>
      <c r="E8" s="6"/>
      <c r="F8" s="6"/>
      <c r="G8" s="6"/>
      <c r="H8" s="7"/>
      <c r="I8" s="6"/>
      <c r="K8">
        <f>+J7/K7</f>
        <v>0.82382079219512938</v>
      </c>
    </row>
    <row r="9" spans="1:15" x14ac:dyDescent="0.2">
      <c r="A9" s="5"/>
      <c r="B9" s="6"/>
      <c r="C9" s="482"/>
      <c r="D9" s="482"/>
      <c r="E9" s="6"/>
      <c r="F9" s="6"/>
      <c r="G9" s="6"/>
      <c r="H9" s="7"/>
      <c r="I9" s="6"/>
    </row>
    <row r="10" spans="1:15" x14ac:dyDescent="0.2">
      <c r="A10" s="5"/>
      <c r="B10" s="6"/>
      <c r="C10" s="6"/>
      <c r="D10" s="6"/>
      <c r="E10" s="6"/>
      <c r="F10" s="6"/>
      <c r="G10" s="6"/>
      <c r="H10" s="7"/>
      <c r="I10" s="6"/>
    </row>
    <row r="11" spans="1:15" ht="13.5" thickBot="1" x14ac:dyDescent="0.25">
      <c r="A11" s="11"/>
      <c r="B11" s="12"/>
      <c r="C11" s="12"/>
      <c r="D11" s="12"/>
      <c r="E11" s="12"/>
      <c r="F11" s="12"/>
      <c r="G11" s="12"/>
      <c r="H11" s="130"/>
      <c r="I11" s="6"/>
    </row>
    <row r="12" spans="1:15" x14ac:dyDescent="0.2">
      <c r="A12" s="5"/>
      <c r="B12" s="205" t="s">
        <v>910</v>
      </c>
      <c r="C12" s="205" t="s">
        <v>912</v>
      </c>
      <c r="D12" s="205" t="s">
        <v>933</v>
      </c>
      <c r="E12" s="205" t="s">
        <v>820</v>
      </c>
      <c r="F12" s="205" t="s">
        <v>816</v>
      </c>
      <c r="G12" s="205" t="s">
        <v>823</v>
      </c>
      <c r="H12" s="561" t="s">
        <v>824</v>
      </c>
      <c r="I12" s="96"/>
    </row>
    <row r="13" spans="1:15" ht="13.5" thickBot="1" x14ac:dyDescent="0.25">
      <c r="A13" s="5"/>
      <c r="B13" s="27"/>
      <c r="C13" s="27"/>
      <c r="D13" s="27"/>
      <c r="E13" s="27"/>
      <c r="F13" s="27"/>
      <c r="G13" s="27"/>
      <c r="H13" s="27"/>
      <c r="I13" s="93"/>
    </row>
    <row r="14" spans="1:15" x14ac:dyDescent="0.2">
      <c r="A14" s="2"/>
      <c r="B14" s="33"/>
      <c r="C14" s="31"/>
      <c r="D14" s="31"/>
      <c r="E14" s="31"/>
      <c r="F14" s="31"/>
      <c r="G14" s="31"/>
      <c r="H14" s="31"/>
      <c r="I14" s="29"/>
      <c r="J14">
        <v>100</v>
      </c>
      <c r="K14">
        <v>121</v>
      </c>
      <c r="N14">
        <v>100</v>
      </c>
      <c r="O14">
        <v>105</v>
      </c>
    </row>
    <row r="15" spans="1:15" ht="15.75" x14ac:dyDescent="0.25">
      <c r="A15" s="43" t="s">
        <v>18</v>
      </c>
      <c r="B15" s="45">
        <f t="shared" ref="B15:H15" si="0">B17+B18</f>
        <v>-465261</v>
      </c>
      <c r="C15" s="44">
        <f t="shared" si="0"/>
        <v>-417158.58899999992</v>
      </c>
      <c r="D15" s="44">
        <f t="shared" si="0"/>
        <v>-400188.37099999981</v>
      </c>
      <c r="E15" s="44">
        <f t="shared" si="0"/>
        <v>-353832.66899999976</v>
      </c>
      <c r="F15" s="44">
        <f t="shared" si="0"/>
        <v>-418846.66899999976</v>
      </c>
      <c r="G15" s="44">
        <f t="shared" si="0"/>
        <v>-371893.66899999976</v>
      </c>
      <c r="H15" s="44">
        <f t="shared" si="0"/>
        <v>-315907.66899999976</v>
      </c>
      <c r="I15" s="122"/>
      <c r="K15">
        <v>777721</v>
      </c>
    </row>
    <row r="16" spans="1:15" ht="15.75" x14ac:dyDescent="0.25">
      <c r="A16" s="43"/>
      <c r="B16" s="45"/>
      <c r="C16" s="46"/>
      <c r="D16" s="46"/>
      <c r="E16" s="46"/>
      <c r="F16" s="46"/>
      <c r="G16" s="46"/>
      <c r="H16" s="46"/>
      <c r="I16" s="122"/>
    </row>
    <row r="17" spans="1:15" x14ac:dyDescent="0.2">
      <c r="A17" s="9" t="s">
        <v>19</v>
      </c>
      <c r="B17" s="34">
        <f>-483327-17368+30682+2752</f>
        <v>-467261</v>
      </c>
      <c r="C17" s="34">
        <f t="shared" ref="C17:H17" si="1">B56</f>
        <v>-419158.58899999992</v>
      </c>
      <c r="D17" s="34">
        <f t="shared" si="1"/>
        <v>-402188.37099999981</v>
      </c>
      <c r="E17" s="34">
        <f t="shared" si="1"/>
        <v>-355832.66899999976</v>
      </c>
      <c r="F17" s="34">
        <f t="shared" si="1"/>
        <v>-420846.66899999976</v>
      </c>
      <c r="G17" s="34">
        <f t="shared" si="1"/>
        <v>-373893.66899999976</v>
      </c>
      <c r="H17" s="34">
        <f t="shared" si="1"/>
        <v>-317907.66899999976</v>
      </c>
      <c r="I17" s="29"/>
      <c r="K17">
        <f>J14/K14</f>
        <v>0.82644628099173556</v>
      </c>
    </row>
    <row r="18" spans="1:15" x14ac:dyDescent="0.2">
      <c r="A18" s="9" t="s">
        <v>20</v>
      </c>
      <c r="B18" s="34">
        <v>2000</v>
      </c>
      <c r="C18" s="34">
        <f>B57</f>
        <v>2000</v>
      </c>
      <c r="D18" s="34">
        <f>B57</f>
        <v>2000</v>
      </c>
      <c r="E18" s="34">
        <v>2000</v>
      </c>
      <c r="F18" s="34">
        <f>B57</f>
        <v>2000</v>
      </c>
      <c r="G18" s="34">
        <f>B57</f>
        <v>2000</v>
      </c>
      <c r="H18" s="34">
        <f>C57</f>
        <v>2000</v>
      </c>
      <c r="I18" s="29"/>
    </row>
    <row r="19" spans="1:15" x14ac:dyDescent="0.2">
      <c r="A19" s="9"/>
      <c r="B19" s="34"/>
      <c r="C19" s="31"/>
      <c r="D19" s="31"/>
      <c r="E19" s="31"/>
      <c r="F19" s="31"/>
      <c r="G19" s="31"/>
      <c r="H19" s="31"/>
      <c r="I19" s="29"/>
    </row>
    <row r="20" spans="1:15" ht="13.5" thickBot="1" x14ac:dyDescent="0.25">
      <c r="A20" s="11"/>
      <c r="B20" s="35"/>
      <c r="C20" s="31"/>
      <c r="D20" s="31"/>
      <c r="E20" s="31"/>
      <c r="F20" s="31"/>
      <c r="G20" s="31"/>
      <c r="H20" s="31"/>
      <c r="I20" s="29"/>
    </row>
    <row r="21" spans="1:15" x14ac:dyDescent="0.2">
      <c r="A21" s="5"/>
      <c r="B21" s="33"/>
      <c r="C21" s="33"/>
      <c r="D21" s="33"/>
      <c r="E21" s="33"/>
      <c r="F21" s="33"/>
      <c r="G21" s="33"/>
      <c r="H21" s="33"/>
      <c r="I21" s="29"/>
    </row>
    <row r="22" spans="1:15" ht="15.75" x14ac:dyDescent="0.25">
      <c r="A22" s="43" t="s">
        <v>25</v>
      </c>
      <c r="B22" s="45">
        <f>B24+B27+B33+B29+B28+B30+B34+B25+B26+B31+B32</f>
        <v>681508</v>
      </c>
      <c r="C22" s="45">
        <f t="shared" ref="C22:H22" si="2">C24+C27+C33+C29+C28+C30+C34+C25+C26+C31+C32</f>
        <v>1688029.7819999999</v>
      </c>
      <c r="D22" s="45">
        <f t="shared" si="2"/>
        <v>1758644.298</v>
      </c>
      <c r="E22" s="45">
        <f t="shared" si="2"/>
        <v>1870014</v>
      </c>
      <c r="F22" s="45">
        <f t="shared" si="2"/>
        <v>1758047</v>
      </c>
      <c r="G22" s="45">
        <f t="shared" si="2"/>
        <v>1749014</v>
      </c>
      <c r="H22" s="45">
        <f t="shared" si="2"/>
        <v>1892014</v>
      </c>
      <c r="I22" s="42">
        <f t="shared" ref="I22:N22" si="3">(C24+C27+C28+C29+C30)</f>
        <v>1399982.7819999999</v>
      </c>
      <c r="J22" s="42">
        <f t="shared" si="3"/>
        <v>1434630.798</v>
      </c>
      <c r="K22" s="42">
        <f t="shared" si="3"/>
        <v>1533000</v>
      </c>
      <c r="L22" s="42">
        <f t="shared" si="3"/>
        <v>1470000</v>
      </c>
      <c r="M22" s="42">
        <f t="shared" si="3"/>
        <v>1470000</v>
      </c>
      <c r="N22" s="42">
        <f t="shared" si="3"/>
        <v>1555000</v>
      </c>
      <c r="O22" s="42">
        <f>SUM(I22:N22)</f>
        <v>8862613.5800000001</v>
      </c>
    </row>
    <row r="23" spans="1:15" ht="15.75" x14ac:dyDescent="0.25">
      <c r="A23" s="43"/>
      <c r="B23" s="45"/>
      <c r="C23" s="45"/>
      <c r="D23" s="45"/>
      <c r="E23" s="45"/>
      <c r="F23" s="45"/>
      <c r="G23" s="45"/>
      <c r="H23" s="45"/>
      <c r="I23" s="1082">
        <f t="shared" ref="I23:N23" si="4">I22/(C37)</f>
        <v>0.82110427096774186</v>
      </c>
      <c r="J23" s="1082">
        <f t="shared" si="4"/>
        <v>0.79480930637119107</v>
      </c>
      <c r="K23" s="1082">
        <f t="shared" si="4"/>
        <v>0.84930747922437677</v>
      </c>
      <c r="L23" s="1082">
        <f t="shared" si="4"/>
        <v>0.81440443213296398</v>
      </c>
      <c r="M23" s="1082">
        <f t="shared" si="4"/>
        <v>0.81440443213296398</v>
      </c>
      <c r="N23" s="1082">
        <f t="shared" si="4"/>
        <v>0.86149584487534625</v>
      </c>
    </row>
    <row r="24" spans="1:15" x14ac:dyDescent="0.2">
      <c r="A24" s="10" t="s">
        <v>133</v>
      </c>
      <c r="B24" s="120">
        <f>540521-20000</f>
        <v>520521</v>
      </c>
      <c r="C24" s="120">
        <v>1056070.7819999999</v>
      </c>
      <c r="D24" s="120">
        <v>1036525.798</v>
      </c>
      <c r="E24" s="120">
        <v>1100000</v>
      </c>
      <c r="F24" s="120">
        <v>1100000</v>
      </c>
      <c r="G24" s="120">
        <v>1100000</v>
      </c>
      <c r="H24" s="120">
        <v>1100000</v>
      </c>
      <c r="I24" s="1085"/>
    </row>
    <row r="25" spans="1:15" x14ac:dyDescent="0.2">
      <c r="A25" s="491" t="s">
        <v>804</v>
      </c>
      <c r="B25" s="120">
        <v>0</v>
      </c>
      <c r="C25" s="120">
        <f>6088+1349+1398</f>
        <v>8835</v>
      </c>
      <c r="D25" s="120">
        <v>8835</v>
      </c>
      <c r="E25" s="120">
        <v>8835</v>
      </c>
      <c r="F25" s="120">
        <v>8835</v>
      </c>
      <c r="G25" s="120">
        <v>8835</v>
      </c>
      <c r="H25" s="120">
        <v>8835</v>
      </c>
      <c r="I25" s="42">
        <f t="shared" ref="I25:N25" si="5">I22/1.18</f>
        <v>1186426.086440678</v>
      </c>
      <c r="J25" s="42">
        <f t="shared" si="5"/>
        <v>1215788.8118644068</v>
      </c>
      <c r="K25" s="42">
        <f t="shared" si="5"/>
        <v>1299152.5423728814</v>
      </c>
      <c r="L25" s="42">
        <f t="shared" si="5"/>
        <v>1245762.7118644069</v>
      </c>
      <c r="M25" s="42">
        <f t="shared" si="5"/>
        <v>1245762.7118644069</v>
      </c>
      <c r="N25" s="42">
        <f t="shared" si="5"/>
        <v>1317796.6101694915</v>
      </c>
      <c r="O25" s="42">
        <f>SUM(I25:N25)</f>
        <v>7510689.4745762721</v>
      </c>
    </row>
    <row r="26" spans="1:15" x14ac:dyDescent="0.2">
      <c r="A26" s="491" t="s">
        <v>805</v>
      </c>
      <c r="B26" s="120">
        <v>0</v>
      </c>
      <c r="C26" s="120">
        <v>24442</v>
      </c>
      <c r="D26" s="120">
        <v>24442</v>
      </c>
      <c r="E26" s="120">
        <v>24442</v>
      </c>
      <c r="F26" s="120">
        <v>24442</v>
      </c>
      <c r="G26" s="120">
        <v>24442</v>
      </c>
      <c r="H26" s="120">
        <v>24442</v>
      </c>
      <c r="I26" s="1082">
        <f t="shared" ref="I26:N26" si="6">+I25/(C37/1.18)</f>
        <v>0.82110427096774197</v>
      </c>
      <c r="J26" s="1082">
        <f t="shared" si="6"/>
        <v>0.79480930637119118</v>
      </c>
      <c r="K26" s="1082">
        <f t="shared" si="6"/>
        <v>0.84930747922437677</v>
      </c>
      <c r="L26" s="1082">
        <f t="shared" si="6"/>
        <v>0.8144044321329641</v>
      </c>
      <c r="M26" s="1082">
        <f t="shared" si="6"/>
        <v>0.8144044321329641</v>
      </c>
      <c r="N26" s="1082">
        <f t="shared" si="6"/>
        <v>0.86149584487534625</v>
      </c>
    </row>
    <row r="27" spans="1:15" x14ac:dyDescent="0.2">
      <c r="A27" s="10" t="s">
        <v>134</v>
      </c>
      <c r="B27" s="120">
        <v>0</v>
      </c>
      <c r="C27" s="120">
        <v>128334</v>
      </c>
      <c r="D27" s="729">
        <v>85331</v>
      </c>
      <c r="E27" s="120">
        <v>200000</v>
      </c>
      <c r="F27" s="120">
        <v>200000</v>
      </c>
      <c r="G27" s="120">
        <v>200000</v>
      </c>
      <c r="H27" s="120">
        <v>200000</v>
      </c>
      <c r="I27" s="1085"/>
      <c r="N27" s="42">
        <f>SUM(I25:N25)</f>
        <v>7510689.4745762721</v>
      </c>
    </row>
    <row r="28" spans="1:15" s="58" customFormat="1" x14ac:dyDescent="0.2">
      <c r="A28" s="727" t="s">
        <v>359</v>
      </c>
      <c r="B28" s="728">
        <v>0</v>
      </c>
      <c r="C28" s="728">
        <v>120539</v>
      </c>
      <c r="D28" s="728">
        <f>193000</f>
        <v>193000</v>
      </c>
      <c r="E28" s="728">
        <f>251000-103000</f>
        <v>148000</v>
      </c>
      <c r="F28" s="728">
        <v>85000</v>
      </c>
      <c r="G28" s="728">
        <v>85000</v>
      </c>
      <c r="H28" s="728">
        <v>170000</v>
      </c>
      <c r="I28" s="1086"/>
    </row>
    <row r="29" spans="1:15" x14ac:dyDescent="0.2">
      <c r="A29" s="10" t="s">
        <v>292</v>
      </c>
      <c r="B29" s="120">
        <v>35000</v>
      </c>
      <c r="C29" s="120">
        <v>80000</v>
      </c>
      <c r="D29" s="120">
        <v>50000</v>
      </c>
      <c r="E29" s="120">
        <v>50000</v>
      </c>
      <c r="F29" s="120">
        <v>50000</v>
      </c>
      <c r="G29" s="120">
        <v>50000</v>
      </c>
      <c r="H29" s="120">
        <v>50000</v>
      </c>
      <c r="I29" s="1085"/>
      <c r="K29">
        <v>194399.91666666701</v>
      </c>
    </row>
    <row r="30" spans="1:15" x14ac:dyDescent="0.2">
      <c r="A30" s="10" t="s">
        <v>358</v>
      </c>
      <c r="B30" s="120">
        <v>0</v>
      </c>
      <c r="C30" s="120">
        <v>15039</v>
      </c>
      <c r="D30" s="120">
        <v>69774</v>
      </c>
      <c r="E30" s="120">
        <v>35000</v>
      </c>
      <c r="F30" s="120">
        <v>35000</v>
      </c>
      <c r="G30" s="120">
        <v>35000</v>
      </c>
      <c r="H30" s="120">
        <v>35000</v>
      </c>
      <c r="I30" s="1085"/>
      <c r="K30">
        <v>234844.66666666666</v>
      </c>
    </row>
    <row r="31" spans="1:15" x14ac:dyDescent="0.2">
      <c r="A31" s="491" t="s">
        <v>806</v>
      </c>
      <c r="B31" s="120">
        <f>4771+6216</f>
        <v>10987</v>
      </c>
      <c r="C31" s="120">
        <v>20019</v>
      </c>
      <c r="D31" s="120">
        <v>10986</v>
      </c>
      <c r="E31" s="120">
        <v>10986</v>
      </c>
      <c r="F31" s="120">
        <v>20019</v>
      </c>
      <c r="G31" s="120">
        <v>10986</v>
      </c>
      <c r="H31" s="120">
        <v>10986</v>
      </c>
      <c r="I31" s="1085"/>
    </row>
    <row r="32" spans="1:15" x14ac:dyDescent="0.2">
      <c r="A32" s="491" t="s">
        <v>1069</v>
      </c>
      <c r="B32" s="120">
        <v>35000</v>
      </c>
      <c r="C32" s="120">
        <v>35000</v>
      </c>
      <c r="D32" s="120">
        <v>35000</v>
      </c>
      <c r="E32" s="120">
        <v>35000</v>
      </c>
      <c r="F32" s="120">
        <v>35000</v>
      </c>
      <c r="G32" s="120">
        <v>35000</v>
      </c>
      <c r="H32" s="120">
        <v>35000</v>
      </c>
      <c r="I32" s="1085"/>
    </row>
    <row r="33" spans="1:13" x14ac:dyDescent="0.2">
      <c r="A33" s="10" t="s">
        <v>135</v>
      </c>
      <c r="B33" s="120">
        <v>80000</v>
      </c>
      <c r="C33" s="120">
        <v>199751</v>
      </c>
      <c r="D33" s="120">
        <f>199750.5+45000</f>
        <v>244750.5</v>
      </c>
      <c r="E33" s="120">
        <v>257751</v>
      </c>
      <c r="F33" s="120">
        <v>199751</v>
      </c>
      <c r="G33" s="120">
        <v>199751</v>
      </c>
      <c r="H33" s="120">
        <v>257751</v>
      </c>
      <c r="I33" s="1085"/>
    </row>
    <row r="34" spans="1:13" x14ac:dyDescent="0.2">
      <c r="A34" s="10"/>
      <c r="B34" s="120"/>
      <c r="C34" s="120"/>
      <c r="D34" s="120"/>
      <c r="E34" s="120"/>
      <c r="F34" s="120"/>
      <c r="G34" s="120"/>
      <c r="H34" s="120"/>
      <c r="I34" s="1085"/>
    </row>
    <row r="35" spans="1:13" ht="13.5" thickBot="1" x14ac:dyDescent="0.25">
      <c r="A35" s="121"/>
      <c r="B35" s="35"/>
      <c r="C35" s="35"/>
      <c r="D35" s="35"/>
      <c r="E35" s="35"/>
      <c r="F35" s="35"/>
      <c r="G35" s="35"/>
      <c r="H35" s="35"/>
      <c r="I35" s="29"/>
    </row>
    <row r="36" spans="1:13" x14ac:dyDescent="0.2">
      <c r="A36" s="5"/>
      <c r="B36" s="33"/>
      <c r="C36" s="21"/>
      <c r="D36" s="21"/>
      <c r="E36" s="21"/>
      <c r="F36" s="21"/>
      <c r="G36" s="21"/>
      <c r="H36" s="21"/>
      <c r="I36" s="29"/>
    </row>
    <row r="37" spans="1:13" ht="15.75" x14ac:dyDescent="0.25">
      <c r="A37" s="43" t="s">
        <v>136</v>
      </c>
      <c r="B37" s="45">
        <f>B41+B48</f>
        <v>729610.41100000008</v>
      </c>
      <c r="C37" s="45">
        <f t="shared" ref="C37:H37" si="7">C41+C48</f>
        <v>1705000</v>
      </c>
      <c r="D37" s="45">
        <f t="shared" si="7"/>
        <v>1805000</v>
      </c>
      <c r="E37" s="45">
        <f t="shared" si="7"/>
        <v>1805000</v>
      </c>
      <c r="F37" s="45">
        <f t="shared" si="7"/>
        <v>1805000</v>
      </c>
      <c r="G37" s="45">
        <f>G41+G48</f>
        <v>1805000</v>
      </c>
      <c r="H37" s="45">
        <f t="shared" si="7"/>
        <v>1805000</v>
      </c>
      <c r="I37" s="122"/>
      <c r="J37" s="1081">
        <f>SUM(C37:H37)</f>
        <v>10730000</v>
      </c>
      <c r="K37" s="722">
        <f>J37/1.18</f>
        <v>9093220.3389830515</v>
      </c>
      <c r="L37" s="42">
        <f>+K37-N27</f>
        <v>1582530.8644067794</v>
      </c>
      <c r="M37">
        <f>L37/N27</f>
        <v>0.21070380685603574</v>
      </c>
    </row>
    <row r="38" spans="1:13" ht="15.75" x14ac:dyDescent="0.25">
      <c r="A38" s="43"/>
      <c r="B38" s="45"/>
      <c r="C38" s="46"/>
      <c r="D38" s="46"/>
      <c r="E38" s="46"/>
      <c r="F38" s="46"/>
      <c r="G38" s="46"/>
      <c r="H38" s="46"/>
      <c r="I38" s="122"/>
    </row>
    <row r="39" spans="1:13" ht="13.5" thickBot="1" x14ac:dyDescent="0.25">
      <c r="A39" s="5"/>
      <c r="B39" s="35"/>
      <c r="C39" s="20"/>
      <c r="D39" s="20"/>
      <c r="E39" s="20"/>
      <c r="F39" s="20"/>
      <c r="G39" s="20"/>
      <c r="H39" s="20"/>
      <c r="I39" s="29"/>
    </row>
    <row r="40" spans="1:13" x14ac:dyDescent="0.2">
      <c r="A40" s="13"/>
      <c r="B40" s="21"/>
      <c r="C40" s="21"/>
      <c r="D40" s="21"/>
      <c r="E40" s="21"/>
      <c r="F40" s="21"/>
      <c r="G40" s="21"/>
      <c r="H40" s="21"/>
      <c r="I40" s="29"/>
      <c r="K40">
        <f>O25/K37</f>
        <v>0.82596585088536811</v>
      </c>
    </row>
    <row r="41" spans="1:13" ht="13.5" thickBot="1" x14ac:dyDescent="0.25">
      <c r="A41" s="14" t="s">
        <v>137</v>
      </c>
      <c r="B41" s="41">
        <f t="shared" ref="B41:H41" si="8">B43+B44+B45</f>
        <v>429610.41100000002</v>
      </c>
      <c r="C41" s="41">
        <f t="shared" si="8"/>
        <v>1155000</v>
      </c>
      <c r="D41" s="41">
        <f t="shared" si="8"/>
        <v>1205000</v>
      </c>
      <c r="E41" s="41">
        <f t="shared" si="8"/>
        <v>1205000</v>
      </c>
      <c r="F41" s="41">
        <f t="shared" si="8"/>
        <v>1205000</v>
      </c>
      <c r="G41" s="41">
        <f t="shared" si="8"/>
        <v>1205000</v>
      </c>
      <c r="H41" s="41">
        <f t="shared" si="8"/>
        <v>1205000</v>
      </c>
      <c r="I41" s="123"/>
    </row>
    <row r="42" spans="1:13" x14ac:dyDescent="0.2">
      <c r="A42" s="14"/>
      <c r="B42" s="172"/>
      <c r="C42" s="504"/>
      <c r="D42" s="172"/>
      <c r="E42" s="504"/>
      <c r="F42" s="172"/>
      <c r="G42" s="504"/>
      <c r="H42" s="172"/>
      <c r="I42" s="123"/>
    </row>
    <row r="43" spans="1:13" x14ac:dyDescent="0.2">
      <c r="A43" s="15" t="s">
        <v>8</v>
      </c>
      <c r="B43" s="34">
        <v>299610.41100000002</v>
      </c>
      <c r="C43" s="29">
        <v>750000</v>
      </c>
      <c r="D43" s="34">
        <v>800000</v>
      </c>
      <c r="E43" s="29">
        <v>800000</v>
      </c>
      <c r="F43" s="34">
        <v>800000</v>
      </c>
      <c r="G43" s="29">
        <v>800000</v>
      </c>
      <c r="H43" s="34">
        <v>800000</v>
      </c>
      <c r="I43" s="29"/>
    </row>
    <row r="44" spans="1:13" x14ac:dyDescent="0.2">
      <c r="A44" s="15" t="s">
        <v>26</v>
      </c>
      <c r="B44" s="34">
        <v>130000</v>
      </c>
      <c r="C44" s="29">
        <v>400000</v>
      </c>
      <c r="D44" s="34">
        <v>400000</v>
      </c>
      <c r="E44" s="29">
        <v>400000</v>
      </c>
      <c r="F44" s="34">
        <v>400000</v>
      </c>
      <c r="G44" s="29">
        <v>400000</v>
      </c>
      <c r="H44" s="34">
        <v>400000</v>
      </c>
      <c r="I44" s="29"/>
      <c r="J44" s="495"/>
    </row>
    <row r="45" spans="1:13" x14ac:dyDescent="0.2">
      <c r="A45" s="15" t="s">
        <v>29</v>
      </c>
      <c r="B45" s="34"/>
      <c r="C45" s="29">
        <v>5000</v>
      </c>
      <c r="D45" s="34">
        <v>5000</v>
      </c>
      <c r="E45" s="29">
        <v>5000</v>
      </c>
      <c r="F45" s="34">
        <v>5000</v>
      </c>
      <c r="G45" s="29">
        <v>5000</v>
      </c>
      <c r="H45" s="34">
        <v>5000</v>
      </c>
      <c r="I45" s="29"/>
    </row>
    <row r="46" spans="1:13" x14ac:dyDescent="0.2">
      <c r="A46" s="15"/>
      <c r="B46" s="34"/>
      <c r="C46" s="29"/>
      <c r="D46" s="34"/>
      <c r="E46" s="29"/>
      <c r="F46" s="34"/>
      <c r="G46" s="29"/>
      <c r="H46" s="34"/>
      <c r="I46" s="29"/>
    </row>
    <row r="47" spans="1:13" x14ac:dyDescent="0.2">
      <c r="A47" s="15" t="s">
        <v>179</v>
      </c>
      <c r="B47" s="34"/>
      <c r="C47" s="29"/>
      <c r="D47" s="34"/>
      <c r="E47" s="29"/>
      <c r="F47" s="34"/>
      <c r="G47" s="29"/>
      <c r="H47" s="34"/>
      <c r="I47" s="29"/>
    </row>
    <row r="48" spans="1:13" x14ac:dyDescent="0.2">
      <c r="A48" s="14" t="s">
        <v>138</v>
      </c>
      <c r="B48" s="173">
        <v>300000</v>
      </c>
      <c r="C48" s="123">
        <v>550000</v>
      </c>
      <c r="D48" s="173">
        <v>600000</v>
      </c>
      <c r="E48" s="123">
        <v>600000</v>
      </c>
      <c r="F48" s="173">
        <v>600000</v>
      </c>
      <c r="G48" s="123">
        <v>600000</v>
      </c>
      <c r="H48" s="173">
        <v>600000</v>
      </c>
      <c r="I48" s="123"/>
    </row>
    <row r="49" spans="1:9" ht="13.5" thickBot="1" x14ac:dyDescent="0.25">
      <c r="A49" s="16"/>
      <c r="B49" s="35"/>
      <c r="C49" s="37"/>
      <c r="D49" s="35"/>
      <c r="E49" s="37"/>
      <c r="F49" s="35"/>
      <c r="G49" s="37"/>
      <c r="H49" s="35"/>
      <c r="I49" s="29"/>
    </row>
    <row r="50" spans="1:9" x14ac:dyDescent="0.2">
      <c r="A50" s="2"/>
      <c r="B50" s="21"/>
      <c r="C50" s="21"/>
      <c r="D50" s="21"/>
      <c r="E50" s="21"/>
      <c r="F50" s="21"/>
      <c r="G50" s="21"/>
      <c r="H50" s="21"/>
      <c r="I50" s="29"/>
    </row>
    <row r="51" spans="1:9" x14ac:dyDescent="0.2">
      <c r="A51" s="9" t="s">
        <v>27</v>
      </c>
      <c r="B51" s="34">
        <f t="shared" ref="B51:H51" si="9">B37-B22</f>
        <v>48102.41100000008</v>
      </c>
      <c r="C51" s="34">
        <f t="shared" si="9"/>
        <v>16970.21800000011</v>
      </c>
      <c r="D51" s="34">
        <f t="shared" si="9"/>
        <v>46355.702000000048</v>
      </c>
      <c r="E51" s="34">
        <f t="shared" si="9"/>
        <v>-65014</v>
      </c>
      <c r="F51" s="34">
        <f t="shared" si="9"/>
        <v>46953</v>
      </c>
      <c r="G51" s="34">
        <f>G37-G22</f>
        <v>55986</v>
      </c>
      <c r="H51" s="34">
        <f t="shared" si="9"/>
        <v>-87014</v>
      </c>
      <c r="I51" s="29"/>
    </row>
    <row r="52" spans="1:9" ht="13.5" thickBot="1" x14ac:dyDescent="0.25">
      <c r="A52" s="5"/>
      <c r="B52" s="19"/>
      <c r="C52" s="19"/>
      <c r="D52" s="19"/>
      <c r="E52" s="19"/>
      <c r="F52" s="19"/>
      <c r="G52" s="19"/>
      <c r="H52" s="19"/>
      <c r="I52" s="29"/>
    </row>
    <row r="53" spans="1:9" x14ac:dyDescent="0.2">
      <c r="A53" s="2"/>
      <c r="B53" s="33"/>
      <c r="C53" s="33"/>
      <c r="D53" s="33"/>
      <c r="E53" s="33"/>
      <c r="F53" s="33"/>
      <c r="G53" s="33"/>
      <c r="H53" s="33"/>
      <c r="I53" s="29"/>
    </row>
    <row r="54" spans="1:9" ht="16.5" thickBot="1" x14ac:dyDescent="0.3">
      <c r="A54" s="43" t="s">
        <v>28</v>
      </c>
      <c r="B54" s="171">
        <f t="shared" ref="B54:H54" si="10">B15+B51</f>
        <v>-417158.58899999992</v>
      </c>
      <c r="C54" s="171">
        <f t="shared" si="10"/>
        <v>-400188.37099999981</v>
      </c>
      <c r="D54" s="171">
        <f t="shared" si="10"/>
        <v>-353832.66899999976</v>
      </c>
      <c r="E54" s="171">
        <f t="shared" si="10"/>
        <v>-418846.66899999976</v>
      </c>
      <c r="F54" s="171">
        <f t="shared" si="10"/>
        <v>-371893.66899999976</v>
      </c>
      <c r="G54" s="171">
        <f>G15+G51</f>
        <v>-315907.66899999976</v>
      </c>
      <c r="H54" s="171">
        <f t="shared" si="10"/>
        <v>-402921.66899999976</v>
      </c>
      <c r="I54" s="122"/>
    </row>
    <row r="55" spans="1:9" ht="16.5" thickBot="1" x14ac:dyDescent="0.3">
      <c r="A55" s="43"/>
      <c r="B55" s="122"/>
      <c r="C55" s="122"/>
      <c r="D55" s="122"/>
      <c r="E55" s="122"/>
      <c r="F55" s="122"/>
      <c r="G55" s="122"/>
      <c r="H55" s="122"/>
      <c r="I55" s="122"/>
    </row>
    <row r="56" spans="1:9" x14ac:dyDescent="0.2">
      <c r="A56" s="9" t="s">
        <v>19</v>
      </c>
      <c r="B56" s="33">
        <f t="shared" ref="B56:H56" si="11">B54-B57</f>
        <v>-419158.58899999992</v>
      </c>
      <c r="C56" s="33">
        <f t="shared" si="11"/>
        <v>-402188.37099999981</v>
      </c>
      <c r="D56" s="33">
        <f t="shared" si="11"/>
        <v>-355832.66899999976</v>
      </c>
      <c r="E56" s="33">
        <f t="shared" si="11"/>
        <v>-420846.66899999976</v>
      </c>
      <c r="F56" s="33">
        <f t="shared" si="11"/>
        <v>-373893.66899999976</v>
      </c>
      <c r="G56" s="33">
        <f t="shared" si="11"/>
        <v>-317907.66899999976</v>
      </c>
      <c r="H56" s="33">
        <f t="shared" si="11"/>
        <v>-404921.66899999976</v>
      </c>
      <c r="I56" s="29"/>
    </row>
    <row r="57" spans="1:9" x14ac:dyDescent="0.2">
      <c r="A57" s="9" t="s">
        <v>20</v>
      </c>
      <c r="B57" s="34">
        <f>2000</f>
        <v>2000</v>
      </c>
      <c r="C57" s="34">
        <f>2000</f>
        <v>2000</v>
      </c>
      <c r="D57" s="34">
        <f>2000</f>
        <v>2000</v>
      </c>
      <c r="E57" s="34">
        <f>2000</f>
        <v>2000</v>
      </c>
      <c r="F57" s="34">
        <f>2000</f>
        <v>2000</v>
      </c>
      <c r="G57" s="34">
        <f>2000</f>
        <v>2000</v>
      </c>
      <c r="H57" s="34">
        <f>2000</f>
        <v>2000</v>
      </c>
      <c r="I57" s="29"/>
    </row>
    <row r="58" spans="1:9" ht="13.5" thickBot="1" x14ac:dyDescent="0.25">
      <c r="A58" s="36"/>
      <c r="B58" s="35"/>
      <c r="C58" s="35"/>
      <c r="D58" s="35"/>
      <c r="E58" s="35"/>
      <c r="F58" s="35"/>
      <c r="G58" s="35"/>
      <c r="H58" s="35"/>
      <c r="I58" s="29"/>
    </row>
    <row r="59" spans="1:9" x14ac:dyDescent="0.2">
      <c r="A59" s="86"/>
      <c r="B59" s="29"/>
      <c r="C59" s="29"/>
      <c r="D59" s="29"/>
      <c r="E59" s="29"/>
      <c r="F59" s="29"/>
      <c r="G59" s="29"/>
      <c r="H59" s="29"/>
      <c r="I59" s="29"/>
    </row>
    <row r="60" spans="1:9" x14ac:dyDescent="0.2">
      <c r="A60" s="86"/>
      <c r="B60" s="29"/>
      <c r="C60" s="29"/>
      <c r="D60" s="29"/>
      <c r="E60" s="29"/>
      <c r="F60" s="29"/>
      <c r="G60" s="29"/>
      <c r="H60" s="29"/>
      <c r="I60" s="29"/>
    </row>
    <row r="61" spans="1:9" x14ac:dyDescent="0.2">
      <c r="A61" s="86" t="s">
        <v>1278</v>
      </c>
      <c r="B61" s="29"/>
      <c r="C61" s="29"/>
      <c r="D61" s="29"/>
      <c r="E61" s="29"/>
      <c r="F61" s="29"/>
      <c r="G61" s="29"/>
      <c r="H61" s="29"/>
      <c r="I61" s="29"/>
    </row>
    <row r="62" spans="1:9" x14ac:dyDescent="0.2">
      <c r="A62" s="86"/>
      <c r="B62" s="29"/>
      <c r="C62" s="29"/>
      <c r="D62" s="29"/>
      <c r="E62" s="29"/>
      <c r="F62" s="29"/>
      <c r="G62" s="29"/>
      <c r="H62" s="29"/>
      <c r="I62" s="29"/>
    </row>
    <row r="63" spans="1:9" x14ac:dyDescent="0.2">
      <c r="A63" s="86"/>
      <c r="B63" s="29"/>
      <c r="C63" s="29"/>
      <c r="D63" s="29"/>
      <c r="E63" s="29"/>
      <c r="F63" s="29"/>
      <c r="G63" s="29"/>
      <c r="H63" s="29"/>
      <c r="I63" s="29"/>
    </row>
    <row r="64" spans="1:9" x14ac:dyDescent="0.2">
      <c r="A64" s="86"/>
      <c r="B64" s="29"/>
      <c r="C64" s="29"/>
      <c r="D64" s="29"/>
      <c r="E64" s="29"/>
      <c r="F64" s="29"/>
      <c r="G64" s="29"/>
      <c r="H64" s="29"/>
      <c r="I64" s="29"/>
    </row>
    <row r="65" spans="1:9" x14ac:dyDescent="0.2">
      <c r="A65" s="86"/>
      <c r="B65" s="29"/>
      <c r="C65" s="29"/>
      <c r="D65" s="29"/>
      <c r="E65" s="29"/>
      <c r="F65" s="29"/>
      <c r="G65" s="29"/>
      <c r="H65" s="29"/>
      <c r="I65" s="29"/>
    </row>
    <row r="66" spans="1:9" x14ac:dyDescent="0.2">
      <c r="A66" s="86"/>
      <c r="B66" s="29"/>
      <c r="C66" s="29"/>
      <c r="D66" s="29"/>
      <c r="E66" s="29"/>
      <c r="F66" s="29"/>
      <c r="G66" s="29"/>
      <c r="H66" s="29"/>
      <c r="I66" s="29"/>
    </row>
    <row r="67" spans="1:9" x14ac:dyDescent="0.2">
      <c r="A67" s="86"/>
      <c r="B67" s="29"/>
      <c r="C67" s="29"/>
      <c r="D67" s="29"/>
      <c r="E67" s="29"/>
      <c r="F67" s="29"/>
      <c r="G67" s="29"/>
      <c r="H67" s="29"/>
      <c r="I67" s="29"/>
    </row>
    <row r="68" spans="1:9" x14ac:dyDescent="0.2">
      <c r="A68" s="86"/>
      <c r="B68" s="29"/>
      <c r="C68" s="29"/>
      <c r="D68" s="29"/>
      <c r="E68" s="29"/>
      <c r="F68" s="29"/>
      <c r="G68" s="29"/>
      <c r="H68" s="29"/>
      <c r="I68" s="29"/>
    </row>
    <row r="69" spans="1:9" x14ac:dyDescent="0.2">
      <c r="A69" s="86"/>
      <c r="B69" s="29"/>
      <c r="C69" s="29"/>
      <c r="D69" s="29"/>
      <c r="E69" s="29"/>
      <c r="F69" s="29"/>
      <c r="G69" s="29"/>
      <c r="H69" s="29"/>
      <c r="I69" s="29"/>
    </row>
    <row r="70" spans="1:9" x14ac:dyDescent="0.2">
      <c r="A70" s="86"/>
      <c r="B70" s="29"/>
      <c r="C70" s="29"/>
      <c r="D70" s="29"/>
      <c r="E70" s="29"/>
      <c r="F70" s="29"/>
      <c r="G70" s="29"/>
      <c r="H70" s="29"/>
      <c r="I70" s="29"/>
    </row>
    <row r="71" spans="1:9" x14ac:dyDescent="0.2">
      <c r="A71" s="86"/>
      <c r="B71" s="29"/>
      <c r="C71" s="29"/>
      <c r="D71" s="29"/>
      <c r="E71" s="29"/>
      <c r="F71" s="29"/>
      <c r="G71" s="29"/>
      <c r="H71" s="29"/>
      <c r="I71" s="29"/>
    </row>
    <row r="72" spans="1:9" x14ac:dyDescent="0.2">
      <c r="A72" s="86"/>
      <c r="B72" s="29"/>
      <c r="C72" s="29"/>
      <c r="D72" s="29"/>
      <c r="E72" s="29"/>
      <c r="F72" s="29"/>
      <c r="G72" s="29"/>
      <c r="H72" s="29"/>
      <c r="I72" s="29"/>
    </row>
    <row r="73" spans="1:9" x14ac:dyDescent="0.2">
      <c r="A73" s="86"/>
      <c r="B73" s="29"/>
      <c r="C73" s="29"/>
      <c r="D73" s="29"/>
      <c r="E73" s="29"/>
      <c r="F73" s="29"/>
      <c r="G73" s="29"/>
      <c r="H73" s="29"/>
      <c r="I73" s="29"/>
    </row>
    <row r="74" spans="1:9" x14ac:dyDescent="0.2">
      <c r="A74" s="86"/>
      <c r="B74" s="29"/>
      <c r="C74" s="29"/>
      <c r="D74" s="29"/>
      <c r="E74" s="29"/>
      <c r="F74" s="29"/>
      <c r="G74" s="29"/>
      <c r="H74" s="29"/>
      <c r="I74" s="29"/>
    </row>
    <row r="75" spans="1:9" x14ac:dyDescent="0.2">
      <c r="A75" s="86"/>
      <c r="B75" s="29"/>
      <c r="C75" s="29"/>
      <c r="D75" s="29"/>
      <c r="E75" s="29"/>
      <c r="F75" s="29"/>
      <c r="G75" s="29"/>
      <c r="H75" s="29"/>
      <c r="I75" s="29"/>
    </row>
    <row r="76" spans="1:9" x14ac:dyDescent="0.2">
      <c r="A76" s="86"/>
      <c r="B76" s="29"/>
      <c r="C76" s="29"/>
      <c r="D76" s="29"/>
      <c r="E76" s="29"/>
      <c r="F76" s="29"/>
      <c r="G76" s="29"/>
      <c r="H76" s="29"/>
      <c r="I76" s="29"/>
    </row>
    <row r="77" spans="1:9" x14ac:dyDescent="0.2">
      <c r="A77" s="86"/>
      <c r="B77" s="29"/>
      <c r="C77" s="29"/>
      <c r="D77" s="29"/>
      <c r="E77" s="29"/>
      <c r="F77" s="29"/>
      <c r="G77" s="29"/>
      <c r="H77" s="29"/>
      <c r="I77" s="29"/>
    </row>
    <row r="78" spans="1:9" ht="18" x14ac:dyDescent="0.25">
      <c r="A78" s="86"/>
      <c r="B78" s="1111"/>
      <c r="C78" s="1112"/>
      <c r="D78" s="1112"/>
      <c r="E78" s="29"/>
      <c r="F78" s="29"/>
      <c r="G78" s="29"/>
      <c r="H78" s="29"/>
      <c r="I78" s="29"/>
    </row>
    <row r="79" spans="1:9" x14ac:dyDescent="0.2">
      <c r="A79" s="86"/>
      <c r="B79" s="29"/>
      <c r="C79" s="29"/>
      <c r="D79" s="29"/>
      <c r="E79" s="29"/>
      <c r="F79" s="29"/>
      <c r="G79" s="29"/>
      <c r="H79" s="29"/>
      <c r="I79" s="29"/>
    </row>
    <row r="80" spans="1:9" ht="18" x14ac:dyDescent="0.25">
      <c r="A80" s="505" t="s">
        <v>1269</v>
      </c>
      <c r="B80" s="1110"/>
      <c r="C80" s="1110"/>
      <c r="D80" s="1110"/>
      <c r="E80" s="29"/>
      <c r="F80" s="29"/>
      <c r="G80" s="29"/>
      <c r="H80" s="29"/>
      <c r="I80" s="29"/>
    </row>
    <row r="81" spans="1:9" ht="18" x14ac:dyDescent="0.25">
      <c r="A81" s="505"/>
      <c r="B81" s="1110"/>
      <c r="C81" s="1110"/>
      <c r="D81" s="1110"/>
      <c r="E81" s="29"/>
      <c r="F81" s="29"/>
      <c r="G81" s="29"/>
      <c r="H81" s="29"/>
      <c r="I81" s="29"/>
    </row>
    <row r="82" spans="1:9" ht="18" x14ac:dyDescent="0.25">
      <c r="A82" s="505"/>
      <c r="B82" s="1110"/>
      <c r="C82" s="1110"/>
      <c r="D82" s="1110"/>
      <c r="E82" s="29"/>
      <c r="F82" s="29"/>
      <c r="G82" s="29"/>
      <c r="H82" s="29"/>
      <c r="I82" s="29"/>
    </row>
    <row r="83" spans="1:9" ht="15.75" x14ac:dyDescent="0.25">
      <c r="A83" s="1122" t="s">
        <v>1143</v>
      </c>
      <c r="B83" s="1110"/>
      <c r="C83" s="1110"/>
      <c r="D83" s="1110"/>
      <c r="E83" s="29"/>
      <c r="F83" s="29"/>
      <c r="G83" s="29"/>
      <c r="H83" s="29"/>
      <c r="I83" s="29"/>
    </row>
    <row r="84" spans="1:9" ht="18" x14ac:dyDescent="0.25">
      <c r="A84" s="505"/>
      <c r="B84" s="1110"/>
      <c r="C84" s="1110"/>
      <c r="D84" s="1110"/>
      <c r="E84" s="29"/>
      <c r="F84" s="29"/>
      <c r="G84" s="29"/>
      <c r="H84" s="29"/>
      <c r="I84" s="29"/>
    </row>
    <row r="86" spans="1:9" ht="18" x14ac:dyDescent="0.25">
      <c r="A86" s="505"/>
      <c r="B86" s="1110"/>
      <c r="C86" s="1110"/>
      <c r="D86" s="1110"/>
      <c r="E86" s="29"/>
      <c r="F86" s="29"/>
      <c r="G86" s="29"/>
      <c r="H86" s="29"/>
      <c r="I86" s="29"/>
    </row>
    <row r="87" spans="1:9" ht="15.75" x14ac:dyDescent="0.25">
      <c r="A87" s="1121" t="s">
        <v>1229</v>
      </c>
      <c r="B87" s="1110"/>
      <c r="C87" s="1110"/>
      <c r="D87" s="1110"/>
      <c r="E87" s="29"/>
      <c r="F87" s="29"/>
      <c r="G87" s="29"/>
      <c r="H87" s="29"/>
      <c r="I87" s="29"/>
    </row>
    <row r="88" spans="1:9" ht="15.75" x14ac:dyDescent="0.25">
      <c r="A88" s="1121"/>
      <c r="B88" s="1110"/>
      <c r="C88" s="1110"/>
      <c r="D88" s="1110"/>
      <c r="E88" s="29"/>
      <c r="F88" s="29"/>
      <c r="G88" s="29"/>
      <c r="H88" s="29"/>
      <c r="I88" s="29"/>
    </row>
    <row r="89" spans="1:9" ht="15.75" x14ac:dyDescent="0.25">
      <c r="A89" s="1121"/>
      <c r="B89" s="1110"/>
      <c r="C89" s="1110"/>
      <c r="D89" s="1110"/>
      <c r="E89" s="29"/>
      <c r="F89" s="29"/>
      <c r="G89" s="29"/>
      <c r="H89" s="29"/>
      <c r="I89" s="29"/>
    </row>
    <row r="90" spans="1:9" ht="15.75" x14ac:dyDescent="0.25">
      <c r="A90" s="1121"/>
      <c r="B90" s="1110"/>
      <c r="C90" s="1110"/>
      <c r="D90" s="1110"/>
      <c r="E90" s="29"/>
      <c r="F90" s="29"/>
      <c r="G90" s="29"/>
      <c r="H90" s="29"/>
      <c r="I90" s="29"/>
    </row>
    <row r="91" spans="1:9" ht="15" x14ac:dyDescent="0.2">
      <c r="A91" s="1124" t="s">
        <v>1246</v>
      </c>
      <c r="B91" s="1110"/>
      <c r="C91" s="1110"/>
      <c r="D91" s="1110"/>
      <c r="E91" s="29"/>
      <c r="F91" s="29"/>
      <c r="G91" s="29"/>
      <c r="H91" s="29"/>
      <c r="I91" s="29"/>
    </row>
    <row r="92" spans="1:9" ht="15" x14ac:dyDescent="0.2">
      <c r="A92" s="1120"/>
      <c r="B92" s="1110"/>
      <c r="C92" s="1110"/>
      <c r="D92" s="1110"/>
      <c r="E92" s="29"/>
      <c r="F92" s="29"/>
      <c r="G92" s="29"/>
      <c r="H92" s="29"/>
      <c r="I92" s="29"/>
    </row>
    <row r="93" spans="1:9" x14ac:dyDescent="0.2">
      <c r="A93" s="86"/>
      <c r="B93" s="1745" t="s">
        <v>1118</v>
      </c>
      <c r="C93" s="1745"/>
      <c r="D93" s="1496" t="s">
        <v>59</v>
      </c>
      <c r="E93" s="1496" t="s">
        <v>947</v>
      </c>
      <c r="F93" s="29"/>
      <c r="G93" s="29"/>
      <c r="H93" s="29"/>
      <c r="I93" s="29"/>
    </row>
    <row r="94" spans="1:9" x14ac:dyDescent="0.2">
      <c r="A94" s="676" t="s">
        <v>1236</v>
      </c>
      <c r="B94" s="1115" t="s">
        <v>1247</v>
      </c>
      <c r="C94" s="1115" t="s">
        <v>1131</v>
      </c>
      <c r="D94" s="1116">
        <v>42416</v>
      </c>
      <c r="E94" s="1496" t="s">
        <v>384</v>
      </c>
      <c r="F94" s="29"/>
      <c r="G94" s="29"/>
      <c r="H94" s="29"/>
      <c r="I94" s="29"/>
    </row>
    <row r="95" spans="1:9" ht="18" x14ac:dyDescent="0.25">
      <c r="A95" s="505"/>
      <c r="B95" s="1110"/>
      <c r="C95" s="1110"/>
      <c r="D95" s="1110"/>
      <c r="E95" s="29"/>
      <c r="F95" s="29"/>
      <c r="G95" s="29"/>
      <c r="H95" s="29"/>
      <c r="I95" s="29"/>
    </row>
    <row r="96" spans="1:9" ht="15" x14ac:dyDescent="0.2">
      <c r="A96" s="1124" t="s">
        <v>1244</v>
      </c>
      <c r="B96" s="1110"/>
      <c r="C96" s="1110"/>
      <c r="D96" s="1110"/>
      <c r="E96" s="29"/>
      <c r="F96" s="29"/>
      <c r="G96" s="29"/>
      <c r="H96" s="29"/>
      <c r="I96" s="29"/>
    </row>
    <row r="97" spans="1:9" ht="15" x14ac:dyDescent="0.2">
      <c r="A97" s="1120"/>
      <c r="B97" s="1110"/>
      <c r="C97" s="1110"/>
      <c r="D97" s="1110"/>
      <c r="E97" s="29"/>
      <c r="F97" s="29"/>
      <c r="G97" s="29"/>
      <c r="H97" s="29"/>
      <c r="I97" s="29"/>
    </row>
    <row r="98" spans="1:9" x14ac:dyDescent="0.2">
      <c r="A98" s="86"/>
      <c r="B98" s="1745" t="s">
        <v>1118</v>
      </c>
      <c r="C98" s="1745"/>
      <c r="D98" s="1496" t="s">
        <v>59</v>
      </c>
      <c r="E98" s="1496" t="s">
        <v>947</v>
      </c>
      <c r="F98" s="29"/>
      <c r="G98" s="29"/>
      <c r="H98" s="29"/>
      <c r="I98" s="29"/>
    </row>
    <row r="99" spans="1:9" x14ac:dyDescent="0.2">
      <c r="A99" s="676" t="s">
        <v>1230</v>
      </c>
      <c r="B99" s="1115" t="s">
        <v>1231</v>
      </c>
      <c r="C99" s="1115" t="s">
        <v>1232</v>
      </c>
      <c r="D99" s="1116">
        <v>42419</v>
      </c>
      <c r="E99" s="1496" t="s">
        <v>384</v>
      </c>
      <c r="F99" s="29"/>
      <c r="G99" s="29"/>
      <c r="H99" s="29"/>
      <c r="I99" s="29"/>
    </row>
    <row r="100" spans="1:9" x14ac:dyDescent="0.2">
      <c r="A100" s="676" t="s">
        <v>1233</v>
      </c>
      <c r="B100" s="1115" t="s">
        <v>1234</v>
      </c>
      <c r="C100" s="1115" t="s">
        <v>1235</v>
      </c>
      <c r="D100" s="1125">
        <v>42420</v>
      </c>
      <c r="E100" s="1496" t="s">
        <v>384</v>
      </c>
      <c r="F100" s="29"/>
      <c r="G100" s="29"/>
      <c r="H100" s="29"/>
      <c r="I100" s="29"/>
    </row>
    <row r="101" spans="1:9" ht="18" x14ac:dyDescent="0.25">
      <c r="A101" s="505"/>
      <c r="B101" s="1110"/>
      <c r="C101" s="1110"/>
      <c r="D101" s="1110"/>
      <c r="E101" s="1123"/>
      <c r="F101" s="29"/>
      <c r="G101" s="29"/>
      <c r="H101" s="29"/>
      <c r="I101" s="29"/>
    </row>
    <row r="102" spans="1:9" ht="18" x14ac:dyDescent="0.25">
      <c r="A102" s="505"/>
      <c r="B102" s="1110"/>
      <c r="C102" s="1110"/>
      <c r="D102" s="1110"/>
      <c r="E102" s="29"/>
      <c r="F102" s="29"/>
      <c r="G102" s="29"/>
      <c r="H102" s="29"/>
      <c r="I102" s="29"/>
    </row>
    <row r="103" spans="1:9" ht="15" x14ac:dyDescent="0.2">
      <c r="A103" s="1124" t="s">
        <v>1245</v>
      </c>
      <c r="B103" s="1110"/>
      <c r="C103" s="1110"/>
      <c r="D103" s="1110"/>
      <c r="E103" s="29"/>
      <c r="F103" s="29"/>
      <c r="G103" s="29"/>
      <c r="H103" s="29"/>
      <c r="I103" s="29"/>
    </row>
    <row r="104" spans="1:9" ht="18" x14ac:dyDescent="0.25">
      <c r="A104" s="505"/>
      <c r="B104" s="1110"/>
      <c r="C104" s="1110"/>
      <c r="D104" s="1110"/>
      <c r="E104" s="29"/>
      <c r="F104" s="29"/>
      <c r="G104" s="29"/>
      <c r="H104" s="29"/>
      <c r="I104" s="29"/>
    </row>
    <row r="105" spans="1:9" ht="18" x14ac:dyDescent="0.25">
      <c r="A105" s="505"/>
      <c r="B105" s="1110"/>
      <c r="C105" s="1110"/>
      <c r="D105" s="1110"/>
      <c r="E105" s="29"/>
      <c r="F105" s="29"/>
      <c r="G105" s="29"/>
      <c r="H105" s="29"/>
      <c r="I105" s="29"/>
    </row>
    <row r="106" spans="1:9" x14ac:dyDescent="0.2">
      <c r="A106" s="86"/>
      <c r="B106" s="1745" t="s">
        <v>1118</v>
      </c>
      <c r="C106" s="1745"/>
      <c r="D106" s="1496" t="s">
        <v>1125</v>
      </c>
      <c r="E106" s="1496" t="s">
        <v>890</v>
      </c>
      <c r="F106" s="29"/>
      <c r="G106" s="29"/>
      <c r="H106" s="29"/>
      <c r="I106" s="29"/>
    </row>
    <row r="107" spans="1:9" x14ac:dyDescent="0.2">
      <c r="A107" s="676" t="s">
        <v>1236</v>
      </c>
      <c r="B107" s="1114" t="s">
        <v>1153</v>
      </c>
      <c r="C107" s="1115" t="s">
        <v>1237</v>
      </c>
      <c r="D107" s="1116">
        <v>42411</v>
      </c>
      <c r="E107" s="1496" t="s">
        <v>698</v>
      </c>
      <c r="F107" s="29"/>
      <c r="G107" s="29"/>
      <c r="H107" s="29"/>
      <c r="I107" s="29"/>
    </row>
    <row r="108" spans="1:9" x14ac:dyDescent="0.2">
      <c r="A108" s="676" t="s">
        <v>1238</v>
      </c>
      <c r="B108" s="1114" t="s">
        <v>1186</v>
      </c>
      <c r="C108" s="1115" t="s">
        <v>1239</v>
      </c>
      <c r="D108" s="1116">
        <v>42422</v>
      </c>
      <c r="E108" s="1496" t="s">
        <v>698</v>
      </c>
      <c r="F108" s="29"/>
      <c r="G108" s="29"/>
      <c r="H108" s="29"/>
      <c r="I108" s="29"/>
    </row>
    <row r="109" spans="1:9" x14ac:dyDescent="0.2">
      <c r="A109" s="676" t="s">
        <v>1240</v>
      </c>
      <c r="B109" s="1114" t="s">
        <v>1189</v>
      </c>
      <c r="C109" s="1115" t="s">
        <v>1241</v>
      </c>
      <c r="D109" s="1116">
        <v>42424</v>
      </c>
      <c r="E109" s="1496" t="s">
        <v>698</v>
      </c>
      <c r="F109" s="29"/>
      <c r="G109" s="29"/>
      <c r="H109" s="29"/>
      <c r="I109" s="29"/>
    </row>
    <row r="110" spans="1:9" x14ac:dyDescent="0.2">
      <c r="A110" s="676" t="s">
        <v>1242</v>
      </c>
      <c r="B110" s="1114" t="s">
        <v>1190</v>
      </c>
      <c r="C110" s="1115" t="s">
        <v>1243</v>
      </c>
      <c r="D110" s="1116">
        <v>42429</v>
      </c>
      <c r="E110" s="1496" t="s">
        <v>698</v>
      </c>
      <c r="F110" s="29"/>
      <c r="G110" s="29"/>
      <c r="H110" s="29"/>
      <c r="I110" s="29"/>
    </row>
    <row r="111" spans="1:9" x14ac:dyDescent="0.2">
      <c r="A111" s="482"/>
      <c r="B111" s="29"/>
      <c r="C111" s="1096"/>
      <c r="D111" s="1426"/>
      <c r="E111" s="1427"/>
      <c r="F111" s="29"/>
      <c r="G111" s="29"/>
      <c r="H111" s="29"/>
      <c r="I111" s="29"/>
    </row>
    <row r="112" spans="1:9" ht="18" x14ac:dyDescent="0.25">
      <c r="A112" s="505"/>
      <c r="B112" s="1110"/>
      <c r="C112" s="1110"/>
      <c r="D112" s="1110"/>
      <c r="E112" s="29"/>
      <c r="F112" s="29"/>
      <c r="G112" s="29"/>
      <c r="H112" s="29"/>
      <c r="I112" s="29"/>
    </row>
    <row r="113" spans="1:9" ht="15.75" x14ac:dyDescent="0.25">
      <c r="A113" s="1121" t="s">
        <v>1252</v>
      </c>
      <c r="B113" s="29"/>
      <c r="C113" s="29"/>
      <c r="D113" s="29"/>
      <c r="E113" s="29"/>
      <c r="F113" s="29"/>
      <c r="G113" s="29"/>
      <c r="H113" s="29"/>
      <c r="I113" s="29"/>
    </row>
    <row r="114" spans="1:9" x14ac:dyDescent="0.2">
      <c r="A114" s="1109"/>
      <c r="B114" s="29"/>
      <c r="C114" s="29"/>
      <c r="D114" s="29"/>
      <c r="E114" s="29"/>
      <c r="F114" s="29"/>
      <c r="G114" s="29"/>
      <c r="H114" s="29"/>
      <c r="I114" s="29"/>
    </row>
    <row r="115" spans="1:9" ht="15" x14ac:dyDescent="0.2">
      <c r="A115" s="1124" t="s">
        <v>1246</v>
      </c>
      <c r="B115" s="1110"/>
      <c r="C115" s="1110"/>
      <c r="D115" s="1110"/>
      <c r="E115" s="29"/>
      <c r="F115" s="29"/>
      <c r="G115" s="29"/>
      <c r="H115" s="29"/>
      <c r="I115" s="29"/>
    </row>
    <row r="116" spans="1:9" ht="15" x14ac:dyDescent="0.2">
      <c r="A116" s="1120"/>
      <c r="B116" s="1110"/>
      <c r="C116" s="1110"/>
      <c r="D116" s="1110"/>
      <c r="E116" s="29"/>
      <c r="F116" s="29"/>
      <c r="G116" s="29"/>
      <c r="H116" s="29"/>
      <c r="I116" s="29"/>
    </row>
    <row r="117" spans="1:9" x14ac:dyDescent="0.2">
      <c r="A117" s="86"/>
      <c r="B117" s="1745" t="s">
        <v>1118</v>
      </c>
      <c r="C117" s="1745"/>
      <c r="D117" s="1496" t="s">
        <v>59</v>
      </c>
      <c r="E117" s="1496" t="s">
        <v>947</v>
      </c>
      <c r="F117" s="29"/>
      <c r="G117" s="29"/>
      <c r="H117" s="29"/>
      <c r="I117" s="29"/>
    </row>
    <row r="118" spans="1:9" x14ac:dyDescent="0.2">
      <c r="A118" s="676" t="s">
        <v>1253</v>
      </c>
      <c r="B118" s="1115" t="s">
        <v>1254</v>
      </c>
      <c r="C118" s="1115" t="s">
        <v>1255</v>
      </c>
      <c r="D118" s="1116">
        <v>42443</v>
      </c>
      <c r="E118" s="1496" t="s">
        <v>384</v>
      </c>
      <c r="F118" s="29"/>
      <c r="G118" s="29"/>
      <c r="H118" s="29"/>
      <c r="I118" s="29"/>
    </row>
    <row r="119" spans="1:9" ht="18" x14ac:dyDescent="0.25">
      <c r="A119" s="505"/>
      <c r="B119" s="1110"/>
      <c r="C119" s="1110"/>
      <c r="D119" s="1110"/>
      <c r="E119" s="29"/>
      <c r="F119" s="29"/>
      <c r="G119" s="29"/>
      <c r="H119" s="29"/>
      <c r="I119" s="29"/>
    </row>
    <row r="120" spans="1:9" ht="18" x14ac:dyDescent="0.25">
      <c r="A120" s="505"/>
      <c r="B120" s="1110"/>
      <c r="C120" s="1110"/>
      <c r="D120" s="1110"/>
      <c r="E120" s="29"/>
      <c r="F120" s="29"/>
      <c r="G120" s="29"/>
      <c r="H120" s="29"/>
      <c r="I120" s="29"/>
    </row>
    <row r="121" spans="1:9" ht="15" x14ac:dyDescent="0.2">
      <c r="A121" s="1124" t="s">
        <v>1145</v>
      </c>
      <c r="B121" s="1110"/>
      <c r="C121" s="1110"/>
      <c r="D121" s="1110"/>
      <c r="E121" s="29"/>
      <c r="F121" s="29"/>
      <c r="G121" s="29"/>
      <c r="H121" s="29"/>
      <c r="I121" s="29"/>
    </row>
    <row r="122" spans="1:9" ht="18" x14ac:dyDescent="0.25">
      <c r="A122" s="505"/>
      <c r="B122" s="1110"/>
      <c r="C122" s="1110"/>
      <c r="D122" s="1110"/>
      <c r="E122" s="29"/>
      <c r="F122" s="29"/>
      <c r="G122" s="29"/>
      <c r="H122" s="29"/>
      <c r="I122" s="29"/>
    </row>
    <row r="123" spans="1:9" ht="18" x14ac:dyDescent="0.25">
      <c r="A123" s="505"/>
      <c r="B123" s="1110"/>
      <c r="C123" s="1110"/>
      <c r="D123" s="1110"/>
      <c r="E123" s="29"/>
      <c r="F123" s="29"/>
      <c r="G123" s="29"/>
      <c r="H123" s="29"/>
      <c r="I123" s="29"/>
    </row>
    <row r="124" spans="1:9" x14ac:dyDescent="0.2">
      <c r="A124" s="86"/>
      <c r="B124" s="1745" t="s">
        <v>1118</v>
      </c>
      <c r="C124" s="1745"/>
      <c r="D124" s="1496" t="s">
        <v>1125</v>
      </c>
      <c r="E124" s="1496" t="s">
        <v>890</v>
      </c>
      <c r="F124" s="29"/>
      <c r="G124" s="29"/>
      <c r="H124" s="29"/>
      <c r="I124" s="29"/>
    </row>
    <row r="125" spans="1:9" x14ac:dyDescent="0.2">
      <c r="A125" s="676" t="s">
        <v>1257</v>
      </c>
      <c r="B125" s="1115" t="s">
        <v>1258</v>
      </c>
      <c r="C125" s="1115" t="s">
        <v>1259</v>
      </c>
      <c r="D125" s="1116">
        <v>42430</v>
      </c>
      <c r="E125" s="1496" t="s">
        <v>698</v>
      </c>
      <c r="F125" s="29"/>
      <c r="G125" s="29"/>
      <c r="H125" s="29"/>
      <c r="I125" s="29"/>
    </row>
    <row r="126" spans="1:9" x14ac:dyDescent="0.2">
      <c r="A126" s="676" t="s">
        <v>1261</v>
      </c>
      <c r="B126" s="1115" t="s">
        <v>1262</v>
      </c>
      <c r="C126" s="1115" t="s">
        <v>1263</v>
      </c>
      <c r="D126" s="1116">
        <v>42432</v>
      </c>
      <c r="E126" s="1496" t="s">
        <v>698</v>
      </c>
      <c r="F126" s="29"/>
      <c r="G126" s="29"/>
      <c r="H126" s="29"/>
      <c r="I126" s="29"/>
    </row>
    <row r="127" spans="1:9" ht="12" customHeight="1" x14ac:dyDescent="0.2">
      <c r="A127" s="676" t="s">
        <v>1260</v>
      </c>
      <c r="B127" s="1115" t="s">
        <v>1049</v>
      </c>
      <c r="C127" s="1115" t="s">
        <v>1267</v>
      </c>
      <c r="D127" s="1116">
        <v>42436</v>
      </c>
      <c r="E127" s="1496" t="s">
        <v>698</v>
      </c>
      <c r="F127" s="29"/>
      <c r="G127" s="29"/>
      <c r="H127" s="29"/>
      <c r="I127" s="29"/>
    </row>
    <row r="128" spans="1:9" ht="12" customHeight="1" x14ac:dyDescent="0.2">
      <c r="A128" s="676" t="s">
        <v>1268</v>
      </c>
      <c r="B128" s="1114" t="s">
        <v>1153</v>
      </c>
      <c r="C128" s="1115" t="s">
        <v>1237</v>
      </c>
      <c r="D128" s="1116">
        <v>42440</v>
      </c>
      <c r="E128" s="1496" t="s">
        <v>698</v>
      </c>
      <c r="F128" s="29"/>
      <c r="G128" s="29"/>
      <c r="H128" s="29"/>
      <c r="I128" s="29"/>
    </row>
    <row r="129" spans="1:9" x14ac:dyDescent="0.2">
      <c r="A129" s="676" t="s">
        <v>1264</v>
      </c>
      <c r="B129" s="1115" t="s">
        <v>1265</v>
      </c>
      <c r="C129" s="1115" t="s">
        <v>1266</v>
      </c>
      <c r="D129" s="1116">
        <v>42443</v>
      </c>
      <c r="E129" s="1496" t="s">
        <v>698</v>
      </c>
      <c r="F129" s="29"/>
      <c r="G129" s="29"/>
      <c r="H129" s="29"/>
      <c r="I129" s="29"/>
    </row>
    <row r="130" spans="1:9" x14ac:dyDescent="0.2">
      <c r="A130" s="482"/>
      <c r="B130" s="29"/>
      <c r="C130" s="1096"/>
      <c r="D130" s="1426"/>
      <c r="E130" s="1427"/>
      <c r="F130" s="29"/>
      <c r="G130" s="29"/>
      <c r="H130" s="29"/>
      <c r="I130" s="29"/>
    </row>
    <row r="131" spans="1:9" x14ac:dyDescent="0.2">
      <c r="A131" s="86"/>
      <c r="B131" s="29"/>
      <c r="C131" s="29"/>
      <c r="D131" s="29"/>
      <c r="E131" s="29"/>
      <c r="F131" s="29"/>
      <c r="G131" s="29"/>
      <c r="H131" s="29"/>
      <c r="I131" s="29"/>
    </row>
    <row r="132" spans="1:9" x14ac:dyDescent="0.2">
      <c r="A132" s="86"/>
      <c r="B132" s="29"/>
      <c r="C132" s="29"/>
      <c r="D132" s="29"/>
      <c r="E132" s="29"/>
      <c r="F132" s="29"/>
      <c r="G132" s="29"/>
      <c r="H132" s="29"/>
      <c r="I132" s="29"/>
    </row>
    <row r="133" spans="1:9" x14ac:dyDescent="0.2">
      <c r="A133" s="86"/>
      <c r="B133" s="29"/>
      <c r="C133" s="29"/>
      <c r="D133" s="29"/>
      <c r="E133" s="29"/>
      <c r="F133" s="29"/>
      <c r="G133" s="29"/>
      <c r="H133" s="29"/>
      <c r="I133" s="29"/>
    </row>
    <row r="134" spans="1:9" x14ac:dyDescent="0.2">
      <c r="A134" s="86"/>
      <c r="B134" s="29"/>
      <c r="C134" s="29"/>
      <c r="D134" s="29"/>
      <c r="E134" s="29"/>
      <c r="F134" s="29"/>
      <c r="G134" s="29"/>
      <c r="H134" s="29"/>
      <c r="I134" s="29"/>
    </row>
    <row r="135" spans="1:9" x14ac:dyDescent="0.2">
      <c r="A135" s="86"/>
      <c r="B135" s="29"/>
      <c r="C135" s="29"/>
      <c r="D135" s="29"/>
      <c r="E135" s="29"/>
      <c r="F135" s="29"/>
      <c r="G135" s="29"/>
      <c r="H135" s="29"/>
      <c r="I135" s="29"/>
    </row>
    <row r="136" spans="1:9" x14ac:dyDescent="0.2">
      <c r="A136" s="86"/>
      <c r="B136" s="29"/>
      <c r="C136" s="29"/>
      <c r="D136" s="29"/>
      <c r="E136" s="29"/>
      <c r="F136" s="29"/>
      <c r="G136" s="29"/>
      <c r="H136" s="29"/>
      <c r="I136" s="29"/>
    </row>
    <row r="137" spans="1:9" x14ac:dyDescent="0.2">
      <c r="A137" s="86"/>
      <c r="B137" s="29"/>
      <c r="C137" s="29"/>
      <c r="D137" s="29"/>
      <c r="E137" s="29"/>
      <c r="F137" s="29"/>
      <c r="G137" s="29"/>
      <c r="H137" s="29"/>
      <c r="I137" s="29"/>
    </row>
    <row r="138" spans="1:9" x14ac:dyDescent="0.2">
      <c r="A138" s="86"/>
      <c r="B138" s="29"/>
      <c r="C138" s="29"/>
      <c r="D138" s="29"/>
      <c r="E138" s="29"/>
      <c r="F138" s="29"/>
      <c r="G138" s="29"/>
      <c r="H138" s="29"/>
      <c r="I138" s="29"/>
    </row>
    <row r="139" spans="1:9" x14ac:dyDescent="0.2">
      <c r="A139" s="86"/>
      <c r="B139" s="29"/>
      <c r="C139" s="29"/>
      <c r="D139" s="29"/>
      <c r="E139" s="29"/>
      <c r="F139" s="29"/>
      <c r="G139" s="29"/>
      <c r="H139" s="29"/>
      <c r="I139" s="29"/>
    </row>
    <row r="140" spans="1:9" x14ac:dyDescent="0.2">
      <c r="A140" s="86"/>
      <c r="B140" s="29"/>
      <c r="C140" s="29"/>
      <c r="D140" s="29"/>
      <c r="E140" s="29"/>
      <c r="F140" s="29"/>
      <c r="G140" s="29"/>
      <c r="H140" s="29"/>
      <c r="I140" s="29"/>
    </row>
    <row r="142" spans="1:9" x14ac:dyDescent="0.2">
      <c r="A142" s="62" t="s">
        <v>838</v>
      </c>
    </row>
    <row r="143" spans="1:9" x14ac:dyDescent="0.2">
      <c r="A143" s="577" t="s">
        <v>1050</v>
      </c>
    </row>
    <row r="144" spans="1:9" x14ac:dyDescent="0.2">
      <c r="A144" s="577" t="s">
        <v>1052</v>
      </c>
    </row>
    <row r="145" spans="1:1" x14ac:dyDescent="0.2">
      <c r="A145" s="577" t="s">
        <v>1051</v>
      </c>
    </row>
    <row r="146" spans="1:1" x14ac:dyDescent="0.2">
      <c r="A146" s="577" t="s">
        <v>1054</v>
      </c>
    </row>
    <row r="147" spans="1:1" x14ac:dyDescent="0.2">
      <c r="A147" s="577" t="s">
        <v>1055</v>
      </c>
    </row>
    <row r="149" spans="1:1" x14ac:dyDescent="0.2">
      <c r="A149" s="1071" t="s">
        <v>852</v>
      </c>
    </row>
    <row r="150" spans="1:1" x14ac:dyDescent="0.2">
      <c r="A150" s="577" t="s">
        <v>1051</v>
      </c>
    </row>
    <row r="151" spans="1:1" x14ac:dyDescent="0.2">
      <c r="A151" s="577" t="s">
        <v>1056</v>
      </c>
    </row>
    <row r="152" spans="1:1" x14ac:dyDescent="0.2">
      <c r="A152" s="577" t="s">
        <v>1057</v>
      </c>
    </row>
    <row r="154" spans="1:1" x14ac:dyDescent="0.2">
      <c r="A154" s="1071" t="s">
        <v>874</v>
      </c>
    </row>
    <row r="155" spans="1:1" x14ac:dyDescent="0.2">
      <c r="A155" s="577" t="s">
        <v>1050</v>
      </c>
    </row>
    <row r="156" spans="1:1" x14ac:dyDescent="0.2">
      <c r="A156" s="577" t="s">
        <v>1058</v>
      </c>
    </row>
    <row r="157" spans="1:1" x14ac:dyDescent="0.2">
      <c r="A157" s="577" t="s">
        <v>1059</v>
      </c>
    </row>
    <row r="158" spans="1:1" x14ac:dyDescent="0.2">
      <c r="A158" s="577" t="s">
        <v>1060</v>
      </c>
    </row>
    <row r="159" spans="1:1" x14ac:dyDescent="0.2">
      <c r="A159" s="577" t="s">
        <v>1061</v>
      </c>
    </row>
    <row r="160" spans="1:1" x14ac:dyDescent="0.2">
      <c r="A160" s="577" t="s">
        <v>1062</v>
      </c>
    </row>
    <row r="162" spans="1:3" x14ac:dyDescent="0.2">
      <c r="A162" s="577" t="s">
        <v>905</v>
      </c>
    </row>
    <row r="163" spans="1:3" x14ac:dyDescent="0.2">
      <c r="A163" s="577" t="s">
        <v>1050</v>
      </c>
    </row>
    <row r="164" spans="1:3" x14ac:dyDescent="0.2">
      <c r="A164" s="577" t="s">
        <v>1065</v>
      </c>
    </row>
    <row r="165" spans="1:3" x14ac:dyDescent="0.2">
      <c r="A165" s="577" t="s">
        <v>1064</v>
      </c>
    </row>
    <row r="166" spans="1:3" x14ac:dyDescent="0.2">
      <c r="A166" s="577" t="s">
        <v>1063</v>
      </c>
    </row>
    <row r="170" spans="1:3" x14ac:dyDescent="0.2">
      <c r="A170" s="62" t="s">
        <v>1087</v>
      </c>
    </row>
    <row r="171" spans="1:3" x14ac:dyDescent="0.2">
      <c r="B171" s="568" t="s">
        <v>1088</v>
      </c>
      <c r="C171" s="568" t="s">
        <v>1089</v>
      </c>
    </row>
    <row r="172" spans="1:3" x14ac:dyDescent="0.2">
      <c r="A172" s="483" t="s">
        <v>1076</v>
      </c>
      <c r="B172" s="25">
        <v>447000</v>
      </c>
      <c r="C172" s="25">
        <f>+B172/12</f>
        <v>37250</v>
      </c>
    </row>
    <row r="173" spans="1:3" x14ac:dyDescent="0.2">
      <c r="A173" s="483" t="s">
        <v>1077</v>
      </c>
      <c r="B173" s="25">
        <v>2185</v>
      </c>
      <c r="C173" s="25">
        <f t="shared" ref="C173:C184" si="12">+B173/12</f>
        <v>182.08333333333334</v>
      </c>
    </row>
    <row r="174" spans="1:3" x14ac:dyDescent="0.2">
      <c r="A174" s="483" t="s">
        <v>1078</v>
      </c>
      <c r="B174" s="25">
        <v>10881</v>
      </c>
      <c r="C174" s="25">
        <f t="shared" si="12"/>
        <v>906.75</v>
      </c>
    </row>
    <row r="175" spans="1:3" x14ac:dyDescent="0.2">
      <c r="A175" s="483" t="s">
        <v>1079</v>
      </c>
      <c r="B175" s="25">
        <v>70938</v>
      </c>
      <c r="C175" s="25">
        <f t="shared" si="12"/>
        <v>5911.5</v>
      </c>
    </row>
    <row r="176" spans="1:3" x14ac:dyDescent="0.2">
      <c r="A176" s="483" t="s">
        <v>1080</v>
      </c>
      <c r="B176" s="25">
        <v>21728</v>
      </c>
      <c r="C176" s="25">
        <f t="shared" si="12"/>
        <v>1810.6666666666667</v>
      </c>
    </row>
    <row r="177" spans="1:4" x14ac:dyDescent="0.2">
      <c r="A177" s="483" t="s">
        <v>1081</v>
      </c>
      <c r="B177" s="25">
        <f>229323*0.85</f>
        <v>194924.55</v>
      </c>
      <c r="C177" s="25">
        <v>26000</v>
      </c>
    </row>
    <row r="178" spans="1:4" x14ac:dyDescent="0.2">
      <c r="A178" s="483" t="s">
        <v>1082</v>
      </c>
      <c r="B178" s="25">
        <v>20870</v>
      </c>
      <c r="C178" s="25">
        <f t="shared" si="12"/>
        <v>1739.1666666666667</v>
      </c>
    </row>
    <row r="179" spans="1:4" x14ac:dyDescent="0.2">
      <c r="A179" s="483" t="s">
        <v>1083</v>
      </c>
      <c r="B179" s="25">
        <v>67582</v>
      </c>
      <c r="C179" s="25">
        <f t="shared" si="12"/>
        <v>5631.833333333333</v>
      </c>
    </row>
    <row r="180" spans="1:4" x14ac:dyDescent="0.2">
      <c r="A180" s="483" t="s">
        <v>1084</v>
      </c>
      <c r="B180" s="1083">
        <f>55651*0.95</f>
        <v>52868.45</v>
      </c>
      <c r="C180" s="25"/>
    </row>
    <row r="181" spans="1:4" x14ac:dyDescent="0.2">
      <c r="A181" s="483" t="s">
        <v>1085</v>
      </c>
      <c r="B181" s="25">
        <v>32647</v>
      </c>
      <c r="C181" s="25">
        <f t="shared" si="12"/>
        <v>2720.5833333333335</v>
      </c>
    </row>
    <row r="182" spans="1:4" x14ac:dyDescent="0.2">
      <c r="A182" s="483" t="s">
        <v>1086</v>
      </c>
      <c r="B182" s="25">
        <f>69599+80674</f>
        <v>150273</v>
      </c>
      <c r="C182" s="25">
        <f t="shared" si="12"/>
        <v>12522.75</v>
      </c>
    </row>
    <row r="183" spans="1:4" x14ac:dyDescent="0.2">
      <c r="A183" s="483" t="s">
        <v>1091</v>
      </c>
      <c r="B183" s="25">
        <v>780198</v>
      </c>
      <c r="C183" s="25">
        <f t="shared" si="12"/>
        <v>65016.5</v>
      </c>
    </row>
    <row r="184" spans="1:4" x14ac:dyDescent="0.2">
      <c r="A184" s="483" t="s">
        <v>961</v>
      </c>
      <c r="B184" s="25">
        <v>480704</v>
      </c>
      <c r="C184" s="25">
        <f t="shared" si="12"/>
        <v>40058.666666666664</v>
      </c>
    </row>
    <row r="185" spans="1:4" x14ac:dyDescent="0.2">
      <c r="A185" s="483" t="s">
        <v>1090</v>
      </c>
      <c r="B185" s="25">
        <v>232000</v>
      </c>
      <c r="C185" s="25">
        <f>+B185/12</f>
        <v>19333.333333333332</v>
      </c>
    </row>
    <row r="186" spans="1:4" x14ac:dyDescent="0.2">
      <c r="A186" s="483"/>
      <c r="B186" s="25"/>
      <c r="C186" s="25"/>
    </row>
    <row r="188" spans="1:4" x14ac:dyDescent="0.2">
      <c r="A188" s="483" t="s">
        <v>888</v>
      </c>
      <c r="B188" s="495">
        <f>SUM(B172:B187)</f>
        <v>2564799</v>
      </c>
      <c r="C188" s="495">
        <f>SUM(C172:C187)</f>
        <v>219083.83333333331</v>
      </c>
      <c r="D188" s="495">
        <f>+C188*3</f>
        <v>657251.5</v>
      </c>
    </row>
    <row r="189" spans="1:4" x14ac:dyDescent="0.2">
      <c r="B189" s="194">
        <f>SUM(B172:B184)/12</f>
        <v>194399.91666666666</v>
      </c>
      <c r="C189" s="495">
        <f>SUM(C172:C184)</f>
        <v>199750.49999999997</v>
      </c>
      <c r="D189" s="495">
        <f>+C189</f>
        <v>199750.49999999997</v>
      </c>
    </row>
    <row r="190" spans="1:4" x14ac:dyDescent="0.2">
      <c r="B190" s="194">
        <f>+B189+B185/4</f>
        <v>252399.91666666666</v>
      </c>
      <c r="C190" s="194">
        <f>C189+C185*3</f>
        <v>257750.49999999997</v>
      </c>
    </row>
    <row r="192" spans="1:4" x14ac:dyDescent="0.2">
      <c r="B192" s="194">
        <f>+B189*8+B190*4</f>
        <v>2564799</v>
      </c>
      <c r="C192" s="25">
        <f>50000+40000+26000+58000/3</f>
        <v>135333.33333333334</v>
      </c>
    </row>
  </sheetData>
  <mergeCells count="5">
    <mergeCell ref="B93:C93"/>
    <mergeCell ref="B98:C98"/>
    <mergeCell ref="B106:C106"/>
    <mergeCell ref="B117:C117"/>
    <mergeCell ref="B124:C124"/>
  </mergeCells>
  <pageMargins left="1.9685039370078741" right="0.39370078740157483" top="0.19685039370078741" bottom="0.78740157480314965" header="0.51181102362204722" footer="0"/>
  <pageSetup paperSize="9" scale="6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399"/>
  <sheetViews>
    <sheetView tabSelected="1" topLeftCell="R19" workbookViewId="0">
      <pane ySplit="2355" topLeftCell="A64" activePane="bottomLeft"/>
      <selection activeCell="B1" sqref="B1:B1048576"/>
      <selection pane="bottomLeft" activeCell="C88" sqref="C88"/>
    </sheetView>
  </sheetViews>
  <sheetFormatPr defaultColWidth="11.42578125" defaultRowHeight="12.75" x14ac:dyDescent="0.2"/>
  <cols>
    <col min="1" max="1" width="37.42578125" style="1209" customWidth="1"/>
    <col min="2" max="2" width="13.7109375" style="1209" customWidth="1"/>
    <col min="3" max="3" width="14" style="1209" customWidth="1"/>
    <col min="4" max="4" width="14.28515625" style="1209" customWidth="1"/>
    <col min="5" max="5" width="14.42578125" style="1209" bestFit="1" customWidth="1"/>
    <col min="6" max="6" width="12.7109375" style="1209" customWidth="1"/>
    <col min="7" max="7" width="13.85546875" style="1209" customWidth="1"/>
    <col min="8" max="8" width="13" style="1209" customWidth="1"/>
    <col min="9" max="9" width="11.7109375" style="1209" customWidth="1"/>
    <col min="10" max="11" width="10.85546875" style="1209" customWidth="1"/>
    <col min="12" max="12" width="11.85546875" style="1209" customWidth="1"/>
    <col min="13" max="13" width="10.85546875" style="1209" customWidth="1"/>
    <col min="14" max="14" width="10.28515625" style="1209" customWidth="1"/>
    <col min="15" max="15" width="10.85546875" style="1209" customWidth="1"/>
    <col min="16" max="16" width="10.85546875" style="1320" customWidth="1"/>
    <col min="17" max="17" width="12.28515625" style="1209" customWidth="1"/>
    <col min="18" max="18" width="11.85546875" style="1209" customWidth="1"/>
    <col min="19" max="19" width="11.42578125" style="1209"/>
    <col min="20" max="20" width="14" style="1209" customWidth="1"/>
    <col min="21" max="21" width="14.140625" style="1209" customWidth="1"/>
    <col min="22" max="22" width="11.85546875" style="1209" bestFit="1" customWidth="1"/>
    <col min="23" max="26" width="11.85546875" style="1209" customWidth="1"/>
    <col min="27" max="27" width="13.7109375" style="1209" customWidth="1"/>
    <col min="28" max="31" width="12.42578125" style="1209" customWidth="1"/>
    <col min="32" max="32" width="12" style="1209" customWidth="1"/>
    <col min="33" max="33" width="13.5703125" style="1209" customWidth="1"/>
    <col min="34" max="34" width="13.85546875" style="1209" bestFit="1" customWidth="1"/>
    <col min="35" max="35" width="11.85546875" style="1209" bestFit="1" customWidth="1"/>
    <col min="36" max="39" width="11.42578125" style="1209"/>
    <col min="40" max="40" width="13.85546875" style="1209" bestFit="1" customWidth="1"/>
    <col min="41" max="41" width="11.42578125" style="1209"/>
    <col min="42" max="42" width="13.85546875" style="1209" bestFit="1" customWidth="1"/>
    <col min="43" max="16384" width="11.42578125" style="1209"/>
  </cols>
  <sheetData>
    <row r="1" spans="1:36" x14ac:dyDescent="0.2">
      <c r="A1" s="1206" t="s">
        <v>693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8"/>
      <c r="Q1" s="1207"/>
      <c r="R1" s="1207"/>
      <c r="S1" s="1207"/>
      <c r="T1" s="1207"/>
      <c r="U1" s="1207"/>
      <c r="V1" s="1207"/>
      <c r="W1" s="1207"/>
      <c r="X1" s="1207"/>
      <c r="Y1" s="1207"/>
      <c r="Z1" s="1207"/>
      <c r="AA1" s="1207"/>
      <c r="AB1" s="1207"/>
      <c r="AC1" s="1207"/>
      <c r="AD1" s="1207"/>
      <c r="AE1" s="1207"/>
      <c r="AF1" s="1207"/>
      <c r="AG1" s="1207"/>
      <c r="AH1" s="1207"/>
    </row>
    <row r="2" spans="1:36" x14ac:dyDescent="0.2">
      <c r="A2" s="1210" t="s">
        <v>694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8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</row>
    <row r="3" spans="1:36" x14ac:dyDescent="0.2">
      <c r="A3" s="1210" t="s">
        <v>680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</row>
    <row r="4" spans="1:36" x14ac:dyDescent="0.2">
      <c r="A4" s="1207"/>
      <c r="B4" s="1207"/>
      <c r="C4" s="1707"/>
      <c r="D4" s="1707"/>
      <c r="E4" s="1707"/>
      <c r="F4" s="1707"/>
      <c r="G4" s="1707"/>
      <c r="H4" s="1707"/>
      <c r="I4" s="1707"/>
      <c r="J4" s="1707"/>
      <c r="K4" s="1707"/>
      <c r="L4" s="1707"/>
      <c r="M4" s="1707"/>
      <c r="N4" s="1707"/>
      <c r="O4" s="1707"/>
      <c r="P4" s="1212"/>
      <c r="Q4" s="1707"/>
      <c r="R4" s="1707"/>
      <c r="S4" s="1707"/>
      <c r="T4" s="1707"/>
      <c r="U4" s="1707"/>
      <c r="V4" s="1707"/>
      <c r="W4" s="1707"/>
      <c r="X4" s="1707"/>
      <c r="Y4" s="1707"/>
      <c r="Z4" s="1707"/>
      <c r="AA4" s="1707"/>
      <c r="AB4" s="1707"/>
      <c r="AC4" s="1707"/>
      <c r="AD4" s="1707"/>
      <c r="AE4" s="1707"/>
      <c r="AF4" s="1707"/>
      <c r="AG4" s="1707"/>
      <c r="AH4" s="1207"/>
    </row>
    <row r="5" spans="1:36" x14ac:dyDescent="0.2">
      <c r="A5" s="1213" t="s">
        <v>689</v>
      </c>
      <c r="B5" s="1214" t="s">
        <v>132</v>
      </c>
      <c r="C5" s="1215">
        <f t="shared" ref="C5:AG5" si="0">C6+C7+C8+C9</f>
        <v>-380776.58400000003</v>
      </c>
      <c r="D5" s="1215">
        <f t="shared" si="0"/>
        <v>-475060.51400000008</v>
      </c>
      <c r="E5" s="1215">
        <f t="shared" si="0"/>
        <v>-378467.96299999999</v>
      </c>
      <c r="F5" s="1215">
        <f t="shared" si="0"/>
        <v>-231025.73100000003</v>
      </c>
      <c r="G5" s="1215">
        <f t="shared" si="0"/>
        <v>-195808.16900000005</v>
      </c>
      <c r="H5" s="1215">
        <f t="shared" si="0"/>
        <v>-200228.36300000001</v>
      </c>
      <c r="I5" s="1215">
        <f t="shared" si="0"/>
        <v>-230537.04500000004</v>
      </c>
      <c r="J5" s="1216">
        <f t="shared" si="0"/>
        <v>-220343.04400000005</v>
      </c>
      <c r="K5" s="1216">
        <f t="shared" si="0"/>
        <v>-208683.19800000003</v>
      </c>
      <c r="L5" s="1215">
        <f t="shared" si="0"/>
        <v>-206073.07200000004</v>
      </c>
      <c r="M5" s="1215">
        <f t="shared" si="0"/>
        <v>-202333.96200000006</v>
      </c>
      <c r="N5" s="1215">
        <f t="shared" si="0"/>
        <v>-190358.03400000004</v>
      </c>
      <c r="O5" s="1215">
        <f t="shared" si="0"/>
        <v>-204810.04400000005</v>
      </c>
      <c r="P5" s="1217">
        <f t="shared" si="0"/>
        <v>-167004.78400000004</v>
      </c>
      <c r="Q5" s="1215">
        <f t="shared" si="0"/>
        <v>-183931.69100000005</v>
      </c>
      <c r="R5" s="1215">
        <f t="shared" si="0"/>
        <v>-198497.50200000004</v>
      </c>
      <c r="S5" s="1215">
        <f t="shared" si="0"/>
        <v>-194432.26800000004</v>
      </c>
      <c r="T5" s="1215">
        <f t="shared" si="0"/>
        <v>-180536.91500000004</v>
      </c>
      <c r="U5" s="1215">
        <f t="shared" si="0"/>
        <v>-147211.64500000005</v>
      </c>
      <c r="V5" s="1215">
        <f t="shared" si="0"/>
        <v>-181289.75600000005</v>
      </c>
      <c r="W5" s="1215">
        <f t="shared" si="0"/>
        <v>-191825.17200000005</v>
      </c>
      <c r="X5" s="1215">
        <f t="shared" si="0"/>
        <v>-184425.17200000005</v>
      </c>
      <c r="Y5" s="1215">
        <f t="shared" si="0"/>
        <v>-216253.01500000004</v>
      </c>
      <c r="Z5" s="1215">
        <f t="shared" si="0"/>
        <v>-194627.07400000002</v>
      </c>
      <c r="AA5" s="1215">
        <f t="shared" si="0"/>
        <v>-182909.38700000002</v>
      </c>
      <c r="AB5" s="1215">
        <f t="shared" si="0"/>
        <v>-191312.32900000003</v>
      </c>
      <c r="AC5" s="1215">
        <f t="shared" si="0"/>
        <v>-212716.86900000004</v>
      </c>
      <c r="AD5" s="1215">
        <f t="shared" si="0"/>
        <v>-235802.71100000001</v>
      </c>
      <c r="AE5" s="1215">
        <f t="shared" si="0"/>
        <v>-396142.01500000007</v>
      </c>
      <c r="AF5" s="1215">
        <f t="shared" si="0"/>
        <v>-441062.52999999997</v>
      </c>
      <c r="AG5" s="1215">
        <f t="shared" si="0"/>
        <v>-441062.52999999997</v>
      </c>
      <c r="AH5" s="1207"/>
    </row>
    <row r="6" spans="1:36" x14ac:dyDescent="0.2">
      <c r="A6" s="1218">
        <v>100000</v>
      </c>
      <c r="B6" s="1207" t="s">
        <v>690</v>
      </c>
      <c r="C6" s="1219">
        <f t="shared" ref="C6:AF6" si="1">C70</f>
        <v>-334600.35500000004</v>
      </c>
      <c r="D6" s="1219">
        <f t="shared" si="1"/>
        <v>-327014.35500000004</v>
      </c>
      <c r="E6" s="1219">
        <f t="shared" si="1"/>
        <v>-237193.32000000007</v>
      </c>
      <c r="F6" s="1219">
        <f t="shared" si="1"/>
        <v>-53128.204000000056</v>
      </c>
      <c r="G6" s="1219">
        <f t="shared" si="1"/>
        <v>-78910.929000000062</v>
      </c>
      <c r="H6" s="1219">
        <f t="shared" si="1"/>
        <v>-83331.123000000065</v>
      </c>
      <c r="I6" s="1219">
        <f t="shared" si="1"/>
        <v>-75739.805000000066</v>
      </c>
      <c r="J6" s="1220">
        <f t="shared" si="1"/>
        <v>-65545.804000000062</v>
      </c>
      <c r="K6" s="1220">
        <f t="shared" si="1"/>
        <v>-53885.958000000064</v>
      </c>
      <c r="L6" s="1219">
        <f t="shared" si="1"/>
        <v>-51275.832000000053</v>
      </c>
      <c r="M6" s="1219">
        <f t="shared" si="1"/>
        <v>-47536.722000000053</v>
      </c>
      <c r="N6" s="1219">
        <f t="shared" si="1"/>
        <v>-35560.794000000053</v>
      </c>
      <c r="O6" s="1219">
        <f t="shared" si="1"/>
        <v>-50012.434000000059</v>
      </c>
      <c r="P6" s="1221">
        <f t="shared" si="1"/>
        <v>-12206.887000000064</v>
      </c>
      <c r="Q6" s="1219">
        <f t="shared" si="1"/>
        <v>-29133.794000000056</v>
      </c>
      <c r="R6" s="1219">
        <f t="shared" si="1"/>
        <v>-43699.605000000061</v>
      </c>
      <c r="S6" s="1219">
        <f t="shared" si="1"/>
        <v>-39634.371000000057</v>
      </c>
      <c r="T6" s="1219">
        <f t="shared" si="1"/>
        <v>-25739.018000000055</v>
      </c>
      <c r="U6" s="1219">
        <f t="shared" si="1"/>
        <v>42586.251999999942</v>
      </c>
      <c r="V6" s="1219">
        <f t="shared" si="1"/>
        <v>11933.524999999951</v>
      </c>
      <c r="W6" s="1219">
        <f t="shared" si="1"/>
        <v>1398.1089999999513</v>
      </c>
      <c r="X6" s="1219">
        <f t="shared" si="1"/>
        <v>8798.1089999999513</v>
      </c>
      <c r="Y6" s="1219">
        <f t="shared" si="1"/>
        <v>-23029.73400000004</v>
      </c>
      <c r="Z6" s="1219">
        <f t="shared" si="1"/>
        <v>-1403.7930000000342</v>
      </c>
      <c r="AA6" s="1219">
        <f t="shared" si="1"/>
        <v>10313.893999999967</v>
      </c>
      <c r="AB6" s="1219">
        <f t="shared" si="1"/>
        <v>1910.9519999999648</v>
      </c>
      <c r="AC6" s="1219">
        <f t="shared" si="1"/>
        <v>-19493.588000000036</v>
      </c>
      <c r="AD6" s="1219">
        <f t="shared" si="1"/>
        <v>-42579.430000000029</v>
      </c>
      <c r="AE6" s="1219">
        <f t="shared" si="1"/>
        <v>-47633.358000000029</v>
      </c>
      <c r="AF6" s="1219">
        <f t="shared" si="1"/>
        <v>-86337.638999999952</v>
      </c>
      <c r="AG6" s="1219">
        <f>AG70</f>
        <v>-86337.638999999952</v>
      </c>
      <c r="AH6" s="1207"/>
    </row>
    <row r="7" spans="1:36" x14ac:dyDescent="0.2">
      <c r="A7" s="1218">
        <v>25000</v>
      </c>
      <c r="B7" s="1207" t="s">
        <v>666</v>
      </c>
      <c r="C7" s="1219">
        <f t="shared" ref="C7:AG7" si="2">C184</f>
        <v>-133972.247</v>
      </c>
      <c r="D7" s="1219">
        <f t="shared" si="2"/>
        <v>-133972.247</v>
      </c>
      <c r="E7" s="1219">
        <f t="shared" si="2"/>
        <v>-133972.247</v>
      </c>
      <c r="F7" s="1219">
        <f t="shared" si="2"/>
        <v>-133972.247</v>
      </c>
      <c r="G7" s="1219">
        <f t="shared" si="2"/>
        <v>-72972.247000000003</v>
      </c>
      <c r="H7" s="1219">
        <f t="shared" si="2"/>
        <v>-72972.247000000003</v>
      </c>
      <c r="I7" s="1219">
        <f t="shared" si="2"/>
        <v>-72972.247000000003</v>
      </c>
      <c r="J7" s="1220">
        <f t="shared" si="2"/>
        <v>-72972.247000000003</v>
      </c>
      <c r="K7" s="1220">
        <f t="shared" si="2"/>
        <v>-72972.247000000003</v>
      </c>
      <c r="L7" s="1219">
        <f t="shared" si="2"/>
        <v>-72972.247000000003</v>
      </c>
      <c r="M7" s="1219">
        <f t="shared" si="2"/>
        <v>-72972.247000000003</v>
      </c>
      <c r="N7" s="1219">
        <f t="shared" si="2"/>
        <v>-72972.247000000003</v>
      </c>
      <c r="O7" s="1219">
        <f t="shared" si="2"/>
        <v>-72972.247000000003</v>
      </c>
      <c r="P7" s="1221">
        <f t="shared" si="2"/>
        <v>-72972.247000000003</v>
      </c>
      <c r="Q7" s="1219">
        <f t="shared" si="2"/>
        <v>-72972.247000000003</v>
      </c>
      <c r="R7" s="1219">
        <f t="shared" si="2"/>
        <v>-72972.247000000003</v>
      </c>
      <c r="S7" s="1222">
        <f t="shared" si="2"/>
        <v>-72972.247000000003</v>
      </c>
      <c r="T7" s="1219">
        <f t="shared" si="2"/>
        <v>-72972.247000000003</v>
      </c>
      <c r="U7" s="1219">
        <f t="shared" si="2"/>
        <v>-72972.247000000003</v>
      </c>
      <c r="V7" s="1219">
        <f t="shared" si="2"/>
        <v>-72972.247000000003</v>
      </c>
      <c r="W7" s="1219">
        <f t="shared" si="2"/>
        <v>-72972.247000000003</v>
      </c>
      <c r="X7" s="1219">
        <f t="shared" si="2"/>
        <v>-72972.247000000003</v>
      </c>
      <c r="Y7" s="1219">
        <f t="shared" si="2"/>
        <v>-72972.247000000003</v>
      </c>
      <c r="Z7" s="1219">
        <f t="shared" si="2"/>
        <v>-72972.247000000003</v>
      </c>
      <c r="AA7" s="1219">
        <f t="shared" si="2"/>
        <v>-72972.247000000003</v>
      </c>
      <c r="AB7" s="1219">
        <f t="shared" si="2"/>
        <v>-72972.247000000003</v>
      </c>
      <c r="AC7" s="1219">
        <f t="shared" si="2"/>
        <v>-72972.247000000003</v>
      </c>
      <c r="AD7" s="1219">
        <f t="shared" si="2"/>
        <v>-72972.247000000003</v>
      </c>
      <c r="AE7" s="1219">
        <f t="shared" si="2"/>
        <v>-72972.247000000003</v>
      </c>
      <c r="AF7" s="1219">
        <f t="shared" si="2"/>
        <v>-72972.247000000003</v>
      </c>
      <c r="AG7" s="1219">
        <f t="shared" si="2"/>
        <v>-72972.247000000003</v>
      </c>
      <c r="AH7" s="1207"/>
    </row>
    <row r="8" spans="1:36" x14ac:dyDescent="0.2">
      <c r="A8" s="1218">
        <v>25000</v>
      </c>
      <c r="B8" s="1207" t="s">
        <v>667</v>
      </c>
      <c r="C8" s="1219">
        <f t="shared" ref="C8:AG8" si="3">C247</f>
        <v>139501.23300000001</v>
      </c>
      <c r="D8" s="1219">
        <f t="shared" si="3"/>
        <v>67631.303000000014</v>
      </c>
      <c r="E8" s="1219">
        <f t="shared" si="3"/>
        <v>74402.819000000018</v>
      </c>
      <c r="F8" s="1219">
        <f t="shared" si="3"/>
        <v>37779.935000000019</v>
      </c>
      <c r="G8" s="1219">
        <f t="shared" si="3"/>
        <v>37779.935000000019</v>
      </c>
      <c r="H8" s="1219">
        <f t="shared" si="3"/>
        <v>37779.935000000019</v>
      </c>
      <c r="I8" s="1222">
        <f t="shared" si="3"/>
        <v>37779.935000000019</v>
      </c>
      <c r="J8" s="1220">
        <f t="shared" si="3"/>
        <v>37779.935000000019</v>
      </c>
      <c r="K8" s="1220">
        <f t="shared" si="3"/>
        <v>37779.935000000019</v>
      </c>
      <c r="L8" s="1219">
        <f t="shared" si="3"/>
        <v>37779.935000000019</v>
      </c>
      <c r="M8" s="1219">
        <f t="shared" si="3"/>
        <v>37779.935000000019</v>
      </c>
      <c r="N8" s="1219">
        <f t="shared" si="3"/>
        <v>37779.935000000019</v>
      </c>
      <c r="O8" s="1219">
        <f t="shared" si="3"/>
        <v>37779.935000000019</v>
      </c>
      <c r="P8" s="1221">
        <f t="shared" si="3"/>
        <v>37779.935000000019</v>
      </c>
      <c r="Q8" s="1219">
        <f t="shared" si="3"/>
        <v>37779.935000000019</v>
      </c>
      <c r="R8" s="1219">
        <f t="shared" si="3"/>
        <v>37779.935000000019</v>
      </c>
      <c r="S8" s="1219">
        <f t="shared" si="3"/>
        <v>37779.935000000019</v>
      </c>
      <c r="T8" s="1219">
        <f t="shared" si="3"/>
        <v>37779.935000000019</v>
      </c>
      <c r="U8" s="1219">
        <f t="shared" si="3"/>
        <v>2779.9350000000195</v>
      </c>
      <c r="V8" s="1219">
        <f t="shared" si="3"/>
        <v>2779.9350000000195</v>
      </c>
      <c r="W8" s="1219">
        <f t="shared" si="3"/>
        <v>2779.9350000000195</v>
      </c>
      <c r="X8" s="1219">
        <f t="shared" si="3"/>
        <v>2779.9350000000195</v>
      </c>
      <c r="Y8" s="1219">
        <f t="shared" si="3"/>
        <v>2779.9350000000195</v>
      </c>
      <c r="Z8" s="1219">
        <f t="shared" si="3"/>
        <v>2779.9350000000195</v>
      </c>
      <c r="AA8" s="1219">
        <f t="shared" si="3"/>
        <v>2779.9350000000195</v>
      </c>
      <c r="AB8" s="1219">
        <f t="shared" si="3"/>
        <v>2779.9350000000195</v>
      </c>
      <c r="AC8" s="1219">
        <f t="shared" si="3"/>
        <v>2779.9350000000195</v>
      </c>
      <c r="AD8" s="1219">
        <f t="shared" si="3"/>
        <v>2779.9350000000195</v>
      </c>
      <c r="AE8" s="1219">
        <f t="shared" si="3"/>
        <v>-7505.4409999999807</v>
      </c>
      <c r="AF8" s="1219">
        <f t="shared" si="3"/>
        <v>-7505.4409999999807</v>
      </c>
      <c r="AG8" s="1219">
        <f t="shared" si="3"/>
        <v>-7505.4409999999807</v>
      </c>
      <c r="AH8" s="1207"/>
      <c r="AJ8" s="1223"/>
    </row>
    <row r="9" spans="1:36" x14ac:dyDescent="0.2">
      <c r="A9" s="1218">
        <v>20000</v>
      </c>
      <c r="B9" s="1207" t="s">
        <v>691</v>
      </c>
      <c r="C9" s="1219">
        <f t="shared" ref="C9:AG9" si="4">C311</f>
        <v>-51705.214999999997</v>
      </c>
      <c r="D9" s="1219">
        <f t="shared" si="4"/>
        <v>-81705.214999999997</v>
      </c>
      <c r="E9" s="1219">
        <f t="shared" si="4"/>
        <v>-81705.214999999997</v>
      </c>
      <c r="F9" s="1219">
        <f t="shared" si="4"/>
        <v>-81705.214999999997</v>
      </c>
      <c r="G9" s="1222">
        <f t="shared" si="4"/>
        <v>-81704.928</v>
      </c>
      <c r="H9" s="1219">
        <f t="shared" si="4"/>
        <v>-81704.928</v>
      </c>
      <c r="I9" s="1219">
        <f t="shared" si="4"/>
        <v>-119604.928</v>
      </c>
      <c r="J9" s="1220">
        <f t="shared" si="4"/>
        <v>-119604.928</v>
      </c>
      <c r="K9" s="1220">
        <f t="shared" si="4"/>
        <v>-119604.928</v>
      </c>
      <c r="L9" s="1219">
        <f t="shared" si="4"/>
        <v>-119604.928</v>
      </c>
      <c r="M9" s="1219">
        <f t="shared" si="4"/>
        <v>-119604.928</v>
      </c>
      <c r="N9" s="1219">
        <f t="shared" si="4"/>
        <v>-119604.928</v>
      </c>
      <c r="O9" s="1219">
        <f t="shared" si="4"/>
        <v>-119605.29800000001</v>
      </c>
      <c r="P9" s="1221">
        <f t="shared" si="4"/>
        <v>-119605.58500000001</v>
      </c>
      <c r="Q9" s="1219">
        <f t="shared" si="4"/>
        <v>-119605.58500000001</v>
      </c>
      <c r="R9" s="1219">
        <f t="shared" si="4"/>
        <v>-119605.58500000001</v>
      </c>
      <c r="S9" s="1219">
        <f t="shared" si="4"/>
        <v>-119605.58500000001</v>
      </c>
      <c r="T9" s="1219">
        <f t="shared" si="4"/>
        <v>-119605.58500000001</v>
      </c>
      <c r="U9" s="1219">
        <f t="shared" si="4"/>
        <v>-119605.58500000001</v>
      </c>
      <c r="V9" s="1219">
        <f t="shared" si="4"/>
        <v>-123030.96900000001</v>
      </c>
      <c r="W9" s="1219">
        <f t="shared" si="4"/>
        <v>-123030.96900000001</v>
      </c>
      <c r="X9" s="1219">
        <f t="shared" si="4"/>
        <v>-123030.96900000001</v>
      </c>
      <c r="Y9" s="1219">
        <f t="shared" si="4"/>
        <v>-123030.96900000001</v>
      </c>
      <c r="Z9" s="1219">
        <f t="shared" si="4"/>
        <v>-123030.96900000001</v>
      </c>
      <c r="AA9" s="1219">
        <f t="shared" si="4"/>
        <v>-123030.96900000001</v>
      </c>
      <c r="AB9" s="1219">
        <f t="shared" si="4"/>
        <v>-123030.96900000001</v>
      </c>
      <c r="AC9" s="1219">
        <f t="shared" si="4"/>
        <v>-123030.96900000001</v>
      </c>
      <c r="AD9" s="1219">
        <f t="shared" si="4"/>
        <v>-123030.96900000001</v>
      </c>
      <c r="AE9" s="1219">
        <f t="shared" si="4"/>
        <v>-268030.96900000004</v>
      </c>
      <c r="AF9" s="1219">
        <f t="shared" si="4"/>
        <v>-274247.20300000004</v>
      </c>
      <c r="AG9" s="1219">
        <f t="shared" si="4"/>
        <v>-274247.20300000004</v>
      </c>
      <c r="AH9" s="1207"/>
    </row>
    <row r="10" spans="1:36" x14ac:dyDescent="0.2">
      <c r="A10" s="1213" t="s">
        <v>692</v>
      </c>
      <c r="B10" s="1214" t="s">
        <v>132</v>
      </c>
      <c r="C10" s="1224">
        <f t="shared" ref="C10:AG10" si="5">C11+C12+C13</f>
        <v>0</v>
      </c>
      <c r="D10" s="1224">
        <f t="shared" si="5"/>
        <v>3936.192</v>
      </c>
      <c r="E10" s="1224">
        <f t="shared" si="5"/>
        <v>0</v>
      </c>
      <c r="F10" s="1224">
        <f t="shared" si="5"/>
        <v>0</v>
      </c>
      <c r="G10" s="1224">
        <f t="shared" si="5"/>
        <v>6092.0330000000004</v>
      </c>
      <c r="H10" s="1224">
        <f t="shared" si="5"/>
        <v>6658.049</v>
      </c>
      <c r="I10" s="1224">
        <f t="shared" si="5"/>
        <v>1230</v>
      </c>
      <c r="J10" s="1225">
        <f t="shared" si="5"/>
        <v>6573.4459999999999</v>
      </c>
      <c r="K10" s="1225">
        <f t="shared" si="5"/>
        <v>2230</v>
      </c>
      <c r="L10" s="1224">
        <f t="shared" si="5"/>
        <v>21578.094000000001</v>
      </c>
      <c r="M10" s="1224">
        <f t="shared" si="5"/>
        <v>1684</v>
      </c>
      <c r="N10" s="1224">
        <f t="shared" si="5"/>
        <v>6262.7129999999997</v>
      </c>
      <c r="O10" s="1224">
        <f t="shared" si="5"/>
        <v>4740.6610000000001</v>
      </c>
      <c r="P10" s="1226">
        <f t="shared" si="5"/>
        <v>3326.7469999999998</v>
      </c>
      <c r="Q10" s="1224">
        <f t="shared" si="5"/>
        <v>20211.209000000003</v>
      </c>
      <c r="R10" s="1224">
        <f t="shared" si="5"/>
        <v>2557.9</v>
      </c>
      <c r="S10" s="1224">
        <f t="shared" si="5"/>
        <v>0</v>
      </c>
      <c r="T10" s="1224">
        <f t="shared" si="5"/>
        <v>2397.7260000000001</v>
      </c>
      <c r="U10" s="1224">
        <f t="shared" si="5"/>
        <v>2560.5</v>
      </c>
      <c r="V10" s="1224">
        <f t="shared" si="5"/>
        <v>11656.315999999999</v>
      </c>
      <c r="W10" s="1224">
        <f t="shared" si="5"/>
        <v>2130</v>
      </c>
      <c r="X10" s="1224">
        <f t="shared" si="5"/>
        <v>2329.114</v>
      </c>
      <c r="Y10" s="1224">
        <f t="shared" si="5"/>
        <v>6313.1909999999998</v>
      </c>
      <c r="Z10" s="1224">
        <f t="shared" si="5"/>
        <v>966.68499999999995</v>
      </c>
      <c r="AA10" s="1224">
        <f t="shared" si="5"/>
        <v>20737.149000000001</v>
      </c>
      <c r="AB10" s="1224">
        <f t="shared" si="5"/>
        <v>5083.1909999999998</v>
      </c>
      <c r="AC10" s="1224">
        <f t="shared" si="5"/>
        <v>973.90499999999997</v>
      </c>
      <c r="AD10" s="1224">
        <f t="shared" si="5"/>
        <v>3441.3620000000001</v>
      </c>
      <c r="AE10" s="1224">
        <f t="shared" si="5"/>
        <v>4083.1909999999998</v>
      </c>
      <c r="AF10" s="1224">
        <f t="shared" si="5"/>
        <v>44472.275000000009</v>
      </c>
      <c r="AG10" s="1224">
        <f t="shared" si="5"/>
        <v>0</v>
      </c>
      <c r="AH10" s="1227">
        <f>SUM(C10:AG10)</f>
        <v>194225.64899999998</v>
      </c>
    </row>
    <row r="11" spans="1:36" x14ac:dyDescent="0.2">
      <c r="A11" s="1213"/>
      <c r="B11" s="1207" t="s">
        <v>666</v>
      </c>
      <c r="C11" s="1227">
        <f t="shared" ref="C11:AF11" si="6">C171</f>
        <v>0</v>
      </c>
      <c r="D11" s="1227">
        <f t="shared" si="6"/>
        <v>1175.893</v>
      </c>
      <c r="E11" s="1227">
        <f t="shared" si="6"/>
        <v>0</v>
      </c>
      <c r="F11" s="1227">
        <f t="shared" si="6"/>
        <v>0</v>
      </c>
      <c r="G11" s="1227">
        <f t="shared" si="6"/>
        <v>1230</v>
      </c>
      <c r="H11" s="1227">
        <f t="shared" si="6"/>
        <v>0</v>
      </c>
      <c r="I11" s="1227">
        <f t="shared" si="6"/>
        <v>1230</v>
      </c>
      <c r="J11" s="1228">
        <f t="shared" si="6"/>
        <v>0</v>
      </c>
      <c r="K11" s="1228">
        <f t="shared" si="6"/>
        <v>1230</v>
      </c>
      <c r="L11" s="1227">
        <f t="shared" si="6"/>
        <v>0</v>
      </c>
      <c r="M11" s="1227">
        <f t="shared" si="6"/>
        <v>1084</v>
      </c>
      <c r="N11" s="1227">
        <f t="shared" si="6"/>
        <v>1230</v>
      </c>
      <c r="O11" s="1227">
        <f t="shared" si="6"/>
        <v>0</v>
      </c>
      <c r="P11" s="1229">
        <f t="shared" si="6"/>
        <v>1826.7469999999998</v>
      </c>
      <c r="Q11" s="1227">
        <f t="shared" si="6"/>
        <v>3076.5369999999998</v>
      </c>
      <c r="R11" s="1227">
        <f t="shared" si="6"/>
        <v>1230</v>
      </c>
      <c r="S11" s="1227">
        <f t="shared" si="6"/>
        <v>0</v>
      </c>
      <c r="T11" s="1227">
        <f t="shared" si="6"/>
        <v>1797.7260000000001</v>
      </c>
      <c r="U11" s="1227">
        <f t="shared" si="6"/>
        <v>1230</v>
      </c>
      <c r="V11" s="1227">
        <f t="shared" si="6"/>
        <v>0</v>
      </c>
      <c r="W11" s="1227">
        <f t="shared" si="6"/>
        <v>0</v>
      </c>
      <c r="X11" s="1227">
        <f t="shared" si="6"/>
        <v>1000.7140000000001</v>
      </c>
      <c r="Y11" s="1227">
        <f t="shared" si="6"/>
        <v>0</v>
      </c>
      <c r="Z11" s="1227">
        <f t="shared" si="6"/>
        <v>0</v>
      </c>
      <c r="AA11" s="1227">
        <f t="shared" si="6"/>
        <v>0</v>
      </c>
      <c r="AB11" s="1227">
        <f t="shared" si="6"/>
        <v>0</v>
      </c>
      <c r="AC11" s="1227">
        <f t="shared" si="6"/>
        <v>0</v>
      </c>
      <c r="AD11" s="1227">
        <f t="shared" si="6"/>
        <v>852.36099999999999</v>
      </c>
      <c r="AE11" s="1227">
        <f t="shared" si="6"/>
        <v>0</v>
      </c>
      <c r="AF11" s="1227">
        <f t="shared" si="6"/>
        <v>6567.8060000000005</v>
      </c>
      <c r="AG11" s="1227">
        <f>AG171</f>
        <v>0</v>
      </c>
      <c r="AH11" s="1207"/>
    </row>
    <row r="12" spans="1:36" x14ac:dyDescent="0.2">
      <c r="A12" s="1213"/>
      <c r="B12" s="1207" t="s">
        <v>667</v>
      </c>
      <c r="C12" s="1227">
        <f t="shared" ref="C12:AG12" si="7">C234</f>
        <v>0</v>
      </c>
      <c r="D12" s="1227">
        <f t="shared" si="7"/>
        <v>0</v>
      </c>
      <c r="E12" s="1227">
        <f t="shared" si="7"/>
        <v>0</v>
      </c>
      <c r="F12" s="1227">
        <f t="shared" si="7"/>
        <v>0</v>
      </c>
      <c r="G12" s="1227">
        <f t="shared" si="7"/>
        <v>0</v>
      </c>
      <c r="H12" s="1227">
        <f t="shared" si="7"/>
        <v>0</v>
      </c>
      <c r="I12" s="1227">
        <f t="shared" si="7"/>
        <v>0</v>
      </c>
      <c r="J12" s="1228">
        <f t="shared" si="7"/>
        <v>0</v>
      </c>
      <c r="K12" s="1228">
        <f t="shared" si="7"/>
        <v>0</v>
      </c>
      <c r="L12" s="1227">
        <f t="shared" si="7"/>
        <v>2417.5749999999998</v>
      </c>
      <c r="M12" s="1227">
        <f t="shared" si="7"/>
        <v>0</v>
      </c>
      <c r="N12" s="1227">
        <f t="shared" si="7"/>
        <v>1500</v>
      </c>
      <c r="O12" s="1227">
        <f t="shared" si="7"/>
        <v>0</v>
      </c>
      <c r="P12" s="1229">
        <f t="shared" si="7"/>
        <v>1500</v>
      </c>
      <c r="Q12" s="1227">
        <f t="shared" si="7"/>
        <v>5137.57</v>
      </c>
      <c r="R12" s="1227">
        <f t="shared" si="7"/>
        <v>0</v>
      </c>
      <c r="S12" s="1227">
        <f t="shared" si="7"/>
        <v>0</v>
      </c>
      <c r="T12" s="1227">
        <f t="shared" si="7"/>
        <v>0</v>
      </c>
      <c r="U12" s="1227">
        <f t="shared" si="7"/>
        <v>0</v>
      </c>
      <c r="V12" s="1227">
        <f t="shared" si="7"/>
        <v>2417.5749999999998</v>
      </c>
      <c r="W12" s="1227">
        <f t="shared" si="7"/>
        <v>2130</v>
      </c>
      <c r="X12" s="1227">
        <f t="shared" si="7"/>
        <v>0</v>
      </c>
      <c r="Y12" s="1227">
        <f t="shared" si="7"/>
        <v>0</v>
      </c>
      <c r="Z12" s="1227">
        <f t="shared" si="7"/>
        <v>0</v>
      </c>
      <c r="AA12" s="1227">
        <f t="shared" si="7"/>
        <v>2133.4449999999997</v>
      </c>
      <c r="AB12" s="1227">
        <f t="shared" si="7"/>
        <v>0</v>
      </c>
      <c r="AC12" s="1227">
        <f t="shared" si="7"/>
        <v>973.90499999999997</v>
      </c>
      <c r="AD12" s="1227">
        <f t="shared" si="7"/>
        <v>1328.6</v>
      </c>
      <c r="AE12" s="1227">
        <f t="shared" si="7"/>
        <v>4083.1909999999998</v>
      </c>
      <c r="AF12" s="1227">
        <f t="shared" si="7"/>
        <v>6070.2350000000006</v>
      </c>
      <c r="AG12" s="1227">
        <f t="shared" si="7"/>
        <v>0</v>
      </c>
      <c r="AH12" s="1207"/>
    </row>
    <row r="13" spans="1:36" x14ac:dyDescent="0.2">
      <c r="A13" s="1213"/>
      <c r="B13" s="1207" t="s">
        <v>691</v>
      </c>
      <c r="C13" s="1227">
        <f t="shared" ref="C13:AG13" si="8">C298</f>
        <v>0</v>
      </c>
      <c r="D13" s="1227">
        <f t="shared" si="8"/>
        <v>2760.299</v>
      </c>
      <c r="E13" s="1227">
        <f t="shared" si="8"/>
        <v>0</v>
      </c>
      <c r="F13" s="1227">
        <f t="shared" si="8"/>
        <v>0</v>
      </c>
      <c r="G13" s="1227">
        <f t="shared" si="8"/>
        <v>4862.0330000000004</v>
      </c>
      <c r="H13" s="1227">
        <f t="shared" si="8"/>
        <v>6658.049</v>
      </c>
      <c r="I13" s="1227">
        <f t="shared" si="8"/>
        <v>0</v>
      </c>
      <c r="J13" s="1228">
        <f t="shared" si="8"/>
        <v>6573.4459999999999</v>
      </c>
      <c r="K13" s="1228">
        <f t="shared" si="8"/>
        <v>1000</v>
      </c>
      <c r="L13" s="1227">
        <f t="shared" si="8"/>
        <v>19160.519</v>
      </c>
      <c r="M13" s="1227">
        <f t="shared" si="8"/>
        <v>600</v>
      </c>
      <c r="N13" s="1227">
        <f t="shared" si="8"/>
        <v>3532.7130000000002</v>
      </c>
      <c r="O13" s="1227">
        <f t="shared" si="8"/>
        <v>4740.6610000000001</v>
      </c>
      <c r="P13" s="1229">
        <f t="shared" si="8"/>
        <v>0</v>
      </c>
      <c r="Q13" s="1227">
        <f t="shared" si="8"/>
        <v>11997.102000000001</v>
      </c>
      <c r="R13" s="1227">
        <f t="shared" si="8"/>
        <v>1327.9</v>
      </c>
      <c r="S13" s="1227">
        <f t="shared" si="8"/>
        <v>0</v>
      </c>
      <c r="T13" s="1227">
        <f t="shared" si="8"/>
        <v>600</v>
      </c>
      <c r="U13" s="1227">
        <f t="shared" si="8"/>
        <v>1330.5</v>
      </c>
      <c r="V13" s="1227">
        <f t="shared" si="8"/>
        <v>9238.741</v>
      </c>
      <c r="W13" s="1227">
        <f t="shared" si="8"/>
        <v>0</v>
      </c>
      <c r="X13" s="1227">
        <f t="shared" si="8"/>
        <v>1328.4</v>
      </c>
      <c r="Y13" s="1227">
        <f t="shared" si="8"/>
        <v>6313.1909999999998</v>
      </c>
      <c r="Z13" s="1227">
        <f t="shared" si="8"/>
        <v>966.68499999999995</v>
      </c>
      <c r="AA13" s="1227">
        <f t="shared" si="8"/>
        <v>18603.704000000002</v>
      </c>
      <c r="AB13" s="1227">
        <f t="shared" si="8"/>
        <v>5083.1909999999998</v>
      </c>
      <c r="AC13" s="1227">
        <f t="shared" si="8"/>
        <v>0</v>
      </c>
      <c r="AD13" s="1227">
        <f t="shared" si="8"/>
        <v>1260.4010000000001</v>
      </c>
      <c r="AE13" s="1227">
        <f t="shared" si="8"/>
        <v>0</v>
      </c>
      <c r="AF13" s="1227">
        <f t="shared" si="8"/>
        <v>31834.234000000004</v>
      </c>
      <c r="AG13" s="1227">
        <f t="shared" si="8"/>
        <v>0</v>
      </c>
      <c r="AH13" s="1207"/>
    </row>
    <row r="14" spans="1:36" x14ac:dyDescent="0.2">
      <c r="A14" s="1207"/>
      <c r="B14" s="1207"/>
      <c r="C14" s="1207"/>
      <c r="D14" s="1207"/>
      <c r="E14" s="1207"/>
      <c r="F14" s="1207"/>
      <c r="G14" s="1207"/>
      <c r="H14" s="1207"/>
      <c r="I14" s="1207"/>
      <c r="J14" s="1230"/>
      <c r="K14" s="1230"/>
      <c r="L14" s="1207"/>
      <c r="M14" s="1207"/>
      <c r="N14" s="1216"/>
      <c r="O14" s="1207"/>
      <c r="P14" s="1208"/>
      <c r="Q14" s="1207"/>
      <c r="R14" s="1207"/>
      <c r="S14" s="1207"/>
      <c r="T14" s="1207"/>
      <c r="U14" s="1216"/>
      <c r="V14" s="1207"/>
      <c r="W14" s="1207"/>
      <c r="X14" s="1207"/>
      <c r="Y14" s="1207"/>
      <c r="Z14" s="1207"/>
      <c r="AA14" s="1216"/>
      <c r="AB14" s="1207"/>
      <c r="AC14" s="1207"/>
      <c r="AD14" s="1207"/>
      <c r="AE14" s="1207"/>
      <c r="AF14" s="1207"/>
      <c r="AG14" s="1216"/>
      <c r="AH14" s="1231">
        <f>AG5+AH10</f>
        <v>-246836.88099999999</v>
      </c>
    </row>
    <row r="15" spans="1:36" ht="13.5" thickBot="1" x14ac:dyDescent="0.25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8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7"/>
      <c r="AF15" s="1207"/>
      <c r="AG15" s="1207"/>
      <c r="AH15" s="1232"/>
      <c r="AI15" s="1223"/>
    </row>
    <row r="16" spans="1:36" x14ac:dyDescent="0.2">
      <c r="A16" s="1233"/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5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2"/>
      <c r="AI16" s="1223"/>
    </row>
    <row r="17" spans="1:35" x14ac:dyDescent="0.2">
      <c r="A17" s="1236"/>
      <c r="B17" s="1237" t="s">
        <v>37</v>
      </c>
      <c r="C17" s="1237"/>
      <c r="D17" s="1237"/>
      <c r="E17" s="1238" t="s">
        <v>838</v>
      </c>
      <c r="F17" s="1239" t="s">
        <v>140</v>
      </c>
      <c r="G17" s="1239"/>
      <c r="H17" s="1707" t="s">
        <v>6</v>
      </c>
      <c r="I17" s="1239"/>
      <c r="J17" s="1239"/>
      <c r="K17" s="1239"/>
      <c r="L17" s="1239"/>
      <c r="M17" s="1239"/>
      <c r="N17" s="1239"/>
      <c r="O17" s="1239"/>
      <c r="P17" s="1240"/>
      <c r="Q17" s="1239"/>
      <c r="R17" s="1239"/>
      <c r="S17" s="1239"/>
      <c r="T17" s="1239"/>
      <c r="U17" s="1239"/>
      <c r="V17" s="1239"/>
      <c r="W17" s="1239"/>
      <c r="X17" s="1239"/>
      <c r="Y17" s="1239"/>
      <c r="AA17" s="1239"/>
      <c r="AB17" s="1239"/>
      <c r="AC17" s="1239"/>
      <c r="AD17" s="1239"/>
      <c r="AE17" s="1239"/>
      <c r="AF17" s="1239"/>
      <c r="AG17" s="1239"/>
      <c r="AH17" s="1232"/>
      <c r="AI17" s="1223"/>
    </row>
    <row r="18" spans="1:35" x14ac:dyDescent="0.2">
      <c r="A18" s="1236"/>
      <c r="B18" s="1237"/>
      <c r="C18" s="1237"/>
      <c r="D18" s="1239"/>
      <c r="E18" s="1237"/>
      <c r="F18" s="1237"/>
      <c r="G18" s="1237"/>
      <c r="H18" s="1237"/>
      <c r="I18" s="1237"/>
      <c r="J18" s="1237"/>
      <c r="K18" s="1237"/>
      <c r="L18" s="1237"/>
      <c r="M18" s="1237"/>
      <c r="N18" s="1237"/>
      <c r="O18" s="1237"/>
      <c r="P18" s="1241"/>
      <c r="Q18" s="1237"/>
      <c r="R18" s="1237"/>
      <c r="S18" s="1237"/>
      <c r="T18" s="1237"/>
      <c r="U18" s="1237"/>
      <c r="V18" s="1237"/>
      <c r="W18" s="1237"/>
      <c r="X18" s="1237"/>
      <c r="Y18" s="1237"/>
      <c r="Z18" s="1237"/>
      <c r="AA18" s="1237"/>
      <c r="AB18" s="1237"/>
      <c r="AC18" s="1237"/>
      <c r="AD18" s="1237"/>
      <c r="AE18" s="1237"/>
      <c r="AF18" s="1237"/>
      <c r="AG18" s="1237"/>
      <c r="AH18" s="1229"/>
    </row>
    <row r="19" spans="1:35" x14ac:dyDescent="0.2">
      <c r="A19" s="1242"/>
      <c r="B19" s="1239"/>
      <c r="C19" s="1239"/>
      <c r="D19" s="1238">
        <v>42619</v>
      </c>
      <c r="E19" s="1237"/>
      <c r="F19" s="1237"/>
      <c r="G19" s="1237"/>
      <c r="H19" s="1237"/>
      <c r="I19" s="1237"/>
      <c r="J19" s="1237"/>
      <c r="K19" s="1237"/>
      <c r="L19" s="1237"/>
      <c r="M19" s="1237"/>
      <c r="N19" s="1237"/>
      <c r="O19" s="1237"/>
      <c r="P19" s="1241"/>
      <c r="Q19" s="1237"/>
      <c r="R19" s="1237"/>
      <c r="S19" s="1237"/>
      <c r="T19" s="1237"/>
      <c r="U19" s="1237"/>
      <c r="V19" s="1237"/>
      <c r="W19" s="1237"/>
      <c r="X19" s="1237"/>
      <c r="Y19" s="1237"/>
      <c r="Z19" s="1237"/>
      <c r="AA19" s="1237"/>
      <c r="AB19" s="1237"/>
      <c r="AC19" s="1237"/>
      <c r="AD19" s="1237"/>
      <c r="AE19" s="1237"/>
      <c r="AF19" s="1237"/>
      <c r="AG19" s="1237"/>
      <c r="AH19" s="1207"/>
    </row>
    <row r="20" spans="1:35" x14ac:dyDescent="0.2">
      <c r="A20" s="1242"/>
      <c r="B20" s="1237"/>
      <c r="C20" s="1237"/>
      <c r="D20" s="1239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41"/>
      <c r="Q20" s="1237"/>
      <c r="R20" s="1237"/>
      <c r="S20" s="1237"/>
      <c r="T20" s="1237"/>
      <c r="U20" s="1237"/>
      <c r="V20" s="1237"/>
      <c r="W20" s="1237"/>
      <c r="X20" s="1237"/>
      <c r="Y20" s="1237"/>
      <c r="Z20" s="1237"/>
      <c r="AA20" s="1237"/>
      <c r="AB20" s="1237"/>
      <c r="AC20" s="1237"/>
      <c r="AD20" s="1237"/>
      <c r="AE20" s="1237"/>
      <c r="AF20" s="1237"/>
      <c r="AG20" s="1237"/>
      <c r="AH20" s="1207"/>
    </row>
    <row r="21" spans="1:35" ht="13.5" thickBot="1" x14ac:dyDescent="0.25">
      <c r="A21" s="1236"/>
      <c r="B21" s="1237"/>
      <c r="C21" s="1237"/>
      <c r="D21" s="1237"/>
      <c r="E21" s="1237"/>
      <c r="F21" s="1237"/>
      <c r="G21" s="1237"/>
      <c r="H21" s="1237"/>
      <c r="I21" s="1237"/>
      <c r="J21" s="1237"/>
      <c r="K21" s="1237"/>
      <c r="L21" s="1237"/>
      <c r="M21" s="1237"/>
      <c r="N21" s="1237"/>
      <c r="O21" s="1237"/>
      <c r="P21" s="1241"/>
      <c r="Q21" s="1237"/>
      <c r="R21" s="1237"/>
      <c r="S21" s="1237"/>
      <c r="T21" s="1237"/>
      <c r="U21" s="1237"/>
      <c r="V21" s="1237"/>
      <c r="W21" s="1237"/>
      <c r="X21" s="1237"/>
      <c r="Y21" s="1237"/>
      <c r="Z21" s="1237"/>
      <c r="AA21" s="1237"/>
      <c r="AB21" s="1237"/>
      <c r="AC21" s="1237"/>
      <c r="AD21" s="1237"/>
      <c r="AE21" s="1237"/>
      <c r="AF21" s="1237"/>
      <c r="AG21" s="1237"/>
      <c r="AH21" s="1207"/>
    </row>
    <row r="22" spans="1:35" ht="13.5" thickBot="1" x14ac:dyDescent="0.25">
      <c r="A22" s="1236"/>
      <c r="B22" s="1237"/>
      <c r="C22" s="1243"/>
      <c r="D22" s="1244" t="s">
        <v>16</v>
      </c>
      <c r="E22" s="1244"/>
      <c r="F22" s="1244"/>
      <c r="G22" s="1244"/>
      <c r="H22" s="1244"/>
      <c r="I22" s="1244"/>
      <c r="J22" s="1244"/>
      <c r="K22" s="1244"/>
      <c r="L22" s="1244"/>
      <c r="M22" s="1244"/>
      <c r="N22" s="1244"/>
      <c r="O22" s="1244"/>
      <c r="P22" s="1245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244"/>
      <c r="AE22" s="1244"/>
      <c r="AF22" s="1244"/>
      <c r="AG22" s="1244"/>
      <c r="AH22" s="1207"/>
    </row>
    <row r="23" spans="1:35" ht="13.5" thickBot="1" x14ac:dyDescent="0.25">
      <c r="A23" s="1236"/>
      <c r="B23" s="1237"/>
      <c r="C23" s="1246" t="s">
        <v>452</v>
      </c>
      <c r="D23" s="1246" t="s">
        <v>453</v>
      </c>
      <c r="E23" s="1246" t="s">
        <v>434</v>
      </c>
      <c r="F23" s="1246" t="s">
        <v>390</v>
      </c>
      <c r="G23" s="1246" t="s">
        <v>454</v>
      </c>
      <c r="H23" s="1246" t="s">
        <v>455</v>
      </c>
      <c r="I23" s="1246" t="s">
        <v>456</v>
      </c>
      <c r="J23" s="1246" t="s">
        <v>457</v>
      </c>
      <c r="K23" s="1246" t="s">
        <v>458</v>
      </c>
      <c r="L23" s="1246" t="s">
        <v>216</v>
      </c>
      <c r="M23" s="1246" t="s">
        <v>459</v>
      </c>
      <c r="N23" s="1246" t="s">
        <v>297</v>
      </c>
      <c r="O23" s="1246" t="s">
        <v>211</v>
      </c>
      <c r="P23" s="1247" t="s">
        <v>270</v>
      </c>
      <c r="Q23" s="1246" t="s">
        <v>490</v>
      </c>
      <c r="R23" s="1246" t="s">
        <v>460</v>
      </c>
      <c r="S23" s="1246" t="s">
        <v>461</v>
      </c>
      <c r="T23" s="1246" t="s">
        <v>442</v>
      </c>
      <c r="U23" s="1246" t="s">
        <v>462</v>
      </c>
      <c r="V23" s="1246" t="s">
        <v>470</v>
      </c>
      <c r="W23" s="1246" t="s">
        <v>471</v>
      </c>
      <c r="X23" s="1246" t="s">
        <v>472</v>
      </c>
      <c r="Y23" s="1246" t="s">
        <v>463</v>
      </c>
      <c r="Z23" s="1246" t="s">
        <v>465</v>
      </c>
      <c r="AA23" s="1246" t="s">
        <v>466</v>
      </c>
      <c r="AB23" s="1246" t="s">
        <v>435</v>
      </c>
      <c r="AC23" s="1246" t="s">
        <v>467</v>
      </c>
      <c r="AD23" s="1246" t="s">
        <v>464</v>
      </c>
      <c r="AE23" s="1246" t="s">
        <v>429</v>
      </c>
      <c r="AF23" s="1246" t="s">
        <v>149</v>
      </c>
      <c r="AG23" s="1246" t="s">
        <v>210</v>
      </c>
      <c r="AH23" s="1207"/>
    </row>
    <row r="24" spans="1:35" x14ac:dyDescent="0.2">
      <c r="A24" s="1233"/>
      <c r="B24" s="1248"/>
      <c r="C24" s="1237"/>
      <c r="D24" s="1237"/>
      <c r="E24" s="1237"/>
      <c r="F24" s="1237"/>
      <c r="G24" s="1237"/>
      <c r="H24" s="1237"/>
      <c r="I24" s="1237"/>
      <c r="J24" s="1237"/>
      <c r="K24" s="1237"/>
      <c r="L24" s="1237"/>
      <c r="M24" s="1237"/>
      <c r="N24" s="1237"/>
      <c r="O24" s="1237"/>
      <c r="P24" s="1241"/>
      <c r="Q24" s="1237"/>
      <c r="R24" s="1237"/>
      <c r="S24" s="1237"/>
      <c r="T24" s="1237"/>
      <c r="U24" s="1237"/>
      <c r="V24" s="1237"/>
      <c r="W24" s="1237"/>
      <c r="X24" s="1237"/>
      <c r="Y24" s="1237"/>
      <c r="Z24" s="1237"/>
      <c r="AA24" s="1237"/>
      <c r="AB24" s="1237"/>
      <c r="AC24" s="1237"/>
      <c r="AD24" s="1237"/>
      <c r="AE24" s="1237"/>
      <c r="AF24" s="1237"/>
      <c r="AG24" s="1237"/>
      <c r="AH24" s="1207"/>
    </row>
    <row r="25" spans="1:35" x14ac:dyDescent="0.2">
      <c r="A25" s="1236" t="s">
        <v>0</v>
      </c>
      <c r="B25" s="1249">
        <f>+'AOUT 2016'!AG70</f>
        <v>-401929.65899999999</v>
      </c>
      <c r="C25" s="1237"/>
      <c r="D25" s="1237"/>
      <c r="E25" s="1237"/>
      <c r="F25" s="1237"/>
      <c r="G25" s="1237"/>
      <c r="H25" s="1237"/>
      <c r="I25" s="1237"/>
      <c r="J25" s="1237"/>
      <c r="K25" s="1237"/>
      <c r="L25" s="1237"/>
      <c r="M25" s="1237"/>
      <c r="N25" s="1237"/>
      <c r="O25" s="1237"/>
      <c r="P25" s="1241"/>
      <c r="Q25" s="1237"/>
      <c r="R25" s="1237"/>
      <c r="S25" s="1237"/>
      <c r="T25" s="1237"/>
      <c r="U25" s="1237"/>
      <c r="V25" s="1237"/>
      <c r="W25" s="1237"/>
      <c r="X25" s="1237"/>
      <c r="Y25" s="1237"/>
      <c r="Z25" s="1237"/>
      <c r="AA25" s="1237"/>
      <c r="AB25" s="1237"/>
      <c r="AC25" s="1237"/>
      <c r="AD25" s="1237"/>
      <c r="AE25" s="1237"/>
      <c r="AF25" s="1237"/>
      <c r="AG25" s="1237"/>
      <c r="AH25" s="1207"/>
    </row>
    <row r="26" spans="1:35" ht="13.5" thickBot="1" x14ac:dyDescent="0.25">
      <c r="A26" s="1250"/>
      <c r="B26" s="1251"/>
      <c r="C26" s="1237"/>
      <c r="D26" s="1237"/>
      <c r="E26" s="1237"/>
      <c r="F26" s="1237"/>
      <c r="G26" s="1252"/>
      <c r="H26" s="1237"/>
      <c r="I26" s="1237"/>
      <c r="J26" s="1237"/>
      <c r="K26" s="1237"/>
      <c r="L26" s="1237"/>
      <c r="M26" s="1237"/>
      <c r="N26" s="1237"/>
      <c r="O26" s="1237"/>
      <c r="P26" s="1241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07"/>
    </row>
    <row r="27" spans="1:35" x14ac:dyDescent="0.2">
      <c r="A27" s="1233"/>
      <c r="B27" s="1253"/>
      <c r="C27" s="1237"/>
      <c r="D27" s="1237"/>
      <c r="E27" s="1237"/>
      <c r="F27" s="1237"/>
      <c r="G27" s="1237"/>
      <c r="H27" s="1237"/>
      <c r="I27" s="1237"/>
      <c r="J27" s="1237"/>
      <c r="K27" s="1237"/>
      <c r="L27" s="1237"/>
      <c r="M27" s="1237"/>
      <c r="N27" s="1237"/>
      <c r="O27" s="1237"/>
      <c r="P27" s="1241"/>
      <c r="Q27" s="1237"/>
      <c r="R27" s="1237"/>
      <c r="S27" s="1237"/>
      <c r="T27" s="1237"/>
      <c r="U27" s="1237"/>
      <c r="V27" s="1237"/>
      <c r="W27" s="1237"/>
      <c r="X27" s="1237"/>
      <c r="Y27" s="1237"/>
      <c r="Z27" s="1237"/>
      <c r="AA27" s="1237"/>
      <c r="AB27" s="1237"/>
      <c r="AC27" s="1237"/>
      <c r="AD27" s="1237"/>
      <c r="AE27" s="1237"/>
      <c r="AF27" s="1237"/>
      <c r="AG27" s="1237"/>
      <c r="AH27" s="1207"/>
    </row>
    <row r="28" spans="1:35" x14ac:dyDescent="0.2">
      <c r="A28" s="1236" t="s">
        <v>1</v>
      </c>
      <c r="B28" s="1249">
        <f>B29+B30+B31</f>
        <v>68767.948000000004</v>
      </c>
      <c r="C28" s="1237"/>
      <c r="D28" s="1237"/>
      <c r="E28" s="1237"/>
      <c r="F28" s="1237"/>
      <c r="G28" s="1237"/>
      <c r="H28" s="1237"/>
      <c r="I28" s="1237"/>
      <c r="J28" s="1237"/>
      <c r="K28" s="1237"/>
      <c r="L28" s="1237"/>
      <c r="M28" s="1237"/>
      <c r="N28" s="1237"/>
      <c r="O28" s="1237"/>
      <c r="P28" s="1241"/>
      <c r="Q28" s="1237"/>
      <c r="R28" s="1237"/>
      <c r="S28" s="1237"/>
      <c r="T28" s="1237"/>
      <c r="U28" s="1237"/>
      <c r="V28" s="1237"/>
      <c r="W28" s="1237"/>
      <c r="X28" s="1237"/>
      <c r="Y28" s="1237"/>
      <c r="Z28" s="1237"/>
      <c r="AA28" s="1237"/>
      <c r="AB28" s="1237"/>
      <c r="AC28" s="1237"/>
      <c r="AD28" s="1237"/>
      <c r="AE28" s="1237"/>
      <c r="AF28" s="1237"/>
      <c r="AG28" s="1237"/>
      <c r="AH28" s="1207"/>
    </row>
    <row r="29" spans="1:35" x14ac:dyDescent="0.2">
      <c r="A29" s="1236" t="s">
        <v>38</v>
      </c>
      <c r="B29" s="1249">
        <f>C82</f>
        <v>68767.948000000004</v>
      </c>
      <c r="C29" s="1237"/>
      <c r="D29" s="1237"/>
      <c r="E29" s="1237"/>
      <c r="F29" s="1237"/>
      <c r="G29" s="1237"/>
      <c r="H29" s="1237"/>
      <c r="I29" s="1237"/>
      <c r="J29" s="1237"/>
      <c r="K29" s="1237"/>
      <c r="L29" s="1237"/>
      <c r="M29" s="1237"/>
      <c r="N29" s="1237"/>
      <c r="O29" s="1237"/>
      <c r="P29" s="1241"/>
      <c r="Q29" s="1237"/>
      <c r="R29" s="1237"/>
      <c r="S29" s="1237"/>
      <c r="T29" s="1237"/>
      <c r="U29" s="1237"/>
      <c r="V29" s="1237"/>
      <c r="W29" s="1237"/>
      <c r="X29" s="1237"/>
      <c r="Y29" s="1237"/>
      <c r="Z29" s="1237"/>
      <c r="AA29" s="1237"/>
      <c r="AB29" s="1237"/>
      <c r="AC29" s="1237"/>
      <c r="AD29" s="1237"/>
      <c r="AE29" s="1237"/>
      <c r="AF29" s="1237"/>
      <c r="AG29" s="1237"/>
      <c r="AH29" s="1207"/>
    </row>
    <row r="30" spans="1:35" x14ac:dyDescent="0.2">
      <c r="A30" s="1236" t="s">
        <v>39</v>
      </c>
      <c r="B30" s="1249"/>
      <c r="C30" s="1237"/>
      <c r="D30" s="1237"/>
      <c r="E30" s="1237"/>
      <c r="F30" s="1237"/>
      <c r="G30" s="1237"/>
      <c r="H30" s="1237"/>
      <c r="I30" s="1237"/>
      <c r="J30" s="1237"/>
      <c r="K30" s="1237"/>
      <c r="L30" s="1237"/>
      <c r="M30" s="1237"/>
      <c r="N30" s="1237"/>
      <c r="O30" s="1237"/>
      <c r="P30" s="1241"/>
      <c r="Q30" s="1237"/>
      <c r="R30" s="1237"/>
      <c r="S30" s="1237"/>
      <c r="T30" s="1237"/>
      <c r="U30" s="1237"/>
      <c r="V30" s="1237"/>
      <c r="W30" s="1237"/>
      <c r="X30" s="1237"/>
      <c r="Y30" s="1237"/>
      <c r="Z30" s="1237"/>
      <c r="AA30" s="1237"/>
      <c r="AB30" s="1237"/>
      <c r="AC30" s="1237"/>
      <c r="AD30" s="1237"/>
      <c r="AE30" s="1237"/>
      <c r="AF30" s="1237"/>
      <c r="AG30" s="1237"/>
      <c r="AH30" s="1207"/>
    </row>
    <row r="31" spans="1:35" x14ac:dyDescent="0.2">
      <c r="A31" s="1236" t="s">
        <v>3</v>
      </c>
      <c r="B31" s="1249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41"/>
      <c r="Q31" s="1237"/>
      <c r="R31" s="1237"/>
      <c r="S31" s="1237"/>
      <c r="T31" s="1237"/>
      <c r="U31" s="1237"/>
      <c r="V31" s="1237"/>
      <c r="W31" s="1237"/>
      <c r="X31" s="1237"/>
      <c r="Y31" s="1237"/>
      <c r="Z31" s="1237"/>
      <c r="AA31" s="1237"/>
      <c r="AB31" s="1237"/>
      <c r="AC31" s="1237"/>
      <c r="AD31" s="1237"/>
      <c r="AE31" s="1237"/>
      <c r="AF31" s="1237"/>
      <c r="AG31" s="1237"/>
      <c r="AH31" s="1207"/>
    </row>
    <row r="32" spans="1:35" ht="13.5" thickBot="1" x14ac:dyDescent="0.25">
      <c r="A32" s="1250"/>
      <c r="B32" s="1251"/>
      <c r="C32" s="1237"/>
      <c r="D32" s="1237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41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37"/>
      <c r="AE32" s="1237"/>
      <c r="AF32" s="1237"/>
      <c r="AG32" s="1237"/>
      <c r="AH32" s="1207"/>
    </row>
    <row r="33" spans="1:40" ht="18" x14ac:dyDescent="0.25">
      <c r="A33" s="1233"/>
      <c r="B33" s="1253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  <c r="M33" s="1237"/>
      <c r="N33" s="1237"/>
      <c r="O33" s="1254"/>
      <c r="P33" s="1241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37"/>
      <c r="AE33" s="1237"/>
      <c r="AF33" s="1237"/>
      <c r="AG33" s="1237"/>
      <c r="AH33" s="1207"/>
    </row>
    <row r="34" spans="1:40" ht="18" x14ac:dyDescent="0.25">
      <c r="A34" s="1236" t="s">
        <v>4</v>
      </c>
      <c r="B34" s="1249">
        <f>B25+B28</f>
        <v>-333161.71100000001</v>
      </c>
      <c r="C34" s="1237"/>
      <c r="D34" s="1237"/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54"/>
      <c r="P34" s="1241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37"/>
      <c r="AE34" s="1237"/>
      <c r="AF34" s="1237"/>
      <c r="AG34" s="1237"/>
      <c r="AH34" s="1207"/>
    </row>
    <row r="35" spans="1:40" ht="18.75" thickBot="1" x14ac:dyDescent="0.3">
      <c r="A35" s="1250"/>
      <c r="B35" s="1251"/>
      <c r="C35" s="1237"/>
      <c r="D35" s="1237"/>
      <c r="E35" s="1237"/>
      <c r="F35" s="1237"/>
      <c r="G35" s="1237"/>
      <c r="H35" s="1237"/>
      <c r="I35" s="1237"/>
      <c r="K35" s="1237"/>
      <c r="L35" s="1237"/>
      <c r="M35" s="1237"/>
      <c r="N35" s="1237"/>
      <c r="O35" s="1254"/>
      <c r="P35" s="1241"/>
      <c r="Q35" s="1237"/>
      <c r="R35" s="1237"/>
      <c r="S35" s="1237"/>
      <c r="T35" s="1237"/>
      <c r="U35" s="1237"/>
      <c r="V35" s="1237"/>
      <c r="W35" s="1237"/>
      <c r="X35" s="1237"/>
      <c r="Y35" s="1237"/>
      <c r="Z35" s="1237"/>
      <c r="AA35" s="1237"/>
      <c r="AB35" s="1237"/>
      <c r="AC35" s="1237"/>
      <c r="AD35" s="1237"/>
      <c r="AE35" s="1237"/>
      <c r="AF35" s="1237"/>
      <c r="AG35" s="1237"/>
      <c r="AH35" s="1207"/>
    </row>
    <row r="36" spans="1:40" x14ac:dyDescent="0.2">
      <c r="A36" s="1233"/>
      <c r="B36" s="1253"/>
      <c r="C36" s="1237"/>
      <c r="D36" s="1237"/>
      <c r="E36" s="1237"/>
      <c r="F36" s="1237"/>
      <c r="G36" s="1237"/>
      <c r="H36" s="1237"/>
      <c r="I36" s="1237"/>
      <c r="J36" s="1237"/>
      <c r="K36" s="1237"/>
      <c r="L36" s="1237"/>
      <c r="M36" s="1237"/>
      <c r="N36" s="1237"/>
      <c r="O36" s="1237"/>
      <c r="P36" s="1241"/>
      <c r="Q36" s="1237"/>
      <c r="R36" s="1237"/>
      <c r="S36" s="1237"/>
      <c r="T36" s="1237"/>
      <c r="U36" s="1237"/>
      <c r="V36" s="1237"/>
      <c r="W36" s="1237"/>
      <c r="X36" s="1237"/>
      <c r="Y36" s="1237"/>
      <c r="Z36" s="1237"/>
      <c r="AA36" s="1237"/>
      <c r="AB36" s="1237"/>
      <c r="AC36" s="1237"/>
      <c r="AD36" s="1237"/>
      <c r="AE36" s="1237"/>
      <c r="AF36" s="1237"/>
      <c r="AG36" s="1237"/>
      <c r="AH36" s="1207"/>
    </row>
    <row r="37" spans="1:40" ht="18" x14ac:dyDescent="0.25">
      <c r="A37" s="1236" t="s">
        <v>913</v>
      </c>
      <c r="B37" s="1249"/>
      <c r="C37" s="1237"/>
      <c r="D37" s="1237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12"/>
      <c r="Q37" s="1707"/>
      <c r="R37" s="1237"/>
      <c r="S37" s="1255"/>
      <c r="T37" s="1237"/>
      <c r="U37" s="1237"/>
      <c r="V37" s="1237"/>
      <c r="W37" s="1237"/>
      <c r="X37" s="1237"/>
      <c r="Y37" s="1237"/>
      <c r="Z37" s="1237"/>
      <c r="AA37" s="1237"/>
      <c r="AB37" s="1237"/>
      <c r="AC37" s="1748"/>
      <c r="AD37" s="1748"/>
      <c r="AE37" s="1237"/>
      <c r="AF37" s="1237"/>
      <c r="AG37" s="1237"/>
      <c r="AH37" s="1207"/>
    </row>
    <row r="38" spans="1:40" ht="13.5" thickBot="1" x14ac:dyDescent="0.25">
      <c r="A38" s="1250"/>
      <c r="B38" s="1251"/>
      <c r="C38" s="1706"/>
      <c r="D38" s="1237"/>
      <c r="E38" s="1706"/>
      <c r="F38" s="1237"/>
      <c r="G38" s="1237"/>
      <c r="H38" s="1707"/>
      <c r="I38" s="1237"/>
      <c r="J38" s="1237"/>
      <c r="K38" s="1241"/>
      <c r="L38" s="1237"/>
      <c r="M38" s="1576"/>
      <c r="N38" s="1237"/>
      <c r="O38" s="1237"/>
      <c r="P38" s="1241"/>
      <c r="Q38" s="1237"/>
      <c r="R38" s="1237"/>
      <c r="S38" s="1237"/>
      <c r="T38" s="1237"/>
      <c r="U38" s="1237"/>
      <c r="V38" s="1237"/>
      <c r="W38" s="1237"/>
      <c r="X38" s="1237"/>
      <c r="Y38" s="1237"/>
      <c r="Z38" s="1237"/>
      <c r="AA38" s="1237"/>
      <c r="AB38" s="1237"/>
      <c r="AC38" s="1237"/>
      <c r="AD38" s="1237"/>
      <c r="AE38" s="1237"/>
      <c r="AF38" s="1237"/>
      <c r="AG38" s="1237"/>
      <c r="AH38" s="1207"/>
    </row>
    <row r="39" spans="1:40" x14ac:dyDescent="0.2">
      <c r="A39" s="1233"/>
      <c r="B39" s="1253"/>
      <c r="C39" s="1707"/>
      <c r="D39" s="1706"/>
      <c r="E39" s="1706"/>
      <c r="F39" s="1237"/>
      <c r="G39" s="1237"/>
      <c r="H39" s="1706"/>
      <c r="I39" s="1237"/>
      <c r="J39" s="1237"/>
      <c r="K39" s="1237"/>
      <c r="L39" s="1237"/>
      <c r="M39" s="1707"/>
      <c r="N39" s="1237"/>
      <c r="O39" s="1258"/>
      <c r="P39" s="1212"/>
      <c r="Q39" s="1584"/>
      <c r="R39" s="1237"/>
      <c r="S39" s="1707"/>
      <c r="T39" s="1237"/>
      <c r="U39" s="1259"/>
      <c r="V39" s="1259"/>
      <c r="W39" s="1586"/>
      <c r="X39" s="1259"/>
      <c r="Y39" s="1212"/>
      <c r="Z39" s="1586"/>
      <c r="AA39" s="1261"/>
      <c r="AB39" s="1586"/>
      <c r="AC39" s="1587"/>
      <c r="AD39" s="1267"/>
      <c r="AE39" s="1586"/>
      <c r="AF39" s="1259"/>
      <c r="AG39" s="1267"/>
      <c r="AH39" s="1207"/>
    </row>
    <row r="40" spans="1:40" x14ac:dyDescent="0.2">
      <c r="A40" s="1236" t="s">
        <v>5</v>
      </c>
      <c r="B40" s="1249">
        <f>B34-B37</f>
        <v>-333161.71100000001</v>
      </c>
      <c r="C40" s="1707" t="s">
        <v>1216</v>
      </c>
      <c r="D40" s="1730" t="s">
        <v>1500</v>
      </c>
      <c r="E40" s="1648"/>
      <c r="F40" s="1648"/>
      <c r="G40" s="1648"/>
      <c r="H40" s="1707"/>
      <c r="I40" s="1707"/>
      <c r="J40" s="1648"/>
      <c r="K40" s="1648"/>
      <c r="L40" s="1649"/>
      <c r="M40" s="1212"/>
      <c r="N40" s="1512"/>
      <c r="O40" s="1212"/>
      <c r="P40" s="1212"/>
      <c r="Q40" s="1212"/>
      <c r="R40" s="1707"/>
      <c r="S40" s="1212"/>
      <c r="T40" s="1212"/>
      <c r="U40" s="1212"/>
      <c r="V40" s="1263"/>
      <c r="W40" s="1212"/>
      <c r="X40" s="1707"/>
      <c r="Y40" s="1711" t="s">
        <v>713</v>
      </c>
      <c r="Z40" s="1212"/>
      <c r="AA40" s="1264" t="s">
        <v>1473</v>
      </c>
      <c r="AB40" s="1212"/>
      <c r="AC40" s="1212"/>
      <c r="AD40" s="1267"/>
      <c r="AE40" s="1267"/>
      <c r="AF40" s="1212" t="s">
        <v>1473</v>
      </c>
      <c r="AG40" s="1267"/>
      <c r="AH40" s="1207"/>
      <c r="AK40" s="1283"/>
    </row>
    <row r="41" spans="1:40" ht="13.5" thickBot="1" x14ac:dyDescent="0.25">
      <c r="A41" s="1250"/>
      <c r="B41" s="1251"/>
      <c r="C41" s="1237"/>
      <c r="D41" s="1237"/>
      <c r="E41" s="1237"/>
      <c r="F41" s="1237"/>
      <c r="G41" s="1237"/>
      <c r="H41" s="1237"/>
      <c r="I41" s="1237"/>
      <c r="J41" s="1237"/>
      <c r="K41" s="1237"/>
      <c r="L41" s="1707"/>
      <c r="M41" s="1237"/>
      <c r="N41" s="1237"/>
      <c r="O41" s="1237"/>
      <c r="P41" s="1241"/>
      <c r="Q41" s="1237"/>
      <c r="R41" s="1237"/>
      <c r="S41" s="1237"/>
      <c r="T41" s="1237"/>
      <c r="U41" s="1237"/>
      <c r="V41" s="1237"/>
      <c r="W41" s="1237"/>
      <c r="X41" s="1237"/>
      <c r="Y41" s="1237"/>
      <c r="Z41" s="1237"/>
      <c r="AA41" s="1237"/>
      <c r="AB41" s="1237"/>
      <c r="AC41" s="1237"/>
      <c r="AD41" s="1237"/>
      <c r="AE41" s="1237"/>
      <c r="AF41" s="1237"/>
      <c r="AG41" s="1237"/>
      <c r="AH41" s="1207"/>
      <c r="AK41" s="1283"/>
    </row>
    <row r="42" spans="1:40" x14ac:dyDescent="0.2">
      <c r="A42" s="1269"/>
      <c r="B42" s="1237"/>
      <c r="C42" s="1270"/>
      <c r="D42" s="1271"/>
      <c r="E42" s="1272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3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  <c r="AB42" s="1271"/>
      <c r="AC42" s="1271"/>
      <c r="AD42" s="1271"/>
      <c r="AE42" s="1271"/>
      <c r="AF42" s="1271"/>
      <c r="AG42" s="1271"/>
      <c r="AH42" s="1227">
        <f t="shared" ref="AH42:AH58" si="9">SUM(C42:AG42)</f>
        <v>0</v>
      </c>
    </row>
    <row r="43" spans="1:40" ht="13.5" thickBot="1" x14ac:dyDescent="0.25">
      <c r="A43" s="1274" t="s">
        <v>914</v>
      </c>
      <c r="B43" s="1237"/>
      <c r="C43" s="1275">
        <f t="shared" ref="C43:AG43" si="10">C44+C45+C48+C52+C51+C49+C50+C46+C47</f>
        <v>9133.6440000000039</v>
      </c>
      <c r="D43" s="1275">
        <f t="shared" si="10"/>
        <v>0</v>
      </c>
      <c r="E43" s="1275">
        <f t="shared" si="10"/>
        <v>9215.9650000000001</v>
      </c>
      <c r="F43" s="1275">
        <f t="shared" si="10"/>
        <v>3594.884</v>
      </c>
      <c r="G43" s="1275">
        <f t="shared" si="10"/>
        <v>36903.448000000004</v>
      </c>
      <c r="H43" s="1275">
        <f t="shared" si="10"/>
        <v>4420.1939999999995</v>
      </c>
      <c r="I43" s="1275">
        <f t="shared" si="10"/>
        <v>19318.826000000001</v>
      </c>
      <c r="J43" s="1275">
        <f t="shared" si="10"/>
        <v>7962.9570000000003</v>
      </c>
      <c r="K43" s="1275">
        <f t="shared" si="10"/>
        <v>28808.284</v>
      </c>
      <c r="L43" s="1275">
        <f t="shared" si="10"/>
        <v>65778.508999999991</v>
      </c>
      <c r="M43" s="1275">
        <f t="shared" si="10"/>
        <v>2241.3539999999998</v>
      </c>
      <c r="N43" s="1275">
        <f t="shared" si="10"/>
        <v>5370.1639999999998</v>
      </c>
      <c r="O43" s="1275">
        <f t="shared" si="10"/>
        <v>32561</v>
      </c>
      <c r="P43" s="1276">
        <f t="shared" si="10"/>
        <v>24852.798000000003</v>
      </c>
      <c r="Q43" s="1275">
        <f t="shared" si="10"/>
        <v>97203.426999999996</v>
      </c>
      <c r="R43" s="1275">
        <f t="shared" si="10"/>
        <v>29600.282999999999</v>
      </c>
      <c r="S43" s="1275">
        <f t="shared" si="10"/>
        <v>12835.766</v>
      </c>
      <c r="T43" s="1275">
        <f t="shared" si="10"/>
        <v>6813.7829999999994</v>
      </c>
      <c r="U43" s="1275">
        <f t="shared" si="10"/>
        <v>34662.06</v>
      </c>
      <c r="V43" s="1275">
        <f t="shared" si="10"/>
        <v>89737.164999999994</v>
      </c>
      <c r="W43" s="1275">
        <f t="shared" si="10"/>
        <v>24938.993999999999</v>
      </c>
      <c r="X43" s="1275">
        <f t="shared" si="10"/>
        <v>12120.39</v>
      </c>
      <c r="Y43" s="1275">
        <f t="shared" si="10"/>
        <v>51781.451999999997</v>
      </c>
      <c r="Z43" s="1275">
        <f t="shared" si="10"/>
        <v>34189.068999999996</v>
      </c>
      <c r="AA43" s="1275">
        <f t="shared" si="10"/>
        <v>36108.813999999998</v>
      </c>
      <c r="AB43" s="1275">
        <f t="shared" si="10"/>
        <v>39161.819000000003</v>
      </c>
      <c r="AC43" s="1275">
        <f t="shared" si="10"/>
        <v>30256.567000000003</v>
      </c>
      <c r="AD43" s="1275">
        <f t="shared" si="10"/>
        <v>55095.786999999997</v>
      </c>
      <c r="AE43" s="1275">
        <f t="shared" si="10"/>
        <v>36676.565999999999</v>
      </c>
      <c r="AF43" s="1275">
        <f t="shared" si="10"/>
        <v>303761.25099999993</v>
      </c>
      <c r="AG43" s="1275">
        <f t="shared" si="10"/>
        <v>0</v>
      </c>
      <c r="AH43" s="1227">
        <f t="shared" si="9"/>
        <v>1145105.2200000002</v>
      </c>
    </row>
    <row r="44" spans="1:40" x14ac:dyDescent="0.2">
      <c r="A44" s="1274" t="s">
        <v>8</v>
      </c>
      <c r="B44" s="1236"/>
      <c r="C44" s="1293"/>
      <c r="D44" s="1293">
        <f>24457.59-24457.59</f>
        <v>0</v>
      </c>
      <c r="E44" s="1293"/>
      <c r="F44" s="1293"/>
      <c r="G44" s="1293">
        <v>17400</v>
      </c>
      <c r="H44" s="1293"/>
      <c r="I44" s="1293"/>
      <c r="J44" s="1293"/>
      <c r="K44" s="1293"/>
      <c r="L44" s="1293">
        <v>11739.321</v>
      </c>
      <c r="M44" s="1293"/>
      <c r="N44" s="1293"/>
      <c r="O44" s="1293"/>
      <c r="P44" s="1293">
        <v>9000</v>
      </c>
      <c r="Q44" s="1293">
        <v>19556.741999999998</v>
      </c>
      <c r="R44" s="1293"/>
      <c r="S44" s="1293"/>
      <c r="T44" s="1293"/>
      <c r="U44" s="1293"/>
      <c r="V44" s="1293">
        <f>7500+9855.417</f>
        <v>17355.417000000001</v>
      </c>
      <c r="W44" s="1293"/>
      <c r="X44" s="1293"/>
      <c r="Y44" s="1293"/>
      <c r="Z44" s="1293"/>
      <c r="AA44" s="1293">
        <v>29050</v>
      </c>
      <c r="AB44" s="1293"/>
      <c r="AC44" s="1293"/>
      <c r="AD44" s="1293"/>
      <c r="AE44" s="1293"/>
      <c r="AF44" s="1293">
        <f>79681.21-7459.823</f>
        <v>72221.387000000002</v>
      </c>
      <c r="AG44" s="1293"/>
      <c r="AH44" s="1455">
        <f t="shared" si="9"/>
        <v>176322.867</v>
      </c>
      <c r="AN44" s="1280">
        <v>9918.1650000000009</v>
      </c>
    </row>
    <row r="45" spans="1:40" x14ac:dyDescent="0.2">
      <c r="A45" s="1274" t="s">
        <v>703</v>
      </c>
      <c r="B45" s="1237"/>
      <c r="C45" s="1293"/>
      <c r="D45" s="1293">
        <f>22500-22500</f>
        <v>0</v>
      </c>
      <c r="E45" s="1293"/>
      <c r="F45" s="1293"/>
      <c r="G45" s="1293">
        <f>38201.241-1175.565-5400-22550</f>
        <v>9075.6759999999995</v>
      </c>
      <c r="H45" s="1293"/>
      <c r="I45" s="1293">
        <v>9593.5349999999999</v>
      </c>
      <c r="J45" s="1293"/>
      <c r="K45" s="1293">
        <v>24735.153999999999</v>
      </c>
      <c r="L45" s="1293">
        <v>11559.054</v>
      </c>
      <c r="M45" s="1293">
        <v>2241.3539999999998</v>
      </c>
      <c r="N45" s="1293">
        <v>770.16399999999999</v>
      </c>
      <c r="O45" s="1293">
        <v>27650</v>
      </c>
      <c r="P45" s="1293">
        <v>4285.7970000000005</v>
      </c>
      <c r="Q45" s="1293">
        <v>9793.9430000000011</v>
      </c>
      <c r="R45" s="1293">
        <v>25215.91</v>
      </c>
      <c r="S45" s="1293">
        <v>10835.766</v>
      </c>
      <c r="T45" s="1293">
        <v>2613.7829999999999</v>
      </c>
      <c r="U45" s="1293">
        <v>25963.052</v>
      </c>
      <c r="V45" s="1293">
        <v>23542.355</v>
      </c>
      <c r="W45" s="1293">
        <v>12535.416000000001</v>
      </c>
      <c r="X45" s="1293"/>
      <c r="Y45" s="1293">
        <v>25138.873</v>
      </c>
      <c r="Z45" s="1293">
        <v>28489.068999999996</v>
      </c>
      <c r="AA45" s="1293">
        <v>14793.745000000001</v>
      </c>
      <c r="AB45" s="1293">
        <v>34430.067000000003</v>
      </c>
      <c r="AC45" s="1293">
        <v>19799.260000000002</v>
      </c>
      <c r="AD45" s="1293">
        <v>33858.902999999998</v>
      </c>
      <c r="AE45" s="1293">
        <v>33885.197999999997</v>
      </c>
      <c r="AF45" s="1293">
        <v>102667.67</v>
      </c>
      <c r="AG45" s="1293"/>
      <c r="AH45" s="1455">
        <f t="shared" si="9"/>
        <v>493473.74399999995</v>
      </c>
      <c r="AI45" s="1283">
        <f>+AH45+AH44</f>
        <v>669796.61099999992</v>
      </c>
      <c r="AJ45" s="1283"/>
      <c r="AN45" s="1280">
        <v>788.89499999999998</v>
      </c>
    </row>
    <row r="46" spans="1:40" x14ac:dyDescent="0.2">
      <c r="A46" s="1274" t="s">
        <v>704</v>
      </c>
      <c r="B46" s="1237"/>
      <c r="C46" s="1293">
        <f>4464.729-976.579</f>
        <v>3488.1500000000005</v>
      </c>
      <c r="D46" s="1708"/>
      <c r="E46" s="1282"/>
      <c r="F46" s="1593"/>
      <c r="G46" s="1593"/>
      <c r="H46" s="1593"/>
      <c r="I46" s="1593"/>
      <c r="J46" s="1593"/>
      <c r="K46" s="1593"/>
      <c r="L46" s="1593"/>
      <c r="M46" s="1593"/>
      <c r="N46" s="1593"/>
      <c r="O46" s="1593"/>
      <c r="P46" s="1593"/>
      <c r="Q46" s="1593"/>
      <c r="R46" s="1593"/>
      <c r="S46" s="1593"/>
      <c r="T46" s="1593"/>
      <c r="U46" s="1593"/>
      <c r="V46" s="1593"/>
      <c r="W46" s="1593"/>
      <c r="X46" s="1593"/>
      <c r="Y46" s="1593"/>
      <c r="Z46" s="1593"/>
      <c r="AA46" s="1593">
        <f>-6500-13700</f>
        <v>-20200</v>
      </c>
      <c r="AB46" s="1593"/>
      <c r="AC46" s="1593"/>
      <c r="AD46" s="1593"/>
      <c r="AE46" s="1593"/>
      <c r="AF46" s="1593">
        <f>-6587.95-13734.418</f>
        <v>-20322.367999999999</v>
      </c>
      <c r="AG46" s="1593"/>
      <c r="AH46" s="1455">
        <f t="shared" si="9"/>
        <v>-37034.217999999993</v>
      </c>
      <c r="AI46" s="1223" t="s">
        <v>1495</v>
      </c>
      <c r="AN46" s="1280"/>
    </row>
    <row r="47" spans="1:40" x14ac:dyDescent="0.2">
      <c r="A47" s="1274" t="s">
        <v>705</v>
      </c>
      <c r="B47" s="1237"/>
      <c r="C47" s="1598"/>
      <c r="D47" s="1709"/>
      <c r="E47" s="1599"/>
      <c r="F47" s="1599"/>
      <c r="G47" s="1599"/>
      <c r="H47" s="1599"/>
      <c r="I47" s="1599"/>
      <c r="J47" s="1599"/>
      <c r="K47" s="1599"/>
      <c r="L47" s="1599"/>
      <c r="M47" s="1599"/>
      <c r="N47" s="1599"/>
      <c r="O47" s="1599"/>
      <c r="P47" s="1599"/>
      <c r="Q47" s="1599"/>
      <c r="R47" s="1599"/>
      <c r="S47" s="1599"/>
      <c r="T47" s="1599"/>
      <c r="U47" s="1599"/>
      <c r="V47" s="1304">
        <v>24442.09</v>
      </c>
      <c r="W47" s="1599"/>
      <c r="X47" s="1599"/>
      <c r="Y47" s="1599"/>
      <c r="Z47" s="1599"/>
      <c r="AA47" s="1599"/>
      <c r="AB47" s="1599"/>
      <c r="AC47" s="1599"/>
      <c r="AD47" s="1599"/>
      <c r="AE47" s="1599"/>
      <c r="AF47" s="1599"/>
      <c r="AG47" s="1599"/>
      <c r="AH47" s="1455">
        <f t="shared" si="9"/>
        <v>24442.09</v>
      </c>
      <c r="AI47" s="1283"/>
      <c r="AJ47" s="1283"/>
      <c r="AN47" s="1280"/>
    </row>
    <row r="48" spans="1:40" s="1289" customFormat="1" x14ac:dyDescent="0.2">
      <c r="A48" s="1285" t="s">
        <v>10</v>
      </c>
      <c r="B48" s="1286"/>
      <c r="C48" s="1494"/>
      <c r="D48" s="1710"/>
      <c r="E48" s="1287"/>
      <c r="F48" s="1287"/>
      <c r="G48" s="1287"/>
      <c r="H48" s="1287"/>
      <c r="I48" s="1287"/>
      <c r="J48" s="1493"/>
      <c r="K48" s="1287"/>
      <c r="L48" s="1287"/>
      <c r="M48" s="1494"/>
      <c r="N48" s="1493"/>
      <c r="O48" s="1287"/>
      <c r="P48" s="1287"/>
      <c r="Q48" s="1287"/>
      <c r="R48" s="1287"/>
      <c r="S48" s="1287"/>
      <c r="T48" s="1493"/>
      <c r="U48" s="1287"/>
      <c r="V48" s="1287"/>
      <c r="W48" s="1287"/>
      <c r="X48" s="1287"/>
      <c r="Y48" s="1493">
        <v>24000</v>
      </c>
      <c r="Z48" s="1287"/>
      <c r="AA48" s="1287"/>
      <c r="AB48" s="1522"/>
      <c r="AC48" s="1493"/>
      <c r="AD48" s="1287"/>
      <c r="AE48" s="1287"/>
      <c r="AF48" s="1287"/>
      <c r="AG48" s="1287"/>
      <c r="AH48" s="1456">
        <f t="shared" si="9"/>
        <v>24000</v>
      </c>
      <c r="AI48" s="1288"/>
      <c r="AN48" s="1290">
        <v>6347.85</v>
      </c>
    </row>
    <row r="49" spans="1:40" s="1289" customFormat="1" x14ac:dyDescent="0.2">
      <c r="A49" s="1285" t="s">
        <v>356</v>
      </c>
      <c r="B49" s="1291"/>
      <c r="C49" s="1493"/>
      <c r="D49" s="1493"/>
      <c r="E49" s="1493"/>
      <c r="F49" s="1493"/>
      <c r="G49" s="1493"/>
      <c r="H49" s="1493"/>
      <c r="I49" s="1493"/>
      <c r="J49" s="1493"/>
      <c r="K49" s="1493"/>
      <c r="L49" s="1493"/>
      <c r="M49" s="1493"/>
      <c r="N49" s="1493"/>
      <c r="O49" s="1493"/>
      <c r="P49" s="1493"/>
      <c r="Q49" s="1493"/>
      <c r="R49" s="1493"/>
      <c r="S49" s="1493"/>
      <c r="T49" s="1493"/>
      <c r="U49" s="1493"/>
      <c r="V49" s="1493"/>
      <c r="W49" s="1493"/>
      <c r="X49" s="1493"/>
      <c r="Y49" s="1493"/>
      <c r="Z49" s="1493"/>
      <c r="AA49" s="1493"/>
      <c r="AB49" s="1493"/>
      <c r="AC49" s="1493"/>
      <c r="AD49" s="1493"/>
      <c r="AE49" s="1493"/>
      <c r="AF49" s="1493"/>
      <c r="AG49" s="1493"/>
      <c r="AH49" s="1456">
        <f t="shared" si="9"/>
        <v>0</v>
      </c>
      <c r="AN49" s="1290">
        <v>6249.5020000000004</v>
      </c>
    </row>
    <row r="50" spans="1:40" s="1320" customFormat="1" x14ac:dyDescent="0.2">
      <c r="A50" s="1530" t="s">
        <v>357</v>
      </c>
      <c r="B50" s="1241"/>
      <c r="C50" s="1293"/>
      <c r="D50" s="1293"/>
      <c r="E50" s="1293"/>
      <c r="F50" s="1293"/>
      <c r="G50" s="1293"/>
      <c r="H50" s="1293"/>
      <c r="I50" s="1293">
        <v>4844.8270000000002</v>
      </c>
      <c r="J50" s="1293"/>
      <c r="K50" s="1293"/>
      <c r="L50" s="1293">
        <v>10048.200999999999</v>
      </c>
      <c r="M50" s="1293"/>
      <c r="N50" s="1293"/>
      <c r="O50" s="1293"/>
      <c r="P50" s="1293"/>
      <c r="Q50" s="1293">
        <v>13654.352999999999</v>
      </c>
      <c r="R50" s="1293"/>
      <c r="S50" s="1293"/>
      <c r="T50" s="1293"/>
      <c r="U50" s="1293"/>
      <c r="V50" s="1293"/>
      <c r="W50" s="1293"/>
      <c r="X50" s="1293"/>
      <c r="Y50" s="1293"/>
      <c r="Z50" s="1293"/>
      <c r="AA50" s="1293"/>
      <c r="AB50" s="1293"/>
      <c r="AC50" s="1293">
        <v>10457.307000000001</v>
      </c>
      <c r="AD50" s="1293"/>
      <c r="AE50" s="1293"/>
      <c r="AF50" s="1293">
        <v>5330.1440000000002</v>
      </c>
      <c r="AG50" s="1293"/>
      <c r="AH50" s="1531">
        <f t="shared" si="9"/>
        <v>44334.831999999995</v>
      </c>
      <c r="AN50" s="1355">
        <v>2246.556</v>
      </c>
    </row>
    <row r="51" spans="1:40" s="1320" customFormat="1" x14ac:dyDescent="0.2">
      <c r="A51" s="1530" t="s">
        <v>41</v>
      </c>
      <c r="B51" s="1241"/>
      <c r="C51" s="1293">
        <v>3305.723</v>
      </c>
      <c r="D51" s="1293"/>
      <c r="E51" s="1293">
        <v>9215.9650000000001</v>
      </c>
      <c r="F51" s="1293">
        <v>3594.884</v>
      </c>
      <c r="G51" s="1293">
        <v>10427.772000000001</v>
      </c>
      <c r="H51" s="1293">
        <v>4420.1939999999995</v>
      </c>
      <c r="I51" s="1293">
        <v>4880.4639999999999</v>
      </c>
      <c r="J51" s="1293">
        <v>7962.9570000000003</v>
      </c>
      <c r="K51" s="1293">
        <v>4073.13</v>
      </c>
      <c r="L51" s="1293">
        <v>32431.932999999997</v>
      </c>
      <c r="M51" s="1293"/>
      <c r="N51" s="1293">
        <v>4600</v>
      </c>
      <c r="O51" s="1293">
        <v>4911</v>
      </c>
      <c r="P51" s="1293">
        <v>11567.001</v>
      </c>
      <c r="Q51" s="1293">
        <v>54198.388999999996</v>
      </c>
      <c r="R51" s="1293">
        <v>4384.3729999999996</v>
      </c>
      <c r="S51" s="1293">
        <v>2000</v>
      </c>
      <c r="T51" s="1293">
        <v>4200</v>
      </c>
      <c r="U51" s="1293">
        <v>8699.0079999999998</v>
      </c>
      <c r="V51" s="1293">
        <v>24397.303</v>
      </c>
      <c r="W51" s="1293">
        <v>12403.578</v>
      </c>
      <c r="X51" s="1293">
        <v>12120.39</v>
      </c>
      <c r="Y51" s="1293">
        <v>2642.5789999999997</v>
      </c>
      <c r="Z51" s="1293">
        <v>5700</v>
      </c>
      <c r="AA51" s="1293">
        <v>12465.069</v>
      </c>
      <c r="AB51" s="1293">
        <v>4731.7520000000004</v>
      </c>
      <c r="AC51" s="1293"/>
      <c r="AD51" s="1293">
        <v>21236.883999999998</v>
      </c>
      <c r="AE51" s="1293">
        <v>2791.3679999999999</v>
      </c>
      <c r="AF51" s="1293">
        <v>143864.41799999998</v>
      </c>
      <c r="AG51" s="1293"/>
      <c r="AH51" s="1531">
        <f>SUM(C51:AG51)</f>
        <v>417226.13399999996</v>
      </c>
      <c r="AN51" s="1355"/>
    </row>
    <row r="52" spans="1:40" x14ac:dyDescent="0.2">
      <c r="A52" s="1274" t="s">
        <v>11</v>
      </c>
      <c r="B52" s="1237"/>
      <c r="C52" s="1293">
        <f>17106.057-4643.172-4643.172-5479.942</f>
        <v>2339.7710000000025</v>
      </c>
      <c r="D52" s="1293"/>
      <c r="E52" s="1575"/>
      <c r="F52" s="1293"/>
      <c r="G52" s="1293"/>
      <c r="H52" s="1293"/>
      <c r="I52" s="1293"/>
      <c r="J52" s="1293"/>
      <c r="K52" s="1293"/>
      <c r="L52" s="1293"/>
      <c r="M52" s="1575"/>
      <c r="N52" s="1293"/>
      <c r="O52" s="1293"/>
      <c r="P52" s="1293"/>
      <c r="Q52" s="1585"/>
      <c r="R52" s="1293"/>
      <c r="S52" s="1293"/>
      <c r="T52" s="1293"/>
      <c r="U52" s="1293"/>
      <c r="V52" s="1293"/>
      <c r="W52" s="1585"/>
      <c r="X52" s="1293"/>
      <c r="Y52" s="1293"/>
      <c r="Z52" s="1585"/>
      <c r="AA52" s="1293"/>
      <c r="AB52" s="1585"/>
      <c r="AC52" s="1585"/>
      <c r="AD52" s="1585"/>
      <c r="AE52" s="1585"/>
      <c r="AF52" s="1293"/>
      <c r="AG52" s="1585"/>
      <c r="AH52" s="1455">
        <f t="shared" si="9"/>
        <v>2339.7710000000025</v>
      </c>
      <c r="AN52" s="1280">
        <v>4028.1610000000001</v>
      </c>
    </row>
    <row r="53" spans="1:40" ht="13.5" thickBot="1" x14ac:dyDescent="0.25">
      <c r="A53" s="1294"/>
      <c r="B53" s="1237"/>
      <c r="C53" s="1295"/>
      <c r="D53" s="1295"/>
      <c r="E53" s="1295"/>
      <c r="F53" s="1295"/>
      <c r="G53" s="1295"/>
      <c r="H53" s="1295"/>
      <c r="I53" s="1295"/>
      <c r="J53" s="1295"/>
      <c r="K53" s="1295"/>
      <c r="L53" s="1295"/>
      <c r="M53" s="1295"/>
      <c r="N53" s="1295"/>
      <c r="O53" s="1295"/>
      <c r="P53" s="1295"/>
      <c r="Q53" s="1295"/>
      <c r="R53" s="1295"/>
      <c r="S53" s="1295"/>
      <c r="T53" s="1295"/>
      <c r="U53" s="1295"/>
      <c r="V53" s="1295"/>
      <c r="W53" s="1295"/>
      <c r="X53" s="1295"/>
      <c r="Y53" s="1295"/>
      <c r="Z53" s="1295"/>
      <c r="AA53" s="1295"/>
      <c r="AB53" s="1295"/>
      <c r="AC53" s="1295"/>
      <c r="AD53" s="1295"/>
      <c r="AE53" s="1295"/>
      <c r="AF53" s="1295"/>
      <c r="AG53" s="1295"/>
      <c r="AH53" s="1227">
        <f t="shared" si="9"/>
        <v>0</v>
      </c>
      <c r="AI53" s="1283"/>
      <c r="AJ53" s="1289"/>
      <c r="AN53" s="1280">
        <v>5501.3969999999999</v>
      </c>
    </row>
    <row r="54" spans="1:40" x14ac:dyDescent="0.2">
      <c r="A54" s="1269"/>
      <c r="B54" s="1237"/>
      <c r="C54" s="1296"/>
      <c r="D54" s="1297"/>
      <c r="E54" s="1297"/>
      <c r="F54" s="1298"/>
      <c r="G54" s="1298"/>
      <c r="H54" s="1298"/>
      <c r="I54" s="1298"/>
      <c r="J54" s="1298"/>
      <c r="K54" s="1298"/>
      <c r="L54" s="1298"/>
      <c r="M54" s="1298"/>
      <c r="N54" s="1298"/>
      <c r="O54" s="1298"/>
      <c r="P54" s="1299"/>
      <c r="Q54" s="1298"/>
      <c r="R54" s="1298"/>
      <c r="S54" s="1298"/>
      <c r="T54" s="1298"/>
      <c r="U54" s="1298"/>
      <c r="V54" s="1298"/>
      <c r="W54" s="1298"/>
      <c r="X54" s="1298"/>
      <c r="Y54" s="1298"/>
      <c r="Z54" s="1298"/>
      <c r="AA54" s="1298"/>
      <c r="AB54" s="1298"/>
      <c r="AC54" s="1298"/>
      <c r="AD54" s="1298"/>
      <c r="AE54" s="1298"/>
      <c r="AF54" s="1298"/>
      <c r="AG54" s="1298"/>
      <c r="AH54" s="1227">
        <f t="shared" si="9"/>
        <v>0</v>
      </c>
      <c r="AJ54" s="1289"/>
      <c r="AN54" s="1280">
        <v>3325.74</v>
      </c>
    </row>
    <row r="55" spans="1:40" ht="13.5" thickBot="1" x14ac:dyDescent="0.25">
      <c r="A55" s="1274" t="s">
        <v>12</v>
      </c>
      <c r="B55" s="1237"/>
      <c r="C55" s="1275">
        <f t="shared" ref="C55:AG55" si="11">C56</f>
        <v>0</v>
      </c>
      <c r="D55" s="1275">
        <f t="shared" si="11"/>
        <v>0</v>
      </c>
      <c r="E55" s="1275">
        <f t="shared" si="11"/>
        <v>0</v>
      </c>
      <c r="F55" s="1275">
        <f t="shared" si="11"/>
        <v>0</v>
      </c>
      <c r="G55" s="1275">
        <f t="shared" si="11"/>
        <v>0</v>
      </c>
      <c r="H55" s="1275">
        <f t="shared" si="11"/>
        <v>0</v>
      </c>
      <c r="I55" s="1275">
        <f t="shared" si="11"/>
        <v>17694.179</v>
      </c>
      <c r="J55" s="1275">
        <f t="shared" si="11"/>
        <v>12750.923000000001</v>
      </c>
      <c r="K55" s="1275">
        <f t="shared" si="11"/>
        <v>5123.13</v>
      </c>
      <c r="L55" s="1275">
        <f t="shared" si="11"/>
        <v>63968.440999999999</v>
      </c>
      <c r="M55" s="1276">
        <f t="shared" si="11"/>
        <v>0</v>
      </c>
      <c r="N55" s="1276">
        <f t="shared" si="11"/>
        <v>8183.1350000000002</v>
      </c>
      <c r="O55" s="1276">
        <f t="shared" si="11"/>
        <v>12436.23</v>
      </c>
      <c r="P55" s="1276">
        <f t="shared" si="11"/>
        <v>12659.534</v>
      </c>
      <c r="Q55" s="1275">
        <f t="shared" si="11"/>
        <v>80276.52</v>
      </c>
      <c r="R55" s="1275">
        <f t="shared" si="11"/>
        <v>6130.2809999999999</v>
      </c>
      <c r="S55" s="1275">
        <f t="shared" si="11"/>
        <v>11990</v>
      </c>
      <c r="T55" s="1275">
        <f t="shared" si="11"/>
        <v>5697.268</v>
      </c>
      <c r="U55" s="1275">
        <f t="shared" si="11"/>
        <v>13509.932000000001</v>
      </c>
      <c r="V55" s="1275">
        <f t="shared" si="11"/>
        <v>50680.065000000002</v>
      </c>
      <c r="W55" s="1275">
        <f t="shared" si="11"/>
        <v>12403.578</v>
      </c>
      <c r="X55" s="1275">
        <f t="shared" si="11"/>
        <v>14320.39</v>
      </c>
      <c r="Y55" s="1275">
        <f t="shared" si="11"/>
        <v>6187.7560000000003</v>
      </c>
      <c r="Z55" s="1275">
        <f t="shared" si="11"/>
        <v>5700</v>
      </c>
      <c r="AA55" s="1275">
        <f t="shared" si="11"/>
        <v>32160.186000000002</v>
      </c>
      <c r="AB55" s="1275">
        <f t="shared" si="11"/>
        <v>10121.813</v>
      </c>
      <c r="AC55" s="1275">
        <f t="shared" si="11"/>
        <v>2298.7559999999999</v>
      </c>
      <c r="AD55" s="1275">
        <f t="shared" si="11"/>
        <v>24302.215</v>
      </c>
      <c r="AE55" s="1275">
        <f t="shared" si="11"/>
        <v>4266.0479999999998</v>
      </c>
      <c r="AF55" s="1275">
        <f t="shared" si="11"/>
        <v>252569.804</v>
      </c>
      <c r="AG55" s="1275">
        <f t="shared" si="11"/>
        <v>0</v>
      </c>
      <c r="AH55" s="1227">
        <f t="shared" si="9"/>
        <v>665430.18400000012</v>
      </c>
      <c r="AN55" s="1280">
        <v>9717.5709999999999</v>
      </c>
    </row>
    <row r="56" spans="1:40" x14ac:dyDescent="0.2">
      <c r="A56" s="1274" t="s">
        <v>8</v>
      </c>
      <c r="B56" s="1237"/>
      <c r="C56" s="1293"/>
      <c r="D56" s="1293">
        <v>0</v>
      </c>
      <c r="E56" s="1293"/>
      <c r="F56" s="1293"/>
      <c r="G56" s="1293"/>
      <c r="H56" s="1293"/>
      <c r="I56" s="1293">
        <v>17694.179</v>
      </c>
      <c r="J56" s="1293">
        <v>12750.923000000001</v>
      </c>
      <c r="K56" s="1293">
        <v>5123.13</v>
      </c>
      <c r="L56" s="1293">
        <v>63968.440999999999</v>
      </c>
      <c r="M56" s="1293">
        <v>0</v>
      </c>
      <c r="N56" s="1293">
        <v>8183.1350000000002</v>
      </c>
      <c r="O56" s="1293">
        <v>12436.23</v>
      </c>
      <c r="P56" s="1293">
        <v>12659.534</v>
      </c>
      <c r="Q56" s="1293">
        <v>80276.52</v>
      </c>
      <c r="R56" s="1293">
        <v>6130.2809999999999</v>
      </c>
      <c r="S56" s="1293">
        <v>11990</v>
      </c>
      <c r="T56" s="1293">
        <v>5697.268</v>
      </c>
      <c r="U56" s="1293">
        <v>13509.932000000001</v>
      </c>
      <c r="V56" s="1293">
        <v>50680.065000000002</v>
      </c>
      <c r="W56" s="1293">
        <v>12403.578</v>
      </c>
      <c r="X56" s="1293">
        <v>14320.39</v>
      </c>
      <c r="Y56" s="1293">
        <v>6187.7560000000003</v>
      </c>
      <c r="Z56" s="1293">
        <v>5700</v>
      </c>
      <c r="AA56" s="1293">
        <v>32160.186000000002</v>
      </c>
      <c r="AB56" s="1293">
        <v>10121.813</v>
      </c>
      <c r="AC56" s="1293">
        <v>2298.7559999999999</v>
      </c>
      <c r="AD56" s="1293">
        <v>24302.215</v>
      </c>
      <c r="AE56" s="1293">
        <v>4266.0479999999998</v>
      </c>
      <c r="AF56" s="1293">
        <v>252569.804</v>
      </c>
      <c r="AG56" s="1293"/>
      <c r="AH56" s="1455">
        <f t="shared" si="9"/>
        <v>665430.18400000012</v>
      </c>
      <c r="AN56" s="1280">
        <v>673.17700000000002</v>
      </c>
    </row>
    <row r="57" spans="1:40" x14ac:dyDescent="0.2">
      <c r="A57" s="1274" t="s">
        <v>215</v>
      </c>
      <c r="B57" s="1237"/>
      <c r="C57" s="1293">
        <v>7815</v>
      </c>
      <c r="D57" s="1293"/>
      <c r="E57" s="1293"/>
      <c r="F57" s="1293">
        <v>1811.1510000000001</v>
      </c>
      <c r="G57" s="1293">
        <v>24917.227999999996</v>
      </c>
      <c r="H57" s="1293"/>
      <c r="I57" s="1293">
        <v>1100</v>
      </c>
      <c r="J57" s="1293">
        <v>1200</v>
      </c>
      <c r="K57" s="1293">
        <v>1600</v>
      </c>
      <c r="L57" s="1293">
        <v>17566.878000000001</v>
      </c>
      <c r="M57" s="1293"/>
      <c r="N57" s="1293">
        <v>4304.1909999999998</v>
      </c>
      <c r="O57" s="1293"/>
      <c r="P57" s="1293">
        <v>3444.8670000000002</v>
      </c>
      <c r="Q57" s="1293">
        <v>35279.008999999998</v>
      </c>
      <c r="R57" s="1293">
        <v>4020</v>
      </c>
      <c r="S57" s="1293"/>
      <c r="T57" s="1293">
        <v>1000</v>
      </c>
      <c r="U57" s="1293">
        <v>5066.8450000000003</v>
      </c>
      <c r="V57" s="1293">
        <v>25717.707000000002</v>
      </c>
      <c r="W57" s="1293">
        <v>3262.7370000000001</v>
      </c>
      <c r="X57" s="1293">
        <v>8516.6739999999991</v>
      </c>
      <c r="Y57" s="1293">
        <v>3910.692</v>
      </c>
      <c r="Z57" s="1293">
        <v>2007.73</v>
      </c>
      <c r="AA57" s="1293">
        <v>14891.521000000001</v>
      </c>
      <c r="AB57" s="1293">
        <v>7755.4139999999998</v>
      </c>
      <c r="AC57" s="1293"/>
      <c r="AD57" s="1293">
        <v>11679.804</v>
      </c>
      <c r="AE57" s="1293">
        <v>8250.8549999999996</v>
      </c>
      <c r="AF57" s="1293">
        <v>86308.058999999994</v>
      </c>
      <c r="AG57" s="1293"/>
      <c r="AH57" s="1455">
        <f>SUM(C57:AG57)</f>
        <v>281426.36200000002</v>
      </c>
      <c r="AI57" s="1283"/>
      <c r="AN57" s="1280">
        <v>4534.4949999999999</v>
      </c>
    </row>
    <row r="58" spans="1:40" ht="13.5" thickBot="1" x14ac:dyDescent="0.25">
      <c r="A58" s="1294"/>
      <c r="B58" s="1237"/>
      <c r="C58" s="1295"/>
      <c r="D58" s="1295"/>
      <c r="E58" s="1295"/>
      <c r="F58" s="1295"/>
      <c r="G58" s="1295"/>
      <c r="H58" s="1295"/>
      <c r="I58" s="1295"/>
      <c r="J58" s="1295"/>
      <c r="K58" s="1295"/>
      <c r="L58" s="1295"/>
      <c r="M58" s="1295"/>
      <c r="N58" s="1295"/>
      <c r="O58" s="1295"/>
      <c r="P58" s="1295"/>
      <c r="Q58" s="1295"/>
      <c r="R58" s="1295"/>
      <c r="S58" s="1295"/>
      <c r="T58" s="1295"/>
      <c r="U58" s="1295"/>
      <c r="V58" s="1295"/>
      <c r="W58" s="1295"/>
      <c r="X58" s="1295"/>
      <c r="Y58" s="1295"/>
      <c r="Z58" s="1295"/>
      <c r="AA58" s="1295"/>
      <c r="AB58" s="1295"/>
      <c r="AC58" s="1295"/>
      <c r="AD58" s="1295"/>
      <c r="AE58" s="1295"/>
      <c r="AF58" s="1295"/>
      <c r="AG58" s="1295"/>
      <c r="AH58" s="1227">
        <f t="shared" si="9"/>
        <v>0</v>
      </c>
      <c r="AN58" s="1280">
        <v>2827.3519999999999</v>
      </c>
    </row>
    <row r="59" spans="1:40" x14ac:dyDescent="0.2">
      <c r="A59" s="1269"/>
      <c r="B59" s="1237"/>
      <c r="C59" s="1296"/>
      <c r="D59" s="1297"/>
      <c r="E59" s="1297"/>
      <c r="F59" s="1298"/>
      <c r="G59" s="1298"/>
      <c r="H59" s="1298"/>
      <c r="I59" s="1298"/>
      <c r="J59" s="1298"/>
      <c r="K59" s="1298"/>
      <c r="L59" s="1298"/>
      <c r="M59" s="1298"/>
      <c r="N59" s="1298"/>
      <c r="O59" s="1298"/>
      <c r="P59" s="1299"/>
      <c r="Q59" s="1298"/>
      <c r="R59" s="1298"/>
      <c r="S59" s="1298"/>
      <c r="T59" s="1298"/>
      <c r="U59" s="1298"/>
      <c r="V59" s="1298"/>
      <c r="W59" s="1298"/>
      <c r="X59" s="1298"/>
      <c r="Y59" s="1298"/>
      <c r="Z59" s="1298"/>
      <c r="AA59" s="1298"/>
      <c r="AB59" s="1298"/>
      <c r="AC59" s="1298"/>
      <c r="AD59" s="1298"/>
      <c r="AE59" s="1298"/>
      <c r="AF59" s="1298"/>
      <c r="AG59" s="1298"/>
      <c r="AH59" s="1207"/>
      <c r="AJ59" s="1209">
        <f>18755+17890+17700+17800</f>
        <v>72145</v>
      </c>
      <c r="AN59" s="1280">
        <v>1850.7819999999999</v>
      </c>
    </row>
    <row r="60" spans="1:40" x14ac:dyDescent="0.2">
      <c r="A60" s="1274" t="s">
        <v>915</v>
      </c>
      <c r="B60" s="1237"/>
      <c r="C60" s="1300">
        <f t="shared" ref="C60:AG60" si="12">C55-C43</f>
        <v>-9133.6440000000039</v>
      </c>
      <c r="D60" s="1300">
        <f t="shared" si="12"/>
        <v>0</v>
      </c>
      <c r="E60" s="1300">
        <f t="shared" si="12"/>
        <v>-9215.9650000000001</v>
      </c>
      <c r="F60" s="1300">
        <f t="shared" si="12"/>
        <v>-3594.884</v>
      </c>
      <c r="G60" s="1300">
        <f t="shared" si="12"/>
        <v>-36903.448000000004</v>
      </c>
      <c r="H60" s="1300">
        <f t="shared" si="12"/>
        <v>-4420.1939999999995</v>
      </c>
      <c r="I60" s="1300">
        <f t="shared" si="12"/>
        <v>-1624.6470000000008</v>
      </c>
      <c r="J60" s="1300">
        <f t="shared" si="12"/>
        <v>4787.9660000000003</v>
      </c>
      <c r="K60" s="1300">
        <f t="shared" si="12"/>
        <v>-23685.153999999999</v>
      </c>
      <c r="L60" s="1300">
        <f t="shared" si="12"/>
        <v>-1810.067999999992</v>
      </c>
      <c r="M60" s="1300">
        <f t="shared" si="12"/>
        <v>-2241.3539999999998</v>
      </c>
      <c r="N60" s="1300">
        <f t="shared" si="12"/>
        <v>2812.9710000000005</v>
      </c>
      <c r="O60" s="1300">
        <f t="shared" si="12"/>
        <v>-20124.77</v>
      </c>
      <c r="P60" s="1301">
        <f t="shared" si="12"/>
        <v>-12193.264000000003</v>
      </c>
      <c r="Q60" s="1300">
        <f t="shared" si="12"/>
        <v>-16926.906999999992</v>
      </c>
      <c r="R60" s="1300">
        <f t="shared" si="12"/>
        <v>-23470.002</v>
      </c>
      <c r="S60" s="1300">
        <f t="shared" si="12"/>
        <v>-845.76599999999962</v>
      </c>
      <c r="T60" s="1300">
        <f t="shared" si="12"/>
        <v>-1116.5149999999994</v>
      </c>
      <c r="U60" s="1300">
        <f t="shared" si="12"/>
        <v>-21152.127999999997</v>
      </c>
      <c r="V60" s="1300">
        <f t="shared" si="12"/>
        <v>-39057.099999999991</v>
      </c>
      <c r="W60" s="1300">
        <f t="shared" si="12"/>
        <v>-12535.415999999999</v>
      </c>
      <c r="X60" s="1300">
        <f t="shared" si="12"/>
        <v>2200</v>
      </c>
      <c r="Y60" s="1300">
        <f t="shared" si="12"/>
        <v>-45593.695999999996</v>
      </c>
      <c r="Z60" s="1300">
        <f t="shared" si="12"/>
        <v>-28489.068999999996</v>
      </c>
      <c r="AA60" s="1300">
        <f t="shared" si="12"/>
        <v>-3948.627999999997</v>
      </c>
      <c r="AB60" s="1300">
        <f t="shared" si="12"/>
        <v>-29040.006000000001</v>
      </c>
      <c r="AC60" s="1300">
        <f t="shared" si="12"/>
        <v>-27957.811000000002</v>
      </c>
      <c r="AD60" s="1300">
        <f t="shared" si="12"/>
        <v>-30793.571999999996</v>
      </c>
      <c r="AE60" s="1300">
        <f t="shared" si="12"/>
        <v>-32410.518</v>
      </c>
      <c r="AF60" s="1300">
        <f t="shared" si="12"/>
        <v>-51191.446999999927</v>
      </c>
      <c r="AG60" s="1300">
        <f t="shared" si="12"/>
        <v>0</v>
      </c>
      <c r="AH60" s="1207"/>
      <c r="AJ60" s="1209">
        <f>AJ59+67000</f>
        <v>139145</v>
      </c>
      <c r="AL60" s="1283"/>
      <c r="AN60" s="1280">
        <v>915.26599999999996</v>
      </c>
    </row>
    <row r="61" spans="1:40" ht="13.5" thickBot="1" x14ac:dyDescent="0.25">
      <c r="A61" s="1274"/>
      <c r="B61" s="1237"/>
      <c r="C61" s="1300"/>
      <c r="D61" s="1302"/>
      <c r="E61" s="1302"/>
      <c r="F61" s="1303"/>
      <c r="G61" s="1303"/>
      <c r="H61" s="1303"/>
      <c r="I61" s="1303"/>
      <c r="J61" s="1303"/>
      <c r="K61" s="1303"/>
      <c r="L61" s="1303"/>
      <c r="M61" s="1303"/>
      <c r="N61" s="1303"/>
      <c r="O61" s="1303"/>
      <c r="P61" s="1304"/>
      <c r="Q61" s="1303"/>
      <c r="R61" s="1303"/>
      <c r="S61" s="1303"/>
      <c r="T61" s="1303"/>
      <c r="U61" s="1303"/>
      <c r="V61" s="1303"/>
      <c r="W61" s="1303"/>
      <c r="X61" s="1303"/>
      <c r="Y61" s="1303"/>
      <c r="Z61" s="1303"/>
      <c r="AA61" s="1303"/>
      <c r="AB61" s="1303"/>
      <c r="AC61" s="1303"/>
      <c r="AD61" s="1303"/>
      <c r="AE61" s="1303"/>
      <c r="AF61" s="1303"/>
      <c r="AG61" s="1303"/>
      <c r="AH61" s="1207"/>
      <c r="AN61" s="1280">
        <v>15000</v>
      </c>
    </row>
    <row r="62" spans="1:40" x14ac:dyDescent="0.2">
      <c r="A62" s="1233"/>
      <c r="B62" s="1234"/>
      <c r="C62" s="1305"/>
      <c r="D62" s="1297"/>
      <c r="E62" s="1297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9"/>
      <c r="Q62" s="1298"/>
      <c r="R62" s="1298"/>
      <c r="S62" s="1298"/>
      <c r="T62" s="1298"/>
      <c r="U62" s="1298"/>
      <c r="V62" s="1298"/>
      <c r="W62" s="1298"/>
      <c r="X62" s="1298"/>
      <c r="Y62" s="1298"/>
      <c r="Z62" s="1298"/>
      <c r="AA62" s="1298"/>
      <c r="AB62" s="1298"/>
      <c r="AC62" s="1298"/>
      <c r="AD62" s="1298"/>
      <c r="AE62" s="1298"/>
      <c r="AF62" s="1298"/>
      <c r="AG62" s="1298"/>
      <c r="AH62" s="1207"/>
      <c r="AN62" s="1280">
        <v>14101.822</v>
      </c>
    </row>
    <row r="63" spans="1:40" x14ac:dyDescent="0.2">
      <c r="A63" s="1236" t="s">
        <v>15</v>
      </c>
      <c r="B63" s="1237"/>
      <c r="C63" s="1302">
        <f>B40+C60</f>
        <v>-342295.35500000004</v>
      </c>
      <c r="D63" s="1302">
        <f t="shared" ref="D63:AG63" si="13">C70+D60</f>
        <v>-334600.35500000004</v>
      </c>
      <c r="E63" s="1302">
        <f t="shared" si="13"/>
        <v>-336230.32000000007</v>
      </c>
      <c r="F63" s="1302">
        <f t="shared" si="13"/>
        <v>-240788.20400000006</v>
      </c>
      <c r="G63" s="1302">
        <f t="shared" si="13"/>
        <v>-90031.65200000006</v>
      </c>
      <c r="H63" s="1302">
        <f t="shared" si="13"/>
        <v>-83331.123000000065</v>
      </c>
      <c r="I63" s="1302">
        <f t="shared" si="13"/>
        <v>-84955.770000000062</v>
      </c>
      <c r="J63" s="1302">
        <f t="shared" si="13"/>
        <v>-70951.839000000065</v>
      </c>
      <c r="K63" s="1302">
        <f t="shared" si="13"/>
        <v>-89230.958000000057</v>
      </c>
      <c r="L63" s="1302">
        <f t="shared" si="13"/>
        <v>-55696.026000000056</v>
      </c>
      <c r="M63" s="1302">
        <f t="shared" si="13"/>
        <v>-53517.186000000052</v>
      </c>
      <c r="N63" s="1302">
        <f t="shared" si="13"/>
        <v>-44723.751000000055</v>
      </c>
      <c r="O63" s="1302">
        <f t="shared" si="13"/>
        <v>-55685.564000000057</v>
      </c>
      <c r="P63" s="1306">
        <f t="shared" si="13"/>
        <v>-62205.698000000062</v>
      </c>
      <c r="Q63" s="1302">
        <f t="shared" si="13"/>
        <v>-29133.794000000056</v>
      </c>
      <c r="R63" s="1302">
        <f t="shared" si="13"/>
        <v>-52603.79600000006</v>
      </c>
      <c r="S63" s="1302">
        <f t="shared" si="13"/>
        <v>-44545.371000000057</v>
      </c>
      <c r="T63" s="1302">
        <f t="shared" si="13"/>
        <v>-40750.886000000057</v>
      </c>
      <c r="U63" s="1302">
        <f t="shared" si="13"/>
        <v>-46891.146000000052</v>
      </c>
      <c r="V63" s="1302">
        <f t="shared" si="13"/>
        <v>3529.1519999999509</v>
      </c>
      <c r="W63" s="1302">
        <f t="shared" si="13"/>
        <v>-601.89100000004873</v>
      </c>
      <c r="X63" s="1302">
        <f t="shared" si="13"/>
        <v>3598.1089999999513</v>
      </c>
      <c r="Y63" s="1302">
        <f t="shared" si="13"/>
        <v>-36795.587000000043</v>
      </c>
      <c r="Z63" s="1302">
        <f t="shared" si="13"/>
        <v>-51518.803000000036</v>
      </c>
      <c r="AA63" s="1302">
        <f t="shared" si="13"/>
        <v>-5352.4210000000312</v>
      </c>
      <c r="AB63" s="1302">
        <f t="shared" si="13"/>
        <v>-18726.112000000034</v>
      </c>
      <c r="AC63" s="1302">
        <f t="shared" si="13"/>
        <v>-26046.859000000037</v>
      </c>
      <c r="AD63" s="1302">
        <f t="shared" si="13"/>
        <v>-50287.160000000033</v>
      </c>
      <c r="AE63" s="1302">
        <f t="shared" si="13"/>
        <v>-74989.948000000033</v>
      </c>
      <c r="AF63" s="1302">
        <f t="shared" si="13"/>
        <v>-98824.804999999964</v>
      </c>
      <c r="AG63" s="1302">
        <f t="shared" si="13"/>
        <v>-86337.638999999952</v>
      </c>
      <c r="AH63" s="1207"/>
      <c r="AN63" s="1280">
        <v>1397.2449999999999</v>
      </c>
    </row>
    <row r="64" spans="1:40" ht="13.5" thickBot="1" x14ac:dyDescent="0.25">
      <c r="A64" s="1250"/>
      <c r="B64" s="1307"/>
      <c r="C64" s="1308"/>
      <c r="D64" s="1308"/>
      <c r="E64" s="1308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10"/>
      <c r="Q64" s="1309"/>
      <c r="R64" s="1309"/>
      <c r="S64" s="1309"/>
      <c r="T64" s="1309"/>
      <c r="U64" s="1309"/>
      <c r="V64" s="1309"/>
      <c r="W64" s="1309"/>
      <c r="X64" s="1309"/>
      <c r="Y64" s="1309"/>
      <c r="Z64" s="1309"/>
      <c r="AA64" s="1309"/>
      <c r="AB64" s="1309"/>
      <c r="AC64" s="1309"/>
      <c r="AD64" s="1309"/>
      <c r="AE64" s="1309"/>
      <c r="AF64" s="1309"/>
      <c r="AG64" s="1309"/>
      <c r="AH64" s="1207"/>
      <c r="AN64" s="1280">
        <v>1322.63</v>
      </c>
    </row>
    <row r="65" spans="1:40" x14ac:dyDescent="0.2">
      <c r="A65" s="1233"/>
      <c r="B65" s="1234"/>
      <c r="C65" s="1297"/>
      <c r="D65" s="1297"/>
      <c r="E65" s="1297"/>
      <c r="F65" s="1298"/>
      <c r="G65" s="1298"/>
      <c r="H65" s="1298"/>
      <c r="I65" s="1298"/>
      <c r="J65" s="1298"/>
      <c r="K65" s="1298"/>
      <c r="L65" s="1298"/>
      <c r="M65" s="1298"/>
      <c r="N65" s="1298"/>
      <c r="O65" s="1298"/>
      <c r="P65" s="1299"/>
      <c r="Q65" s="1298"/>
      <c r="R65" s="1298"/>
      <c r="S65" s="1298"/>
      <c r="T65" s="1298"/>
      <c r="U65" s="1298"/>
      <c r="V65" s="1298"/>
      <c r="W65" s="1298"/>
      <c r="X65" s="1298"/>
      <c r="Y65" s="1298"/>
      <c r="Z65" s="1298"/>
      <c r="AA65" s="1298"/>
      <c r="AB65" s="1298"/>
      <c r="AC65" s="1298"/>
      <c r="AD65" s="1298"/>
      <c r="AE65" s="1298"/>
      <c r="AF65" s="1298"/>
      <c r="AG65" s="1298"/>
      <c r="AH65" s="1227">
        <f>SUM(C65:AG65)</f>
        <v>0</v>
      </c>
      <c r="AN65" s="1280">
        <v>1747.816</v>
      </c>
    </row>
    <row r="66" spans="1:40" x14ac:dyDescent="0.2">
      <c r="A66" s="1236" t="s">
        <v>82</v>
      </c>
      <c r="B66" s="1237"/>
      <c r="C66" s="1302">
        <f t="shared" ref="C66:AG67" si="14">C74</f>
        <v>6695</v>
      </c>
      <c r="D66" s="1302">
        <f t="shared" si="14"/>
        <v>4894</v>
      </c>
      <c r="E66" s="1302">
        <f t="shared" si="14"/>
        <v>73632</v>
      </c>
      <c r="F66" s="1302">
        <f t="shared" si="14"/>
        <v>105781</v>
      </c>
      <c r="G66" s="1302">
        <f t="shared" si="14"/>
        <v>3305.723</v>
      </c>
      <c r="H66" s="1302">
        <f t="shared" si="14"/>
        <v>0</v>
      </c>
      <c r="I66" s="1302">
        <f t="shared" si="14"/>
        <v>9215.9650000000001</v>
      </c>
      <c r="J66" s="1302">
        <f t="shared" si="14"/>
        <v>3594.884</v>
      </c>
      <c r="K66" s="1302">
        <f t="shared" si="14"/>
        <v>10427.772000000001</v>
      </c>
      <c r="L66" s="1302">
        <f t="shared" si="14"/>
        <v>4420.1939999999995</v>
      </c>
      <c r="M66" s="1302">
        <f t="shared" si="14"/>
        <v>4880.4639999999999</v>
      </c>
      <c r="N66" s="1302">
        <f t="shared" si="14"/>
        <v>7962.9570000000003</v>
      </c>
      <c r="O66" s="1302">
        <f t="shared" si="14"/>
        <v>4073.13</v>
      </c>
      <c r="P66" s="1306">
        <f t="shared" si="14"/>
        <v>32431.932999999997</v>
      </c>
      <c r="Q66" s="1302">
        <f t="shared" si="14"/>
        <v>0</v>
      </c>
      <c r="R66" s="1302">
        <f t="shared" si="14"/>
        <v>4600</v>
      </c>
      <c r="S66" s="1302">
        <f t="shared" si="14"/>
        <v>4911</v>
      </c>
      <c r="T66" s="1302">
        <f t="shared" si="14"/>
        <v>11567.001</v>
      </c>
      <c r="U66" s="1302">
        <f t="shared" si="14"/>
        <v>54198.388999999996</v>
      </c>
      <c r="V66" s="1302">
        <f t="shared" si="14"/>
        <v>4384.3729999999996</v>
      </c>
      <c r="W66" s="1302">
        <f t="shared" si="14"/>
        <v>2000</v>
      </c>
      <c r="X66" s="1302">
        <f t="shared" si="14"/>
        <v>4200</v>
      </c>
      <c r="Y66" s="1302">
        <f t="shared" si="14"/>
        <v>8699.0079999999998</v>
      </c>
      <c r="Z66" s="1302">
        <f t="shared" si="14"/>
        <v>24397.303</v>
      </c>
      <c r="AA66" s="1302">
        <f t="shared" si="14"/>
        <v>12403.578</v>
      </c>
      <c r="AB66" s="1302">
        <f t="shared" si="14"/>
        <v>12120.39</v>
      </c>
      <c r="AC66" s="1302">
        <f t="shared" si="14"/>
        <v>2642.5789999999997</v>
      </c>
      <c r="AD66" s="1302">
        <f t="shared" si="14"/>
        <v>5700</v>
      </c>
      <c r="AE66" s="1302">
        <f t="shared" si="14"/>
        <v>12465.069</v>
      </c>
      <c r="AF66" s="1302">
        <f t="shared" si="14"/>
        <v>4731.7520000000004</v>
      </c>
      <c r="AG66" s="1302">
        <f t="shared" si="14"/>
        <v>0</v>
      </c>
      <c r="AH66" s="1207"/>
      <c r="AN66" s="1280">
        <v>1021.722</v>
      </c>
    </row>
    <row r="67" spans="1:40" x14ac:dyDescent="0.2">
      <c r="A67" s="1236" t="s">
        <v>83</v>
      </c>
      <c r="B67" s="1237"/>
      <c r="C67" s="1306">
        <f t="shared" si="14"/>
        <v>1000</v>
      </c>
      <c r="D67" s="1306">
        <f t="shared" si="14"/>
        <v>2692</v>
      </c>
      <c r="E67" s="1306">
        <f t="shared" si="14"/>
        <v>25405</v>
      </c>
      <c r="F67" s="1306">
        <f t="shared" si="14"/>
        <v>81879</v>
      </c>
      <c r="G67" s="1306">
        <f t="shared" si="14"/>
        <v>7815</v>
      </c>
      <c r="H67" s="1306">
        <f t="shared" si="14"/>
        <v>0</v>
      </c>
      <c r="I67" s="1306">
        <f t="shared" si="14"/>
        <v>0</v>
      </c>
      <c r="J67" s="1306">
        <f t="shared" si="14"/>
        <v>1811.1510000000001</v>
      </c>
      <c r="K67" s="1306">
        <f t="shared" si="14"/>
        <v>24917.227999999996</v>
      </c>
      <c r="L67" s="1306">
        <f t="shared" si="14"/>
        <v>0</v>
      </c>
      <c r="M67" s="1306">
        <f t="shared" si="14"/>
        <v>1100</v>
      </c>
      <c r="N67" s="1306">
        <f t="shared" si="14"/>
        <v>1200</v>
      </c>
      <c r="O67" s="1306">
        <f t="shared" si="14"/>
        <v>1600</v>
      </c>
      <c r="P67" s="1306">
        <f t="shared" si="14"/>
        <v>17566.878000000001</v>
      </c>
      <c r="Q67" s="1306">
        <f t="shared" si="14"/>
        <v>0</v>
      </c>
      <c r="R67" s="1306">
        <f t="shared" si="14"/>
        <v>4304.1909999999998</v>
      </c>
      <c r="S67" s="1306">
        <f t="shared" si="14"/>
        <v>0</v>
      </c>
      <c r="T67" s="1306">
        <f t="shared" si="14"/>
        <v>3444.8670000000002</v>
      </c>
      <c r="U67" s="1306">
        <f t="shared" si="14"/>
        <v>35279.008999999998</v>
      </c>
      <c r="V67" s="1306">
        <f t="shared" si="14"/>
        <v>4020</v>
      </c>
      <c r="W67" s="1306">
        <f t="shared" si="14"/>
        <v>0</v>
      </c>
      <c r="X67" s="1306">
        <f t="shared" si="14"/>
        <v>1000</v>
      </c>
      <c r="Y67" s="1306">
        <f t="shared" si="14"/>
        <v>5066.8450000000003</v>
      </c>
      <c r="Z67" s="1306">
        <f t="shared" si="14"/>
        <v>25717.707000000002</v>
      </c>
      <c r="AA67" s="1306">
        <f t="shared" si="14"/>
        <v>3262.7370000000001</v>
      </c>
      <c r="AB67" s="1306">
        <f t="shared" si="14"/>
        <v>8516.6739999999991</v>
      </c>
      <c r="AC67" s="1306">
        <f t="shared" si="14"/>
        <v>3910.692</v>
      </c>
      <c r="AD67" s="1306">
        <f t="shared" si="14"/>
        <v>2007.73</v>
      </c>
      <c r="AE67" s="1306">
        <f t="shared" si="14"/>
        <v>14891.521000000001</v>
      </c>
      <c r="AF67" s="1306">
        <f t="shared" si="14"/>
        <v>7755.4139999999998</v>
      </c>
      <c r="AG67" s="1306">
        <f t="shared" si="14"/>
        <v>0</v>
      </c>
      <c r="AH67" s="1207"/>
      <c r="AN67" s="1280">
        <v>4000</v>
      </c>
    </row>
    <row r="68" spans="1:40" ht="13.5" thickBot="1" x14ac:dyDescent="0.25">
      <c r="A68" s="1250"/>
      <c r="B68" s="1307"/>
      <c r="C68" s="1308"/>
      <c r="D68" s="1308"/>
      <c r="E68" s="1308"/>
      <c r="F68" s="1309"/>
      <c r="G68" s="1309"/>
      <c r="H68" s="1309"/>
      <c r="I68" s="1309"/>
      <c r="J68" s="1309"/>
      <c r="K68" s="1309"/>
      <c r="L68" s="1309"/>
      <c r="M68" s="1309"/>
      <c r="N68" s="1309"/>
      <c r="O68" s="1309"/>
      <c r="P68" s="1310"/>
      <c r="Q68" s="1309"/>
      <c r="R68" s="1309"/>
      <c r="S68" s="1309"/>
      <c r="T68" s="1309"/>
      <c r="U68" s="1309"/>
      <c r="V68" s="1309"/>
      <c r="W68" s="1309"/>
      <c r="X68" s="1309"/>
      <c r="Y68" s="1309"/>
      <c r="Z68" s="1309"/>
      <c r="AA68" s="1309"/>
      <c r="AB68" s="1309"/>
      <c r="AC68" s="1309"/>
      <c r="AD68" s="1309"/>
      <c r="AE68" s="1309"/>
      <c r="AF68" s="1309"/>
      <c r="AG68" s="1309"/>
      <c r="AH68" s="1207"/>
      <c r="AN68" s="1280"/>
    </row>
    <row r="69" spans="1:40" x14ac:dyDescent="0.2">
      <c r="A69" s="1236"/>
      <c r="B69" s="1237"/>
      <c r="C69" s="1302"/>
      <c r="D69" s="1302"/>
      <c r="E69" s="1302"/>
      <c r="F69" s="1303"/>
      <c r="G69" s="1303"/>
      <c r="H69" s="1303"/>
      <c r="I69" s="1303"/>
      <c r="J69" s="1303"/>
      <c r="K69" s="1303"/>
      <c r="L69" s="1303"/>
      <c r="M69" s="1303"/>
      <c r="N69" s="1303"/>
      <c r="O69" s="1303"/>
      <c r="P69" s="1304"/>
      <c r="Q69" s="1303"/>
      <c r="R69" s="1303"/>
      <c r="S69" s="1303"/>
      <c r="T69" s="1303"/>
      <c r="U69" s="1303"/>
      <c r="V69" s="1303"/>
      <c r="W69" s="1303"/>
      <c r="X69" s="1303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207"/>
      <c r="AN69" s="1280">
        <v>1616.846</v>
      </c>
    </row>
    <row r="70" spans="1:40" x14ac:dyDescent="0.2">
      <c r="A70" s="1236" t="s">
        <v>14</v>
      </c>
      <c r="B70" s="1237"/>
      <c r="C70" s="1302">
        <f t="shared" ref="C70:AG70" si="15">C63+C66+C67</f>
        <v>-334600.35500000004</v>
      </c>
      <c r="D70" s="1302">
        <f t="shared" si="15"/>
        <v>-327014.35500000004</v>
      </c>
      <c r="E70" s="1302">
        <f t="shared" si="15"/>
        <v>-237193.32000000007</v>
      </c>
      <c r="F70" s="1302">
        <f t="shared" si="15"/>
        <v>-53128.204000000056</v>
      </c>
      <c r="G70" s="1302">
        <f t="shared" si="15"/>
        <v>-78910.929000000062</v>
      </c>
      <c r="H70" s="1302">
        <f t="shared" si="15"/>
        <v>-83331.123000000065</v>
      </c>
      <c r="I70" s="1302">
        <f t="shared" si="15"/>
        <v>-75739.805000000066</v>
      </c>
      <c r="J70" s="1302">
        <f t="shared" si="15"/>
        <v>-65545.804000000062</v>
      </c>
      <c r="K70" s="1302">
        <f t="shared" si="15"/>
        <v>-53885.958000000064</v>
      </c>
      <c r="L70" s="1302">
        <f t="shared" si="15"/>
        <v>-51275.832000000053</v>
      </c>
      <c r="M70" s="1302">
        <f t="shared" si="15"/>
        <v>-47536.722000000053</v>
      </c>
      <c r="N70" s="1302">
        <f t="shared" si="15"/>
        <v>-35560.794000000053</v>
      </c>
      <c r="O70" s="1302">
        <f t="shared" si="15"/>
        <v>-50012.434000000059</v>
      </c>
      <c r="P70" s="1306">
        <f t="shared" si="15"/>
        <v>-12206.887000000064</v>
      </c>
      <c r="Q70" s="1302">
        <f t="shared" si="15"/>
        <v>-29133.794000000056</v>
      </c>
      <c r="R70" s="1302">
        <f t="shared" si="15"/>
        <v>-43699.605000000061</v>
      </c>
      <c r="S70" s="1302">
        <f t="shared" si="15"/>
        <v>-39634.371000000057</v>
      </c>
      <c r="T70" s="1302">
        <f t="shared" si="15"/>
        <v>-25739.018000000055</v>
      </c>
      <c r="U70" s="1302">
        <f t="shared" si="15"/>
        <v>42586.251999999942</v>
      </c>
      <c r="V70" s="1302">
        <f t="shared" si="15"/>
        <v>11933.524999999951</v>
      </c>
      <c r="W70" s="1302">
        <f t="shared" si="15"/>
        <v>1398.1089999999513</v>
      </c>
      <c r="X70" s="1302">
        <f t="shared" si="15"/>
        <v>8798.1089999999513</v>
      </c>
      <c r="Y70" s="1302">
        <f t="shared" si="15"/>
        <v>-23029.73400000004</v>
      </c>
      <c r="Z70" s="1302">
        <f t="shared" si="15"/>
        <v>-1403.7930000000342</v>
      </c>
      <c r="AA70" s="1302">
        <f t="shared" si="15"/>
        <v>10313.893999999967</v>
      </c>
      <c r="AB70" s="1302">
        <f t="shared" si="15"/>
        <v>1910.9519999999648</v>
      </c>
      <c r="AC70" s="1302">
        <f t="shared" si="15"/>
        <v>-19493.588000000036</v>
      </c>
      <c r="AD70" s="1302">
        <f t="shared" si="15"/>
        <v>-42579.430000000029</v>
      </c>
      <c r="AE70" s="1302">
        <f t="shared" si="15"/>
        <v>-47633.358000000029</v>
      </c>
      <c r="AF70" s="1302">
        <f t="shared" si="15"/>
        <v>-86337.638999999952</v>
      </c>
      <c r="AG70" s="1302">
        <f t="shared" si="15"/>
        <v>-86337.638999999952</v>
      </c>
      <c r="AH70" s="1311"/>
      <c r="AN70" s="1280">
        <v>7523.0129999999999</v>
      </c>
    </row>
    <row r="71" spans="1:40" x14ac:dyDescent="0.2">
      <c r="A71" s="1236"/>
      <c r="B71" s="1237"/>
      <c r="C71" s="1302"/>
      <c r="D71" s="1302"/>
      <c r="E71" s="1302"/>
      <c r="F71" s="1303"/>
      <c r="G71" s="1303"/>
      <c r="H71" s="1303"/>
      <c r="I71" s="1303"/>
      <c r="J71" s="1303"/>
      <c r="K71" s="1303"/>
      <c r="L71" s="1303"/>
      <c r="M71" s="1303"/>
      <c r="N71" s="1303"/>
      <c r="O71" s="1303"/>
      <c r="P71" s="1304"/>
      <c r="Q71" s="1303"/>
      <c r="R71" s="1303"/>
      <c r="S71" s="1303"/>
      <c r="T71" s="1303"/>
      <c r="U71" s="1303"/>
      <c r="V71" s="1303"/>
      <c r="W71" s="1303"/>
      <c r="X71" s="1303"/>
      <c r="Y71" s="1303"/>
      <c r="Z71" s="1303"/>
      <c r="AA71" s="1303"/>
      <c r="AB71" s="1303"/>
      <c r="AC71" s="1303"/>
      <c r="AD71" s="1303"/>
      <c r="AE71" s="1303"/>
      <c r="AF71" s="1303"/>
      <c r="AG71" s="1303"/>
      <c r="AH71" s="1207"/>
      <c r="AN71" s="1280">
        <v>716.57600000000002</v>
      </c>
    </row>
    <row r="72" spans="1:40" ht="13.5" thickBot="1" x14ac:dyDescent="0.25">
      <c r="A72" s="1250"/>
      <c r="B72" s="1307"/>
      <c r="C72" s="1312"/>
      <c r="D72" s="1312"/>
      <c r="E72" s="1312"/>
      <c r="F72" s="1313"/>
      <c r="G72" s="1313"/>
      <c r="H72" s="1313"/>
      <c r="I72" s="1313"/>
      <c r="J72" s="1313"/>
      <c r="K72" s="1313"/>
      <c r="L72" s="1313"/>
      <c r="M72" s="1313"/>
      <c r="N72" s="1313"/>
      <c r="O72" s="1313"/>
      <c r="P72" s="1314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207"/>
      <c r="AN72" s="1315">
        <v>1326.8</v>
      </c>
    </row>
    <row r="73" spans="1:40" x14ac:dyDescent="0.2">
      <c r="A73" s="1316"/>
      <c r="B73" s="1207"/>
      <c r="C73" s="1227"/>
      <c r="D73" s="1227"/>
      <c r="E73" s="1227"/>
      <c r="F73" s="1227"/>
      <c r="G73" s="1227"/>
      <c r="H73" s="1317"/>
      <c r="I73" s="1317"/>
      <c r="J73" s="1317"/>
      <c r="K73" s="1317"/>
      <c r="L73" s="1317"/>
      <c r="M73" s="1317"/>
      <c r="N73" s="1317"/>
      <c r="O73" s="1317"/>
      <c r="P73" s="1318"/>
      <c r="Q73" s="1317"/>
      <c r="R73" s="1317"/>
      <c r="S73" s="1317"/>
      <c r="T73" s="1317"/>
      <c r="U73" s="1317"/>
      <c r="V73" s="1317"/>
      <c r="W73" s="1317"/>
      <c r="X73" s="1317"/>
      <c r="Y73" s="1317"/>
      <c r="Z73" s="1317"/>
      <c r="AA73" s="1317"/>
      <c r="AB73" s="1317"/>
      <c r="AC73" s="1317"/>
      <c r="AD73" s="1317"/>
      <c r="AE73" s="1317"/>
      <c r="AF73" s="1317"/>
      <c r="AG73" s="1317"/>
      <c r="AH73" s="1207"/>
      <c r="AN73" s="1315">
        <v>4180.9530000000004</v>
      </c>
    </row>
    <row r="74" spans="1:40" x14ac:dyDescent="0.2">
      <c r="A74" s="1316" t="s">
        <v>40</v>
      </c>
      <c r="B74" s="1207"/>
      <c r="C74" s="1303">
        <v>6695</v>
      </c>
      <c r="D74" s="1303">
        <v>4894</v>
      </c>
      <c r="E74" s="1303">
        <v>73632</v>
      </c>
      <c r="F74" s="1303">
        <v>105781</v>
      </c>
      <c r="G74" s="1303">
        <f>+C51</f>
        <v>3305.723</v>
      </c>
      <c r="H74" s="1303">
        <f t="shared" ref="H74:AG74" si="16">+D51</f>
        <v>0</v>
      </c>
      <c r="I74" s="1303">
        <f t="shared" si="16"/>
        <v>9215.9650000000001</v>
      </c>
      <c r="J74" s="1303">
        <f t="shared" si="16"/>
        <v>3594.884</v>
      </c>
      <c r="K74" s="1303">
        <f t="shared" si="16"/>
        <v>10427.772000000001</v>
      </c>
      <c r="L74" s="1303">
        <f t="shared" si="16"/>
        <v>4420.1939999999995</v>
      </c>
      <c r="M74" s="1303">
        <f t="shared" si="16"/>
        <v>4880.4639999999999</v>
      </c>
      <c r="N74" s="1303">
        <f t="shared" si="16"/>
        <v>7962.9570000000003</v>
      </c>
      <c r="O74" s="1303">
        <f t="shared" si="16"/>
        <v>4073.13</v>
      </c>
      <c r="P74" s="1303">
        <f t="shared" si="16"/>
        <v>32431.932999999997</v>
      </c>
      <c r="Q74" s="1303">
        <f t="shared" si="16"/>
        <v>0</v>
      </c>
      <c r="R74" s="1303">
        <f t="shared" si="16"/>
        <v>4600</v>
      </c>
      <c r="S74" s="1303">
        <f t="shared" si="16"/>
        <v>4911</v>
      </c>
      <c r="T74" s="1303">
        <f t="shared" si="16"/>
        <v>11567.001</v>
      </c>
      <c r="U74" s="1303">
        <f t="shared" si="16"/>
        <v>54198.388999999996</v>
      </c>
      <c r="V74" s="1303">
        <f t="shared" si="16"/>
        <v>4384.3729999999996</v>
      </c>
      <c r="W74" s="1303">
        <f t="shared" si="16"/>
        <v>2000</v>
      </c>
      <c r="X74" s="1303">
        <f t="shared" si="16"/>
        <v>4200</v>
      </c>
      <c r="Y74" s="1303">
        <f t="shared" si="16"/>
        <v>8699.0079999999998</v>
      </c>
      <c r="Z74" s="1303">
        <f t="shared" si="16"/>
        <v>24397.303</v>
      </c>
      <c r="AA74" s="1303">
        <f t="shared" si="16"/>
        <v>12403.578</v>
      </c>
      <c r="AB74" s="1303">
        <f t="shared" si="16"/>
        <v>12120.39</v>
      </c>
      <c r="AC74" s="1303">
        <f t="shared" si="16"/>
        <v>2642.5789999999997</v>
      </c>
      <c r="AD74" s="1303">
        <f t="shared" si="16"/>
        <v>5700</v>
      </c>
      <c r="AE74" s="1303">
        <f t="shared" si="16"/>
        <v>12465.069</v>
      </c>
      <c r="AF74" s="1303">
        <f t="shared" si="16"/>
        <v>4731.7520000000004</v>
      </c>
      <c r="AG74" s="1303">
        <f t="shared" si="16"/>
        <v>0</v>
      </c>
      <c r="AH74" s="1227">
        <f>SUM(C74:AG74)</f>
        <v>440335.46400000004</v>
      </c>
      <c r="AI74" s="1320"/>
      <c r="AJ74" s="1320"/>
      <c r="AK74" s="1321"/>
      <c r="AN74" s="1315">
        <v>2761.194</v>
      </c>
    </row>
    <row r="75" spans="1:40" x14ac:dyDescent="0.2">
      <c r="A75" s="1316" t="s">
        <v>42</v>
      </c>
      <c r="B75" s="1207"/>
      <c r="C75" s="1303">
        <v>1000</v>
      </c>
      <c r="D75" s="1303">
        <v>2692</v>
      </c>
      <c r="E75" s="1303">
        <v>25405</v>
      </c>
      <c r="F75" s="1319">
        <v>81879</v>
      </c>
      <c r="G75" s="1319">
        <f>+C57</f>
        <v>7815</v>
      </c>
      <c r="H75" s="1319">
        <f t="shared" ref="H75:AG75" si="17">+D57</f>
        <v>0</v>
      </c>
      <c r="I75" s="1319">
        <f t="shared" si="17"/>
        <v>0</v>
      </c>
      <c r="J75" s="1319">
        <f t="shared" si="17"/>
        <v>1811.1510000000001</v>
      </c>
      <c r="K75" s="1319">
        <f t="shared" si="17"/>
        <v>24917.227999999996</v>
      </c>
      <c r="L75" s="1319">
        <f t="shared" si="17"/>
        <v>0</v>
      </c>
      <c r="M75" s="1319">
        <f t="shared" si="17"/>
        <v>1100</v>
      </c>
      <c r="N75" s="1319">
        <f t="shared" si="17"/>
        <v>1200</v>
      </c>
      <c r="O75" s="1319">
        <f t="shared" si="17"/>
        <v>1600</v>
      </c>
      <c r="P75" s="1319">
        <f t="shared" si="17"/>
        <v>17566.878000000001</v>
      </c>
      <c r="Q75" s="1319">
        <f t="shared" si="17"/>
        <v>0</v>
      </c>
      <c r="R75" s="1319">
        <f t="shared" si="17"/>
        <v>4304.1909999999998</v>
      </c>
      <c r="S75" s="1319">
        <f t="shared" si="17"/>
        <v>0</v>
      </c>
      <c r="T75" s="1319">
        <f t="shared" si="17"/>
        <v>3444.8670000000002</v>
      </c>
      <c r="U75" s="1319">
        <f t="shared" si="17"/>
        <v>35279.008999999998</v>
      </c>
      <c r="V75" s="1319">
        <f t="shared" si="17"/>
        <v>4020</v>
      </c>
      <c r="W75" s="1319">
        <f t="shared" si="17"/>
        <v>0</v>
      </c>
      <c r="X75" s="1319">
        <f t="shared" si="17"/>
        <v>1000</v>
      </c>
      <c r="Y75" s="1319">
        <f t="shared" si="17"/>
        <v>5066.8450000000003</v>
      </c>
      <c r="Z75" s="1319">
        <f t="shared" si="17"/>
        <v>25717.707000000002</v>
      </c>
      <c r="AA75" s="1319">
        <f t="shared" si="17"/>
        <v>3262.7370000000001</v>
      </c>
      <c r="AB75" s="1319">
        <f t="shared" si="17"/>
        <v>8516.6739999999991</v>
      </c>
      <c r="AC75" s="1319">
        <f t="shared" si="17"/>
        <v>3910.692</v>
      </c>
      <c r="AD75" s="1319">
        <f t="shared" si="17"/>
        <v>2007.73</v>
      </c>
      <c r="AE75" s="1319">
        <f t="shared" si="17"/>
        <v>14891.521000000001</v>
      </c>
      <c r="AF75" s="1319">
        <f t="shared" si="17"/>
        <v>7755.4139999999998</v>
      </c>
      <c r="AG75" s="1319">
        <f t="shared" si="17"/>
        <v>0</v>
      </c>
      <c r="AH75" s="1227">
        <f>SUM(C75:AG75)</f>
        <v>286163.64399999997</v>
      </c>
      <c r="AI75" s="1320"/>
      <c r="AJ75" s="1320"/>
      <c r="AK75" s="1321"/>
      <c r="AN75" s="1315">
        <v>6804.6840000000002</v>
      </c>
    </row>
    <row r="76" spans="1:40" ht="13.5" thickBot="1" x14ac:dyDescent="0.25">
      <c r="A76" s="1316"/>
      <c r="B76" s="1207"/>
      <c r="C76" s="1219"/>
      <c r="D76" s="1219"/>
      <c r="E76" s="1219"/>
      <c r="F76" s="1219"/>
      <c r="G76" s="1220"/>
      <c r="H76" s="1322"/>
      <c r="I76" s="1219"/>
      <c r="J76" s="1219"/>
      <c r="K76" s="1219"/>
      <c r="L76" s="1219"/>
      <c r="M76" s="1219"/>
      <c r="N76" s="1219"/>
      <c r="O76" s="1219"/>
      <c r="P76" s="1221"/>
      <c r="Q76" s="1219"/>
      <c r="R76" s="1219"/>
      <c r="S76" s="1219"/>
      <c r="T76" s="1219"/>
      <c r="U76" s="1219"/>
      <c r="V76" s="1322"/>
      <c r="W76" s="1322"/>
      <c r="X76" s="1219"/>
      <c r="Y76" s="1219"/>
      <c r="Z76" s="1219"/>
      <c r="AA76" s="1219"/>
      <c r="AB76" s="1219"/>
      <c r="AC76" s="1219"/>
      <c r="AD76" s="1219"/>
      <c r="AE76" s="1219"/>
      <c r="AF76" s="1219"/>
      <c r="AG76" s="1219"/>
      <c r="AH76" s="1207"/>
      <c r="AI76" s="1320"/>
      <c r="AJ76" s="1320"/>
      <c r="AK76" s="1321"/>
      <c r="AN76" s="1315">
        <v>14590.134</v>
      </c>
    </row>
    <row r="77" spans="1:40" x14ac:dyDescent="0.2">
      <c r="A77" s="1323" t="s">
        <v>495</v>
      </c>
      <c r="B77" s="1324" t="s">
        <v>509</v>
      </c>
      <c r="C77" s="1325"/>
      <c r="D77" s="1326"/>
      <c r="E77" s="1326"/>
      <c r="F77" s="1326"/>
      <c r="G77" s="1327"/>
      <c r="H77" s="1328"/>
      <c r="I77" s="1326"/>
      <c r="J77" s="1326"/>
      <c r="K77" s="1326"/>
      <c r="L77" s="1326"/>
      <c r="M77" s="1326"/>
      <c r="N77" s="1326"/>
      <c r="O77" s="1326"/>
      <c r="P77" s="1329"/>
      <c r="Q77" s="1326"/>
      <c r="R77" s="1326"/>
      <c r="S77" s="1326"/>
      <c r="T77" s="1326"/>
      <c r="U77" s="1326"/>
      <c r="V77" s="1328"/>
      <c r="W77" s="1328"/>
      <c r="X77" s="1326"/>
      <c r="Y77" s="1326"/>
      <c r="Z77" s="1326"/>
      <c r="AA77" s="1326"/>
      <c r="AB77" s="1326"/>
      <c r="AC77" s="1326"/>
      <c r="AD77" s="1326"/>
      <c r="AE77" s="1326"/>
      <c r="AF77" s="1326"/>
      <c r="AG77" s="1326"/>
      <c r="AH77" s="1330">
        <f>SUM(C77:AG77)</f>
        <v>0</v>
      </c>
      <c r="AI77" s="1320"/>
      <c r="AJ77" s="1320"/>
      <c r="AK77" s="1321"/>
      <c r="AN77" s="1280">
        <v>1034.9559999999999</v>
      </c>
    </row>
    <row r="78" spans="1:40" ht="13.5" thickBot="1" x14ac:dyDescent="0.25">
      <c r="A78" s="1331" t="s">
        <v>697</v>
      </c>
      <c r="B78" s="1332" t="s">
        <v>510</v>
      </c>
      <c r="C78" s="1333"/>
      <c r="D78" s="1334"/>
      <c r="E78" s="1334"/>
      <c r="F78" s="1334"/>
      <c r="G78" s="1334"/>
      <c r="H78" s="1335"/>
      <c r="I78" s="1336"/>
      <c r="J78" s="1334"/>
      <c r="K78" s="1334"/>
      <c r="L78" s="1335"/>
      <c r="M78" s="1334"/>
      <c r="N78" s="1334"/>
      <c r="O78" s="1334"/>
      <c r="P78" s="1337"/>
      <c r="Q78" s="1335"/>
      <c r="R78" s="1334"/>
      <c r="S78" s="1334"/>
      <c r="T78" s="1334"/>
      <c r="U78" s="1334"/>
      <c r="V78" s="1335"/>
      <c r="W78" s="1334"/>
      <c r="X78" s="1334"/>
      <c r="Y78" s="1334"/>
      <c r="Z78" s="1334"/>
      <c r="AA78" s="1335"/>
      <c r="AB78" s="1334"/>
      <c r="AC78" s="1334"/>
      <c r="AD78" s="1334"/>
      <c r="AE78" s="1334"/>
      <c r="AF78" s="1334"/>
      <c r="AG78" s="1334"/>
      <c r="AH78" s="1338">
        <f>SUM(C78:AG78)</f>
        <v>0</v>
      </c>
      <c r="AI78" s="1320"/>
      <c r="AJ78" s="1320"/>
      <c r="AK78" s="1321"/>
      <c r="AN78" s="1280"/>
    </row>
    <row r="79" spans="1:40" x14ac:dyDescent="0.2">
      <c r="A79" s="1323" t="s">
        <v>495</v>
      </c>
      <c r="B79" s="1324" t="s">
        <v>509</v>
      </c>
      <c r="C79" s="1339"/>
      <c r="D79" s="1339"/>
      <c r="E79" s="1339"/>
      <c r="F79" s="1339"/>
      <c r="G79" s="1339"/>
      <c r="H79" s="1340"/>
      <c r="I79" s="1341"/>
      <c r="J79" s="1339"/>
      <c r="K79" s="1339"/>
      <c r="L79" s="1340"/>
      <c r="M79" s="1339"/>
      <c r="N79" s="1339"/>
      <c r="O79" s="1339"/>
      <c r="P79" s="1342"/>
      <c r="Q79" s="1340"/>
      <c r="R79" s="1339"/>
      <c r="S79" s="1339"/>
      <c r="T79" s="1339"/>
      <c r="U79" s="1339"/>
      <c r="V79" s="1340"/>
      <c r="W79" s="1339"/>
      <c r="X79" s="1339"/>
      <c r="Y79" s="1339"/>
      <c r="Z79" s="1339"/>
      <c r="AA79" s="1340"/>
      <c r="AB79" s="1339"/>
      <c r="AC79" s="1339"/>
      <c r="AD79" s="1339"/>
      <c r="AE79" s="1339"/>
      <c r="AF79" s="1339"/>
      <c r="AG79" s="1339"/>
      <c r="AH79" s="1330">
        <f>SUM(C79:AG79)</f>
        <v>0</v>
      </c>
      <c r="AI79" s="1320"/>
      <c r="AJ79" s="1320"/>
      <c r="AK79" s="1321"/>
      <c r="AN79" s="1280"/>
    </row>
    <row r="80" spans="1:40" ht="13.5" thickBot="1" x14ac:dyDescent="0.25">
      <c r="A80" s="1331" t="s">
        <v>696</v>
      </c>
      <c r="B80" s="1332" t="s">
        <v>510</v>
      </c>
      <c r="C80" s="1339"/>
      <c r="D80" s="1339"/>
      <c r="E80" s="1339"/>
      <c r="F80" s="1339"/>
      <c r="G80" s="1339"/>
      <c r="H80" s="1340"/>
      <c r="I80" s="1341"/>
      <c r="J80" s="1339"/>
      <c r="K80" s="1339"/>
      <c r="L80" s="1340"/>
      <c r="M80" s="1339"/>
      <c r="N80" s="1339"/>
      <c r="O80" s="1339"/>
      <c r="P80" s="1342"/>
      <c r="Q80" s="1340"/>
      <c r="R80" s="1339"/>
      <c r="S80" s="1339"/>
      <c r="T80" s="1339"/>
      <c r="U80" s="1339"/>
      <c r="V80" s="1340"/>
      <c r="W80" s="1339"/>
      <c r="X80" s="1339"/>
      <c r="Y80" s="1339"/>
      <c r="Z80" s="1339"/>
      <c r="AA80" s="1340"/>
      <c r="AB80" s="1339"/>
      <c r="AC80" s="1339"/>
      <c r="AD80" s="1339"/>
      <c r="AE80" s="1339"/>
      <c r="AF80" s="1339"/>
      <c r="AG80" s="1339"/>
      <c r="AH80" s="1343"/>
      <c r="AI80" s="1320"/>
      <c r="AJ80" s="1320"/>
      <c r="AK80" s="1321"/>
      <c r="AN80" s="1280"/>
    </row>
    <row r="81" spans="1:43" x14ac:dyDescent="0.2">
      <c r="A81" s="1344"/>
      <c r="B81" s="1230"/>
      <c r="C81" s="1228"/>
      <c r="D81" s="1228"/>
      <c r="E81" s="1228"/>
      <c r="F81" s="1228"/>
      <c r="G81" s="1228"/>
      <c r="H81" s="1228"/>
      <c r="I81" s="1228"/>
      <c r="J81" s="1228"/>
      <c r="K81" s="1228"/>
      <c r="L81" s="1228"/>
      <c r="M81" s="1228"/>
      <c r="N81" s="1228"/>
      <c r="O81" s="1228"/>
      <c r="P81" s="1229"/>
      <c r="Q81" s="1228"/>
      <c r="R81" s="1228"/>
      <c r="S81" s="1228"/>
      <c r="T81" s="1228"/>
      <c r="U81" s="1228"/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320"/>
      <c r="AJ81" s="1320"/>
      <c r="AK81" s="1321"/>
      <c r="AN81" s="1280">
        <v>2000</v>
      </c>
    </row>
    <row r="82" spans="1:43" s="1321" customFormat="1" x14ac:dyDescent="0.2">
      <c r="A82" s="1236" t="s">
        <v>2</v>
      </c>
      <c r="B82" s="1207"/>
      <c r="C82" s="1345">
        <f>SUM(C84:C121)</f>
        <v>68767.948000000004</v>
      </c>
      <c r="D82" s="1227"/>
      <c r="E82" s="1346"/>
      <c r="F82" s="1227"/>
      <c r="G82" s="1347"/>
      <c r="H82" s="1228"/>
      <c r="I82" s="1227"/>
      <c r="J82" s="1227"/>
      <c r="K82" s="1227"/>
      <c r="L82" s="1227"/>
      <c r="M82" s="1228"/>
      <c r="N82" s="1228"/>
      <c r="O82" s="1228"/>
      <c r="P82" s="1229"/>
      <c r="Q82" s="1228"/>
      <c r="R82" s="1228"/>
      <c r="S82" s="1228"/>
      <c r="T82" s="1227"/>
      <c r="U82" s="1227"/>
      <c r="V82" s="1227"/>
      <c r="W82" s="1227"/>
      <c r="X82" s="1227"/>
      <c r="Y82" s="1227"/>
      <c r="Z82" s="1227"/>
      <c r="AA82" s="1227"/>
      <c r="AB82" s="1227"/>
      <c r="AC82" s="1227"/>
      <c r="AD82" s="1227"/>
      <c r="AE82" s="1228"/>
      <c r="AF82" s="1227"/>
      <c r="AG82" s="1227"/>
      <c r="AH82" s="1207"/>
      <c r="AN82" s="1348">
        <v>2358.498</v>
      </c>
    </row>
    <row r="83" spans="1:43" s="1321" customFormat="1" x14ac:dyDescent="0.2">
      <c r="A83" s="1237"/>
      <c r="B83" s="1207"/>
      <c r="C83" s="1345"/>
      <c r="D83" s="1207"/>
      <c r="E83" s="1207"/>
      <c r="F83" s="1207"/>
      <c r="G83" s="1349"/>
      <c r="H83" s="1207"/>
      <c r="I83" s="1207"/>
      <c r="J83" s="1207"/>
      <c r="K83" s="1207"/>
      <c r="L83" s="1207"/>
      <c r="M83" s="1207"/>
      <c r="N83" s="1207"/>
      <c r="O83" s="1207"/>
      <c r="P83" s="1208"/>
      <c r="Q83" s="1207"/>
      <c r="R83" s="1207"/>
      <c r="S83" s="1207"/>
      <c r="T83" s="1207"/>
      <c r="U83" s="1207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N83" s="1348">
        <v>1458.3630000000001</v>
      </c>
    </row>
    <row r="84" spans="1:43" s="1321" customFormat="1" x14ac:dyDescent="0.2">
      <c r="A84" s="1207" t="s">
        <v>30</v>
      </c>
      <c r="B84" s="1350">
        <v>42415</v>
      </c>
      <c r="C84" s="1351"/>
      <c r="D84" s="1208"/>
      <c r="E84" s="1207"/>
      <c r="F84" s="1207"/>
      <c r="G84" s="1349"/>
      <c r="H84" s="1207"/>
      <c r="I84" s="1207"/>
      <c r="J84" s="1207"/>
      <c r="K84" s="1352"/>
      <c r="L84" s="1208"/>
      <c r="M84" s="1229"/>
      <c r="N84" s="1207"/>
      <c r="O84" s="1207"/>
      <c r="P84" s="1208"/>
      <c r="Q84" s="1207"/>
      <c r="R84" s="1207"/>
      <c r="S84" s="1207"/>
      <c r="T84" s="1207"/>
      <c r="U84" s="1207"/>
      <c r="V84" s="1207"/>
      <c r="W84" s="1207"/>
      <c r="X84" s="1207"/>
      <c r="Y84" s="1207"/>
      <c r="Z84" s="1207"/>
      <c r="AA84" s="1207"/>
      <c r="AB84" s="1207"/>
      <c r="AC84" s="1207"/>
      <c r="AD84" s="1207"/>
      <c r="AE84" s="1207"/>
      <c r="AF84" s="1207"/>
      <c r="AG84" s="1207"/>
      <c r="AH84" s="1207"/>
      <c r="AN84" s="1315">
        <v>718.548</v>
      </c>
    </row>
    <row r="85" spans="1:43" s="1321" customFormat="1" x14ac:dyDescent="0.2">
      <c r="A85" s="1207"/>
      <c r="B85" s="1350">
        <v>42255</v>
      </c>
      <c r="C85" s="1351"/>
      <c r="D85" s="1208"/>
      <c r="F85" s="1207"/>
      <c r="G85" s="1353"/>
      <c r="H85" s="1207"/>
      <c r="I85" s="1207"/>
      <c r="J85" s="1207"/>
      <c r="K85" s="1208"/>
      <c r="L85" s="1208"/>
      <c r="M85" s="1208"/>
      <c r="N85" s="1207"/>
      <c r="O85" s="1207"/>
      <c r="P85" s="1208"/>
      <c r="Q85" s="1207"/>
      <c r="R85" s="1207"/>
      <c r="S85" s="1207"/>
      <c r="T85" s="1207"/>
      <c r="U85" s="1207"/>
      <c r="V85" s="1207"/>
      <c r="W85" s="1207"/>
      <c r="X85" s="1207"/>
      <c r="Y85" s="1207"/>
      <c r="Z85" s="1207"/>
      <c r="AA85" s="1207"/>
      <c r="AB85" s="1207"/>
      <c r="AC85" s="1207"/>
      <c r="AD85" s="1207"/>
      <c r="AE85" s="1207"/>
      <c r="AF85" s="1207"/>
      <c r="AG85" s="1207"/>
      <c r="AH85" s="1207"/>
      <c r="AN85" s="1315">
        <v>1820.952</v>
      </c>
    </row>
    <row r="86" spans="1:43" x14ac:dyDescent="0.2">
      <c r="A86" s="1207"/>
      <c r="B86" s="1350">
        <v>42248</v>
      </c>
      <c r="C86" s="1345"/>
      <c r="D86" s="1354"/>
      <c r="E86" s="1207"/>
      <c r="F86" s="1207"/>
      <c r="G86" s="1353"/>
      <c r="H86" s="1207"/>
      <c r="I86" s="1207"/>
      <c r="J86" s="1207"/>
      <c r="K86" s="1617"/>
      <c r="L86" s="1208"/>
      <c r="M86" s="1208"/>
      <c r="N86" s="1207"/>
      <c r="O86" s="1207"/>
      <c r="P86" s="1208"/>
      <c r="Q86" s="1207"/>
      <c r="R86" s="1207"/>
      <c r="S86" s="1207"/>
      <c r="T86" s="1207"/>
      <c r="U86" s="1207"/>
      <c r="V86" s="1207"/>
      <c r="W86" s="1207"/>
      <c r="X86" s="1207"/>
      <c r="Y86" s="1207"/>
      <c r="Z86" s="1207"/>
      <c r="AA86" s="1207"/>
      <c r="AB86" s="1207"/>
      <c r="AC86" s="1207"/>
      <c r="AD86" s="1207"/>
      <c r="AE86" s="1207"/>
      <c r="AF86" s="1207"/>
      <c r="AG86" s="1207"/>
      <c r="AH86" s="1207"/>
      <c r="AI86" s="1355"/>
      <c r="AJ86" s="1320"/>
      <c r="AN86" s="1315">
        <v>2110.3739999999998</v>
      </c>
      <c r="AP86" s="1209">
        <v>1701.6279999999999</v>
      </c>
      <c r="AQ86" s="1209" t="s">
        <v>491</v>
      </c>
    </row>
    <row r="87" spans="1:43" x14ac:dyDescent="0.2">
      <c r="A87" s="1207"/>
      <c r="B87" s="1350">
        <v>42248</v>
      </c>
      <c r="C87" s="1356"/>
      <c r="D87" s="1345"/>
      <c r="E87" s="1357"/>
      <c r="F87" s="1207"/>
      <c r="G87" s="1349"/>
      <c r="H87" s="1207"/>
      <c r="I87" s="1207"/>
      <c r="J87" s="1207"/>
      <c r="K87" s="1207"/>
      <c r="L87" s="1207"/>
      <c r="M87" s="1207"/>
      <c r="N87" s="1207"/>
      <c r="O87" s="1207"/>
      <c r="P87" s="1208"/>
      <c r="Q87" s="1207"/>
      <c r="R87" s="1207"/>
      <c r="S87" s="1207"/>
      <c r="T87" s="1207"/>
      <c r="U87" s="1207"/>
      <c r="V87" s="1207"/>
      <c r="W87" s="1207"/>
      <c r="X87" s="1207"/>
      <c r="Y87" s="1207"/>
      <c r="Z87" s="1207"/>
      <c r="AA87" s="1207"/>
      <c r="AB87" s="1207"/>
      <c r="AC87" s="1207"/>
      <c r="AD87" s="1207"/>
      <c r="AE87" s="1207"/>
      <c r="AF87" s="1207"/>
      <c r="AG87" s="1207"/>
      <c r="AH87" s="1207"/>
      <c r="AI87" s="1280"/>
      <c r="AN87" s="1315">
        <v>2000</v>
      </c>
      <c r="AP87" s="1209">
        <v>5818.643</v>
      </c>
      <c r="AQ87" s="1209" t="s">
        <v>492</v>
      </c>
    </row>
    <row r="88" spans="1:43" x14ac:dyDescent="0.2">
      <c r="A88" s="1207" t="s">
        <v>31</v>
      </c>
      <c r="B88" s="1350">
        <v>42618</v>
      </c>
      <c r="C88" s="1358">
        <v>19603.806</v>
      </c>
      <c r="D88" s="1354"/>
      <c r="E88" s="1354"/>
      <c r="F88" s="1354"/>
      <c r="G88" s="1349"/>
      <c r="H88" s="1207"/>
      <c r="I88" s="1207"/>
      <c r="J88" s="1207"/>
      <c r="K88" s="1207"/>
      <c r="L88" s="1207"/>
      <c r="M88" s="1207"/>
      <c r="N88" s="1207"/>
      <c r="O88" s="1207"/>
      <c r="P88" s="1208"/>
      <c r="Q88" s="1207"/>
      <c r="R88" s="1207"/>
      <c r="S88" s="1207"/>
      <c r="T88" s="1207"/>
      <c r="U88" s="1207"/>
      <c r="V88" s="1207"/>
      <c r="W88" s="1207"/>
      <c r="X88" s="1207"/>
      <c r="Y88" s="1207"/>
      <c r="Z88" s="1207"/>
      <c r="AA88" s="1207"/>
      <c r="AB88" s="1207"/>
      <c r="AC88" s="1207"/>
      <c r="AD88" s="1207"/>
      <c r="AE88" s="1207"/>
      <c r="AF88" s="1207"/>
      <c r="AG88" s="1207"/>
      <c r="AH88" s="1207"/>
      <c r="AI88" s="1280"/>
      <c r="AN88" s="1315">
        <v>1841.7439999999999</v>
      </c>
    </row>
    <row r="89" spans="1:43" x14ac:dyDescent="0.2">
      <c r="A89" s="1207"/>
      <c r="B89" s="1350">
        <v>42615</v>
      </c>
      <c r="C89" s="1354"/>
      <c r="D89" s="1354"/>
      <c r="E89" s="1354"/>
      <c r="F89" s="1207"/>
      <c r="G89" s="1353"/>
      <c r="H89" s="1207"/>
      <c r="I89" s="1207"/>
      <c r="J89" s="1207"/>
      <c r="K89" s="1207"/>
      <c r="L89" s="1207"/>
      <c r="M89" s="1207"/>
      <c r="N89" s="1207"/>
      <c r="O89" s="1207"/>
      <c r="P89" s="1208"/>
      <c r="Q89" s="1207"/>
      <c r="R89" s="1207"/>
      <c r="S89" s="1207"/>
      <c r="T89" s="1207"/>
      <c r="U89" s="1207"/>
      <c r="V89" s="1207"/>
      <c r="W89" s="1207"/>
      <c r="X89" s="1207"/>
      <c r="Y89" s="1207"/>
      <c r="Z89" s="1207"/>
      <c r="AA89" s="1207"/>
      <c r="AB89" s="1207"/>
      <c r="AC89" s="1207"/>
      <c r="AD89" s="1207"/>
      <c r="AE89" s="1207"/>
      <c r="AF89" s="1207"/>
      <c r="AG89" s="1207"/>
      <c r="AH89" s="1207"/>
      <c r="AI89" s="1280"/>
      <c r="AN89" s="1315">
        <v>747.24800000000005</v>
      </c>
    </row>
    <row r="90" spans="1:43" x14ac:dyDescent="0.2">
      <c r="A90" s="1207"/>
      <c r="B90" s="1350">
        <v>42604</v>
      </c>
      <c r="C90" s="1359"/>
      <c r="D90" s="1354"/>
      <c r="E90" s="1357"/>
      <c r="F90" s="1207"/>
      <c r="G90" s="1360"/>
      <c r="H90" s="1207"/>
      <c r="I90" s="1207"/>
      <c r="J90" s="1207"/>
      <c r="K90" s="1207"/>
      <c r="L90" s="1207"/>
      <c r="M90" s="1207"/>
      <c r="N90" s="1207"/>
      <c r="O90" s="1207"/>
      <c r="P90" s="1208"/>
      <c r="Q90" s="1207"/>
      <c r="R90" s="1207"/>
      <c r="S90" s="1207"/>
      <c r="T90" s="1207"/>
      <c r="U90" s="1207"/>
      <c r="V90" s="1207"/>
      <c r="W90" s="1207"/>
      <c r="X90" s="1207"/>
      <c r="Y90" s="1207"/>
      <c r="Z90" s="1207"/>
      <c r="AA90" s="1207"/>
      <c r="AB90" s="1207"/>
      <c r="AC90" s="1207"/>
      <c r="AD90" s="1207"/>
      <c r="AE90" s="1207"/>
      <c r="AF90" s="1207"/>
      <c r="AG90" s="1207"/>
      <c r="AH90" s="1207"/>
      <c r="AI90" s="1280"/>
      <c r="AN90" s="1315">
        <v>4413.4639999999999</v>
      </c>
    </row>
    <row r="91" spans="1:43" x14ac:dyDescent="0.2">
      <c r="A91" s="1207"/>
      <c r="B91" s="1350">
        <v>42600</v>
      </c>
      <c r="C91" s="1358"/>
      <c r="D91" s="1354"/>
      <c r="E91" s="1354"/>
      <c r="F91" s="1207"/>
      <c r="G91" s="1360"/>
      <c r="H91" s="1207"/>
      <c r="I91" s="1207"/>
      <c r="J91" s="1207"/>
      <c r="K91" s="1207"/>
      <c r="L91" s="1207"/>
      <c r="M91" s="1207"/>
      <c r="N91" s="1207"/>
      <c r="O91" s="1207"/>
      <c r="P91" s="1208"/>
      <c r="Q91" s="1207"/>
      <c r="R91" s="1207"/>
      <c r="S91" s="1207"/>
      <c r="T91" s="1207"/>
      <c r="U91" s="1207"/>
      <c r="V91" s="1207"/>
      <c r="W91" s="1207"/>
      <c r="X91" s="1207"/>
      <c r="Y91" s="1207"/>
      <c r="Z91" s="1207"/>
      <c r="AA91" s="1207"/>
      <c r="AB91" s="1207"/>
      <c r="AC91" s="1207"/>
      <c r="AD91" s="1207"/>
      <c r="AE91" s="1207"/>
      <c r="AF91" s="1207"/>
      <c r="AG91" s="1207"/>
      <c r="AH91" s="1207"/>
      <c r="AN91" s="1315">
        <v>1836.3130000000001</v>
      </c>
    </row>
    <row r="92" spans="1:43" x14ac:dyDescent="0.2">
      <c r="A92" s="1207"/>
      <c r="B92" s="1350">
        <v>42587</v>
      </c>
      <c r="C92" s="1358"/>
      <c r="D92" s="1354"/>
      <c r="E92" s="1354"/>
      <c r="F92" s="1207"/>
      <c r="G92" s="1207"/>
      <c r="H92" s="1207"/>
      <c r="I92" s="1207"/>
      <c r="J92" s="1207"/>
      <c r="K92" s="1207"/>
      <c r="L92" s="1207"/>
      <c r="M92" s="1207"/>
      <c r="N92" s="1207"/>
      <c r="O92" s="1207"/>
      <c r="P92" s="1208"/>
      <c r="Q92" s="1207"/>
      <c r="R92" s="1207"/>
      <c r="S92" s="1207"/>
      <c r="T92" s="1207"/>
      <c r="U92" s="1207"/>
      <c r="V92" s="1207"/>
      <c r="W92" s="1207"/>
      <c r="X92" s="1207"/>
      <c r="Y92" s="1207"/>
      <c r="Z92" s="1207"/>
      <c r="AA92" s="1207"/>
      <c r="AB92" s="1207"/>
      <c r="AC92" s="1207"/>
      <c r="AD92" s="1207"/>
      <c r="AE92" s="1207"/>
      <c r="AF92" s="1207"/>
      <c r="AG92" s="1207"/>
      <c r="AH92" s="1207"/>
      <c r="AN92" s="1315">
        <v>8000</v>
      </c>
    </row>
    <row r="93" spans="1:43" x14ac:dyDescent="0.2">
      <c r="A93" s="1207"/>
      <c r="B93" s="1350">
        <v>42592</v>
      </c>
      <c r="C93" s="1358"/>
      <c r="D93" s="1354"/>
      <c r="E93" s="1354"/>
      <c r="F93" s="1207"/>
      <c r="G93" s="1207"/>
      <c r="H93" s="1207"/>
      <c r="I93" s="1207"/>
      <c r="J93" s="1207"/>
      <c r="K93" s="1207"/>
      <c r="L93" s="1207"/>
      <c r="M93" s="1207"/>
      <c r="N93" s="1207"/>
      <c r="O93" s="1207"/>
      <c r="P93" s="1208"/>
      <c r="Q93" s="1207"/>
      <c r="R93" s="1207"/>
      <c r="S93" s="1207"/>
      <c r="T93" s="1207"/>
      <c r="U93" s="1207"/>
      <c r="V93" s="1207"/>
      <c r="W93" s="1207"/>
      <c r="X93" s="1207"/>
      <c r="Y93" s="1207"/>
      <c r="Z93" s="1207"/>
      <c r="AA93" s="1207"/>
      <c r="AB93" s="1207"/>
      <c r="AC93" s="1207"/>
      <c r="AD93" s="1207"/>
      <c r="AE93" s="1207"/>
      <c r="AF93" s="1207"/>
      <c r="AG93" s="1207"/>
      <c r="AH93" s="1207"/>
      <c r="AN93" s="1280">
        <f>SUM(AN44:AN92)</f>
        <v>167376.80400000003</v>
      </c>
      <c r="AP93" s="1361">
        <f>AN93+AP86+AP87</f>
        <v>174897.07500000004</v>
      </c>
    </row>
    <row r="94" spans="1:43" x14ac:dyDescent="0.2">
      <c r="A94" s="1207"/>
      <c r="B94" s="1350">
        <v>42591</v>
      </c>
      <c r="C94" s="1358"/>
      <c r="D94" s="1354"/>
      <c r="E94" s="1354"/>
      <c r="F94" s="1207"/>
      <c r="G94" s="1207"/>
      <c r="H94" s="1207"/>
      <c r="I94" s="1207"/>
      <c r="J94" s="1207"/>
      <c r="K94" s="1207"/>
      <c r="L94" s="1207"/>
      <c r="M94" s="1207"/>
      <c r="N94" s="1207"/>
      <c r="O94" s="1207"/>
      <c r="P94" s="1208"/>
      <c r="Q94" s="1207"/>
      <c r="R94" s="1207"/>
      <c r="S94" s="1207"/>
      <c r="T94" s="1207"/>
      <c r="U94" s="1207"/>
      <c r="V94" s="1207"/>
      <c r="W94" s="1207"/>
      <c r="X94" s="1207"/>
      <c r="Y94" s="1207"/>
      <c r="Z94" s="1207"/>
      <c r="AA94" s="1207"/>
      <c r="AB94" s="1207"/>
      <c r="AC94" s="1207"/>
      <c r="AD94" s="1207"/>
      <c r="AE94" s="1207"/>
      <c r="AF94" s="1207"/>
      <c r="AG94" s="1207"/>
      <c r="AH94" s="1207"/>
      <c r="AN94" s="1280"/>
      <c r="AP94" s="1361"/>
    </row>
    <row r="95" spans="1:43" x14ac:dyDescent="0.2">
      <c r="A95" s="1207"/>
      <c r="B95" s="1350">
        <v>42535</v>
      </c>
      <c r="C95" s="1363"/>
      <c r="D95" s="1354"/>
      <c r="E95" s="1354"/>
      <c r="F95" s="1207"/>
      <c r="G95" s="1207"/>
      <c r="H95" s="1207"/>
      <c r="I95" s="1207"/>
      <c r="J95" s="1207"/>
      <c r="K95" s="1207"/>
      <c r="L95" s="1207"/>
      <c r="M95" s="1207"/>
      <c r="N95" s="1207"/>
      <c r="O95" s="1207"/>
      <c r="P95" s="1208"/>
      <c r="Q95" s="1207"/>
      <c r="R95" s="1207"/>
      <c r="S95" s="1207"/>
      <c r="T95" s="1207"/>
      <c r="U95" s="1207"/>
      <c r="V95" s="1207"/>
      <c r="W95" s="1207"/>
      <c r="X95" s="1207"/>
      <c r="Y95" s="1207"/>
      <c r="Z95" s="1207"/>
      <c r="AA95" s="1207"/>
      <c r="AB95" s="1207"/>
      <c r="AC95" s="1207"/>
      <c r="AD95" s="1207"/>
      <c r="AE95" s="1207"/>
      <c r="AF95" s="1207"/>
      <c r="AG95" s="1207"/>
      <c r="AH95" s="1207"/>
      <c r="AN95" s="1280"/>
      <c r="AP95" s="1361"/>
    </row>
    <row r="96" spans="1:43" x14ac:dyDescent="0.2">
      <c r="A96" s="1207"/>
      <c r="B96" s="1350">
        <v>42594</v>
      </c>
      <c r="C96" s="1363"/>
      <c r="D96" s="1354"/>
      <c r="E96" s="1354"/>
      <c r="F96" s="1207"/>
      <c r="G96" s="1207"/>
      <c r="H96" s="1207"/>
      <c r="I96" s="1207"/>
      <c r="J96" s="1207"/>
      <c r="K96" s="1207"/>
      <c r="L96" s="1207"/>
      <c r="M96" s="1207"/>
      <c r="N96" s="1207"/>
      <c r="O96" s="1207"/>
      <c r="P96" s="1208"/>
      <c r="Q96" s="1207"/>
      <c r="R96" s="1207"/>
      <c r="S96" s="1207"/>
      <c r="T96" s="1207"/>
      <c r="U96" s="1207"/>
      <c r="V96" s="1207"/>
      <c r="W96" s="1207"/>
      <c r="X96" s="1207"/>
      <c r="Y96" s="1207"/>
      <c r="Z96" s="1207"/>
      <c r="AA96" s="1207"/>
      <c r="AB96" s="1207"/>
      <c r="AC96" s="1207"/>
      <c r="AD96" s="1207"/>
      <c r="AE96" s="1207"/>
      <c r="AF96" s="1207"/>
      <c r="AG96" s="1207"/>
      <c r="AH96" s="1207"/>
      <c r="AN96" s="1280"/>
      <c r="AP96" s="1361"/>
    </row>
    <row r="97" spans="1:42" x14ac:dyDescent="0.2">
      <c r="A97" s="1207"/>
      <c r="B97" s="1350">
        <v>42593</v>
      </c>
      <c r="C97" s="1363"/>
      <c r="D97" s="1354"/>
      <c r="E97" s="1354"/>
      <c r="F97" s="1207"/>
      <c r="G97" s="1207"/>
      <c r="H97" s="1207"/>
      <c r="I97" s="1207"/>
      <c r="J97" s="1207"/>
      <c r="K97" s="1207"/>
      <c r="L97" s="1207"/>
      <c r="M97" s="1207"/>
      <c r="N97" s="1207"/>
      <c r="O97" s="1207"/>
      <c r="P97" s="1208"/>
      <c r="Q97" s="1207"/>
      <c r="R97" s="1207"/>
      <c r="S97" s="1207"/>
      <c r="T97" s="1207"/>
      <c r="U97" s="1207"/>
      <c r="V97" s="1207"/>
      <c r="W97" s="1207"/>
      <c r="X97" s="1207"/>
      <c r="Y97" s="1207"/>
      <c r="Z97" s="1207"/>
      <c r="AA97" s="1207"/>
      <c r="AB97" s="1207"/>
      <c r="AC97" s="1207"/>
      <c r="AD97" s="1207"/>
      <c r="AE97" s="1207"/>
      <c r="AF97" s="1207"/>
      <c r="AG97" s="1207"/>
      <c r="AH97" s="1207"/>
      <c r="AN97" s="1280"/>
      <c r="AP97" s="1361"/>
    </row>
    <row r="98" spans="1:42" x14ac:dyDescent="0.2">
      <c r="A98" s="1207"/>
      <c r="B98" s="1350">
        <v>42595</v>
      </c>
      <c r="C98" s="1363"/>
      <c r="D98" s="1354"/>
      <c r="E98" s="1354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8"/>
      <c r="Q98" s="1207"/>
      <c r="R98" s="1207"/>
      <c r="S98" s="1207"/>
      <c r="T98" s="1207"/>
      <c r="U98" s="1207"/>
      <c r="V98" s="1207"/>
      <c r="W98" s="1207"/>
      <c r="X98" s="1207"/>
      <c r="Y98" s="1207"/>
      <c r="Z98" s="1207"/>
      <c r="AA98" s="1207"/>
      <c r="AB98" s="1207"/>
      <c r="AC98" s="1207"/>
      <c r="AD98" s="1207"/>
      <c r="AE98" s="1207"/>
      <c r="AF98" s="1207"/>
      <c r="AG98" s="1207"/>
      <c r="AH98" s="1207"/>
      <c r="AN98" s="1280"/>
      <c r="AP98" s="1361"/>
    </row>
    <row r="99" spans="1:42" x14ac:dyDescent="0.2">
      <c r="A99" s="1207"/>
      <c r="B99" s="1350">
        <v>42597</v>
      </c>
      <c r="C99" s="1363"/>
      <c r="D99" s="1354"/>
      <c r="E99" s="1354"/>
      <c r="F99" s="1207"/>
      <c r="G99" s="1207"/>
      <c r="H99" s="1207"/>
      <c r="I99" s="1207"/>
      <c r="J99" s="1207"/>
      <c r="K99" s="1207">
        <f>37059.258+27034.764+26920.05+22453.66+22081.918+21697.282+16602.937+15349.561+12838.949+12574.111+11690.542+11165.201+10952.36+10604.913+9252.957+7947.9+5644+5458.795+5191.514+4872.277+2724.667+2539.056+2118.792+2020.009+2000+1506.371+1050-15349.561-12838.949-7947.9-2724.667</f>
        <v>272490.76699999999</v>
      </c>
      <c r="L99" s="1207"/>
      <c r="M99" s="1207"/>
      <c r="N99" s="1207"/>
      <c r="O99" s="1207"/>
      <c r="P99" s="1208"/>
      <c r="Q99" s="1207"/>
      <c r="R99" s="1207"/>
      <c r="S99" s="1207"/>
      <c r="T99" s="1207"/>
      <c r="U99" s="1207"/>
      <c r="V99" s="1207"/>
      <c r="W99" s="1207"/>
      <c r="X99" s="1207"/>
      <c r="Y99" s="1207"/>
      <c r="Z99" s="1207"/>
      <c r="AA99" s="1207"/>
      <c r="AB99" s="1207"/>
      <c r="AC99" s="1207"/>
      <c r="AD99" s="1207"/>
      <c r="AE99" s="1207"/>
      <c r="AF99" s="1207"/>
      <c r="AG99" s="1207"/>
      <c r="AH99" s="1207"/>
      <c r="AN99" s="1280"/>
      <c r="AP99" s="1361"/>
    </row>
    <row r="100" spans="1:42" x14ac:dyDescent="0.2">
      <c r="A100" s="1207"/>
      <c r="B100" s="1350">
        <v>42614</v>
      </c>
      <c r="C100" s="1363">
        <v>3306</v>
      </c>
      <c r="D100" s="1354"/>
      <c r="E100" s="1354"/>
      <c r="F100" s="1207"/>
      <c r="G100" s="1207"/>
      <c r="H100" s="1207"/>
      <c r="I100" s="1207"/>
      <c r="J100" s="1207"/>
      <c r="K100" s="1207">
        <f>760.536+915.176+915.176+1044.172+1048+1048+1048+1050+1052.516+1108.181+1135.022+1154.061+1162.788+1168.412+1173.337+1252.684+1256.881+1265+1266.757+1269.056+1270+1305.887+1386.947+1391.514+1448.422+1459.014+1483.09+1506.371+1552.96+1604.056+1606.433+1629.306+1671.352+1674.772+1700+1709.941+1733.681+1781.11+1794.662+1900+1900+1971.655+2000+2000+2014.004+2015.687+2015.687+2020.009+2059.273+2061.383+2071.886+2081.609+2118.792+2200+2236.381+2238.323+2243.178+2254.943+2283.686+2339.347+2426.105+2458.795+2500+2500+2500+2500+2558.296+2600+2600+2687.816+2760.395+2804.243+2805.456+3000+3000+3154.569+3180.407+3200.925+3263.331+3500+3500+3510.919+3530.043+3547.62+3636.85+3932.717+4000+4000+4000+4016.749+4240.628+4290.462+4669.088+4716.998+6409.218+6497.507+8466.657+8660.045+9218.679+11165.201+14651.932</f>
        <v>272490.76699999999</v>
      </c>
      <c r="L100" s="1207"/>
      <c r="M100" s="1207"/>
      <c r="N100" s="1207"/>
      <c r="O100" s="1207"/>
      <c r="P100" s="1208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07"/>
      <c r="AA100" s="1207"/>
      <c r="AB100" s="1207"/>
      <c r="AC100" s="1207"/>
      <c r="AD100" s="1207"/>
      <c r="AE100" s="1207"/>
      <c r="AF100" s="1207"/>
      <c r="AG100" s="1207"/>
      <c r="AH100" s="1207"/>
      <c r="AN100" s="1280"/>
      <c r="AP100" s="1361"/>
    </row>
    <row r="101" spans="1:42" x14ac:dyDescent="0.2">
      <c r="A101" s="1207"/>
      <c r="B101" s="1350">
        <v>42616</v>
      </c>
      <c r="C101" s="1363">
        <v>9216</v>
      </c>
      <c r="D101" s="1354"/>
      <c r="E101" s="1354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8"/>
      <c r="Q101" s="1207"/>
      <c r="R101" s="1207"/>
      <c r="S101" s="1207"/>
      <c r="T101" s="1207"/>
      <c r="U101" s="1207"/>
      <c r="V101" s="1207"/>
      <c r="W101" s="1207"/>
      <c r="X101" s="1207"/>
      <c r="Y101" s="1207"/>
      <c r="Z101" s="1207"/>
      <c r="AA101" s="1207"/>
      <c r="AB101" s="1207"/>
      <c r="AC101" s="1207"/>
      <c r="AD101" s="1207"/>
      <c r="AE101" s="1207"/>
      <c r="AF101" s="1207"/>
      <c r="AG101" s="1207"/>
      <c r="AH101" s="1207"/>
      <c r="AN101" s="1280"/>
      <c r="AP101" s="1361"/>
    </row>
    <row r="102" spans="1:42" x14ac:dyDescent="0.2">
      <c r="A102" s="1207"/>
      <c r="B102" s="1350">
        <v>42617</v>
      </c>
      <c r="C102" s="1363">
        <v>3595</v>
      </c>
      <c r="D102" s="1354"/>
      <c r="E102" s="1354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8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07"/>
      <c r="AA102" s="1207"/>
      <c r="AB102" s="1207"/>
      <c r="AC102" s="1207"/>
      <c r="AD102" s="1207"/>
      <c r="AE102" s="1207"/>
      <c r="AF102" s="1207"/>
      <c r="AG102" s="1207"/>
      <c r="AH102" s="1207"/>
      <c r="AN102" s="1280"/>
      <c r="AP102" s="1361"/>
    </row>
    <row r="103" spans="1:42" x14ac:dyDescent="0.2">
      <c r="A103" s="1207"/>
      <c r="B103" s="1350">
        <v>42618</v>
      </c>
      <c r="C103" s="1363">
        <v>10428</v>
      </c>
      <c r="D103" s="1354"/>
      <c r="E103" s="1354"/>
      <c r="F103" s="1207"/>
      <c r="G103" s="1207"/>
      <c r="H103" s="1207"/>
      <c r="I103" s="1207"/>
      <c r="J103" s="1207"/>
      <c r="K103" s="1207"/>
      <c r="L103" s="1207"/>
      <c r="M103" s="1207"/>
      <c r="N103" s="1207"/>
      <c r="O103" s="1207"/>
      <c r="P103" s="1208"/>
      <c r="Q103" s="1207"/>
      <c r="R103" s="1207"/>
      <c r="S103" s="1207"/>
      <c r="T103" s="1207"/>
      <c r="U103" s="1207"/>
      <c r="V103" s="1207"/>
      <c r="W103" s="1207"/>
      <c r="X103" s="1207"/>
      <c r="Y103" s="1207"/>
      <c r="Z103" s="1207"/>
      <c r="AA103" s="1207"/>
      <c r="AB103" s="1207"/>
      <c r="AC103" s="1207"/>
      <c r="AD103" s="1207"/>
      <c r="AE103" s="1207"/>
      <c r="AF103" s="1207"/>
      <c r="AG103" s="1207"/>
      <c r="AH103" s="1207"/>
      <c r="AN103" s="1280"/>
      <c r="AP103" s="1361"/>
    </row>
    <row r="104" spans="1:42" x14ac:dyDescent="0.2">
      <c r="A104" s="1207"/>
      <c r="B104" s="1350">
        <v>42619</v>
      </c>
      <c r="C104" s="1363">
        <v>4420</v>
      </c>
      <c r="D104" s="1354"/>
      <c r="E104" s="1354"/>
      <c r="F104" s="1207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8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07"/>
      <c r="AA104" s="1207"/>
      <c r="AB104" s="1207"/>
      <c r="AC104" s="1207"/>
      <c r="AD104" s="1207"/>
      <c r="AE104" s="1207"/>
      <c r="AF104" s="1207"/>
      <c r="AG104" s="1207"/>
      <c r="AH104" s="1207"/>
      <c r="AN104" s="1280"/>
      <c r="AP104" s="1361"/>
    </row>
    <row r="105" spans="1:42" x14ac:dyDescent="0.2">
      <c r="A105" s="1207"/>
      <c r="B105" s="1350">
        <v>42603</v>
      </c>
      <c r="C105" s="1363"/>
      <c r="D105" s="1354"/>
      <c r="E105" s="1354"/>
      <c r="F105" s="1207"/>
      <c r="G105" s="1207"/>
      <c r="H105" s="1207"/>
      <c r="I105" s="1207"/>
      <c r="J105" s="1207"/>
      <c r="K105" s="1207"/>
      <c r="L105" s="1207"/>
      <c r="M105" s="1207"/>
      <c r="N105" s="1207"/>
      <c r="O105" s="1207"/>
      <c r="P105" s="1208"/>
      <c r="Q105" s="1207"/>
      <c r="R105" s="1207"/>
      <c r="S105" s="1207"/>
      <c r="T105" s="1207"/>
      <c r="U105" s="1207"/>
      <c r="V105" s="1207"/>
      <c r="W105" s="1207"/>
      <c r="X105" s="1207"/>
      <c r="Y105" s="1207"/>
      <c r="Z105" s="1207"/>
      <c r="AA105" s="1207"/>
      <c r="AB105" s="1207"/>
      <c r="AC105" s="1207"/>
      <c r="AD105" s="1207"/>
      <c r="AE105" s="1207"/>
      <c r="AF105" s="1207"/>
      <c r="AG105" s="1207"/>
      <c r="AH105" s="1207"/>
      <c r="AN105" s="1280"/>
      <c r="AP105" s="1361"/>
    </row>
    <row r="106" spans="1:42" x14ac:dyDescent="0.2">
      <c r="A106" s="1207"/>
      <c r="B106" s="1350">
        <v>42604</v>
      </c>
      <c r="C106" s="1363"/>
      <c r="D106" s="1354"/>
      <c r="E106" s="1354"/>
      <c r="F106" s="1207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8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07"/>
      <c r="AA106" s="1207"/>
      <c r="AB106" s="1207"/>
      <c r="AC106" s="1207"/>
      <c r="AD106" s="1207"/>
      <c r="AE106" s="1207"/>
      <c r="AF106" s="1207"/>
      <c r="AG106" s="1207"/>
      <c r="AH106" s="1207"/>
      <c r="AN106" s="1280"/>
      <c r="AP106" s="1361"/>
    </row>
    <row r="107" spans="1:42" x14ac:dyDescent="0.2">
      <c r="A107" s="1207"/>
      <c r="B107" s="1350">
        <v>42591</v>
      </c>
      <c r="C107" s="1363"/>
      <c r="D107" s="1354"/>
      <c r="E107" s="1354"/>
      <c r="F107" s="1207"/>
      <c r="G107" s="1207"/>
      <c r="H107" s="1207"/>
      <c r="I107" s="1207"/>
      <c r="J107" s="1207"/>
      <c r="K107" s="1207"/>
      <c r="L107" s="1207"/>
      <c r="M107" s="1207"/>
      <c r="N107" s="1207"/>
      <c r="O107" s="1207"/>
      <c r="P107" s="1208"/>
      <c r="Q107" s="1207"/>
      <c r="R107" s="1207"/>
      <c r="S107" s="1207"/>
      <c r="T107" s="1207"/>
      <c r="U107" s="1207"/>
      <c r="V107" s="1207"/>
      <c r="W107" s="1207"/>
      <c r="X107" s="1207"/>
      <c r="Y107" s="1207"/>
      <c r="Z107" s="1207"/>
      <c r="AA107" s="1207"/>
      <c r="AB107" s="1207"/>
      <c r="AC107" s="1207"/>
      <c r="AD107" s="1207"/>
      <c r="AE107" s="1207"/>
      <c r="AF107" s="1207"/>
      <c r="AG107" s="1207"/>
      <c r="AH107" s="1207"/>
      <c r="AN107" s="1280"/>
      <c r="AP107" s="1361"/>
    </row>
    <row r="108" spans="1:42" x14ac:dyDescent="0.2">
      <c r="A108" s="1207" t="s">
        <v>436</v>
      </c>
      <c r="B108" s="1350">
        <v>42349</v>
      </c>
      <c r="C108" s="1358"/>
      <c r="D108" s="1354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8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N108" s="1280"/>
    </row>
    <row r="109" spans="1:42" x14ac:dyDescent="0.2">
      <c r="A109" s="1365" t="s">
        <v>33</v>
      </c>
      <c r="B109" s="1350">
        <v>42615</v>
      </c>
      <c r="C109" s="1351">
        <v>18199.142</v>
      </c>
      <c r="D109" s="1354"/>
      <c r="E109" s="1207"/>
      <c r="F109" s="1207"/>
      <c r="G109" s="1346"/>
      <c r="H109" s="1354"/>
      <c r="I109" s="1207"/>
      <c r="J109" s="1207"/>
      <c r="K109" s="1207"/>
      <c r="L109" s="1207"/>
      <c r="M109" s="1207"/>
      <c r="N109" s="1207"/>
      <c r="O109" s="1207"/>
      <c r="P109" s="1208"/>
      <c r="Q109" s="1207"/>
      <c r="R109" s="1207"/>
      <c r="S109" s="1207"/>
      <c r="T109" s="1207"/>
      <c r="U109" s="1207"/>
      <c r="V109" s="1207"/>
      <c r="W109" s="1207"/>
      <c r="X109" s="1207"/>
      <c r="Y109" s="1207"/>
      <c r="Z109" s="1207"/>
      <c r="AA109" s="1207"/>
      <c r="AB109" s="1207"/>
      <c r="AC109" s="1207"/>
      <c r="AD109" s="1207"/>
      <c r="AE109" s="1207"/>
      <c r="AF109" s="1207"/>
      <c r="AG109" s="1207"/>
      <c r="AH109" s="1207"/>
      <c r="AN109" s="1280">
        <v>222914.55799999999</v>
      </c>
    </row>
    <row r="110" spans="1:42" x14ac:dyDescent="0.2">
      <c r="A110" s="1365" t="s">
        <v>32</v>
      </c>
      <c r="B110" s="1350">
        <v>42600</v>
      </c>
      <c r="C110" s="1351"/>
      <c r="D110" s="1354"/>
      <c r="E110" s="1351"/>
      <c r="F110" s="121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8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07"/>
      <c r="AA110" s="1207"/>
      <c r="AB110" s="1207"/>
      <c r="AC110" s="1207"/>
      <c r="AD110" s="1207"/>
      <c r="AE110" s="1207"/>
      <c r="AF110" s="1207"/>
      <c r="AG110" s="1207"/>
      <c r="AH110" s="1207"/>
    </row>
    <row r="111" spans="1:42" x14ac:dyDescent="0.2">
      <c r="A111" s="1365" t="s">
        <v>33</v>
      </c>
      <c r="B111" s="1350">
        <v>42600</v>
      </c>
      <c r="C111" s="1351"/>
      <c r="D111" s="1207"/>
      <c r="E111" s="1350"/>
      <c r="F111" s="1219"/>
      <c r="G111" s="1207"/>
      <c r="H111" s="1207"/>
      <c r="I111" s="1207"/>
      <c r="J111" s="1207"/>
      <c r="K111" s="1207"/>
      <c r="L111" s="1207"/>
      <c r="M111" s="1207"/>
      <c r="N111" s="1207"/>
      <c r="O111" s="1207"/>
      <c r="P111" s="1208"/>
      <c r="Q111" s="1207"/>
      <c r="R111" s="1207"/>
      <c r="S111" s="1207"/>
      <c r="T111" s="1207"/>
      <c r="U111" s="1207"/>
      <c r="V111" s="1207"/>
      <c r="W111" s="1207"/>
      <c r="X111" s="1207"/>
      <c r="Y111" s="1207"/>
      <c r="Z111" s="1207"/>
      <c r="AA111" s="1207"/>
      <c r="AB111" s="1207"/>
      <c r="AC111" s="1207"/>
      <c r="AD111" s="1207"/>
      <c r="AE111" s="1207"/>
      <c r="AF111" s="1207"/>
      <c r="AG111" s="1207"/>
      <c r="AH111" s="1207"/>
      <c r="AN111" s="1361">
        <f>AN109-AN93</f>
        <v>55537.753999999957</v>
      </c>
    </row>
    <row r="112" spans="1:42" x14ac:dyDescent="0.2">
      <c r="A112" s="1365" t="s">
        <v>33</v>
      </c>
      <c r="B112" s="1350">
        <v>42585</v>
      </c>
      <c r="C112" s="1351"/>
      <c r="D112" s="1207"/>
      <c r="E112" s="1350"/>
      <c r="F112" s="121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8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07"/>
      <c r="AA112" s="1207"/>
      <c r="AB112" s="1207"/>
      <c r="AC112" s="1207"/>
      <c r="AD112" s="1207"/>
      <c r="AE112" s="1207"/>
      <c r="AF112" s="1207"/>
      <c r="AG112" s="1207"/>
      <c r="AH112" s="1207"/>
    </row>
    <row r="113" spans="1:34" x14ac:dyDescent="0.2">
      <c r="A113" s="1365" t="s">
        <v>33</v>
      </c>
      <c r="B113" s="1350">
        <v>42562</v>
      </c>
      <c r="C113" s="1351"/>
      <c r="D113" s="1207"/>
      <c r="E113" s="1207"/>
      <c r="F113" s="1207"/>
      <c r="G113" s="1207"/>
      <c r="H113" s="1207"/>
      <c r="I113" s="1207"/>
      <c r="L113" s="1207"/>
      <c r="M113" s="1207"/>
      <c r="N113" s="1207"/>
      <c r="O113" s="1207"/>
      <c r="P113" s="1208"/>
      <c r="Q113" s="1207"/>
      <c r="R113" s="1207"/>
      <c r="S113" s="1207"/>
      <c r="T113" s="1207"/>
      <c r="U113" s="1207"/>
      <c r="V113" s="1207"/>
      <c r="W113" s="1207"/>
      <c r="X113" s="1207"/>
      <c r="Y113" s="1207"/>
      <c r="Z113" s="1207"/>
      <c r="AA113" s="1207"/>
      <c r="AB113" s="1207"/>
      <c r="AC113" s="1207"/>
      <c r="AD113" s="1207"/>
      <c r="AE113" s="1207"/>
      <c r="AF113" s="1207"/>
      <c r="AG113" s="1207"/>
      <c r="AH113" s="1207"/>
    </row>
    <row r="114" spans="1:34" x14ac:dyDescent="0.2">
      <c r="A114" s="1365" t="s">
        <v>32</v>
      </c>
      <c r="B114" s="1350">
        <v>42564</v>
      </c>
      <c r="C114" s="1351"/>
      <c r="D114" s="1207"/>
      <c r="E114" s="1354"/>
      <c r="F114" s="1207"/>
      <c r="G114" s="1207"/>
      <c r="H114" s="1207"/>
      <c r="I114" s="1207"/>
      <c r="L114" s="1207"/>
      <c r="M114" s="1207"/>
      <c r="N114" s="1207"/>
      <c r="O114" s="1207"/>
      <c r="P114" s="1208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07"/>
      <c r="AA114" s="1207"/>
      <c r="AB114" s="1207"/>
      <c r="AC114" s="1207"/>
      <c r="AD114" s="1207"/>
      <c r="AE114" s="1207"/>
      <c r="AF114" s="1207"/>
      <c r="AG114" s="1207"/>
      <c r="AH114" s="1207"/>
    </row>
    <row r="115" spans="1:34" x14ac:dyDescent="0.2">
      <c r="A115" s="1365" t="s">
        <v>33</v>
      </c>
      <c r="B115" s="1350">
        <v>42564</v>
      </c>
      <c r="C115" s="1351"/>
      <c r="D115" s="1354"/>
      <c r="E115" s="1354"/>
      <c r="F115" s="1207"/>
      <c r="G115" s="1207"/>
      <c r="H115" s="1207"/>
      <c r="I115" s="1207"/>
      <c r="J115" s="1207"/>
      <c r="K115" s="1207"/>
      <c r="L115" s="1207"/>
      <c r="M115" s="1207"/>
      <c r="N115" s="1207"/>
      <c r="O115" s="1207"/>
      <c r="P115" s="1208"/>
      <c r="Q115" s="1207"/>
      <c r="R115" s="1207"/>
      <c r="S115" s="1207"/>
      <c r="T115" s="1207"/>
      <c r="U115" s="1207"/>
      <c r="V115" s="1207"/>
      <c r="W115" s="1207"/>
      <c r="X115" s="1207"/>
      <c r="Y115" s="1207"/>
      <c r="Z115" s="1207"/>
      <c r="AA115" s="1207"/>
      <c r="AB115" s="1207"/>
      <c r="AC115" s="1207"/>
      <c r="AD115" s="1207"/>
      <c r="AE115" s="1207"/>
      <c r="AF115" s="1207"/>
      <c r="AG115" s="1207"/>
      <c r="AH115" s="1207"/>
    </row>
    <row r="116" spans="1:34" x14ac:dyDescent="0.2">
      <c r="A116" s="1365" t="s">
        <v>33</v>
      </c>
      <c r="B116" s="1350">
        <v>42467</v>
      </c>
      <c r="C116" s="1351"/>
      <c r="D116" s="1207"/>
      <c r="E116" s="1207"/>
      <c r="F116" s="1207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8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07"/>
      <c r="AA116" s="1207"/>
      <c r="AB116" s="1207"/>
      <c r="AC116" s="1207"/>
      <c r="AD116" s="1207"/>
      <c r="AE116" s="1207"/>
      <c r="AF116" s="1207"/>
      <c r="AG116" s="1207"/>
      <c r="AH116" s="1207"/>
    </row>
    <row r="117" spans="1:34" x14ac:dyDescent="0.2">
      <c r="A117" s="1365" t="s">
        <v>32</v>
      </c>
      <c r="B117" s="1350">
        <v>42468</v>
      </c>
      <c r="C117" s="1351"/>
      <c r="D117" s="1207"/>
      <c r="E117" s="1354"/>
      <c r="F117" s="1207"/>
      <c r="G117" s="1207"/>
      <c r="H117" s="1207"/>
      <c r="I117" s="1207"/>
      <c r="J117" s="1207"/>
      <c r="K117" s="1207"/>
      <c r="L117" s="1207"/>
      <c r="M117" s="1207"/>
      <c r="N117" s="1207"/>
      <c r="O117" s="1207"/>
      <c r="P117" s="1208"/>
      <c r="Q117" s="1207"/>
      <c r="R117" s="1207"/>
      <c r="S117" s="1207"/>
      <c r="T117" s="1207"/>
      <c r="U117" s="1207"/>
      <c r="V117" s="1207"/>
      <c r="W117" s="1207"/>
      <c r="X117" s="1207"/>
      <c r="Y117" s="1207"/>
      <c r="Z117" s="1207"/>
      <c r="AA117" s="1207"/>
      <c r="AB117" s="1207"/>
      <c r="AC117" s="1207"/>
      <c r="AD117" s="1207"/>
      <c r="AE117" s="1207"/>
      <c r="AF117" s="1207"/>
      <c r="AG117" s="1207"/>
      <c r="AH117" s="1207"/>
    </row>
    <row r="118" spans="1:34" x14ac:dyDescent="0.2">
      <c r="A118" s="1365" t="s">
        <v>33</v>
      </c>
      <c r="B118" s="1350">
        <v>42471</v>
      </c>
      <c r="C118" s="1351"/>
      <c r="D118" s="1366"/>
      <c r="E118" s="1207"/>
      <c r="F118" s="1207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8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07"/>
      <c r="AA118" s="1207"/>
      <c r="AB118" s="1207"/>
      <c r="AC118" s="1207"/>
      <c r="AD118" s="1207"/>
      <c r="AE118" s="1207"/>
      <c r="AF118" s="1207"/>
      <c r="AG118" s="1207"/>
      <c r="AH118" s="1207"/>
    </row>
    <row r="119" spans="1:34" x14ac:dyDescent="0.2">
      <c r="A119" s="1365" t="s">
        <v>33</v>
      </c>
      <c r="B119" s="1350">
        <v>42248</v>
      </c>
      <c r="C119" s="1351"/>
      <c r="D119" s="1207"/>
      <c r="E119" s="1366"/>
      <c r="F119" s="1207"/>
      <c r="G119" s="1207"/>
      <c r="H119" s="1207"/>
      <c r="I119" s="1207"/>
      <c r="J119" s="1207"/>
      <c r="K119" s="1207"/>
      <c r="L119" s="1207"/>
      <c r="M119" s="1207"/>
      <c r="N119" s="1207"/>
      <c r="O119" s="1207"/>
      <c r="P119" s="1208"/>
      <c r="Q119" s="1207"/>
      <c r="R119" s="1207"/>
      <c r="S119" s="1207"/>
      <c r="T119" s="1207"/>
      <c r="U119" s="1207"/>
      <c r="V119" s="1207"/>
      <c r="W119" s="1207"/>
      <c r="X119" s="1207"/>
      <c r="Y119" s="1207"/>
      <c r="Z119" s="1207"/>
      <c r="AA119" s="1207"/>
      <c r="AB119" s="1207"/>
      <c r="AC119" s="1207"/>
      <c r="AD119" s="1207"/>
      <c r="AE119" s="1207"/>
      <c r="AF119" s="1207"/>
      <c r="AG119" s="1207"/>
      <c r="AH119" s="1207"/>
    </row>
    <row r="120" spans="1:34" x14ac:dyDescent="0.2">
      <c r="A120" s="1365" t="s">
        <v>1283</v>
      </c>
      <c r="B120" s="1350">
        <v>42597</v>
      </c>
      <c r="C120" s="1367"/>
      <c r="D120" s="1207"/>
      <c r="E120" s="1354"/>
      <c r="F120" s="1207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8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</row>
    <row r="121" spans="1:34" x14ac:dyDescent="0.2">
      <c r="A121" s="1316" t="s">
        <v>1283</v>
      </c>
      <c r="B121" s="1350">
        <v>42580</v>
      </c>
      <c r="C121" s="1351"/>
      <c r="D121" s="1207"/>
      <c r="E121" s="1207"/>
      <c r="F121" s="1207"/>
      <c r="G121" s="1354"/>
      <c r="H121" s="1354"/>
      <c r="I121" s="1207"/>
      <c r="J121" s="1207"/>
      <c r="K121" s="1207"/>
      <c r="L121" s="1207"/>
      <c r="M121" s="1207"/>
      <c r="N121" s="1207"/>
      <c r="O121" s="1207"/>
      <c r="P121" s="1208"/>
      <c r="Q121" s="1207"/>
      <c r="R121" s="1207"/>
      <c r="S121" s="1207"/>
      <c r="T121" s="1207"/>
      <c r="U121" s="1207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</row>
    <row r="122" spans="1:34" x14ac:dyDescent="0.2">
      <c r="A122" s="1207"/>
      <c r="B122" s="1350"/>
      <c r="C122" s="1345"/>
      <c r="D122" s="1207"/>
      <c r="E122" s="1207"/>
      <c r="F122" s="1207"/>
      <c r="G122" s="1354"/>
      <c r="H122" s="1207"/>
      <c r="I122" s="1207"/>
      <c r="J122" s="1207"/>
      <c r="K122" s="1207"/>
      <c r="L122" s="1207"/>
      <c r="M122" s="1207"/>
      <c r="N122" s="1207"/>
      <c r="O122" s="1207"/>
      <c r="P122" s="1208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07"/>
      <c r="AA122" s="1207"/>
      <c r="AB122" s="1207"/>
      <c r="AC122" s="1207"/>
      <c r="AD122" s="1207"/>
      <c r="AE122" s="1207"/>
      <c r="AF122" s="1207"/>
      <c r="AG122" s="1207"/>
      <c r="AH122" s="1207"/>
    </row>
    <row r="123" spans="1:34" x14ac:dyDescent="0.2">
      <c r="A123" s="1207"/>
      <c r="B123" s="1350"/>
      <c r="C123" s="1207"/>
      <c r="D123" s="1207"/>
      <c r="E123" s="1207"/>
      <c r="F123" s="1207"/>
      <c r="G123" s="1207"/>
      <c r="H123" s="1367"/>
      <c r="I123" s="1207"/>
      <c r="J123" s="1207"/>
      <c r="K123" s="1207"/>
      <c r="L123" s="1207"/>
      <c r="M123" s="1207"/>
      <c r="N123" s="1207"/>
      <c r="O123" s="1207"/>
      <c r="P123" s="1208"/>
      <c r="Q123" s="1207"/>
      <c r="R123" s="1207"/>
      <c r="S123" s="1207"/>
      <c r="T123" s="1207"/>
      <c r="U123" s="1207"/>
      <c r="V123" s="1207"/>
      <c r="W123" s="1207"/>
      <c r="X123" s="1207"/>
      <c r="Y123" s="1207"/>
      <c r="Z123" s="1207"/>
      <c r="AA123" s="1207"/>
      <c r="AB123" s="1207"/>
      <c r="AC123" s="1207"/>
      <c r="AD123" s="1207"/>
      <c r="AE123" s="1207"/>
      <c r="AF123" s="1207"/>
      <c r="AG123" s="1207"/>
      <c r="AH123" s="1207"/>
    </row>
    <row r="124" spans="1:34" x14ac:dyDescent="0.2">
      <c r="A124" s="1207"/>
      <c r="B124" s="1350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8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07"/>
      <c r="AA124" s="1207"/>
      <c r="AB124" s="1207"/>
      <c r="AC124" s="1207"/>
      <c r="AD124" s="1207"/>
      <c r="AE124" s="1207"/>
      <c r="AF124" s="1207"/>
      <c r="AG124" s="1207"/>
      <c r="AH124" s="1207"/>
    </row>
    <row r="125" spans="1:34" x14ac:dyDescent="0.2">
      <c r="A125" s="1316"/>
      <c r="B125" s="1350"/>
      <c r="C125" s="1345"/>
      <c r="D125" s="1207"/>
      <c r="E125" s="1207"/>
      <c r="F125" s="1207"/>
      <c r="G125" s="1207"/>
      <c r="H125" s="1207"/>
      <c r="I125" s="1207"/>
      <c r="J125" s="1207"/>
      <c r="K125" s="1207"/>
      <c r="L125" s="1207"/>
      <c r="M125" s="1207"/>
      <c r="N125" s="1207"/>
      <c r="O125" s="1207"/>
      <c r="P125" s="1208"/>
      <c r="Q125" s="1207"/>
      <c r="R125" s="1207"/>
      <c r="S125" s="1207"/>
      <c r="T125" s="1207"/>
      <c r="U125" s="1207"/>
      <c r="V125" s="1207"/>
      <c r="W125" s="1207"/>
      <c r="X125" s="1207"/>
      <c r="Y125" s="1207"/>
      <c r="Z125" s="1207"/>
      <c r="AA125" s="1207"/>
      <c r="AB125" s="1207"/>
      <c r="AC125" s="1207"/>
      <c r="AD125" s="1207"/>
      <c r="AE125" s="1207"/>
      <c r="AF125" s="1207"/>
      <c r="AG125" s="1207"/>
      <c r="AH125" s="1207"/>
    </row>
    <row r="126" spans="1:34" x14ac:dyDescent="0.2">
      <c r="A126" s="1316"/>
      <c r="B126" s="1350"/>
      <c r="C126" s="1345"/>
      <c r="D126" s="1207"/>
      <c r="E126" s="1207"/>
      <c r="F126" s="1207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8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07"/>
      <c r="AA126" s="1207"/>
      <c r="AB126" s="1207"/>
      <c r="AC126" s="1207"/>
      <c r="AD126" s="1207"/>
      <c r="AE126" s="1207"/>
      <c r="AF126" s="1207"/>
      <c r="AG126" s="1207"/>
      <c r="AH126" s="1207"/>
    </row>
    <row r="127" spans="1:34" x14ac:dyDescent="0.2">
      <c r="A127" s="1207"/>
      <c r="B127" s="1207"/>
      <c r="C127" s="1207"/>
      <c r="D127" s="1207"/>
      <c r="E127" s="1207"/>
      <c r="F127" s="1207"/>
      <c r="G127" s="1207"/>
      <c r="H127" s="1207"/>
      <c r="I127" s="1207"/>
      <c r="J127" s="1207"/>
      <c r="K127" s="1207"/>
      <c r="L127" s="1207"/>
      <c r="M127" s="1207"/>
      <c r="N127" s="1207"/>
      <c r="O127" s="1207"/>
      <c r="P127" s="1208"/>
      <c r="Q127" s="1207"/>
      <c r="R127" s="1207"/>
      <c r="S127" s="1207"/>
      <c r="T127" s="1207"/>
      <c r="U127" s="1207"/>
      <c r="V127" s="1207"/>
      <c r="W127" s="1207"/>
      <c r="X127" s="1207"/>
      <c r="Y127" s="1207"/>
      <c r="Z127" s="1207"/>
      <c r="AA127" s="1207"/>
      <c r="AB127" s="1207"/>
      <c r="AC127" s="1207"/>
      <c r="AD127" s="1207"/>
      <c r="AE127" s="1207"/>
      <c r="AF127" s="1207"/>
      <c r="AG127" s="1207"/>
      <c r="AH127" s="1207"/>
    </row>
    <row r="128" spans="1:34" x14ac:dyDescent="0.2">
      <c r="A128" s="1207"/>
      <c r="B128" s="1207"/>
      <c r="C128" s="1207"/>
      <c r="D128" s="1207"/>
      <c r="E128" s="1207"/>
      <c r="F128" s="1207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8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07"/>
      <c r="AA128" s="1207"/>
      <c r="AB128" s="1207"/>
      <c r="AC128" s="1207"/>
      <c r="AD128" s="1207"/>
      <c r="AE128" s="1207"/>
      <c r="AF128" s="1207"/>
      <c r="AG128" s="1207"/>
      <c r="AH128" s="1207"/>
    </row>
    <row r="129" spans="1:34" x14ac:dyDescent="0.2">
      <c r="A129" s="1207"/>
      <c r="B129" s="1207"/>
      <c r="C129" s="1207"/>
      <c r="D129" s="1207"/>
      <c r="E129" s="1207"/>
      <c r="F129" s="1207"/>
      <c r="G129" s="1207"/>
      <c r="H129" s="1207"/>
      <c r="I129" s="1207"/>
      <c r="J129" s="1207"/>
      <c r="K129" s="1207"/>
      <c r="L129" s="1207"/>
      <c r="M129" s="1207"/>
      <c r="N129" s="1207"/>
      <c r="O129" s="1207"/>
      <c r="P129" s="1208"/>
      <c r="Q129" s="1207"/>
      <c r="R129" s="1207"/>
      <c r="S129" s="1207"/>
      <c r="T129" s="1207"/>
      <c r="U129" s="1207"/>
      <c r="V129" s="1207"/>
      <c r="W129" s="1207"/>
      <c r="X129" s="1207"/>
      <c r="Y129" s="1207"/>
      <c r="Z129" s="1207"/>
      <c r="AA129" s="1207"/>
      <c r="AB129" s="1207"/>
      <c r="AC129" s="1207"/>
      <c r="AD129" s="1207"/>
      <c r="AE129" s="1207"/>
      <c r="AF129" s="1207"/>
      <c r="AG129" s="1207"/>
      <c r="AH129" s="1207"/>
    </row>
    <row r="130" spans="1:34" x14ac:dyDescent="0.2">
      <c r="A130" s="1207"/>
      <c r="B130" s="1207"/>
      <c r="C130" s="1207"/>
      <c r="D130" s="1207"/>
      <c r="E130" s="1207"/>
      <c r="F130" s="1207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8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07"/>
      <c r="AA130" s="1207"/>
      <c r="AB130" s="1207"/>
      <c r="AC130" s="1207"/>
      <c r="AD130" s="1207"/>
      <c r="AE130" s="1207"/>
      <c r="AF130" s="1207"/>
      <c r="AG130" s="1207"/>
      <c r="AH130" s="1207"/>
    </row>
    <row r="131" spans="1:34" ht="13.5" thickBot="1" x14ac:dyDescent="0.25">
      <c r="A131" s="1207"/>
      <c r="B131" s="1207"/>
      <c r="C131" s="1207"/>
      <c r="D131" s="1207"/>
      <c r="E131" s="1207"/>
      <c r="F131" s="1207"/>
      <c r="G131" s="1207"/>
      <c r="H131" s="1207"/>
      <c r="I131" s="1207"/>
      <c r="J131" s="1207"/>
      <c r="K131" s="1207"/>
      <c r="L131" s="1207"/>
      <c r="M131" s="1207"/>
      <c r="N131" s="1207"/>
      <c r="O131" s="1207"/>
      <c r="P131" s="1208"/>
      <c r="Q131" s="1207"/>
      <c r="R131" s="1207"/>
      <c r="S131" s="1207"/>
      <c r="T131" s="1207"/>
      <c r="U131" s="1207"/>
      <c r="V131" s="1207"/>
      <c r="W131" s="1207"/>
      <c r="X131" s="1207"/>
      <c r="Y131" s="1207"/>
      <c r="Z131" s="1207"/>
      <c r="AA131" s="1207"/>
      <c r="AB131" s="1207"/>
      <c r="AC131" s="1207"/>
      <c r="AD131" s="1207"/>
      <c r="AE131" s="1207"/>
      <c r="AF131" s="1207"/>
      <c r="AG131" s="1207"/>
      <c r="AH131" s="1207"/>
    </row>
    <row r="132" spans="1:34" x14ac:dyDescent="0.2">
      <c r="A132" s="1233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34"/>
      <c r="O132" s="1234"/>
      <c r="P132" s="1235"/>
      <c r="Q132" s="1234"/>
      <c r="R132" s="1234"/>
      <c r="S132" s="1234"/>
      <c r="T132" s="1234"/>
      <c r="U132" s="1234"/>
      <c r="V132" s="1234"/>
      <c r="W132" s="1234"/>
      <c r="X132" s="1234"/>
      <c r="Y132" s="1234"/>
      <c r="Z132" s="1234"/>
      <c r="AA132" s="1234"/>
      <c r="AB132" s="1234"/>
      <c r="AC132" s="1234"/>
      <c r="AD132" s="1234"/>
      <c r="AE132" s="1234"/>
      <c r="AF132" s="1234"/>
      <c r="AG132" s="1234"/>
      <c r="AH132" s="1207"/>
    </row>
    <row r="133" spans="1:34" x14ac:dyDescent="0.2">
      <c r="A133" s="1236"/>
      <c r="B133" s="1237" t="s">
        <v>37</v>
      </c>
      <c r="C133" s="1237"/>
      <c r="D133" s="1237"/>
      <c r="E133" s="1238" t="s">
        <v>838</v>
      </c>
      <c r="F133" s="1239" t="s">
        <v>95</v>
      </c>
      <c r="G133" s="1707" t="s">
        <v>6</v>
      </c>
      <c r="H133" s="1239"/>
      <c r="I133" s="1239"/>
      <c r="J133" s="1239"/>
      <c r="K133" s="1239"/>
      <c r="L133" s="1239"/>
      <c r="M133" s="1239"/>
      <c r="N133" s="1239"/>
      <c r="O133" s="1239"/>
      <c r="P133" s="1240"/>
      <c r="Q133" s="1239"/>
      <c r="R133" s="1239"/>
      <c r="S133" s="1239"/>
      <c r="T133" s="1239"/>
      <c r="U133" s="1239"/>
      <c r="V133" s="1239"/>
      <c r="W133" s="1239"/>
      <c r="X133" s="1239"/>
      <c r="Y133" s="1239"/>
      <c r="Z133" s="1239"/>
      <c r="AA133" s="1239"/>
      <c r="AB133" s="1239"/>
      <c r="AC133" s="1239"/>
      <c r="AD133" s="1239"/>
      <c r="AE133" s="1239"/>
      <c r="AF133" s="1239"/>
      <c r="AG133" s="1239"/>
      <c r="AH133" s="1207"/>
    </row>
    <row r="134" spans="1:34" x14ac:dyDescent="0.2">
      <c r="A134" s="1236"/>
      <c r="B134" s="1237"/>
      <c r="C134" s="1237"/>
      <c r="D134" s="1239"/>
      <c r="E134" s="1237"/>
      <c r="F134" s="1237"/>
      <c r="G134" s="1237"/>
      <c r="H134" s="1237"/>
      <c r="I134" s="1237"/>
      <c r="J134" s="1237"/>
      <c r="K134" s="1237"/>
      <c r="L134" s="1237"/>
      <c r="M134" s="1237"/>
      <c r="N134" s="1237"/>
      <c r="O134" s="1237"/>
      <c r="P134" s="1241"/>
      <c r="Q134" s="1237"/>
      <c r="R134" s="1237"/>
      <c r="S134" s="1237"/>
      <c r="T134" s="1237"/>
      <c r="U134" s="1237"/>
      <c r="V134" s="1237"/>
      <c r="W134" s="1237"/>
      <c r="X134" s="1237"/>
      <c r="Y134" s="1237"/>
      <c r="Z134" s="1237"/>
      <c r="AA134" s="1237"/>
      <c r="AB134" s="1237"/>
      <c r="AC134" s="1237"/>
      <c r="AD134" s="1237"/>
      <c r="AE134" s="1237"/>
      <c r="AF134" s="1237"/>
      <c r="AG134" s="1237"/>
      <c r="AH134" s="1207"/>
    </row>
    <row r="135" spans="1:34" x14ac:dyDescent="0.2">
      <c r="A135" s="1368"/>
      <c r="B135" s="1237"/>
      <c r="C135" s="1239"/>
      <c r="D135" s="1239">
        <v>42619</v>
      </c>
      <c r="E135" s="1237"/>
      <c r="F135" s="1237"/>
      <c r="G135" s="1237"/>
      <c r="H135" s="1237"/>
      <c r="I135" s="1237"/>
      <c r="J135" s="1237"/>
      <c r="K135" s="1237"/>
      <c r="L135" s="1237"/>
      <c r="M135" s="1237"/>
      <c r="N135" s="1237"/>
      <c r="O135" s="1237"/>
      <c r="P135" s="1241"/>
      <c r="Q135" s="1237"/>
      <c r="R135" s="1237"/>
      <c r="S135" s="1237"/>
      <c r="T135" s="1237"/>
      <c r="U135" s="1237"/>
      <c r="V135" s="1237"/>
      <c r="W135" s="1237"/>
      <c r="X135" s="1237"/>
      <c r="Y135" s="1237"/>
      <c r="Z135" s="1237"/>
      <c r="AA135" s="1237"/>
      <c r="AB135" s="1237"/>
      <c r="AC135" s="1237"/>
      <c r="AD135" s="1237"/>
      <c r="AE135" s="1237"/>
      <c r="AF135" s="1237"/>
      <c r="AG135" s="1237"/>
      <c r="AH135" s="1207"/>
    </row>
    <row r="136" spans="1:34" x14ac:dyDescent="0.2">
      <c r="A136" s="1236"/>
      <c r="B136" s="1237"/>
      <c r="C136" s="1239"/>
      <c r="D136" s="1239"/>
      <c r="E136" s="1237"/>
      <c r="F136" s="1237"/>
      <c r="G136" s="1237"/>
      <c r="H136" s="1237"/>
      <c r="I136" s="1237"/>
      <c r="J136" s="1237"/>
      <c r="K136" s="1237"/>
      <c r="L136" s="1237"/>
      <c r="M136" s="1237"/>
      <c r="N136" s="1237"/>
      <c r="O136" s="1237"/>
      <c r="P136" s="1241"/>
      <c r="Q136" s="1237"/>
      <c r="R136" s="1237"/>
      <c r="S136" s="1237"/>
      <c r="T136" s="1237"/>
      <c r="U136" s="1237"/>
      <c r="V136" s="1237"/>
      <c r="W136" s="1237"/>
      <c r="X136" s="1237"/>
      <c r="Y136" s="1237"/>
      <c r="Z136" s="1237"/>
      <c r="AA136" s="1237"/>
      <c r="AB136" s="1237"/>
      <c r="AC136" s="1237"/>
      <c r="AD136" s="1237"/>
      <c r="AE136" s="1237"/>
      <c r="AF136" s="1237"/>
      <c r="AG136" s="1237"/>
      <c r="AH136" s="1207"/>
    </row>
    <row r="137" spans="1:34" ht="13.5" thickBot="1" x14ac:dyDescent="0.25">
      <c r="A137" s="1236"/>
      <c r="B137" s="1237"/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1237"/>
      <c r="M137" s="1237"/>
      <c r="N137" s="1237"/>
      <c r="O137" s="1237"/>
      <c r="P137" s="1241"/>
      <c r="Q137" s="1237"/>
      <c r="R137" s="1237"/>
      <c r="S137" s="1237"/>
      <c r="T137" s="1237"/>
      <c r="U137" s="1237"/>
      <c r="V137" s="1237"/>
      <c r="W137" s="1237"/>
      <c r="X137" s="1237"/>
      <c r="Y137" s="1237"/>
      <c r="Z137" s="1237"/>
      <c r="AA137" s="1237"/>
      <c r="AB137" s="1237"/>
      <c r="AC137" s="1237"/>
      <c r="AD137" s="1237"/>
      <c r="AE137" s="1237"/>
      <c r="AF137" s="1237"/>
      <c r="AG137" s="1237"/>
      <c r="AH137" s="1207"/>
    </row>
    <row r="138" spans="1:34" ht="13.5" thickBot="1" x14ac:dyDescent="0.25">
      <c r="A138" s="1236"/>
      <c r="B138" s="1237"/>
      <c r="C138" s="1243"/>
      <c r="D138" s="1244" t="s">
        <v>16</v>
      </c>
      <c r="E138" s="1244"/>
      <c r="F138" s="1244"/>
      <c r="G138" s="1244"/>
      <c r="H138" s="1244"/>
      <c r="I138" s="1244"/>
      <c r="J138" s="1244"/>
      <c r="K138" s="1244"/>
      <c r="L138" s="1244"/>
      <c r="M138" s="1244"/>
      <c r="N138" s="1244"/>
      <c r="O138" s="1244"/>
      <c r="P138" s="1245"/>
      <c r="Q138" s="1244"/>
      <c r="R138" s="1244"/>
      <c r="S138" s="1244"/>
      <c r="T138" s="1244"/>
      <c r="U138" s="1244"/>
      <c r="V138" s="1244"/>
      <c r="W138" s="1244"/>
      <c r="X138" s="1244"/>
      <c r="Y138" s="1244"/>
      <c r="Z138" s="1244"/>
      <c r="AA138" s="1244"/>
      <c r="AB138" s="1244"/>
      <c r="AC138" s="1244"/>
      <c r="AD138" s="1244"/>
      <c r="AE138" s="1244"/>
      <c r="AF138" s="1244"/>
      <c r="AG138" s="1244"/>
      <c r="AH138" s="1207"/>
    </row>
    <row r="139" spans="1:34" ht="13.5" thickBot="1" x14ac:dyDescent="0.25">
      <c r="A139" s="1236"/>
      <c r="B139" s="1237"/>
      <c r="C139" s="1246" t="s">
        <v>452</v>
      </c>
      <c r="D139" s="1246" t="s">
        <v>453</v>
      </c>
      <c r="E139" s="1246" t="s">
        <v>434</v>
      </c>
      <c r="F139" s="1246" t="s">
        <v>390</v>
      </c>
      <c r="G139" s="1246" t="s">
        <v>454</v>
      </c>
      <c r="H139" s="1246" t="s">
        <v>455</v>
      </c>
      <c r="I139" s="1246" t="s">
        <v>456</v>
      </c>
      <c r="J139" s="1246" t="s">
        <v>457</v>
      </c>
      <c r="K139" s="1246" t="s">
        <v>458</v>
      </c>
      <c r="L139" s="1246" t="s">
        <v>216</v>
      </c>
      <c r="M139" s="1246" t="s">
        <v>459</v>
      </c>
      <c r="N139" s="1246" t="s">
        <v>297</v>
      </c>
      <c r="O139" s="1246" t="s">
        <v>211</v>
      </c>
      <c r="P139" s="1247" t="s">
        <v>270</v>
      </c>
      <c r="Q139" s="1246">
        <v>15</v>
      </c>
      <c r="R139" s="1246">
        <v>16</v>
      </c>
      <c r="S139" s="1246" t="s">
        <v>461</v>
      </c>
      <c r="T139" s="1246" t="s">
        <v>442</v>
      </c>
      <c r="U139" s="1246" t="s">
        <v>462</v>
      </c>
      <c r="V139" s="1246" t="s">
        <v>470</v>
      </c>
      <c r="W139" s="1246" t="s">
        <v>471</v>
      </c>
      <c r="X139" s="1246" t="s">
        <v>472</v>
      </c>
      <c r="Y139" s="1246" t="s">
        <v>463</v>
      </c>
      <c r="Z139" s="1246" t="s">
        <v>465</v>
      </c>
      <c r="AA139" s="1246" t="s">
        <v>466</v>
      </c>
      <c r="AB139" s="1246" t="s">
        <v>435</v>
      </c>
      <c r="AC139" s="1246" t="s">
        <v>467</v>
      </c>
      <c r="AD139" s="1246" t="s">
        <v>464</v>
      </c>
      <c r="AE139" s="1246" t="s">
        <v>429</v>
      </c>
      <c r="AF139" s="1246" t="s">
        <v>149</v>
      </c>
      <c r="AG139" s="1246" t="s">
        <v>210</v>
      </c>
      <c r="AH139" s="1207"/>
    </row>
    <row r="140" spans="1:34" x14ac:dyDescent="0.2">
      <c r="A140" s="1233"/>
      <c r="B140" s="1248"/>
      <c r="C140" s="1237"/>
      <c r="D140" s="1237"/>
      <c r="E140" s="1237"/>
      <c r="F140" s="1237"/>
      <c r="G140" s="1237"/>
      <c r="H140" s="1237"/>
      <c r="I140" s="1237"/>
      <c r="J140" s="1237"/>
      <c r="K140" s="1237"/>
      <c r="L140" s="1237"/>
      <c r="M140" s="1237"/>
      <c r="N140" s="1237"/>
      <c r="O140" s="1237"/>
      <c r="P140" s="1241"/>
      <c r="Q140" s="1237"/>
      <c r="R140" s="1237"/>
      <c r="S140" s="1237"/>
      <c r="T140" s="1237"/>
      <c r="U140" s="1237"/>
      <c r="V140" s="1237"/>
      <c r="W140" s="1237"/>
      <c r="X140" s="1237"/>
      <c r="Y140" s="1237"/>
      <c r="Z140" s="1237"/>
      <c r="AA140" s="1237"/>
      <c r="AB140" s="1237"/>
      <c r="AC140" s="1237"/>
      <c r="AD140" s="1237"/>
      <c r="AE140" s="1237"/>
      <c r="AF140" s="1237"/>
      <c r="AG140" s="1237"/>
      <c r="AH140" s="1207"/>
    </row>
    <row r="141" spans="1:34" x14ac:dyDescent="0.2">
      <c r="A141" s="1236" t="s">
        <v>0</v>
      </c>
      <c r="B141" s="1249">
        <f>+'AOUT 2016'!AG184</f>
        <v>-79972.247000000003</v>
      </c>
      <c r="C141" s="1237"/>
      <c r="D141" s="1237"/>
      <c r="E141" s="1237"/>
      <c r="F141" s="1237"/>
      <c r="G141" s="1237"/>
      <c r="H141" s="1237"/>
      <c r="I141" s="1237"/>
      <c r="J141" s="1237"/>
      <c r="K141" s="1237"/>
      <c r="L141" s="1237"/>
      <c r="M141" s="1237"/>
      <c r="N141" s="1237"/>
      <c r="O141" s="1237"/>
      <c r="P141" s="1241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07"/>
    </row>
    <row r="142" spans="1:34" ht="13.5" thickBot="1" x14ac:dyDescent="0.25">
      <c r="A142" s="1250"/>
      <c r="B142" s="1251"/>
      <c r="C142" s="1237"/>
      <c r="D142" s="1237"/>
      <c r="E142" s="1237"/>
      <c r="F142" s="1237"/>
      <c r="G142" s="1237"/>
      <c r="H142" s="1237"/>
      <c r="I142" s="1237"/>
      <c r="J142" s="1237"/>
      <c r="K142" s="1237"/>
      <c r="L142" s="1237"/>
      <c r="M142" s="1237"/>
      <c r="N142" s="1237"/>
      <c r="O142" s="1237"/>
      <c r="P142" s="1241"/>
      <c r="Q142" s="1237"/>
      <c r="R142" s="1237"/>
      <c r="S142" s="1237"/>
      <c r="T142" s="1237"/>
      <c r="U142" s="1237"/>
      <c r="V142" s="1237"/>
      <c r="W142" s="1237"/>
      <c r="X142" s="1237"/>
      <c r="Y142" s="1237"/>
      <c r="Z142" s="1237"/>
      <c r="AA142" s="1237"/>
      <c r="AB142" s="1237"/>
      <c r="AC142" s="1237"/>
      <c r="AD142" s="1237"/>
      <c r="AE142" s="1237"/>
      <c r="AF142" s="1237"/>
      <c r="AG142" s="1237"/>
      <c r="AH142" s="1207"/>
    </row>
    <row r="143" spans="1:34" x14ac:dyDescent="0.2">
      <c r="A143" s="1233"/>
      <c r="B143" s="1253"/>
      <c r="C143" s="1237"/>
      <c r="D143" s="1237"/>
      <c r="E143" s="1237"/>
      <c r="F143" s="1237"/>
      <c r="G143" s="1237"/>
      <c r="H143" s="1237"/>
      <c r="I143" s="1237"/>
      <c r="J143" s="1237"/>
      <c r="K143" s="1237"/>
      <c r="L143" s="1237"/>
      <c r="M143" s="1237"/>
      <c r="N143" s="1237"/>
      <c r="O143" s="1237"/>
      <c r="P143" s="1241"/>
      <c r="Q143" s="1237"/>
      <c r="R143" s="1237"/>
      <c r="S143" s="1237"/>
      <c r="T143" s="1237"/>
      <c r="U143" s="1237"/>
      <c r="V143" s="1237"/>
      <c r="W143" s="1237"/>
      <c r="X143" s="1237"/>
      <c r="Y143" s="1237"/>
      <c r="Z143" s="1237"/>
      <c r="AA143" s="1237"/>
      <c r="AB143" s="1237"/>
      <c r="AC143" s="1237"/>
      <c r="AD143" s="1237"/>
      <c r="AE143" s="1237"/>
      <c r="AF143" s="1237"/>
      <c r="AG143" s="1237"/>
      <c r="AH143" s="1207"/>
    </row>
    <row r="144" spans="1:34" x14ac:dyDescent="0.2">
      <c r="A144" s="1236" t="s">
        <v>1</v>
      </c>
      <c r="B144" s="1249">
        <f>B145+B146+B147</f>
        <v>0</v>
      </c>
      <c r="C144" s="1237"/>
      <c r="D144" s="1237"/>
      <c r="E144" s="1237"/>
      <c r="F144" s="1237"/>
      <c r="G144" s="1237"/>
      <c r="H144" s="1237"/>
      <c r="I144" s="1237"/>
      <c r="J144" s="1237"/>
      <c r="K144" s="1237"/>
      <c r="L144" s="1237"/>
      <c r="M144" s="1237"/>
      <c r="N144" s="1237"/>
      <c r="O144" s="1237"/>
      <c r="P144" s="1241"/>
      <c r="Q144" s="1237"/>
      <c r="R144" s="1237"/>
      <c r="S144" s="1237"/>
      <c r="T144" s="1237"/>
      <c r="U144" s="1237"/>
      <c r="V144" s="1237"/>
      <c r="W144" s="1237"/>
      <c r="X144" s="1237"/>
      <c r="Y144" s="1237"/>
      <c r="Z144" s="1237"/>
      <c r="AA144" s="1237"/>
      <c r="AB144" s="1237"/>
      <c r="AC144" s="1237"/>
      <c r="AD144" s="1237"/>
      <c r="AE144" s="1237"/>
      <c r="AF144" s="1237"/>
      <c r="AG144" s="1237"/>
      <c r="AH144" s="1207"/>
    </row>
    <row r="145" spans="1:34" x14ac:dyDescent="0.2">
      <c r="A145" s="1236" t="s">
        <v>38</v>
      </c>
      <c r="B145" s="1249">
        <f>C195</f>
        <v>0</v>
      </c>
      <c r="C145" s="1237"/>
      <c r="D145" s="1237"/>
      <c r="E145" s="1237"/>
      <c r="F145" s="1237"/>
      <c r="G145" s="1237"/>
      <c r="H145" s="1237"/>
      <c r="I145" s="1237"/>
      <c r="J145" s="1237"/>
      <c r="K145" s="1237"/>
      <c r="L145" s="1237"/>
      <c r="M145" s="1237"/>
      <c r="N145" s="1237"/>
      <c r="O145" s="1237"/>
      <c r="P145" s="1241"/>
      <c r="Q145" s="1237"/>
      <c r="R145" s="1237"/>
      <c r="S145" s="1237"/>
      <c r="T145" s="1237"/>
      <c r="U145" s="1237"/>
      <c r="V145" s="1237"/>
      <c r="W145" s="1237"/>
      <c r="X145" s="1237"/>
      <c r="Y145" s="1237"/>
      <c r="Z145" s="1237"/>
      <c r="AA145" s="1237"/>
      <c r="AB145" s="1237"/>
      <c r="AC145" s="1237"/>
      <c r="AD145" s="1237"/>
      <c r="AE145" s="1237"/>
      <c r="AF145" s="1237"/>
      <c r="AG145" s="1237"/>
      <c r="AH145" s="1207"/>
    </row>
    <row r="146" spans="1:34" x14ac:dyDescent="0.2">
      <c r="A146" s="1236" t="s">
        <v>39</v>
      </c>
      <c r="B146" s="1249">
        <f>C215</f>
        <v>0</v>
      </c>
      <c r="C146" s="1237"/>
      <c r="D146" s="1237"/>
      <c r="E146" s="1237"/>
      <c r="F146" s="1237"/>
      <c r="G146" s="1237"/>
      <c r="H146" s="1237"/>
      <c r="I146" s="1237"/>
      <c r="J146" s="1237"/>
      <c r="K146" s="1237"/>
      <c r="L146" s="1237"/>
      <c r="M146" s="1237"/>
      <c r="N146" s="1237"/>
      <c r="O146" s="1237"/>
      <c r="P146" s="1241"/>
      <c r="Q146" s="1237"/>
      <c r="R146" s="1237"/>
      <c r="S146" s="1237"/>
      <c r="T146" s="1237"/>
      <c r="U146" s="1237"/>
      <c r="V146" s="1237"/>
      <c r="W146" s="1237"/>
      <c r="X146" s="1237"/>
      <c r="Y146" s="1237"/>
      <c r="Z146" s="1237"/>
      <c r="AA146" s="1237"/>
      <c r="AB146" s="1237"/>
      <c r="AC146" s="1237"/>
      <c r="AD146" s="1237"/>
      <c r="AE146" s="1237"/>
      <c r="AF146" s="1237"/>
      <c r="AG146" s="1237"/>
      <c r="AH146" s="1207"/>
    </row>
    <row r="147" spans="1:34" x14ac:dyDescent="0.2">
      <c r="A147" s="1236" t="s">
        <v>3</v>
      </c>
      <c r="B147" s="1249"/>
      <c r="C147" s="1237"/>
      <c r="D147" s="1237"/>
      <c r="E147" s="1237"/>
      <c r="F147" s="1237"/>
      <c r="G147" s="1237"/>
      <c r="H147" s="1237"/>
      <c r="I147" s="1237"/>
      <c r="J147" s="1237"/>
      <c r="K147" s="1237"/>
      <c r="L147" s="1237"/>
      <c r="M147" s="1237"/>
      <c r="N147" s="1237"/>
      <c r="O147" s="1237"/>
      <c r="P147" s="1241"/>
      <c r="Q147" s="1237"/>
      <c r="R147" s="1237"/>
      <c r="S147" s="1237"/>
      <c r="T147" s="1237"/>
      <c r="U147" s="1237"/>
      <c r="V147" s="1237"/>
      <c r="W147" s="1237"/>
      <c r="X147" s="1237"/>
      <c r="Y147" s="1237"/>
      <c r="Z147" s="1237"/>
      <c r="AA147" s="1237"/>
      <c r="AB147" s="1237"/>
      <c r="AC147" s="1237"/>
      <c r="AD147" s="1237"/>
      <c r="AE147" s="1237"/>
      <c r="AF147" s="1237"/>
      <c r="AG147" s="1237"/>
      <c r="AH147" s="1207"/>
    </row>
    <row r="148" spans="1:34" ht="13.5" thickBot="1" x14ac:dyDescent="0.25">
      <c r="A148" s="1250"/>
      <c r="B148" s="1251"/>
      <c r="C148" s="1237"/>
      <c r="D148" s="1237"/>
      <c r="E148" s="1237"/>
      <c r="F148" s="1237"/>
      <c r="G148" s="1237"/>
      <c r="H148" s="1237"/>
      <c r="I148" s="1237"/>
      <c r="J148" s="1237"/>
      <c r="K148" s="1237"/>
      <c r="L148" s="1237"/>
      <c r="M148" s="1237"/>
      <c r="N148" s="1237"/>
      <c r="O148" s="1237"/>
      <c r="P148" s="1241"/>
      <c r="Q148" s="1237"/>
      <c r="R148" s="1237"/>
      <c r="S148" s="1237"/>
      <c r="T148" s="1237"/>
      <c r="U148" s="1237"/>
      <c r="V148" s="1237"/>
      <c r="W148" s="1237"/>
      <c r="X148" s="1237"/>
      <c r="Y148" s="1237"/>
      <c r="Z148" s="1237"/>
      <c r="AA148" s="1237"/>
      <c r="AB148" s="1237"/>
      <c r="AC148" s="1237"/>
      <c r="AD148" s="1237"/>
      <c r="AE148" s="1237"/>
      <c r="AF148" s="1237"/>
      <c r="AG148" s="1237"/>
      <c r="AH148" s="1207"/>
    </row>
    <row r="149" spans="1:34" x14ac:dyDescent="0.2">
      <c r="A149" s="1233"/>
      <c r="B149" s="1253"/>
      <c r="C149" s="1237"/>
      <c r="D149" s="1237"/>
      <c r="E149" s="1237"/>
      <c r="F149" s="1237"/>
      <c r="G149" s="1237"/>
      <c r="H149" s="1237"/>
      <c r="I149" s="1237"/>
      <c r="J149" s="1237"/>
      <c r="K149" s="1237"/>
      <c r="L149" s="1237"/>
      <c r="M149" s="1237"/>
      <c r="N149" s="1237"/>
      <c r="O149" s="1237"/>
      <c r="P149" s="1241"/>
      <c r="Q149" s="1237"/>
      <c r="R149" s="1237"/>
      <c r="S149" s="1237"/>
      <c r="T149" s="1237"/>
      <c r="U149" s="1237"/>
      <c r="V149" s="1237"/>
      <c r="W149" s="1237"/>
      <c r="X149" s="1237"/>
      <c r="Y149" s="1237"/>
      <c r="Z149" s="1237"/>
      <c r="AA149" s="1237"/>
      <c r="AB149" s="1237"/>
      <c r="AC149" s="1237"/>
      <c r="AD149" s="1237"/>
      <c r="AE149" s="1237"/>
      <c r="AF149" s="1237"/>
      <c r="AG149" s="1237"/>
      <c r="AH149" s="1207"/>
    </row>
    <row r="150" spans="1:34" x14ac:dyDescent="0.2">
      <c r="A150" s="1236" t="s">
        <v>4</v>
      </c>
      <c r="B150" s="1249">
        <f>B141+B144</f>
        <v>-79972.247000000003</v>
      </c>
      <c r="C150" s="1237"/>
      <c r="D150" s="1237"/>
      <c r="E150" s="1237"/>
      <c r="F150" s="1237"/>
      <c r="G150" s="1237"/>
      <c r="H150" s="1237"/>
      <c r="I150" s="1237"/>
      <c r="J150" s="1237"/>
      <c r="K150" s="1237"/>
      <c r="L150" s="1237"/>
      <c r="M150" s="1237"/>
      <c r="N150" s="1237"/>
      <c r="O150" s="1237"/>
      <c r="P150" s="1241"/>
      <c r="Q150" s="1237"/>
      <c r="R150" s="1237"/>
      <c r="S150" s="1237"/>
      <c r="T150" s="1237"/>
      <c r="U150" s="1237"/>
      <c r="V150" s="1237"/>
      <c r="W150" s="1237"/>
      <c r="X150" s="1237"/>
      <c r="Y150" s="1237"/>
      <c r="Z150" s="1237"/>
      <c r="AA150" s="1237"/>
      <c r="AB150" s="1237"/>
      <c r="AC150" s="1237"/>
      <c r="AD150" s="1237"/>
      <c r="AE150" s="1237"/>
      <c r="AF150" s="1237"/>
      <c r="AG150" s="1237"/>
      <c r="AH150" s="1207"/>
    </row>
    <row r="151" spans="1:34" ht="13.5" thickBot="1" x14ac:dyDescent="0.25">
      <c r="A151" s="1250"/>
      <c r="B151" s="1251"/>
      <c r="C151" s="1237"/>
      <c r="D151" s="1237"/>
      <c r="E151" s="1237"/>
      <c r="F151" s="1237"/>
      <c r="G151" s="1237"/>
      <c r="H151" s="1237"/>
      <c r="I151" s="1237"/>
      <c r="J151" s="1237"/>
      <c r="K151" s="1237"/>
      <c r="L151" s="1237"/>
      <c r="M151" s="1237"/>
      <c r="N151" s="1237"/>
      <c r="O151" s="1237"/>
      <c r="P151" s="1241"/>
      <c r="Q151" s="1237"/>
      <c r="R151" s="1237"/>
      <c r="S151" s="1237"/>
      <c r="T151" s="1237"/>
      <c r="U151" s="1237"/>
      <c r="V151" s="1237"/>
      <c r="W151" s="1237"/>
      <c r="X151" s="1237"/>
      <c r="Y151" s="1237"/>
      <c r="Z151" s="1237"/>
      <c r="AA151" s="1237"/>
      <c r="AB151" s="1237"/>
      <c r="AC151" s="1237"/>
      <c r="AD151" s="1237"/>
      <c r="AE151" s="1237"/>
      <c r="AF151" s="1237"/>
      <c r="AG151" s="1237"/>
      <c r="AH151" s="1207"/>
    </row>
    <row r="152" spans="1:34" x14ac:dyDescent="0.2">
      <c r="A152" s="1233"/>
      <c r="B152" s="1253"/>
      <c r="C152" s="1237"/>
      <c r="D152" s="1237"/>
      <c r="E152" s="1237"/>
      <c r="F152" s="1237"/>
      <c r="G152" s="1237"/>
      <c r="H152" s="1237"/>
      <c r="I152" s="1237"/>
      <c r="J152" s="1237"/>
      <c r="K152" s="1237"/>
      <c r="L152" s="1237"/>
      <c r="M152" s="1237"/>
      <c r="N152" s="1237"/>
      <c r="O152" s="1237"/>
      <c r="P152" s="1241"/>
      <c r="Q152" s="1237"/>
      <c r="R152" s="1237"/>
      <c r="S152" s="1237"/>
      <c r="T152" s="1237"/>
      <c r="U152" s="1237"/>
      <c r="V152" s="1237"/>
      <c r="W152" s="1237"/>
      <c r="X152" s="1237"/>
      <c r="Y152" s="1237"/>
      <c r="Z152" s="1237"/>
      <c r="AA152" s="1237"/>
      <c r="AB152" s="1237"/>
      <c r="AC152" s="1237"/>
      <c r="AD152" s="1237"/>
      <c r="AE152" s="1237"/>
      <c r="AF152" s="1237"/>
      <c r="AG152" s="1237"/>
      <c r="AH152" s="1207"/>
    </row>
    <row r="153" spans="1:34" ht="20.25" x14ac:dyDescent="0.3">
      <c r="A153" s="1236" t="s">
        <v>17</v>
      </c>
      <c r="B153" s="1249"/>
      <c r="C153" s="1237"/>
      <c r="D153" s="1237"/>
      <c r="E153" s="1237"/>
      <c r="F153" s="1237"/>
      <c r="G153" s="1237"/>
      <c r="H153" s="1237"/>
      <c r="I153" s="1749"/>
      <c r="J153" s="1749"/>
      <c r="K153" s="1749"/>
      <c r="L153" s="1749"/>
      <c r="M153" s="1748"/>
      <c r="N153" s="1748"/>
      <c r="O153" s="1748"/>
      <c r="P153" s="1748"/>
      <c r="Q153" s="1748"/>
      <c r="R153" s="1748"/>
      <c r="S153" s="1748"/>
      <c r="T153" s="1748"/>
      <c r="U153" s="1748"/>
      <c r="V153" s="1752"/>
      <c r="W153" s="1752"/>
      <c r="X153" s="1752"/>
      <c r="Y153" s="1237"/>
      <c r="Z153" s="1237"/>
      <c r="AA153" s="1237"/>
      <c r="AB153" s="1237"/>
      <c r="AC153" s="1237"/>
      <c r="AD153" s="1237"/>
      <c r="AE153" s="1237"/>
      <c r="AF153" s="1237"/>
      <c r="AG153" s="1237"/>
      <c r="AH153" s="1207"/>
    </row>
    <row r="154" spans="1:34" ht="13.5" thickBot="1" x14ac:dyDescent="0.25">
      <c r="A154" s="1250"/>
      <c r="B154" s="1251"/>
      <c r="C154" s="1237"/>
      <c r="D154" s="1237"/>
      <c r="E154" s="1237"/>
      <c r="F154" s="1237"/>
      <c r="G154" s="1237"/>
      <c r="H154" s="1237"/>
      <c r="I154" s="1237"/>
      <c r="J154" s="1237"/>
      <c r="K154" s="1237"/>
      <c r="L154" s="1628"/>
      <c r="M154" s="1237"/>
      <c r="N154" s="1237"/>
      <c r="O154" s="1237"/>
      <c r="P154" s="1241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07"/>
    </row>
    <row r="155" spans="1:34" x14ac:dyDescent="0.2">
      <c r="A155" s="1233"/>
      <c r="B155" s="1253"/>
      <c r="C155" s="1237"/>
      <c r="D155" s="1369"/>
      <c r="E155" s="1237"/>
      <c r="F155" s="1237"/>
      <c r="G155" s="1237"/>
      <c r="H155" s="1237"/>
      <c r="I155" s="1237"/>
      <c r="J155" s="1237"/>
      <c r="K155" s="1237"/>
      <c r="L155" s="1241"/>
      <c r="M155" s="1237"/>
      <c r="N155" s="1237"/>
      <c r="O155" s="1237"/>
      <c r="P155" s="1241"/>
      <c r="Q155" s="1237"/>
      <c r="R155" s="1237"/>
      <c r="S155" s="1237"/>
      <c r="T155" s="1237"/>
      <c r="U155" s="1707"/>
      <c r="V155" s="1237"/>
      <c r="W155" s="1237"/>
      <c r="X155" s="1237"/>
      <c r="Y155" s="1237"/>
      <c r="Z155" s="1707"/>
      <c r="AA155" s="1237"/>
      <c r="AB155" s="1237"/>
      <c r="AC155" s="1369"/>
      <c r="AD155" s="1237"/>
      <c r="AF155" s="1237"/>
      <c r="AG155" s="1237"/>
      <c r="AH155" s="1207"/>
    </row>
    <row r="156" spans="1:34" x14ac:dyDescent="0.2">
      <c r="A156" s="1236" t="s">
        <v>5</v>
      </c>
      <c r="B156" s="1249">
        <f>B150-B153</f>
        <v>-79972.247000000003</v>
      </c>
      <c r="C156" s="1707" t="s">
        <v>171</v>
      </c>
      <c r="D156" s="1707"/>
      <c r="E156" s="1370"/>
      <c r="F156" s="1707"/>
      <c r="G156" s="1707" t="s">
        <v>280</v>
      </c>
      <c r="H156" s="1731"/>
      <c r="I156" s="1707"/>
      <c r="J156" s="1237"/>
      <c r="K156" s="1706"/>
      <c r="L156" s="1212"/>
      <c r="M156" s="1706"/>
      <c r="N156" s="1237"/>
      <c r="O156" s="1707"/>
      <c r="P156" s="1212"/>
      <c r="Q156" s="1707"/>
      <c r="R156" s="1707"/>
      <c r="S156" s="1707"/>
      <c r="T156" s="1256"/>
      <c r="U156" s="1707"/>
      <c r="V156" s="1707"/>
      <c r="W156" s="1707"/>
      <c r="X156" s="1707"/>
      <c r="Y156" s="1706"/>
      <c r="Z156" s="1707"/>
      <c r="AA156" s="1707"/>
      <c r="AB156" s="1707"/>
      <c r="AC156" s="1371"/>
      <c r="AD156" s="1707"/>
      <c r="AE156" s="1223"/>
      <c r="AF156" s="1707"/>
      <c r="AG156" s="1707"/>
      <c r="AH156" s="1207"/>
    </row>
    <row r="157" spans="1:34" ht="13.5" thickBot="1" x14ac:dyDescent="0.25">
      <c r="A157" s="1250"/>
      <c r="B157" s="1251"/>
      <c r="C157" s="1237"/>
      <c r="D157" s="1237"/>
      <c r="E157" s="1237"/>
      <c r="F157" s="1237"/>
      <c r="G157" s="1237"/>
      <c r="H157" s="1237"/>
      <c r="I157" s="1237"/>
      <c r="J157" s="1237"/>
      <c r="K157" s="1237"/>
      <c r="L157" s="1241"/>
      <c r="M157" s="1237"/>
      <c r="N157" s="1237"/>
      <c r="O157" s="1237"/>
      <c r="P157" s="1212"/>
      <c r="Q157" s="1707"/>
      <c r="R157" s="1707"/>
      <c r="S157" s="1707"/>
      <c r="T157" s="1707"/>
      <c r="U157" s="1707"/>
      <c r="V157" s="1707"/>
      <c r="W157" s="1707"/>
      <c r="X157" s="1707"/>
      <c r="Y157" s="1707"/>
      <c r="Z157" s="1707"/>
      <c r="AA157" s="1707"/>
      <c r="AB157" s="1707"/>
      <c r="AC157" s="1707"/>
      <c r="AD157" s="1707"/>
      <c r="AE157" s="1707"/>
      <c r="AF157" s="1707"/>
      <c r="AG157" s="1707"/>
      <c r="AH157" s="1207"/>
    </row>
    <row r="158" spans="1:34" x14ac:dyDescent="0.2">
      <c r="A158" s="1269"/>
      <c r="B158" s="1237"/>
      <c r="C158" s="1270"/>
      <c r="D158" s="1272"/>
      <c r="E158" s="1272"/>
      <c r="F158" s="1271"/>
      <c r="G158" s="1271"/>
      <c r="H158" s="1271"/>
      <c r="I158" s="1271"/>
      <c r="J158" s="1271"/>
      <c r="K158" s="1271"/>
      <c r="L158" s="1273"/>
      <c r="M158" s="1271"/>
      <c r="N158" s="1271"/>
      <c r="O158" s="1271"/>
      <c r="P158" s="1273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07"/>
    </row>
    <row r="159" spans="1:34" ht="13.5" thickBot="1" x14ac:dyDescent="0.25">
      <c r="A159" s="1274" t="s">
        <v>7</v>
      </c>
      <c r="B159" s="1237"/>
      <c r="C159" s="1275">
        <f t="shared" ref="C159:AG159" si="18">C160+C161+C162+C166+C165+C163+C164</f>
        <v>54000</v>
      </c>
      <c r="D159" s="1275">
        <f t="shared" si="18"/>
        <v>0</v>
      </c>
      <c r="E159" s="1275">
        <f t="shared" si="18"/>
        <v>0</v>
      </c>
      <c r="F159" s="1275">
        <f t="shared" si="18"/>
        <v>0</v>
      </c>
      <c r="G159" s="1275">
        <f t="shared" si="18"/>
        <v>19000</v>
      </c>
      <c r="H159" s="1275">
        <f t="shared" si="18"/>
        <v>0</v>
      </c>
      <c r="I159" s="1275">
        <f t="shared" si="18"/>
        <v>0</v>
      </c>
      <c r="J159" s="1275">
        <f t="shared" si="18"/>
        <v>0</v>
      </c>
      <c r="K159" s="1275">
        <f t="shared" si="18"/>
        <v>0</v>
      </c>
      <c r="L159" s="1276">
        <f t="shared" si="18"/>
        <v>0</v>
      </c>
      <c r="M159" s="1275">
        <f t="shared" si="18"/>
        <v>0</v>
      </c>
      <c r="N159" s="1275">
        <f t="shared" si="18"/>
        <v>0</v>
      </c>
      <c r="O159" s="1275">
        <f t="shared" si="18"/>
        <v>0</v>
      </c>
      <c r="P159" s="1276">
        <f t="shared" si="18"/>
        <v>0</v>
      </c>
      <c r="Q159" s="1275">
        <f t="shared" si="18"/>
        <v>0</v>
      </c>
      <c r="R159" s="1275">
        <f t="shared" si="18"/>
        <v>0</v>
      </c>
      <c r="S159" s="1275">
        <f t="shared" si="18"/>
        <v>0</v>
      </c>
      <c r="T159" s="1275">
        <f t="shared" si="18"/>
        <v>0</v>
      </c>
      <c r="U159" s="1275">
        <f t="shared" si="18"/>
        <v>0</v>
      </c>
      <c r="V159" s="1275">
        <f t="shared" si="18"/>
        <v>0</v>
      </c>
      <c r="W159" s="1275">
        <f t="shared" si="18"/>
        <v>0</v>
      </c>
      <c r="X159" s="1275">
        <f t="shared" si="18"/>
        <v>0</v>
      </c>
      <c r="Y159" s="1275">
        <f t="shared" si="18"/>
        <v>0</v>
      </c>
      <c r="Z159" s="1275">
        <f t="shared" si="18"/>
        <v>0</v>
      </c>
      <c r="AA159" s="1275">
        <f t="shared" si="18"/>
        <v>0</v>
      </c>
      <c r="AB159" s="1275">
        <f t="shared" si="18"/>
        <v>0</v>
      </c>
      <c r="AC159" s="1275">
        <f t="shared" si="18"/>
        <v>0</v>
      </c>
      <c r="AD159" s="1275">
        <f t="shared" si="18"/>
        <v>0</v>
      </c>
      <c r="AE159" s="1275">
        <f t="shared" si="18"/>
        <v>0</v>
      </c>
      <c r="AF159" s="1275">
        <f t="shared" si="18"/>
        <v>0</v>
      </c>
      <c r="AG159" s="1275">
        <f t="shared" si="18"/>
        <v>0</v>
      </c>
      <c r="AH159" s="1227">
        <f t="shared" ref="AH159:AH167" si="19">SUM(C159:AG159)</f>
        <v>73000</v>
      </c>
    </row>
    <row r="160" spans="1:34" x14ac:dyDescent="0.2">
      <c r="A160" s="1274" t="s">
        <v>8</v>
      </c>
      <c r="B160" s="1237"/>
      <c r="C160" s="1302"/>
      <c r="D160" s="1302"/>
      <c r="E160" s="1302"/>
      <c r="F160" s="1303"/>
      <c r="G160" s="1303"/>
      <c r="H160" s="1303"/>
      <c r="I160" s="1303"/>
      <c r="J160" s="1303"/>
      <c r="K160" s="1303"/>
      <c r="L160" s="1304"/>
      <c r="M160" s="1303"/>
      <c r="N160" s="1303"/>
      <c r="O160" s="1303"/>
      <c r="P160" s="1304"/>
      <c r="Q160" s="1303"/>
      <c r="R160" s="1303"/>
      <c r="S160" s="1303"/>
      <c r="T160" s="1303"/>
      <c r="U160" s="1303"/>
      <c r="V160" s="1303"/>
      <c r="W160" s="1303"/>
      <c r="X160" s="1303"/>
      <c r="Y160" s="1303"/>
      <c r="Z160" s="1303"/>
      <c r="AA160" s="1303"/>
      <c r="AB160" s="1303"/>
      <c r="AC160" s="1303"/>
      <c r="AD160" s="1303"/>
      <c r="AE160" s="1303"/>
      <c r="AF160" s="1303"/>
      <c r="AG160" s="1303"/>
      <c r="AH160" s="1227">
        <f t="shared" si="19"/>
        <v>0</v>
      </c>
    </row>
    <row r="161" spans="1:35" x14ac:dyDescent="0.2">
      <c r="A161" s="1274" t="s">
        <v>9</v>
      </c>
      <c r="B161" s="1237"/>
      <c r="C161" s="1302"/>
      <c r="D161" s="1302"/>
      <c r="E161" s="1302"/>
      <c r="F161" s="1303"/>
      <c r="G161" s="1303"/>
      <c r="H161" s="1303"/>
      <c r="I161" s="1303"/>
      <c r="J161" s="1303"/>
      <c r="K161" s="1303"/>
      <c r="L161" s="1304"/>
      <c r="M161" s="1303"/>
      <c r="N161" s="1303"/>
      <c r="O161" s="1303"/>
      <c r="P161" s="1304"/>
      <c r="Q161" s="1303"/>
      <c r="R161" s="1303"/>
      <c r="S161" s="1303"/>
      <c r="T161" s="1303"/>
      <c r="U161" s="1303"/>
      <c r="V161" s="1303"/>
      <c r="W161" s="1303"/>
      <c r="X161" s="1303"/>
      <c r="Y161" s="1303"/>
      <c r="Z161" s="1303"/>
      <c r="AA161" s="1303"/>
      <c r="AB161" s="1303"/>
      <c r="AC161" s="1303"/>
      <c r="AD161" s="1303"/>
      <c r="AE161" s="1303"/>
      <c r="AF161" s="1303"/>
      <c r="AG161" s="1303"/>
      <c r="AH161" s="1227">
        <f t="shared" si="19"/>
        <v>0</v>
      </c>
    </row>
    <row r="162" spans="1:35" s="1289" customFormat="1" x14ac:dyDescent="0.2">
      <c r="A162" s="1285" t="s">
        <v>10</v>
      </c>
      <c r="B162" s="1372"/>
      <c r="C162" s="1375">
        <v>54000</v>
      </c>
      <c r="D162" s="1292"/>
      <c r="E162" s="1374"/>
      <c r="F162" s="1375"/>
      <c r="G162" s="1375">
        <v>19000</v>
      </c>
      <c r="H162" s="1375"/>
      <c r="I162" s="1375"/>
      <c r="J162" s="1375"/>
      <c r="K162" s="1375"/>
      <c r="L162" s="1375"/>
      <c r="M162" s="1375"/>
      <c r="N162" s="1375"/>
      <c r="O162" s="1375"/>
      <c r="P162" s="1375"/>
      <c r="Q162" s="1375"/>
      <c r="R162" s="1375"/>
      <c r="S162" s="1375"/>
      <c r="T162" s="1376"/>
      <c r="U162" s="1375"/>
      <c r="V162" s="1375"/>
      <c r="W162" s="1375"/>
      <c r="X162" s="1375"/>
      <c r="Y162" s="1375"/>
      <c r="Z162" s="1375"/>
      <c r="AA162" s="1375"/>
      <c r="AB162" s="1375"/>
      <c r="AC162" s="1375"/>
      <c r="AD162" s="1375"/>
      <c r="AE162" s="1378"/>
      <c r="AF162" s="1375"/>
      <c r="AG162" s="1375"/>
      <c r="AH162" s="1231">
        <f t="shared" si="19"/>
        <v>73000</v>
      </c>
    </row>
    <row r="163" spans="1:35" s="1289" customFormat="1" x14ac:dyDescent="0.2">
      <c r="A163" s="1285" t="s">
        <v>356</v>
      </c>
      <c r="B163" s="1372"/>
      <c r="C163" s="1493"/>
      <c r="D163" s="1493"/>
      <c r="E163" s="1493"/>
      <c r="F163" s="1493"/>
      <c r="G163" s="1493"/>
      <c r="H163" s="1493"/>
      <c r="I163" s="1493"/>
      <c r="J163" s="1493"/>
      <c r="K163" s="1493"/>
      <c r="L163" s="1493"/>
      <c r="M163" s="1493"/>
      <c r="N163" s="1493"/>
      <c r="O163" s="1493"/>
      <c r="P163" s="1493"/>
      <c r="Q163" s="1493"/>
      <c r="R163" s="1493"/>
      <c r="S163" s="1493"/>
      <c r="T163" s="1493"/>
      <c r="U163" s="1493"/>
      <c r="V163" s="1493"/>
      <c r="W163" s="1493"/>
      <c r="X163" s="1493"/>
      <c r="Y163" s="1493"/>
      <c r="Z163" s="1493"/>
      <c r="AA163" s="1493"/>
      <c r="AB163" s="1493"/>
      <c r="AC163" s="1493"/>
      <c r="AD163" s="1493"/>
      <c r="AE163" s="1493"/>
      <c r="AF163" s="1493"/>
      <c r="AG163" s="1493"/>
      <c r="AH163" s="1231">
        <f t="shared" si="19"/>
        <v>0</v>
      </c>
    </row>
    <row r="164" spans="1:35" x14ac:dyDescent="0.2">
      <c r="A164" s="1274" t="s">
        <v>357</v>
      </c>
      <c r="B164" s="1237"/>
      <c r="C164" s="1306"/>
      <c r="D164" s="1302"/>
      <c r="E164" s="1306"/>
      <c r="F164" s="1303"/>
      <c r="G164" s="1303"/>
      <c r="H164" s="1304"/>
      <c r="I164" s="1304"/>
      <c r="J164" s="1304"/>
      <c r="K164" s="1304"/>
      <c r="L164" s="1304"/>
      <c r="M164" s="1304"/>
      <c r="N164" s="1304"/>
      <c r="O164" s="1304"/>
      <c r="P164" s="1304"/>
      <c r="Q164" s="1304"/>
      <c r="R164" s="1304"/>
      <c r="S164" s="1304"/>
      <c r="T164" s="1304"/>
      <c r="U164" s="1304"/>
      <c r="V164" s="1304"/>
      <c r="W164" s="1304"/>
      <c r="X164" s="1304"/>
      <c r="Y164" s="1304"/>
      <c r="Z164" s="1304"/>
      <c r="AA164" s="1304"/>
      <c r="AB164" s="1304"/>
      <c r="AC164" s="1304"/>
      <c r="AD164" s="1304"/>
      <c r="AE164" s="1304"/>
      <c r="AF164" s="1304"/>
      <c r="AG164" s="1304"/>
      <c r="AH164" s="1227">
        <f t="shared" si="19"/>
        <v>0</v>
      </c>
    </row>
    <row r="165" spans="1:35" x14ac:dyDescent="0.2">
      <c r="A165" s="1274" t="s">
        <v>41</v>
      </c>
      <c r="B165" s="1237"/>
      <c r="C165" s="1306"/>
      <c r="D165" s="1302"/>
      <c r="E165" s="1306"/>
      <c r="F165" s="1303"/>
      <c r="G165" s="1303"/>
      <c r="H165" s="1304"/>
      <c r="I165" s="1304"/>
      <c r="J165" s="1304"/>
      <c r="K165" s="1304"/>
      <c r="L165" s="1304"/>
      <c r="M165" s="1304"/>
      <c r="N165" s="1304"/>
      <c r="O165" s="1304"/>
      <c r="P165" s="1304"/>
      <c r="Q165" s="1304"/>
      <c r="R165" s="1304"/>
      <c r="S165" s="1304"/>
      <c r="T165" s="1304"/>
      <c r="U165" s="1304"/>
      <c r="V165" s="1304"/>
      <c r="W165" s="1304"/>
      <c r="X165" s="1304"/>
      <c r="Y165" s="1304"/>
      <c r="Z165" s="1304"/>
      <c r="AA165" s="1304"/>
      <c r="AB165" s="1304"/>
      <c r="AC165" s="1304"/>
      <c r="AD165" s="1304"/>
      <c r="AE165" s="1304"/>
      <c r="AF165" s="1304"/>
      <c r="AG165" s="1304"/>
      <c r="AH165" s="1227">
        <f t="shared" si="19"/>
        <v>0</v>
      </c>
    </row>
    <row r="166" spans="1:35" x14ac:dyDescent="0.2">
      <c r="A166" s="1274" t="s">
        <v>11</v>
      </c>
      <c r="B166" s="1237"/>
      <c r="C166" s="1302"/>
      <c r="D166" s="1306"/>
      <c r="E166" s="1306"/>
      <c r="F166" s="1304"/>
      <c r="G166" s="1304"/>
      <c r="H166" s="1304"/>
      <c r="I166" s="1304"/>
      <c r="J166" s="1304"/>
      <c r="K166" s="1304"/>
      <c r="L166" s="1574"/>
      <c r="M166" s="1304"/>
      <c r="N166" s="1304"/>
      <c r="O166" s="1304"/>
      <c r="P166" s="1304"/>
      <c r="Q166" s="1304"/>
      <c r="R166" s="1304"/>
      <c r="S166" s="1304"/>
      <c r="T166" s="1304"/>
      <c r="U166" s="1304"/>
      <c r="V166" s="1304"/>
      <c r="W166" s="1304"/>
      <c r="X166" s="1304"/>
      <c r="Y166" s="1304"/>
      <c r="Z166" s="1304"/>
      <c r="AA166" s="1304"/>
      <c r="AB166" s="1318"/>
      <c r="AC166" s="1304"/>
      <c r="AD166" s="1304"/>
      <c r="AE166" s="1304"/>
      <c r="AF166" s="1304"/>
      <c r="AG166" s="1304"/>
      <c r="AH166" s="1227">
        <f t="shared" si="19"/>
        <v>0</v>
      </c>
    </row>
    <row r="167" spans="1:35" ht="13.5" thickBot="1" x14ac:dyDescent="0.25">
      <c r="A167" s="1294"/>
      <c r="B167" s="1237"/>
      <c r="C167" s="1302"/>
      <c r="D167" s="1302"/>
      <c r="E167" s="1302"/>
      <c r="F167" s="1303"/>
      <c r="G167" s="1303"/>
      <c r="H167" s="1303"/>
      <c r="I167" s="1303"/>
      <c r="J167" s="1303"/>
      <c r="K167" s="1303"/>
      <c r="L167" s="1304"/>
      <c r="M167" s="1303"/>
      <c r="N167" s="1303"/>
      <c r="O167" s="1303"/>
      <c r="P167" s="1304"/>
      <c r="Q167" s="1303"/>
      <c r="R167" s="1303"/>
      <c r="S167" s="1303"/>
      <c r="T167" s="1303"/>
      <c r="U167" s="1303"/>
      <c r="V167" s="1303"/>
      <c r="W167" s="1303"/>
      <c r="X167" s="1303"/>
      <c r="Y167" s="1303"/>
      <c r="Z167" s="1303"/>
      <c r="AA167" s="1303"/>
      <c r="AB167" s="1303"/>
      <c r="AC167" s="1303"/>
      <c r="AD167" s="1303"/>
      <c r="AE167" s="1303"/>
      <c r="AF167" s="1303"/>
      <c r="AG167" s="1303"/>
      <c r="AH167" s="1227">
        <f t="shared" si="19"/>
        <v>0</v>
      </c>
    </row>
    <row r="168" spans="1:35" x14ac:dyDescent="0.2">
      <c r="A168" s="1269"/>
      <c r="B168" s="1237"/>
      <c r="C168" s="1296"/>
      <c r="D168" s="1297"/>
      <c r="E168" s="1297"/>
      <c r="F168" s="1298"/>
      <c r="G168" s="1298"/>
      <c r="H168" s="1298"/>
      <c r="I168" s="1298"/>
      <c r="J168" s="1298"/>
      <c r="K168" s="1298"/>
      <c r="L168" s="1298"/>
      <c r="M168" s="1298"/>
      <c r="N168" s="1298"/>
      <c r="O168" s="1298"/>
      <c r="P168" s="1299"/>
      <c r="Q168" s="1298"/>
      <c r="R168" s="1298"/>
      <c r="S168" s="1298"/>
      <c r="T168" s="1298"/>
      <c r="U168" s="1298"/>
      <c r="V168" s="1298"/>
      <c r="W168" s="1298"/>
      <c r="X168" s="1298"/>
      <c r="Y168" s="1298"/>
      <c r="Z168" s="1298"/>
      <c r="AA168" s="1298"/>
      <c r="AB168" s="1298"/>
      <c r="AC168" s="1298"/>
      <c r="AD168" s="1298"/>
      <c r="AE168" s="1298"/>
      <c r="AF168" s="1298"/>
      <c r="AG168" s="1298"/>
      <c r="AH168" s="1207"/>
    </row>
    <row r="169" spans="1:35" ht="13.5" thickBot="1" x14ac:dyDescent="0.25">
      <c r="A169" s="1274" t="s">
        <v>12</v>
      </c>
      <c r="B169" s="1237"/>
      <c r="C169" s="1275">
        <f t="shared" ref="C169:AG169" si="20">C170</f>
        <v>0</v>
      </c>
      <c r="D169" s="1275">
        <f t="shared" si="20"/>
        <v>0</v>
      </c>
      <c r="E169" s="1275">
        <f t="shared" si="20"/>
        <v>0</v>
      </c>
      <c r="F169" s="1275">
        <f t="shared" si="20"/>
        <v>0</v>
      </c>
      <c r="G169" s="1275">
        <f t="shared" si="20"/>
        <v>0</v>
      </c>
      <c r="H169" s="1275">
        <f t="shared" si="20"/>
        <v>0</v>
      </c>
      <c r="I169" s="1275">
        <f t="shared" si="20"/>
        <v>0</v>
      </c>
      <c r="J169" s="1275">
        <f t="shared" si="20"/>
        <v>0</v>
      </c>
      <c r="K169" s="1275">
        <f t="shared" si="20"/>
        <v>0</v>
      </c>
      <c r="L169" s="1275">
        <f t="shared" si="20"/>
        <v>0</v>
      </c>
      <c r="M169" s="1275">
        <f t="shared" si="20"/>
        <v>0</v>
      </c>
      <c r="N169" s="1275">
        <f t="shared" si="20"/>
        <v>0</v>
      </c>
      <c r="O169" s="1275">
        <f t="shared" si="20"/>
        <v>0</v>
      </c>
      <c r="P169" s="1276">
        <f t="shared" si="20"/>
        <v>0</v>
      </c>
      <c r="Q169" s="1275">
        <f t="shared" si="20"/>
        <v>0</v>
      </c>
      <c r="R169" s="1275">
        <f t="shared" si="20"/>
        <v>0</v>
      </c>
      <c r="S169" s="1275">
        <f t="shared" si="20"/>
        <v>0</v>
      </c>
      <c r="T169" s="1275">
        <f t="shared" si="20"/>
        <v>0</v>
      </c>
      <c r="U169" s="1275">
        <f t="shared" si="20"/>
        <v>0</v>
      </c>
      <c r="V169" s="1275">
        <f t="shared" si="20"/>
        <v>0</v>
      </c>
      <c r="W169" s="1275">
        <f t="shared" si="20"/>
        <v>0</v>
      </c>
      <c r="X169" s="1275">
        <f t="shared" si="20"/>
        <v>0</v>
      </c>
      <c r="Y169" s="1275">
        <f t="shared" si="20"/>
        <v>0</v>
      </c>
      <c r="Z169" s="1275">
        <f t="shared" si="20"/>
        <v>0</v>
      </c>
      <c r="AA169" s="1275">
        <f t="shared" si="20"/>
        <v>0</v>
      </c>
      <c r="AB169" s="1275">
        <f t="shared" si="20"/>
        <v>0</v>
      </c>
      <c r="AC169" s="1275">
        <f t="shared" si="20"/>
        <v>0</v>
      </c>
      <c r="AD169" s="1275">
        <f t="shared" si="20"/>
        <v>0</v>
      </c>
      <c r="AE169" s="1275">
        <f t="shared" si="20"/>
        <v>0</v>
      </c>
      <c r="AF169" s="1275">
        <f t="shared" si="20"/>
        <v>0</v>
      </c>
      <c r="AG169" s="1275">
        <f t="shared" si="20"/>
        <v>0</v>
      </c>
      <c r="AH169" s="1207"/>
    </row>
    <row r="170" spans="1:35" x14ac:dyDescent="0.2">
      <c r="A170" s="1274" t="s">
        <v>8</v>
      </c>
      <c r="B170" s="1237"/>
      <c r="C170" s="1302"/>
      <c r="D170" s="1302"/>
      <c r="E170" s="1302"/>
      <c r="F170" s="1303"/>
      <c r="G170" s="1303"/>
      <c r="H170" s="1303"/>
      <c r="I170" s="1303"/>
      <c r="J170" s="1303"/>
      <c r="K170" s="1303"/>
      <c r="L170" s="1303"/>
      <c r="M170" s="1303"/>
      <c r="N170" s="1303"/>
      <c r="O170" s="1303"/>
      <c r="P170" s="1304"/>
      <c r="Q170" s="1303"/>
      <c r="R170" s="1303"/>
      <c r="S170" s="1303"/>
      <c r="T170" s="1303"/>
      <c r="U170" s="1303"/>
      <c r="V170" s="1303"/>
      <c r="W170" s="1303"/>
      <c r="X170" s="1303"/>
      <c r="Y170" s="1303"/>
      <c r="Z170" s="1303"/>
      <c r="AA170" s="1303"/>
      <c r="AB170" s="1303"/>
      <c r="AC170" s="1303"/>
      <c r="AD170" s="1303"/>
      <c r="AE170" s="1303"/>
      <c r="AF170" s="1303"/>
      <c r="AG170" s="1303"/>
      <c r="AH170" s="1207"/>
    </row>
    <row r="171" spans="1:35" x14ac:dyDescent="0.2">
      <c r="A171" s="1274" t="s">
        <v>775</v>
      </c>
      <c r="B171" s="1237"/>
      <c r="C171" s="1293"/>
      <c r="D171" s="1293">
        <v>1175.893</v>
      </c>
      <c r="E171" s="1293"/>
      <c r="F171" s="1293"/>
      <c r="G171" s="1293">
        <v>1230</v>
      </c>
      <c r="H171" s="1293"/>
      <c r="I171" s="1293">
        <v>1230</v>
      </c>
      <c r="J171" s="1293"/>
      <c r="K171" s="1293">
        <v>1230</v>
      </c>
      <c r="L171" s="1293"/>
      <c r="M171" s="1293">
        <v>1084</v>
      </c>
      <c r="N171" s="1293">
        <v>1230</v>
      </c>
      <c r="O171" s="1293"/>
      <c r="P171" s="1293">
        <v>1826.7469999999998</v>
      </c>
      <c r="Q171" s="1293">
        <v>3076.5369999999998</v>
      </c>
      <c r="R171" s="1293">
        <v>1230</v>
      </c>
      <c r="S171" s="1293"/>
      <c r="T171" s="1293">
        <v>1797.7260000000001</v>
      </c>
      <c r="U171" s="1293">
        <v>1230</v>
      </c>
      <c r="V171" s="1293"/>
      <c r="W171" s="1293"/>
      <c r="X171" s="1293">
        <v>1000.7140000000001</v>
      </c>
      <c r="Y171" s="1293"/>
      <c r="Z171" s="1293"/>
      <c r="AA171" s="1293"/>
      <c r="AB171" s="1293"/>
      <c r="AC171" s="1293"/>
      <c r="AD171" s="1293">
        <v>852.36099999999999</v>
      </c>
      <c r="AE171" s="1293"/>
      <c r="AF171" s="1293">
        <v>6567.8060000000005</v>
      </c>
      <c r="AG171" s="1293"/>
      <c r="AH171" s="1227"/>
    </row>
    <row r="172" spans="1:35" ht="13.5" thickBot="1" x14ac:dyDescent="0.25">
      <c r="A172" s="1294"/>
      <c r="B172" s="1237"/>
      <c r="C172" s="1302"/>
      <c r="D172" s="1302"/>
      <c r="E172" s="1302"/>
      <c r="F172" s="1303"/>
      <c r="G172" s="1303"/>
      <c r="H172" s="1303"/>
      <c r="I172" s="1303"/>
      <c r="J172" s="1303"/>
      <c r="K172" s="1303"/>
      <c r="L172" s="1303"/>
      <c r="M172" s="1303"/>
      <c r="N172" s="1303"/>
      <c r="O172" s="1303"/>
      <c r="P172" s="1304"/>
      <c r="Q172" s="1303"/>
      <c r="R172" s="1303"/>
      <c r="S172" s="1303"/>
      <c r="T172" s="1303"/>
      <c r="U172" s="1303"/>
      <c r="V172" s="1303"/>
      <c r="W172" s="1303"/>
      <c r="X172" s="1303"/>
      <c r="Y172" s="1303"/>
      <c r="Z172" s="1303"/>
      <c r="AA172" s="1303"/>
      <c r="AB172" s="1303"/>
      <c r="AC172" s="1303"/>
      <c r="AD172" s="1303"/>
      <c r="AE172" s="1303"/>
      <c r="AF172" s="1303"/>
      <c r="AG172" s="1303"/>
      <c r="AH172" s="1207"/>
    </row>
    <row r="173" spans="1:35" x14ac:dyDescent="0.2">
      <c r="A173" s="1269"/>
      <c r="B173" s="1237"/>
      <c r="C173" s="1296"/>
      <c r="D173" s="1297"/>
      <c r="E173" s="1297"/>
      <c r="F173" s="1298"/>
      <c r="G173" s="1298"/>
      <c r="H173" s="1298"/>
      <c r="I173" s="1298"/>
      <c r="J173" s="1298"/>
      <c r="K173" s="1298"/>
      <c r="L173" s="1298"/>
      <c r="M173" s="1298"/>
      <c r="N173" s="1298"/>
      <c r="O173" s="1298"/>
      <c r="P173" s="1299"/>
      <c r="Q173" s="1298"/>
      <c r="R173" s="1298"/>
      <c r="S173" s="1298"/>
      <c r="T173" s="1298"/>
      <c r="U173" s="1298"/>
      <c r="V173" s="1298"/>
      <c r="W173" s="1298"/>
      <c r="X173" s="1298"/>
      <c r="Y173" s="1298"/>
      <c r="Z173" s="1298"/>
      <c r="AA173" s="1298"/>
      <c r="AB173" s="1298"/>
      <c r="AC173" s="1298"/>
      <c r="AD173" s="1298"/>
      <c r="AE173" s="1298"/>
      <c r="AF173" s="1298"/>
      <c r="AG173" s="1298"/>
      <c r="AH173" s="1207"/>
    </row>
    <row r="174" spans="1:35" x14ac:dyDescent="0.2">
      <c r="A174" s="1274" t="s">
        <v>13</v>
      </c>
      <c r="B174" s="1237"/>
      <c r="C174" s="1300">
        <f t="shared" ref="C174:AG174" si="21">C169-C159</f>
        <v>-54000</v>
      </c>
      <c r="D174" s="1300">
        <f t="shared" si="21"/>
        <v>0</v>
      </c>
      <c r="E174" s="1300">
        <f t="shared" si="21"/>
        <v>0</v>
      </c>
      <c r="F174" s="1300">
        <f t="shared" si="21"/>
        <v>0</v>
      </c>
      <c r="G174" s="1300">
        <f t="shared" si="21"/>
        <v>-19000</v>
      </c>
      <c r="H174" s="1300">
        <f t="shared" si="21"/>
        <v>0</v>
      </c>
      <c r="I174" s="1300">
        <f t="shared" si="21"/>
        <v>0</v>
      </c>
      <c r="J174" s="1300">
        <f t="shared" si="21"/>
        <v>0</v>
      </c>
      <c r="K174" s="1300">
        <f t="shared" si="21"/>
        <v>0</v>
      </c>
      <c r="L174" s="1300">
        <f t="shared" si="21"/>
        <v>0</v>
      </c>
      <c r="M174" s="1300">
        <f t="shared" si="21"/>
        <v>0</v>
      </c>
      <c r="N174" s="1300">
        <f t="shared" si="21"/>
        <v>0</v>
      </c>
      <c r="O174" s="1300">
        <f t="shared" si="21"/>
        <v>0</v>
      </c>
      <c r="P174" s="1301">
        <f t="shared" si="21"/>
        <v>0</v>
      </c>
      <c r="Q174" s="1300">
        <f t="shared" si="21"/>
        <v>0</v>
      </c>
      <c r="R174" s="1300">
        <f t="shared" si="21"/>
        <v>0</v>
      </c>
      <c r="S174" s="1300">
        <f t="shared" si="21"/>
        <v>0</v>
      </c>
      <c r="T174" s="1300">
        <f t="shared" si="21"/>
        <v>0</v>
      </c>
      <c r="U174" s="1300">
        <f t="shared" si="21"/>
        <v>0</v>
      </c>
      <c r="V174" s="1300">
        <f t="shared" si="21"/>
        <v>0</v>
      </c>
      <c r="W174" s="1300">
        <f t="shared" si="21"/>
        <v>0</v>
      </c>
      <c r="X174" s="1300">
        <f t="shared" si="21"/>
        <v>0</v>
      </c>
      <c r="Y174" s="1300">
        <f t="shared" si="21"/>
        <v>0</v>
      </c>
      <c r="Z174" s="1300">
        <f t="shared" si="21"/>
        <v>0</v>
      </c>
      <c r="AA174" s="1300">
        <f t="shared" si="21"/>
        <v>0</v>
      </c>
      <c r="AB174" s="1300">
        <f t="shared" si="21"/>
        <v>0</v>
      </c>
      <c r="AC174" s="1300">
        <f t="shared" si="21"/>
        <v>0</v>
      </c>
      <c r="AD174" s="1300">
        <f t="shared" si="21"/>
        <v>0</v>
      </c>
      <c r="AE174" s="1300">
        <f t="shared" si="21"/>
        <v>0</v>
      </c>
      <c r="AF174" s="1300">
        <f t="shared" si="21"/>
        <v>0</v>
      </c>
      <c r="AG174" s="1300">
        <f t="shared" si="21"/>
        <v>0</v>
      </c>
      <c r="AH174" s="1207"/>
    </row>
    <row r="175" spans="1:35" ht="13.5" thickBot="1" x14ac:dyDescent="0.25">
      <c r="A175" s="1274"/>
      <c r="B175" s="1237"/>
      <c r="C175" s="1300"/>
      <c r="D175" s="1302"/>
      <c r="E175" s="1302"/>
      <c r="F175" s="1303"/>
      <c r="G175" s="1303"/>
      <c r="H175" s="1303"/>
      <c r="I175" s="1303"/>
      <c r="J175" s="1303"/>
      <c r="K175" s="1303"/>
      <c r="L175" s="1303"/>
      <c r="M175" s="1303"/>
      <c r="N175" s="1303"/>
      <c r="O175" s="1303"/>
      <c r="P175" s="1304"/>
      <c r="Q175" s="1303"/>
      <c r="R175" s="1303"/>
      <c r="S175" s="1303"/>
      <c r="T175" s="1303"/>
      <c r="U175" s="1303"/>
      <c r="V175" s="1303"/>
      <c r="W175" s="1303"/>
      <c r="X175" s="1303"/>
      <c r="Y175" s="1303"/>
      <c r="Z175" s="1303"/>
      <c r="AA175" s="1303"/>
      <c r="AB175" s="1303"/>
      <c r="AC175" s="1303"/>
      <c r="AD175" s="1303"/>
      <c r="AE175" s="1303"/>
      <c r="AF175" s="1303"/>
      <c r="AG175" s="1303"/>
      <c r="AH175" s="1207"/>
      <c r="AI175" s="1209" t="s">
        <v>813</v>
      </c>
    </row>
    <row r="176" spans="1:35" x14ac:dyDescent="0.2">
      <c r="A176" s="1233"/>
      <c r="B176" s="1234"/>
      <c r="C176" s="1305"/>
      <c r="D176" s="1297"/>
      <c r="E176" s="1297"/>
      <c r="F176" s="1298"/>
      <c r="G176" s="1298"/>
      <c r="H176" s="1298"/>
      <c r="I176" s="1298"/>
      <c r="J176" s="1298"/>
      <c r="K176" s="1298"/>
      <c r="L176" s="1298"/>
      <c r="M176" s="1298"/>
      <c r="N176" s="1298"/>
      <c r="O176" s="1298"/>
      <c r="P176" s="1299"/>
      <c r="Q176" s="1298"/>
      <c r="R176" s="1298"/>
      <c r="S176" s="1298"/>
      <c r="T176" s="1298"/>
      <c r="U176" s="1298"/>
      <c r="V176" s="1298"/>
      <c r="W176" s="1298"/>
      <c r="X176" s="1298"/>
      <c r="Y176" s="1298"/>
      <c r="Z176" s="1298"/>
      <c r="AA176" s="1298"/>
      <c r="AB176" s="1298"/>
      <c r="AC176" s="1298"/>
      <c r="AD176" s="1298"/>
      <c r="AE176" s="1298"/>
      <c r="AF176" s="1298"/>
      <c r="AG176" s="1298"/>
      <c r="AH176" s="1207"/>
    </row>
    <row r="177" spans="1:34" x14ac:dyDescent="0.2">
      <c r="A177" s="1236" t="s">
        <v>15</v>
      </c>
      <c r="B177" s="1237"/>
      <c r="C177" s="1302">
        <f>B156+C174</f>
        <v>-133972.247</v>
      </c>
      <c r="D177" s="1302">
        <f t="shared" ref="D177:AG177" si="22">C184+D174</f>
        <v>-133972.247</v>
      </c>
      <c r="E177" s="1302">
        <f t="shared" si="22"/>
        <v>-133972.247</v>
      </c>
      <c r="F177" s="1302">
        <f t="shared" si="22"/>
        <v>-133972.247</v>
      </c>
      <c r="G177" s="1302">
        <f t="shared" si="22"/>
        <v>-152972.247</v>
      </c>
      <c r="H177" s="1302">
        <f t="shared" si="22"/>
        <v>-72972.247000000003</v>
      </c>
      <c r="I177" s="1302">
        <f t="shared" si="22"/>
        <v>-72972.247000000003</v>
      </c>
      <c r="J177" s="1302">
        <f t="shared" si="22"/>
        <v>-72972.247000000003</v>
      </c>
      <c r="K177" s="1302">
        <f t="shared" si="22"/>
        <v>-72972.247000000003</v>
      </c>
      <c r="L177" s="1302">
        <f t="shared" si="22"/>
        <v>-72972.247000000003</v>
      </c>
      <c r="M177" s="1302">
        <f t="shared" si="22"/>
        <v>-72972.247000000003</v>
      </c>
      <c r="N177" s="1302">
        <f t="shared" si="22"/>
        <v>-72972.247000000003</v>
      </c>
      <c r="O177" s="1302">
        <f t="shared" si="22"/>
        <v>-72972.247000000003</v>
      </c>
      <c r="P177" s="1306">
        <f t="shared" si="22"/>
        <v>-72972.247000000003</v>
      </c>
      <c r="Q177" s="1302">
        <f t="shared" si="22"/>
        <v>-72972.247000000003</v>
      </c>
      <c r="R177" s="1302">
        <f t="shared" si="22"/>
        <v>-72972.247000000003</v>
      </c>
      <c r="S177" s="1302">
        <f t="shared" si="22"/>
        <v>-72972.247000000003</v>
      </c>
      <c r="T177" s="1302">
        <f t="shared" si="22"/>
        <v>-72972.247000000003</v>
      </c>
      <c r="U177" s="1302">
        <f t="shared" si="22"/>
        <v>-72972.247000000003</v>
      </c>
      <c r="V177" s="1302">
        <f t="shared" si="22"/>
        <v>-72972.247000000003</v>
      </c>
      <c r="W177" s="1302">
        <f t="shared" si="22"/>
        <v>-72972.247000000003</v>
      </c>
      <c r="X177" s="1302">
        <f t="shared" si="22"/>
        <v>-72972.247000000003</v>
      </c>
      <c r="Y177" s="1302">
        <f t="shared" si="22"/>
        <v>-72972.247000000003</v>
      </c>
      <c r="Z177" s="1302">
        <f t="shared" si="22"/>
        <v>-72972.247000000003</v>
      </c>
      <c r="AA177" s="1302">
        <f t="shared" si="22"/>
        <v>-72972.247000000003</v>
      </c>
      <c r="AB177" s="1302">
        <f t="shared" si="22"/>
        <v>-72972.247000000003</v>
      </c>
      <c r="AC177" s="1302">
        <f t="shared" si="22"/>
        <v>-72972.247000000003</v>
      </c>
      <c r="AD177" s="1302">
        <f t="shared" si="22"/>
        <v>-72972.247000000003</v>
      </c>
      <c r="AE177" s="1302">
        <f t="shared" si="22"/>
        <v>-72972.247000000003</v>
      </c>
      <c r="AF177" s="1302">
        <f t="shared" si="22"/>
        <v>-72972.247000000003</v>
      </c>
      <c r="AG177" s="1302">
        <f t="shared" si="22"/>
        <v>-72972.247000000003</v>
      </c>
      <c r="AH177" s="1207"/>
    </row>
    <row r="178" spans="1:34" ht="13.5" thickBot="1" x14ac:dyDescent="0.25">
      <c r="A178" s="1250"/>
      <c r="B178" s="1307"/>
      <c r="C178" s="1308"/>
      <c r="D178" s="1308"/>
      <c r="E178" s="1308"/>
      <c r="F178" s="1309"/>
      <c r="G178" s="1309"/>
      <c r="H178" s="1309"/>
      <c r="I178" s="1309"/>
      <c r="J178" s="1309"/>
      <c r="K178" s="1309"/>
      <c r="L178" s="1309"/>
      <c r="M178" s="1309"/>
      <c r="N178" s="1309"/>
      <c r="O178" s="1309"/>
      <c r="P178" s="1310"/>
      <c r="Q178" s="1309"/>
      <c r="R178" s="1309"/>
      <c r="S178" s="1309"/>
      <c r="T178" s="1309"/>
      <c r="U178" s="1309"/>
      <c r="V178" s="1309"/>
      <c r="W178" s="1309"/>
      <c r="X178" s="1309"/>
      <c r="Y178" s="1309"/>
      <c r="Z178" s="1309"/>
      <c r="AA178" s="1309"/>
      <c r="AB178" s="1309"/>
      <c r="AC178" s="1309"/>
      <c r="AD178" s="1309"/>
      <c r="AE178" s="1309"/>
      <c r="AF178" s="1309"/>
      <c r="AG178" s="1309"/>
      <c r="AH178" s="1207"/>
    </row>
    <row r="179" spans="1:34" x14ac:dyDescent="0.2">
      <c r="A179" s="1233"/>
      <c r="B179" s="1234"/>
      <c r="C179" s="1297"/>
      <c r="D179" s="1297"/>
      <c r="E179" s="1297"/>
      <c r="F179" s="1298"/>
      <c r="G179" s="1298"/>
      <c r="H179" s="1298"/>
      <c r="I179" s="1298"/>
      <c r="J179" s="1298"/>
      <c r="K179" s="1298"/>
      <c r="L179" s="1298"/>
      <c r="M179" s="1298"/>
      <c r="N179" s="1298"/>
      <c r="O179" s="1298"/>
      <c r="P179" s="1299"/>
      <c r="Q179" s="1298"/>
      <c r="R179" s="1298"/>
      <c r="S179" s="1298"/>
      <c r="T179" s="1298"/>
      <c r="U179" s="1298"/>
      <c r="V179" s="1298"/>
      <c r="W179" s="1298"/>
      <c r="X179" s="1298"/>
      <c r="Y179" s="1298"/>
      <c r="Z179" s="1298"/>
      <c r="AA179" s="1298"/>
      <c r="AB179" s="1298"/>
      <c r="AC179" s="1298"/>
      <c r="AD179" s="1298"/>
      <c r="AE179" s="1298"/>
      <c r="AF179" s="1298"/>
      <c r="AG179" s="1298"/>
      <c r="AH179" s="1207"/>
    </row>
    <row r="180" spans="1:34" x14ac:dyDescent="0.2">
      <c r="A180" s="1236" t="s">
        <v>82</v>
      </c>
      <c r="B180" s="1237"/>
      <c r="C180" s="1302">
        <f t="shared" ref="C180:AG181" si="23">C188</f>
        <v>0</v>
      </c>
      <c r="D180" s="1302">
        <f t="shared" si="23"/>
        <v>0</v>
      </c>
      <c r="E180" s="1302">
        <f t="shared" si="23"/>
        <v>0</v>
      </c>
      <c r="F180" s="1302">
        <f t="shared" si="23"/>
        <v>0</v>
      </c>
      <c r="G180" s="1302">
        <f t="shared" si="23"/>
        <v>80000</v>
      </c>
      <c r="H180" s="1302">
        <f t="shared" si="23"/>
        <v>0</v>
      </c>
      <c r="I180" s="1302">
        <f t="shared" si="23"/>
        <v>0</v>
      </c>
      <c r="J180" s="1302">
        <f t="shared" si="23"/>
        <v>0</v>
      </c>
      <c r="K180" s="1302">
        <f t="shared" si="23"/>
        <v>0</v>
      </c>
      <c r="L180" s="1302">
        <f t="shared" si="23"/>
        <v>0</v>
      </c>
      <c r="M180" s="1302">
        <f t="shared" si="23"/>
        <v>0</v>
      </c>
      <c r="N180" s="1302">
        <f t="shared" si="23"/>
        <v>0</v>
      </c>
      <c r="O180" s="1302">
        <f t="shared" si="23"/>
        <v>0</v>
      </c>
      <c r="P180" s="1306">
        <f t="shared" si="23"/>
        <v>0</v>
      </c>
      <c r="Q180" s="1302">
        <f t="shared" si="23"/>
        <v>0</v>
      </c>
      <c r="R180" s="1302">
        <f t="shared" si="23"/>
        <v>0</v>
      </c>
      <c r="S180" s="1302">
        <f t="shared" si="23"/>
        <v>0</v>
      </c>
      <c r="T180" s="1302">
        <f t="shared" si="23"/>
        <v>0</v>
      </c>
      <c r="U180" s="1302">
        <f t="shared" si="23"/>
        <v>0</v>
      </c>
      <c r="V180" s="1302">
        <f t="shared" si="23"/>
        <v>0</v>
      </c>
      <c r="W180" s="1302">
        <f t="shared" si="23"/>
        <v>0</v>
      </c>
      <c r="X180" s="1302">
        <f t="shared" si="23"/>
        <v>0</v>
      </c>
      <c r="Y180" s="1302">
        <f t="shared" si="23"/>
        <v>0</v>
      </c>
      <c r="Z180" s="1302">
        <f t="shared" si="23"/>
        <v>0</v>
      </c>
      <c r="AA180" s="1302">
        <f t="shared" si="23"/>
        <v>0</v>
      </c>
      <c r="AB180" s="1302">
        <f t="shared" si="23"/>
        <v>0</v>
      </c>
      <c r="AC180" s="1302">
        <f t="shared" si="23"/>
        <v>0</v>
      </c>
      <c r="AD180" s="1302">
        <f t="shared" si="23"/>
        <v>0</v>
      </c>
      <c r="AE180" s="1302">
        <f t="shared" si="23"/>
        <v>0</v>
      </c>
      <c r="AF180" s="1302">
        <f t="shared" si="23"/>
        <v>0</v>
      </c>
      <c r="AG180" s="1302">
        <f t="shared" si="23"/>
        <v>0</v>
      </c>
      <c r="AH180" s="1207"/>
    </row>
    <row r="181" spans="1:34" x14ac:dyDescent="0.2">
      <c r="A181" s="1236" t="s">
        <v>83</v>
      </c>
      <c r="B181" s="1237"/>
      <c r="C181" s="1306">
        <f t="shared" si="23"/>
        <v>0</v>
      </c>
      <c r="D181" s="1306">
        <f t="shared" si="23"/>
        <v>0</v>
      </c>
      <c r="E181" s="1306">
        <f t="shared" si="23"/>
        <v>0</v>
      </c>
      <c r="F181" s="1306">
        <f t="shared" si="23"/>
        <v>0</v>
      </c>
      <c r="G181" s="1306">
        <f t="shared" si="23"/>
        <v>0</v>
      </c>
      <c r="H181" s="1306">
        <f t="shared" si="23"/>
        <v>0</v>
      </c>
      <c r="I181" s="1306">
        <f t="shared" si="23"/>
        <v>0</v>
      </c>
      <c r="J181" s="1306">
        <f t="shared" si="23"/>
        <v>0</v>
      </c>
      <c r="K181" s="1306">
        <f t="shared" si="23"/>
        <v>0</v>
      </c>
      <c r="L181" s="1306">
        <f t="shared" si="23"/>
        <v>0</v>
      </c>
      <c r="M181" s="1306">
        <f t="shared" si="23"/>
        <v>0</v>
      </c>
      <c r="N181" s="1306">
        <f t="shared" si="23"/>
        <v>0</v>
      </c>
      <c r="O181" s="1306">
        <f t="shared" si="23"/>
        <v>0</v>
      </c>
      <c r="P181" s="1306">
        <f t="shared" si="23"/>
        <v>0</v>
      </c>
      <c r="Q181" s="1306">
        <f t="shared" si="23"/>
        <v>0</v>
      </c>
      <c r="R181" s="1306">
        <f t="shared" si="23"/>
        <v>0</v>
      </c>
      <c r="S181" s="1306">
        <f t="shared" si="23"/>
        <v>0</v>
      </c>
      <c r="T181" s="1306">
        <f t="shared" si="23"/>
        <v>0</v>
      </c>
      <c r="U181" s="1306">
        <f t="shared" si="23"/>
        <v>0</v>
      </c>
      <c r="V181" s="1306">
        <f t="shared" si="23"/>
        <v>0</v>
      </c>
      <c r="W181" s="1306">
        <f t="shared" si="23"/>
        <v>0</v>
      </c>
      <c r="X181" s="1306">
        <f t="shared" si="23"/>
        <v>0</v>
      </c>
      <c r="Y181" s="1306">
        <f t="shared" si="23"/>
        <v>0</v>
      </c>
      <c r="Z181" s="1306">
        <f t="shared" si="23"/>
        <v>0</v>
      </c>
      <c r="AA181" s="1306">
        <f t="shared" si="23"/>
        <v>0</v>
      </c>
      <c r="AB181" s="1306">
        <f t="shared" si="23"/>
        <v>0</v>
      </c>
      <c r="AC181" s="1306">
        <f t="shared" si="23"/>
        <v>0</v>
      </c>
      <c r="AD181" s="1306">
        <f t="shared" si="23"/>
        <v>0</v>
      </c>
      <c r="AE181" s="1306">
        <f t="shared" si="23"/>
        <v>0</v>
      </c>
      <c r="AF181" s="1306">
        <f t="shared" si="23"/>
        <v>0</v>
      </c>
      <c r="AG181" s="1306">
        <f t="shared" si="23"/>
        <v>0</v>
      </c>
      <c r="AH181" s="1207"/>
    </row>
    <row r="182" spans="1:34" ht="13.5" thickBot="1" x14ac:dyDescent="0.25">
      <c r="A182" s="1250"/>
      <c r="B182" s="1307"/>
      <c r="C182" s="1308"/>
      <c r="D182" s="1308"/>
      <c r="E182" s="1308"/>
      <c r="F182" s="1309"/>
      <c r="G182" s="1309"/>
      <c r="H182" s="1309"/>
      <c r="I182" s="1309"/>
      <c r="J182" s="1309"/>
      <c r="K182" s="1309"/>
      <c r="L182" s="1309"/>
      <c r="M182" s="1309"/>
      <c r="N182" s="1309"/>
      <c r="O182" s="1309"/>
      <c r="P182" s="1310"/>
      <c r="Q182" s="1309"/>
      <c r="R182" s="1309"/>
      <c r="S182" s="1309"/>
      <c r="T182" s="1309"/>
      <c r="U182" s="1309"/>
      <c r="V182" s="1309"/>
      <c r="W182" s="1309"/>
      <c r="X182" s="1309"/>
      <c r="Y182" s="1309"/>
      <c r="Z182" s="1309"/>
      <c r="AA182" s="1309"/>
      <c r="AB182" s="1309"/>
      <c r="AC182" s="1309"/>
      <c r="AD182" s="1309"/>
      <c r="AE182" s="1309"/>
      <c r="AF182" s="1309"/>
      <c r="AG182" s="1309"/>
      <c r="AH182" s="1207"/>
    </row>
    <row r="183" spans="1:34" x14ac:dyDescent="0.2">
      <c r="A183" s="1236"/>
      <c r="B183" s="1237"/>
      <c r="C183" s="1302"/>
      <c r="D183" s="1302"/>
      <c r="E183" s="1302"/>
      <c r="F183" s="1303"/>
      <c r="G183" s="1303"/>
      <c r="H183" s="1303"/>
      <c r="I183" s="1303"/>
      <c r="J183" s="1303"/>
      <c r="K183" s="1303"/>
      <c r="L183" s="1303"/>
      <c r="M183" s="1303"/>
      <c r="N183" s="1303"/>
      <c r="O183" s="1303"/>
      <c r="P183" s="1304"/>
      <c r="Q183" s="1303"/>
      <c r="R183" s="1303"/>
      <c r="S183" s="1303"/>
      <c r="T183" s="1303"/>
      <c r="U183" s="1303"/>
      <c r="V183" s="1303"/>
      <c r="W183" s="1303"/>
      <c r="X183" s="1303"/>
      <c r="Y183" s="1303"/>
      <c r="Z183" s="1303"/>
      <c r="AA183" s="1303"/>
      <c r="AB183" s="1303"/>
      <c r="AC183" s="1303"/>
      <c r="AD183" s="1303"/>
      <c r="AE183" s="1303"/>
      <c r="AF183" s="1303"/>
      <c r="AG183" s="1303"/>
      <c r="AH183" s="1208"/>
    </row>
    <row r="184" spans="1:34" x14ac:dyDescent="0.2">
      <c r="A184" s="1236" t="s">
        <v>14</v>
      </c>
      <c r="B184" s="1237"/>
      <c r="C184" s="1302">
        <f t="shared" ref="C184:AG184" si="24">C177+C180+C181</f>
        <v>-133972.247</v>
      </c>
      <c r="D184" s="1302">
        <f t="shared" si="24"/>
        <v>-133972.247</v>
      </c>
      <c r="E184" s="1302">
        <f t="shared" si="24"/>
        <v>-133972.247</v>
      </c>
      <c r="F184" s="1302">
        <f t="shared" si="24"/>
        <v>-133972.247</v>
      </c>
      <c r="G184" s="1302">
        <f t="shared" si="24"/>
        <v>-72972.247000000003</v>
      </c>
      <c r="H184" s="1302">
        <f t="shared" si="24"/>
        <v>-72972.247000000003</v>
      </c>
      <c r="I184" s="1302">
        <f t="shared" si="24"/>
        <v>-72972.247000000003</v>
      </c>
      <c r="J184" s="1302">
        <f t="shared" si="24"/>
        <v>-72972.247000000003</v>
      </c>
      <c r="K184" s="1302">
        <f t="shared" si="24"/>
        <v>-72972.247000000003</v>
      </c>
      <c r="L184" s="1302">
        <f t="shared" si="24"/>
        <v>-72972.247000000003</v>
      </c>
      <c r="M184" s="1302">
        <f t="shared" si="24"/>
        <v>-72972.247000000003</v>
      </c>
      <c r="N184" s="1302">
        <f t="shared" si="24"/>
        <v>-72972.247000000003</v>
      </c>
      <c r="O184" s="1302">
        <f t="shared" si="24"/>
        <v>-72972.247000000003</v>
      </c>
      <c r="P184" s="1306">
        <f t="shared" si="24"/>
        <v>-72972.247000000003</v>
      </c>
      <c r="Q184" s="1302">
        <f t="shared" si="24"/>
        <v>-72972.247000000003</v>
      </c>
      <c r="R184" s="1302">
        <f t="shared" si="24"/>
        <v>-72972.247000000003</v>
      </c>
      <c r="S184" s="1302">
        <f t="shared" si="24"/>
        <v>-72972.247000000003</v>
      </c>
      <c r="T184" s="1302">
        <f t="shared" si="24"/>
        <v>-72972.247000000003</v>
      </c>
      <c r="U184" s="1302">
        <f t="shared" si="24"/>
        <v>-72972.247000000003</v>
      </c>
      <c r="V184" s="1302">
        <f t="shared" si="24"/>
        <v>-72972.247000000003</v>
      </c>
      <c r="W184" s="1302">
        <f t="shared" si="24"/>
        <v>-72972.247000000003</v>
      </c>
      <c r="X184" s="1302">
        <f t="shared" si="24"/>
        <v>-72972.247000000003</v>
      </c>
      <c r="Y184" s="1302">
        <f t="shared" si="24"/>
        <v>-72972.247000000003</v>
      </c>
      <c r="Z184" s="1302">
        <f t="shared" si="24"/>
        <v>-72972.247000000003</v>
      </c>
      <c r="AA184" s="1302">
        <f t="shared" si="24"/>
        <v>-72972.247000000003</v>
      </c>
      <c r="AB184" s="1302">
        <f t="shared" si="24"/>
        <v>-72972.247000000003</v>
      </c>
      <c r="AC184" s="1302">
        <f t="shared" si="24"/>
        <v>-72972.247000000003</v>
      </c>
      <c r="AD184" s="1302">
        <f t="shared" si="24"/>
        <v>-72972.247000000003</v>
      </c>
      <c r="AE184" s="1302">
        <f t="shared" si="24"/>
        <v>-72972.247000000003</v>
      </c>
      <c r="AF184" s="1302">
        <f t="shared" si="24"/>
        <v>-72972.247000000003</v>
      </c>
      <c r="AG184" s="1302">
        <f t="shared" si="24"/>
        <v>-72972.247000000003</v>
      </c>
      <c r="AH184" s="1229"/>
    </row>
    <row r="185" spans="1:34" x14ac:dyDescent="0.2">
      <c r="A185" s="1236"/>
      <c r="B185" s="1237"/>
      <c r="C185" s="1302"/>
      <c r="D185" s="1302"/>
      <c r="E185" s="1302"/>
      <c r="F185" s="1303"/>
      <c r="G185" s="1303"/>
      <c r="H185" s="1303"/>
      <c r="I185" s="1303"/>
      <c r="J185" s="1303"/>
      <c r="K185" s="1303"/>
      <c r="L185" s="1303"/>
      <c r="M185" s="1303"/>
      <c r="N185" s="1303"/>
      <c r="O185" s="1303"/>
      <c r="P185" s="1304"/>
      <c r="Q185" s="1303"/>
      <c r="R185" s="1303"/>
      <c r="S185" s="1303"/>
      <c r="T185" s="1303"/>
      <c r="U185" s="1303"/>
      <c r="V185" s="1303"/>
      <c r="W185" s="1303"/>
      <c r="X185" s="1303"/>
      <c r="Y185" s="1303"/>
      <c r="Z185" s="1303"/>
      <c r="AA185" s="1303"/>
      <c r="AB185" s="1303"/>
      <c r="AC185" s="1303"/>
      <c r="AD185" s="1303"/>
      <c r="AE185" s="1303"/>
      <c r="AF185" s="1303"/>
      <c r="AG185" s="1303"/>
      <c r="AH185" s="1208"/>
    </row>
    <row r="186" spans="1:34" ht="13.5" thickBot="1" x14ac:dyDescent="0.25">
      <c r="A186" s="1250"/>
      <c r="B186" s="1307"/>
      <c r="C186" s="1312"/>
      <c r="D186" s="1312"/>
      <c r="E186" s="1312"/>
      <c r="F186" s="1313"/>
      <c r="G186" s="1313"/>
      <c r="H186" s="1313"/>
      <c r="I186" s="1313"/>
      <c r="J186" s="1313"/>
      <c r="K186" s="1313"/>
      <c r="L186" s="1313"/>
      <c r="M186" s="1313"/>
      <c r="N186" s="1313"/>
      <c r="O186" s="1313"/>
      <c r="P186" s="1314"/>
      <c r="Q186" s="1313"/>
      <c r="R186" s="1313"/>
      <c r="S186" s="1313"/>
      <c r="T186" s="1313"/>
      <c r="U186" s="1313"/>
      <c r="V186" s="1313"/>
      <c r="W186" s="1313"/>
      <c r="X186" s="1313"/>
      <c r="Y186" s="1313"/>
      <c r="Z186" s="1313"/>
      <c r="AA186" s="1313"/>
      <c r="AB186" s="1313"/>
      <c r="AC186" s="1313"/>
      <c r="AD186" s="1313"/>
      <c r="AE186" s="1313"/>
      <c r="AF186" s="1313"/>
      <c r="AG186" s="1313"/>
      <c r="AH186" s="1208"/>
    </row>
    <row r="187" spans="1:34" x14ac:dyDescent="0.2">
      <c r="A187" s="1316"/>
      <c r="B187" s="1207"/>
      <c r="C187" s="1227"/>
      <c r="D187" s="1227"/>
      <c r="E187" s="1227"/>
      <c r="F187" s="1227"/>
      <c r="G187" s="1227"/>
      <c r="H187" s="1227"/>
      <c r="I187" s="1227"/>
      <c r="J187" s="1227"/>
      <c r="K187" s="1227"/>
      <c r="L187" s="1227"/>
      <c r="M187" s="1227"/>
      <c r="N187" s="1227"/>
      <c r="O187" s="1227"/>
      <c r="P187" s="1229"/>
      <c r="Q187" s="1227"/>
      <c r="R187" s="1227"/>
      <c r="S187" s="1227"/>
      <c r="T187" s="1227"/>
      <c r="U187" s="1227"/>
      <c r="V187" s="1227"/>
      <c r="W187" s="1227"/>
      <c r="X187" s="1227"/>
      <c r="Y187" s="1227"/>
      <c r="Z187" s="1227"/>
      <c r="AA187" s="1227"/>
      <c r="AB187" s="1227"/>
      <c r="AC187" s="1227"/>
      <c r="AD187" s="1227"/>
      <c r="AE187" s="1227"/>
      <c r="AF187" s="1227"/>
      <c r="AG187" s="1227"/>
      <c r="AH187" s="1208"/>
    </row>
    <row r="188" spans="1:34" x14ac:dyDescent="0.2">
      <c r="A188" s="1344"/>
      <c r="B188" s="1383"/>
      <c r="C188" s="1219"/>
      <c r="D188" s="1219"/>
      <c r="E188" s="1219"/>
      <c r="F188" s="1219"/>
      <c r="G188" s="1219">
        <v>80000</v>
      </c>
      <c r="H188" s="1219"/>
      <c r="I188" s="1219"/>
      <c r="J188" s="1219"/>
      <c r="K188" s="1219"/>
      <c r="L188" s="1219"/>
      <c r="M188" s="1219"/>
      <c r="N188" s="1219"/>
      <c r="O188" s="1221"/>
      <c r="P188" s="1221"/>
      <c r="Q188" s="1219"/>
      <c r="R188" s="1219"/>
      <c r="S188" s="1219"/>
      <c r="T188" s="1219"/>
      <c r="U188" s="1219"/>
      <c r="V188" s="1219"/>
      <c r="W188" s="1219"/>
      <c r="X188" s="1219"/>
      <c r="Y188" s="1219"/>
      <c r="Z188" s="1219"/>
      <c r="AA188" s="1384"/>
      <c r="AB188" s="1219"/>
      <c r="AC188" s="1219"/>
      <c r="AD188" s="1219"/>
      <c r="AE188" s="1219"/>
      <c r="AF188" s="1219"/>
      <c r="AG188" s="1219"/>
      <c r="AH188" s="1229"/>
    </row>
    <row r="189" spans="1:34" x14ac:dyDescent="0.2">
      <c r="A189" s="1316"/>
      <c r="B189" s="1207"/>
      <c r="C189" s="1219"/>
      <c r="D189" s="1219"/>
      <c r="E189" s="1219"/>
      <c r="F189" s="1219"/>
      <c r="G189" s="1219"/>
      <c r="H189" s="1219"/>
      <c r="I189" s="1219"/>
      <c r="J189" s="1219"/>
      <c r="K189" s="1219"/>
      <c r="L189" s="1219"/>
      <c r="M189" s="1219"/>
      <c r="N189" s="1219"/>
      <c r="O189" s="1219"/>
      <c r="P189" s="1221"/>
      <c r="Q189" s="1219"/>
      <c r="R189" s="1219"/>
      <c r="S189" s="1219"/>
      <c r="T189" s="1219"/>
      <c r="U189" s="1219"/>
      <c r="V189" s="1219"/>
      <c r="W189" s="1219"/>
      <c r="X189" s="1219"/>
      <c r="Y189" s="1219"/>
      <c r="Z189" s="1219"/>
      <c r="AA189" s="1219"/>
      <c r="AB189" s="1219"/>
      <c r="AC189" s="1219"/>
      <c r="AD189" s="1219"/>
      <c r="AE189" s="1219"/>
      <c r="AF189" s="1219"/>
      <c r="AG189" s="1219"/>
      <c r="AH189" s="1229"/>
    </row>
    <row r="190" spans="1:34" x14ac:dyDescent="0.2">
      <c r="A190" s="1210" t="s">
        <v>415</v>
      </c>
      <c r="B190" s="1215">
        <f>SUM(B191:B194)</f>
        <v>375000</v>
      </c>
      <c r="C190" s="1207"/>
      <c r="D190" s="1207"/>
      <c r="E190" s="1207"/>
      <c r="F190" s="1207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8"/>
      <c r="Q190" s="1207"/>
      <c r="R190" s="1207"/>
      <c r="S190" s="1207"/>
      <c r="T190" s="1385"/>
      <c r="U190" s="1345"/>
      <c r="V190" s="1207"/>
      <c r="W190" s="1207"/>
      <c r="X190" s="1207"/>
      <c r="Y190" s="1207"/>
      <c r="Z190" s="1207"/>
      <c r="AA190" s="1384"/>
      <c r="AB190" s="1207"/>
      <c r="AC190" s="1207"/>
      <c r="AD190" s="1207"/>
      <c r="AE190" s="1207"/>
      <c r="AF190" s="1207"/>
      <c r="AG190" s="1207"/>
      <c r="AH190" s="1207"/>
    </row>
    <row r="191" spans="1:34" x14ac:dyDescent="0.2">
      <c r="A191" s="1365" t="s">
        <v>414</v>
      </c>
      <c r="B191" s="1219">
        <v>25000</v>
      </c>
      <c r="C191" s="1207"/>
      <c r="D191" s="1229"/>
      <c r="E191" s="1207"/>
      <c r="F191" s="1207"/>
      <c r="G191" s="1207"/>
      <c r="H191" s="1207"/>
      <c r="I191" s="1207"/>
      <c r="J191" s="1207"/>
      <c r="K191" s="1207"/>
      <c r="L191" s="1207"/>
      <c r="M191" s="1207"/>
      <c r="N191" s="1207"/>
      <c r="O191" s="1207"/>
      <c r="P191" s="1208"/>
      <c r="Q191" s="1207"/>
      <c r="R191" s="1207"/>
      <c r="S191" s="1219"/>
      <c r="T191" s="1350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</row>
    <row r="192" spans="1:34" x14ac:dyDescent="0.2">
      <c r="A192" s="1365" t="s">
        <v>287</v>
      </c>
      <c r="B192" s="1219">
        <v>200000</v>
      </c>
      <c r="C192" s="1207"/>
      <c r="D192" s="1207"/>
      <c r="E192" s="1207"/>
      <c r="F192" s="1207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8"/>
      <c r="Q192" s="1207"/>
      <c r="R192" s="1207"/>
      <c r="S192" s="1219"/>
      <c r="T192" s="1350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</row>
    <row r="193" spans="1:34" x14ac:dyDescent="0.2">
      <c r="A193" s="1316" t="s">
        <v>413</v>
      </c>
      <c r="B193" s="1386">
        <v>75000</v>
      </c>
      <c r="C193" s="1207"/>
      <c r="D193" s="1207"/>
      <c r="E193" s="1207"/>
      <c r="F193" s="1207"/>
      <c r="G193" s="1207"/>
      <c r="H193" s="1207"/>
      <c r="I193" s="1207"/>
      <c r="J193" s="1207"/>
      <c r="K193" s="1207"/>
      <c r="L193" s="1227"/>
      <c r="M193" s="1207"/>
      <c r="N193" s="1207"/>
      <c r="O193" s="1207"/>
      <c r="P193" s="1208"/>
      <c r="Q193" s="1207"/>
      <c r="R193" s="1207"/>
      <c r="S193" s="1219"/>
      <c r="T193" s="1350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</row>
    <row r="194" spans="1:34" x14ac:dyDescent="0.2">
      <c r="A194" s="1316" t="s">
        <v>441</v>
      </c>
      <c r="B194" s="1219">
        <v>75000</v>
      </c>
      <c r="C194" s="1207"/>
      <c r="D194" s="1207"/>
      <c r="E194" s="1207"/>
      <c r="F194" s="1207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8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</row>
    <row r="195" spans="1:34" x14ac:dyDescent="0.2">
      <c r="A195" s="1207"/>
      <c r="B195" s="1207"/>
      <c r="C195" s="1207"/>
      <c r="D195" s="1207"/>
      <c r="E195" s="1207"/>
      <c r="F195" s="1207"/>
      <c r="G195" s="1207"/>
      <c r="H195" s="1207"/>
      <c r="I195" s="1207"/>
      <c r="J195" s="1207"/>
      <c r="K195" s="1207"/>
      <c r="L195" s="1207"/>
      <c r="M195" s="1207"/>
      <c r="N195" s="1207"/>
      <c r="O195" s="1207"/>
      <c r="P195" s="1208"/>
      <c r="Q195" s="1207"/>
      <c r="R195" s="1207"/>
      <c r="S195" s="1207"/>
      <c r="T195" s="1207"/>
      <c r="U195" s="1207"/>
      <c r="V195" s="1207"/>
      <c r="W195" s="1207"/>
      <c r="X195" s="1207"/>
      <c r="Y195" s="1207"/>
      <c r="Z195" s="1207"/>
      <c r="AA195" s="1207"/>
      <c r="AB195" s="1207"/>
      <c r="AC195" s="1207"/>
      <c r="AD195" s="1207"/>
      <c r="AE195" s="1207"/>
      <c r="AF195" s="1207"/>
      <c r="AG195" s="1207"/>
      <c r="AH195" s="1207"/>
    </row>
    <row r="196" spans="1:34" ht="13.5" thickBot="1" x14ac:dyDescent="0.25">
      <c r="A196" s="1207"/>
      <c r="B196" s="1207"/>
      <c r="C196" s="1207"/>
      <c r="D196" s="1207"/>
      <c r="E196" s="1207"/>
      <c r="F196" s="1207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8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07"/>
      <c r="AA196" s="1207"/>
      <c r="AB196" s="1207"/>
      <c r="AC196" s="1207"/>
      <c r="AD196" s="1207"/>
      <c r="AE196" s="1207"/>
      <c r="AF196" s="1207"/>
      <c r="AG196" s="1207"/>
      <c r="AH196" s="1207"/>
    </row>
    <row r="197" spans="1:34" x14ac:dyDescent="0.2">
      <c r="A197" s="1233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34"/>
      <c r="O197" s="1234"/>
      <c r="P197" s="1235"/>
      <c r="Q197" s="1234"/>
      <c r="R197" s="1234"/>
      <c r="S197" s="1234"/>
      <c r="T197" s="1234"/>
      <c r="U197" s="1234"/>
      <c r="V197" s="1234"/>
      <c r="W197" s="1234"/>
      <c r="X197" s="1234"/>
      <c r="Y197" s="1234"/>
      <c r="Z197" s="1234"/>
      <c r="AA197" s="1234"/>
      <c r="AB197" s="1234"/>
      <c r="AC197" s="1234"/>
      <c r="AD197" s="1234"/>
      <c r="AE197" s="1234"/>
      <c r="AF197" s="1234"/>
      <c r="AG197" s="1234"/>
      <c r="AH197" s="1207"/>
    </row>
    <row r="198" spans="1:34" x14ac:dyDescent="0.2">
      <c r="A198" s="1236"/>
      <c r="B198" s="1237" t="s">
        <v>37</v>
      </c>
      <c r="C198" s="1237"/>
      <c r="D198" s="1237"/>
      <c r="E198" s="1238" t="s">
        <v>838</v>
      </c>
      <c r="F198" s="1239" t="s">
        <v>96</v>
      </c>
      <c r="G198" s="1707"/>
      <c r="H198" s="1239"/>
      <c r="I198" s="1239"/>
      <c r="J198" s="1239"/>
      <c r="K198" s="1239"/>
      <c r="L198" s="1239"/>
      <c r="M198" s="1239"/>
      <c r="N198" s="1239"/>
      <c r="O198" s="1239"/>
      <c r="P198" s="1240"/>
      <c r="Q198" s="1239"/>
      <c r="R198" s="1239"/>
      <c r="S198" s="1239"/>
      <c r="T198" s="1239"/>
      <c r="U198" s="1239"/>
      <c r="V198" s="1239"/>
      <c r="W198" s="1239"/>
      <c r="X198" s="1239"/>
      <c r="Y198" s="1239"/>
      <c r="Z198" s="1239"/>
      <c r="AA198" s="1239"/>
      <c r="AB198" s="1239"/>
      <c r="AC198" s="1239"/>
      <c r="AD198" s="1239"/>
      <c r="AE198" s="1239"/>
      <c r="AF198" s="1239"/>
      <c r="AG198" s="1239"/>
      <c r="AH198" s="1207"/>
    </row>
    <row r="199" spans="1:34" x14ac:dyDescent="0.2">
      <c r="A199" s="1236"/>
      <c r="B199" s="1237"/>
      <c r="C199" s="1237"/>
      <c r="D199" s="1239"/>
      <c r="E199" s="1237"/>
      <c r="F199" s="1237"/>
      <c r="G199" s="1237"/>
      <c r="H199" s="1237"/>
      <c r="I199" s="1237"/>
      <c r="J199" s="1237"/>
      <c r="K199" s="1237"/>
      <c r="L199" s="1237"/>
      <c r="M199" s="1237"/>
      <c r="N199" s="1237"/>
      <c r="O199" s="1237"/>
      <c r="P199" s="1241"/>
      <c r="Q199" s="1237"/>
      <c r="R199" s="1237"/>
      <c r="S199" s="1237"/>
      <c r="T199" s="1237"/>
      <c r="U199" s="1237"/>
      <c r="V199" s="1237"/>
      <c r="W199" s="1237"/>
      <c r="X199" s="1237"/>
      <c r="Y199" s="1237"/>
      <c r="Z199" s="1237"/>
      <c r="AA199" s="1237"/>
      <c r="AB199" s="1237"/>
      <c r="AC199" s="1237"/>
      <c r="AD199" s="1237"/>
      <c r="AE199" s="1237"/>
      <c r="AF199" s="1237"/>
      <c r="AG199" s="1237"/>
      <c r="AH199" s="1207"/>
    </row>
    <row r="200" spans="1:34" x14ac:dyDescent="0.2">
      <c r="A200" s="1236"/>
      <c r="B200" s="1237"/>
      <c r="C200" s="1239"/>
      <c r="D200" s="1239">
        <v>42619</v>
      </c>
      <c r="E200" s="1237"/>
      <c r="F200" s="1237"/>
      <c r="G200" s="1237"/>
      <c r="H200" s="1237"/>
      <c r="I200" s="1237"/>
      <c r="J200" s="1237"/>
      <c r="K200" s="1237"/>
      <c r="L200" s="1237"/>
      <c r="M200" s="1237"/>
      <c r="N200" s="1237"/>
      <c r="O200" s="1237"/>
      <c r="P200" s="1241"/>
      <c r="Q200" s="1237"/>
      <c r="R200" s="1237"/>
      <c r="S200" s="1237"/>
      <c r="T200" s="1237"/>
      <c r="U200" s="1237"/>
      <c r="V200" s="1237"/>
      <c r="W200" s="1237"/>
      <c r="X200" s="1237"/>
      <c r="Y200" s="1237"/>
      <c r="Z200" s="1237"/>
      <c r="AA200" s="1237"/>
      <c r="AB200" s="1237"/>
      <c r="AC200" s="1237"/>
      <c r="AD200" s="1237"/>
      <c r="AE200" s="1237"/>
      <c r="AF200" s="1237"/>
      <c r="AG200" s="1237"/>
      <c r="AH200" s="1207"/>
    </row>
    <row r="201" spans="1:34" x14ac:dyDescent="0.2">
      <c r="A201" s="1236"/>
      <c r="B201" s="1237"/>
      <c r="C201" s="1239"/>
      <c r="D201" s="1239"/>
      <c r="E201" s="1237"/>
      <c r="F201" s="1237"/>
      <c r="G201" s="1237"/>
      <c r="H201" s="1237"/>
      <c r="I201" s="1237"/>
      <c r="J201" s="1237"/>
      <c r="K201" s="1237"/>
      <c r="L201" s="1237"/>
      <c r="M201" s="1237"/>
      <c r="N201" s="1237"/>
      <c r="O201" s="1237"/>
      <c r="P201" s="1241"/>
      <c r="Q201" s="1237"/>
      <c r="R201" s="1237"/>
      <c r="S201" s="1237"/>
      <c r="T201" s="1237"/>
      <c r="U201" s="1237"/>
      <c r="V201" s="1237"/>
      <c r="W201" s="1237"/>
      <c r="X201" s="1237"/>
      <c r="Y201" s="1237"/>
      <c r="Z201" s="1237"/>
      <c r="AA201" s="1237"/>
      <c r="AB201" s="1237"/>
      <c r="AC201" s="1237"/>
      <c r="AD201" s="1237"/>
      <c r="AE201" s="1237"/>
      <c r="AF201" s="1237"/>
      <c r="AG201" s="1237"/>
      <c r="AH201" s="1207"/>
    </row>
    <row r="202" spans="1:34" ht="13.5" thickBot="1" x14ac:dyDescent="0.25">
      <c r="A202" s="1236"/>
      <c r="B202" s="1237"/>
      <c r="C202" s="1237"/>
      <c r="D202" s="1237"/>
      <c r="E202" s="1237"/>
      <c r="F202" s="1237"/>
      <c r="G202" s="1237"/>
      <c r="H202" s="1237"/>
      <c r="I202" s="1237"/>
      <c r="J202" s="1237"/>
      <c r="K202" s="1237"/>
      <c r="L202" s="1237"/>
      <c r="M202" s="1237"/>
      <c r="N202" s="1237"/>
      <c r="O202" s="1237"/>
      <c r="P202" s="1241"/>
      <c r="Q202" s="1237"/>
      <c r="R202" s="1237"/>
      <c r="S202" s="1237"/>
      <c r="T202" s="1237"/>
      <c r="U202" s="1237"/>
      <c r="V202" s="1237"/>
      <c r="W202" s="1237"/>
      <c r="X202" s="1237"/>
      <c r="Y202" s="1237"/>
      <c r="Z202" s="1237"/>
      <c r="AA202" s="1237"/>
      <c r="AB202" s="1237"/>
      <c r="AC202" s="1237"/>
      <c r="AD202" s="1237"/>
      <c r="AE202" s="1237"/>
      <c r="AF202" s="1237"/>
      <c r="AG202" s="1237"/>
      <c r="AH202" s="1207"/>
    </row>
    <row r="203" spans="1:34" ht="13.5" thickBot="1" x14ac:dyDescent="0.25">
      <c r="A203" s="1236"/>
      <c r="B203" s="1237"/>
      <c r="C203" s="1243"/>
      <c r="D203" s="1244" t="s">
        <v>16</v>
      </c>
      <c r="E203" s="1244"/>
      <c r="F203" s="1244"/>
      <c r="G203" s="1244"/>
      <c r="H203" s="1244"/>
      <c r="I203" s="1244"/>
      <c r="J203" s="1244"/>
      <c r="K203" s="1244"/>
      <c r="L203" s="1244"/>
      <c r="M203" s="1244"/>
      <c r="N203" s="1244"/>
      <c r="O203" s="1244"/>
      <c r="P203" s="1245"/>
      <c r="Q203" s="1244"/>
      <c r="R203" s="1244"/>
      <c r="S203" s="1244"/>
      <c r="T203" s="1244"/>
      <c r="U203" s="1244"/>
      <c r="V203" s="1244"/>
      <c r="W203" s="1244"/>
      <c r="X203" s="1244"/>
      <c r="Y203" s="1244"/>
      <c r="Z203" s="1244"/>
      <c r="AA203" s="1244"/>
      <c r="AB203" s="1244"/>
      <c r="AC203" s="1244"/>
      <c r="AD203" s="1244"/>
      <c r="AE203" s="1244"/>
      <c r="AF203" s="1244"/>
      <c r="AG203" s="1244"/>
      <c r="AH203" s="1207"/>
    </row>
    <row r="204" spans="1:34" ht="13.5" thickBot="1" x14ac:dyDescent="0.25">
      <c r="A204" s="1236"/>
      <c r="B204" s="1237"/>
      <c r="C204" s="1246" t="s">
        <v>452</v>
      </c>
      <c r="D204" s="1246" t="s">
        <v>453</v>
      </c>
      <c r="E204" s="1246" t="s">
        <v>434</v>
      </c>
      <c r="F204" s="1246" t="s">
        <v>390</v>
      </c>
      <c r="G204" s="1246" t="s">
        <v>454</v>
      </c>
      <c r="H204" s="1246" t="s">
        <v>455</v>
      </c>
      <c r="I204" s="1246" t="s">
        <v>456</v>
      </c>
      <c r="J204" s="1246" t="s">
        <v>457</v>
      </c>
      <c r="K204" s="1246" t="s">
        <v>458</v>
      </c>
      <c r="L204" s="1246" t="s">
        <v>216</v>
      </c>
      <c r="M204" s="1246" t="s">
        <v>459</v>
      </c>
      <c r="N204" s="1246" t="s">
        <v>297</v>
      </c>
      <c r="O204" s="1246" t="s">
        <v>211</v>
      </c>
      <c r="P204" s="1247" t="s">
        <v>270</v>
      </c>
      <c r="Q204" s="1246">
        <v>15</v>
      </c>
      <c r="R204" s="1246">
        <v>16</v>
      </c>
      <c r="S204" s="1246" t="s">
        <v>461</v>
      </c>
      <c r="T204" s="1246" t="s">
        <v>442</v>
      </c>
      <c r="U204" s="1246" t="s">
        <v>462</v>
      </c>
      <c r="V204" s="1246" t="s">
        <v>470</v>
      </c>
      <c r="W204" s="1246" t="s">
        <v>471</v>
      </c>
      <c r="X204" s="1246" t="s">
        <v>472</v>
      </c>
      <c r="Y204" s="1246" t="s">
        <v>463</v>
      </c>
      <c r="Z204" s="1246" t="s">
        <v>465</v>
      </c>
      <c r="AA204" s="1246" t="s">
        <v>466</v>
      </c>
      <c r="AB204" s="1246" t="s">
        <v>435</v>
      </c>
      <c r="AC204" s="1246" t="s">
        <v>467</v>
      </c>
      <c r="AD204" s="1246" t="s">
        <v>464</v>
      </c>
      <c r="AE204" s="1246" t="s">
        <v>429</v>
      </c>
      <c r="AF204" s="1246" t="s">
        <v>149</v>
      </c>
      <c r="AG204" s="1246" t="s">
        <v>210</v>
      </c>
      <c r="AH204" s="1207"/>
    </row>
    <row r="205" spans="1:34" x14ac:dyDescent="0.2">
      <c r="A205" s="1233"/>
      <c r="B205" s="1248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37"/>
      <c r="O205" s="1237"/>
      <c r="P205" s="1241"/>
      <c r="Q205" s="1237"/>
      <c r="R205" s="1237"/>
      <c r="S205" s="1237"/>
      <c r="T205" s="1237"/>
      <c r="U205" s="1237"/>
      <c r="V205" s="1237"/>
      <c r="W205" s="1237"/>
      <c r="X205" s="1237"/>
      <c r="Y205" s="1237"/>
      <c r="Z205" s="1237"/>
      <c r="AA205" s="1237"/>
      <c r="AB205" s="1237"/>
      <c r="AC205" s="1237"/>
      <c r="AD205" s="1237"/>
      <c r="AE205" s="1237"/>
      <c r="AF205" s="1237"/>
      <c r="AG205" s="1237"/>
      <c r="AH205" s="1207"/>
    </row>
    <row r="206" spans="1:34" x14ac:dyDescent="0.2">
      <c r="A206" s="1236" t="s">
        <v>0</v>
      </c>
      <c r="B206" s="1249">
        <v>139501.23300000001</v>
      </c>
      <c r="C206" s="1237"/>
      <c r="D206" s="1237"/>
      <c r="E206" s="1237"/>
      <c r="F206" s="1237"/>
      <c r="G206" s="1237"/>
      <c r="H206" s="1237"/>
      <c r="I206" s="1237"/>
      <c r="J206" s="1237"/>
      <c r="K206" s="1237"/>
      <c r="L206" s="1237"/>
      <c r="M206" s="1237"/>
      <c r="N206" s="1237"/>
      <c r="O206" s="1237"/>
      <c r="P206" s="1241"/>
      <c r="Q206" s="1237"/>
      <c r="R206" s="1237"/>
      <c r="S206" s="1237"/>
      <c r="T206" s="1237"/>
      <c r="U206" s="1237"/>
      <c r="V206" s="1237"/>
      <c r="W206" s="1237"/>
      <c r="X206" s="1237"/>
      <c r="Y206" s="1237"/>
      <c r="Z206" s="1237"/>
      <c r="AA206" s="1237"/>
      <c r="AB206" s="1237"/>
      <c r="AC206" s="1237"/>
      <c r="AD206" s="1237"/>
      <c r="AE206" s="1237"/>
      <c r="AF206" s="1237"/>
      <c r="AG206" s="1237"/>
      <c r="AH206" s="1207"/>
    </row>
    <row r="207" spans="1:34" ht="13.5" thickBot="1" x14ac:dyDescent="0.25">
      <c r="A207" s="1250"/>
      <c r="B207" s="1251"/>
      <c r="C207" s="1237"/>
      <c r="D207" s="1237"/>
      <c r="E207" s="1237"/>
      <c r="F207" s="1237"/>
      <c r="G207" s="1237"/>
      <c r="H207" s="1237"/>
      <c r="I207" s="1237"/>
      <c r="J207" s="1237"/>
      <c r="K207" s="1237"/>
      <c r="L207" s="1237"/>
      <c r="M207" s="1237"/>
      <c r="N207" s="1237"/>
      <c r="O207" s="1237"/>
      <c r="P207" s="1241"/>
      <c r="Q207" s="1237"/>
      <c r="R207" s="1237"/>
      <c r="S207" s="1237"/>
      <c r="T207" s="1237"/>
      <c r="U207" s="1237"/>
      <c r="V207" s="1237"/>
      <c r="W207" s="1237"/>
      <c r="X207" s="1237"/>
      <c r="Y207" s="1237"/>
      <c r="Z207" s="1237"/>
      <c r="AA207" s="1237"/>
      <c r="AB207" s="1237"/>
      <c r="AC207" s="1237"/>
      <c r="AD207" s="1237"/>
      <c r="AE207" s="1237"/>
      <c r="AF207" s="1237"/>
      <c r="AG207" s="1237"/>
      <c r="AH207" s="1207"/>
    </row>
    <row r="208" spans="1:34" x14ac:dyDescent="0.2">
      <c r="A208" s="1233"/>
      <c r="B208" s="1253"/>
      <c r="C208" s="1237"/>
      <c r="D208" s="1237"/>
      <c r="E208" s="1237"/>
      <c r="F208" s="1237"/>
      <c r="G208" s="1237"/>
      <c r="H208" s="1237"/>
      <c r="I208" s="1237"/>
      <c r="J208" s="1237"/>
      <c r="K208" s="1237"/>
      <c r="L208" s="1237"/>
      <c r="M208" s="1237"/>
      <c r="N208" s="1237"/>
      <c r="O208" s="1237"/>
      <c r="P208" s="1241"/>
      <c r="Q208" s="1237"/>
      <c r="R208" s="1237"/>
      <c r="S208" s="1237"/>
      <c r="T208" s="1237"/>
      <c r="U208" s="1237"/>
      <c r="V208" s="1237"/>
      <c r="W208" s="1237"/>
      <c r="X208" s="1237"/>
      <c r="Y208" s="1237"/>
      <c r="Z208" s="1237"/>
      <c r="AA208" s="1237"/>
      <c r="AB208" s="1237"/>
      <c r="AC208" s="1237"/>
      <c r="AD208" s="1237"/>
      <c r="AE208" s="1237"/>
      <c r="AF208" s="1237"/>
      <c r="AG208" s="1237"/>
      <c r="AH208" s="1207"/>
    </row>
    <row r="209" spans="1:34" x14ac:dyDescent="0.2">
      <c r="A209" s="1236" t="s">
        <v>1</v>
      </c>
      <c r="B209" s="1249">
        <f>B210+B211+B212</f>
        <v>0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7"/>
      <c r="O209" s="1237"/>
      <c r="P209" s="1241"/>
      <c r="Q209" s="1237"/>
      <c r="R209" s="1237"/>
      <c r="S209" s="1237"/>
      <c r="T209" s="1237"/>
      <c r="U209" s="1237"/>
      <c r="V209" s="1237"/>
      <c r="W209" s="1237"/>
      <c r="X209" s="1237"/>
      <c r="Y209" s="1237"/>
      <c r="Z209" s="1237"/>
      <c r="AA209" s="1237"/>
      <c r="AB209" s="1237"/>
      <c r="AC209" s="1237"/>
      <c r="AD209" s="1237"/>
      <c r="AE209" s="1237"/>
      <c r="AF209" s="1237"/>
      <c r="AG209" s="1237"/>
      <c r="AH209" s="1207"/>
    </row>
    <row r="210" spans="1:34" x14ac:dyDescent="0.2">
      <c r="A210" s="1236" t="s">
        <v>38</v>
      </c>
      <c r="B210" s="1249">
        <f>C258</f>
        <v>0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7"/>
      <c r="O210" s="1237"/>
      <c r="P210" s="1241"/>
      <c r="Q210" s="1237"/>
      <c r="R210" s="1237"/>
      <c r="S210" s="1237"/>
      <c r="T210" s="1237"/>
      <c r="U210" s="1237"/>
      <c r="V210" s="1237"/>
      <c r="W210" s="1237"/>
      <c r="X210" s="1237"/>
      <c r="Y210" s="1237"/>
      <c r="Z210" s="1237"/>
      <c r="AA210" s="1237"/>
      <c r="AB210" s="1237"/>
      <c r="AC210" s="1237"/>
      <c r="AD210" s="1237"/>
      <c r="AE210" s="1237"/>
      <c r="AF210" s="1237"/>
      <c r="AG210" s="1237"/>
      <c r="AH210" s="1207"/>
    </row>
    <row r="211" spans="1:34" x14ac:dyDescent="0.2">
      <c r="A211" s="1236" t="s">
        <v>39</v>
      </c>
      <c r="B211" s="1249">
        <f>C280</f>
        <v>0</v>
      </c>
      <c r="C211" s="1237"/>
      <c r="D211" s="1237"/>
      <c r="E211" s="1237"/>
      <c r="F211" s="1237"/>
      <c r="G211" s="1237"/>
      <c r="H211" s="1237"/>
      <c r="I211" s="1237"/>
      <c r="J211" s="1237"/>
      <c r="K211" s="1237"/>
      <c r="L211" s="1237"/>
      <c r="M211" s="1237"/>
      <c r="N211" s="1237"/>
      <c r="O211" s="1237"/>
      <c r="P211" s="1241"/>
      <c r="Q211" s="1237"/>
      <c r="R211" s="1237"/>
      <c r="S211" s="1237"/>
      <c r="T211" s="1237"/>
      <c r="U211" s="1237"/>
      <c r="V211" s="1237"/>
      <c r="W211" s="1237"/>
      <c r="X211" s="1237"/>
      <c r="Y211" s="1237"/>
      <c r="Z211" s="1237"/>
      <c r="AA211" s="1237"/>
      <c r="AB211" s="1237"/>
      <c r="AC211" s="1237"/>
      <c r="AD211" s="1237"/>
      <c r="AE211" s="1237"/>
      <c r="AF211" s="1237"/>
      <c r="AG211" s="1237"/>
      <c r="AH211" s="1207"/>
    </row>
    <row r="212" spans="1:34" x14ac:dyDescent="0.2">
      <c r="A212" s="1236" t="s">
        <v>3</v>
      </c>
      <c r="B212" s="1249"/>
      <c r="C212" s="1237"/>
      <c r="D212" s="1237"/>
      <c r="E212" s="1237"/>
      <c r="F212" s="1237"/>
      <c r="G212" s="1237"/>
      <c r="H212" s="1237"/>
      <c r="I212" s="1237"/>
      <c r="J212" s="1237"/>
      <c r="K212" s="1237"/>
      <c r="L212" s="1237"/>
      <c r="M212" s="1237"/>
      <c r="N212" s="1237"/>
      <c r="O212" s="1237"/>
      <c r="P212" s="1241"/>
      <c r="Q212" s="1237"/>
      <c r="R212" s="1237"/>
      <c r="S212" s="1237"/>
      <c r="T212" s="1237"/>
      <c r="U212" s="1237"/>
      <c r="V212" s="1237"/>
      <c r="W212" s="1237"/>
      <c r="X212" s="1237"/>
      <c r="Y212" s="1237"/>
      <c r="Z212" s="1237"/>
      <c r="AA212" s="1237"/>
      <c r="AB212" s="1237"/>
      <c r="AC212" s="1237"/>
      <c r="AD212" s="1237"/>
      <c r="AE212" s="1237"/>
      <c r="AF212" s="1237"/>
      <c r="AG212" s="1237"/>
      <c r="AH212" s="1207"/>
    </row>
    <row r="213" spans="1:34" ht="13.5" thickBot="1" x14ac:dyDescent="0.25">
      <c r="A213" s="1250"/>
      <c r="B213" s="1251"/>
      <c r="C213" s="1237"/>
      <c r="D213" s="1237"/>
      <c r="E213" s="1237"/>
      <c r="F213" s="1237"/>
      <c r="G213" s="1237"/>
      <c r="H213" s="1237"/>
      <c r="I213" s="1237"/>
      <c r="J213" s="1237"/>
      <c r="K213" s="1237"/>
      <c r="L213" s="1237"/>
      <c r="M213" s="1237"/>
      <c r="N213" s="1237"/>
      <c r="O213" s="1237"/>
      <c r="P213" s="1241"/>
      <c r="Q213" s="1237"/>
      <c r="R213" s="1237"/>
      <c r="S213" s="1237"/>
      <c r="T213" s="1237"/>
      <c r="U213" s="1237"/>
      <c r="V213" s="1237"/>
      <c r="W213" s="1237"/>
      <c r="X213" s="1237"/>
      <c r="Y213" s="1237"/>
      <c r="Z213" s="1237"/>
      <c r="AA213" s="1237"/>
      <c r="AB213" s="1237"/>
      <c r="AC213" s="1237"/>
      <c r="AD213" s="1237"/>
      <c r="AE213" s="1237"/>
      <c r="AF213" s="1237"/>
      <c r="AG213" s="1237"/>
      <c r="AH213" s="1207"/>
    </row>
    <row r="214" spans="1:34" x14ac:dyDescent="0.2">
      <c r="A214" s="1233"/>
      <c r="B214" s="1253"/>
      <c r="C214" s="1237"/>
      <c r="D214" s="1237"/>
      <c r="E214" s="1237"/>
      <c r="F214" s="1237"/>
      <c r="G214" s="1237"/>
      <c r="H214" s="1237"/>
      <c r="I214" s="1237"/>
      <c r="J214" s="1237"/>
      <c r="K214" s="1237"/>
      <c r="L214" s="1237"/>
      <c r="M214" s="1237"/>
      <c r="N214" s="1237"/>
      <c r="O214" s="1237"/>
      <c r="P214" s="1241"/>
      <c r="Q214" s="1237"/>
      <c r="R214" s="1237"/>
      <c r="S214" s="1237"/>
      <c r="T214" s="1237"/>
      <c r="U214" s="1237"/>
      <c r="V214" s="1237"/>
      <c r="W214" s="1237"/>
      <c r="X214" s="1237"/>
      <c r="Y214" s="1237"/>
      <c r="Z214" s="1237"/>
      <c r="AA214" s="1237"/>
      <c r="AB214" s="1237"/>
      <c r="AC214" s="1237"/>
      <c r="AD214" s="1237"/>
      <c r="AE214" s="1237"/>
      <c r="AF214" s="1237"/>
      <c r="AG214" s="1237"/>
      <c r="AH214" s="1207"/>
    </row>
    <row r="215" spans="1:34" x14ac:dyDescent="0.2">
      <c r="A215" s="1236" t="s">
        <v>4</v>
      </c>
      <c r="B215" s="1249">
        <f>B206-B209</f>
        <v>139501.23300000001</v>
      </c>
      <c r="C215" s="1237"/>
      <c r="D215" s="1237"/>
      <c r="E215" s="1237"/>
      <c r="F215" s="1237"/>
      <c r="G215" s="1237"/>
      <c r="H215" s="1237"/>
      <c r="I215" s="1237"/>
      <c r="J215" s="1237"/>
      <c r="K215" s="1237"/>
      <c r="L215" s="1237"/>
      <c r="M215" s="1237"/>
      <c r="N215" s="1237"/>
      <c r="O215" s="1237"/>
      <c r="P215" s="1241"/>
      <c r="Q215" s="1237"/>
      <c r="R215" s="1237"/>
      <c r="S215" s="1237"/>
      <c r="T215" s="1237"/>
      <c r="U215" s="1237"/>
      <c r="V215" s="1237"/>
      <c r="W215" s="1237"/>
      <c r="X215" s="1237"/>
      <c r="Y215" s="1237"/>
      <c r="Z215" s="1237"/>
      <c r="AA215" s="1237"/>
      <c r="AB215" s="1237"/>
      <c r="AC215" s="1237"/>
      <c r="AD215" s="1237"/>
      <c r="AE215" s="1237"/>
      <c r="AF215" s="1237"/>
      <c r="AG215" s="1237"/>
      <c r="AH215" s="1207"/>
    </row>
    <row r="216" spans="1:34" ht="13.5" thickBot="1" x14ac:dyDescent="0.25">
      <c r="A216" s="1250"/>
      <c r="B216" s="1251"/>
      <c r="C216" s="1237"/>
      <c r="D216" s="1237"/>
      <c r="E216" s="1237"/>
      <c r="F216" s="1237"/>
      <c r="G216" s="1237"/>
      <c r="H216" s="1237"/>
      <c r="I216" s="1237"/>
      <c r="J216" s="1237"/>
      <c r="K216" s="1237"/>
      <c r="L216" s="1237"/>
      <c r="M216" s="1237"/>
      <c r="N216" s="1237"/>
      <c r="O216" s="1237"/>
      <c r="P216" s="1241"/>
      <c r="Q216" s="1237"/>
      <c r="R216" s="1237"/>
      <c r="S216" s="1237"/>
      <c r="T216" s="1237"/>
      <c r="U216" s="1237"/>
      <c r="V216" s="1237"/>
      <c r="W216" s="1237"/>
      <c r="X216" s="1237"/>
      <c r="Y216" s="1237"/>
      <c r="Z216" s="1237"/>
      <c r="AA216" s="1237"/>
      <c r="AB216" s="1237"/>
      <c r="AC216" s="1237"/>
      <c r="AD216" s="1237"/>
      <c r="AE216" s="1237"/>
      <c r="AF216" s="1237"/>
      <c r="AG216" s="1237"/>
      <c r="AH216" s="1207"/>
    </row>
    <row r="217" spans="1:34" x14ac:dyDescent="0.2">
      <c r="A217" s="1233"/>
      <c r="B217" s="1253"/>
      <c r="C217" s="1237"/>
      <c r="D217" s="1237"/>
      <c r="E217" s="1237"/>
      <c r="F217" s="1237"/>
      <c r="G217" s="1237"/>
      <c r="H217" s="1237"/>
      <c r="I217" s="1237"/>
      <c r="J217" s="1237"/>
      <c r="K217" s="1237"/>
      <c r="L217" s="1237"/>
      <c r="M217" s="1237"/>
      <c r="N217" s="1237"/>
      <c r="O217" s="1237"/>
      <c r="P217" s="1241"/>
      <c r="Q217" s="1237"/>
      <c r="R217" s="1237"/>
      <c r="S217" s="1237"/>
      <c r="T217" s="1237"/>
      <c r="U217" s="1237"/>
      <c r="V217" s="1237"/>
      <c r="W217" s="1237"/>
      <c r="X217" s="1237"/>
      <c r="Y217" s="1237"/>
      <c r="Z217" s="1237"/>
      <c r="AA217" s="1237"/>
      <c r="AB217" s="1237"/>
      <c r="AC217" s="1237"/>
      <c r="AD217" s="1237"/>
      <c r="AE217" s="1237"/>
      <c r="AF217" s="1237"/>
      <c r="AG217" s="1237"/>
      <c r="AH217" s="1207"/>
    </row>
    <row r="218" spans="1:34" x14ac:dyDescent="0.2">
      <c r="A218" s="1236" t="s">
        <v>17</v>
      </c>
      <c r="B218" s="1249"/>
      <c r="C218" s="1237"/>
      <c r="D218" s="1237"/>
      <c r="E218" s="1237"/>
      <c r="F218" s="1237"/>
      <c r="G218" s="1237"/>
      <c r="H218" s="1237"/>
      <c r="I218" s="1237"/>
      <c r="J218" s="1237"/>
      <c r="K218" s="1237"/>
      <c r="L218" s="1237"/>
      <c r="M218" s="1237"/>
      <c r="N218" s="1237"/>
      <c r="O218" s="1237"/>
      <c r="P218" s="1241"/>
      <c r="Q218" s="1237"/>
      <c r="R218" s="1237"/>
      <c r="S218" s="1237"/>
      <c r="T218" s="1237"/>
      <c r="U218" s="1237"/>
      <c r="V218" s="1237"/>
      <c r="W218" s="1237"/>
      <c r="X218" s="1237"/>
      <c r="Y218" s="1237"/>
      <c r="Z218" s="1237"/>
      <c r="AA218" s="1237"/>
      <c r="AB218" s="1237"/>
      <c r="AC218" s="1237"/>
      <c r="AD218" s="1237"/>
      <c r="AE218" s="1237"/>
      <c r="AF218" s="1237"/>
      <c r="AG218" s="1237"/>
      <c r="AH218" s="1207"/>
    </row>
    <row r="219" spans="1:34" ht="13.5" thickBot="1" x14ac:dyDescent="0.25">
      <c r="A219" s="1250"/>
      <c r="B219" s="1251"/>
      <c r="C219" s="1237"/>
      <c r="D219" s="1237"/>
      <c r="E219" s="1237"/>
      <c r="F219" s="1237"/>
      <c r="G219" s="1237"/>
      <c r="H219" s="1237"/>
      <c r="I219" s="1237"/>
      <c r="J219" s="1237"/>
      <c r="K219" s="1237"/>
      <c r="L219" s="1237"/>
      <c r="M219" s="1237"/>
      <c r="N219" s="1237"/>
      <c r="O219" s="1237"/>
      <c r="P219" s="1241"/>
      <c r="Q219" s="1237"/>
      <c r="R219" s="1237"/>
      <c r="S219" s="1237"/>
      <c r="T219" s="1237"/>
      <c r="U219" s="1237"/>
      <c r="V219" s="1237"/>
      <c r="W219" s="1237"/>
      <c r="X219" s="1258"/>
      <c r="Y219" s="1237"/>
      <c r="Z219" s="1237"/>
      <c r="AA219" s="1237"/>
      <c r="AB219" s="1237"/>
      <c r="AC219" s="1237"/>
      <c r="AD219" s="1237"/>
      <c r="AE219" s="1237"/>
      <c r="AF219" s="1237"/>
      <c r="AG219" s="1237"/>
      <c r="AH219" s="1207"/>
    </row>
    <row r="220" spans="1:34" x14ac:dyDescent="0.2">
      <c r="A220" s="1233"/>
      <c r="B220" s="1253"/>
      <c r="C220" s="1212"/>
      <c r="D220" s="1707"/>
      <c r="E220" s="1707"/>
      <c r="F220" s="1237"/>
      <c r="G220" s="1706"/>
      <c r="H220" s="1707"/>
      <c r="I220" s="1707"/>
      <c r="J220" s="1707"/>
      <c r="K220" s="1707"/>
      <c r="L220" s="1753"/>
      <c r="M220" s="1753"/>
      <c r="N220" s="1237"/>
      <c r="O220" s="1237"/>
      <c r="P220" s="1212"/>
      <c r="Q220" s="1212"/>
      <c r="R220" s="1237"/>
      <c r="S220" s="1237"/>
      <c r="T220" s="1237"/>
      <c r="U220" s="1237"/>
      <c r="V220" s="1237"/>
      <c r="W220" s="1237"/>
      <c r="X220" s="1237"/>
      <c r="Y220" s="1237"/>
      <c r="Z220" s="1237"/>
      <c r="AA220" s="1237"/>
      <c r="AB220" s="1237"/>
      <c r="AC220" s="1256"/>
      <c r="AD220" s="1369"/>
      <c r="AE220" s="1707"/>
      <c r="AF220" s="1707"/>
      <c r="AH220" s="1207"/>
    </row>
    <row r="221" spans="1:34" x14ac:dyDescent="0.2">
      <c r="A221" s="1236" t="s">
        <v>5</v>
      </c>
      <c r="B221" s="1249">
        <f>B215-B218</f>
        <v>139501.23300000001</v>
      </c>
      <c r="C221" s="1212"/>
      <c r="D221" s="1707" t="s">
        <v>836</v>
      </c>
      <c r="E221" s="1392" t="s">
        <v>1502</v>
      </c>
      <c r="F221" s="1732" t="s">
        <v>1503</v>
      </c>
      <c r="G221" s="1706"/>
      <c r="H221" s="1707"/>
      <c r="I221" s="1707"/>
      <c r="J221" s="1707"/>
      <c r="L221" s="1707"/>
      <c r="M221" s="1707"/>
      <c r="N221" s="1707"/>
      <c r="O221" s="1212"/>
      <c r="P221" s="1212" t="s">
        <v>1476</v>
      </c>
      <c r="Q221" s="1212"/>
      <c r="R221" s="1565"/>
      <c r="S221" s="1707"/>
      <c r="T221" s="1707"/>
      <c r="U221" s="1707" t="s">
        <v>319</v>
      </c>
      <c r="V221" s="1707"/>
      <c r="W221" s="1237"/>
      <c r="X221" s="1258"/>
      <c r="Y221" s="1706"/>
      <c r="Z221" s="1237"/>
      <c r="AA221" s="1707"/>
      <c r="AB221" s="1707"/>
      <c r="AC221" s="1707"/>
      <c r="AD221" s="1369"/>
      <c r="AE221" s="1707" t="s">
        <v>1216</v>
      </c>
      <c r="AF221" s="1707"/>
      <c r="AG221" s="1370"/>
      <c r="AH221" s="1207"/>
    </row>
    <row r="222" spans="1:34" ht="13.5" thickBot="1" x14ac:dyDescent="0.25">
      <c r="A222" s="1250"/>
      <c r="B222" s="1251"/>
      <c r="D222" s="1237"/>
      <c r="E222" s="1237"/>
      <c r="F222" s="1237"/>
      <c r="G222" s="1237"/>
      <c r="H222" s="1707"/>
      <c r="I222" s="1237"/>
      <c r="J222" s="1707"/>
      <c r="K222" s="1237"/>
      <c r="L222" s="1237"/>
      <c r="M222" s="1237"/>
      <c r="N222" s="1237"/>
      <c r="O222" s="1237"/>
      <c r="P222" s="1241"/>
      <c r="Q222" s="1237"/>
      <c r="R222" s="1237"/>
      <c r="S222" s="1237"/>
      <c r="T222" s="1237"/>
      <c r="U222" s="1707"/>
      <c r="V222" s="1237"/>
      <c r="W222" s="1237"/>
      <c r="X222" s="1237"/>
      <c r="Y222" s="1237"/>
      <c r="Z222" s="1237"/>
      <c r="AA222" s="1237"/>
      <c r="AB222" s="1237"/>
      <c r="AC222" s="1237"/>
      <c r="AD222" s="1237"/>
      <c r="AE222" s="1237"/>
      <c r="AF222" s="1237"/>
      <c r="AG222" s="1237"/>
      <c r="AH222" s="1207"/>
    </row>
    <row r="223" spans="1:34" x14ac:dyDescent="0.2">
      <c r="A223" s="1269"/>
      <c r="B223" s="1237"/>
      <c r="C223" s="1270"/>
      <c r="D223" s="1272"/>
      <c r="E223" s="1271"/>
      <c r="F223" s="1271"/>
      <c r="G223" s="1271"/>
      <c r="H223" s="1271"/>
      <c r="I223" s="1271"/>
      <c r="J223" s="1271"/>
      <c r="K223" s="1271"/>
      <c r="L223" s="1271"/>
      <c r="M223" s="1271"/>
      <c r="N223" s="1271"/>
      <c r="O223" s="1271"/>
      <c r="P223" s="1273"/>
      <c r="Q223" s="1271"/>
      <c r="R223" s="1271"/>
      <c r="S223" s="1271"/>
      <c r="T223" s="1271"/>
      <c r="U223" s="1271"/>
      <c r="V223" s="1271"/>
      <c r="W223" s="1271"/>
      <c r="X223" s="1271"/>
      <c r="Y223" s="1271"/>
      <c r="Z223" s="1271"/>
      <c r="AA223" s="1271"/>
      <c r="AB223" s="1271"/>
      <c r="AC223" s="1271"/>
      <c r="AD223" s="1271"/>
      <c r="AE223" s="1271"/>
      <c r="AF223" s="1271"/>
      <c r="AG223" s="1271"/>
      <c r="AH223" s="1207"/>
    </row>
    <row r="224" spans="1:34" ht="13.5" thickBot="1" x14ac:dyDescent="0.25">
      <c r="A224" s="1274" t="s">
        <v>7</v>
      </c>
      <c r="B224" s="1237"/>
      <c r="C224" s="1275">
        <f t="shared" ref="C224:AG224" si="25">C225+C226+C227+C229+C228</f>
        <v>0</v>
      </c>
      <c r="D224" s="1275">
        <f t="shared" si="25"/>
        <v>71869.929999999993</v>
      </c>
      <c r="E224" s="1275">
        <f t="shared" si="25"/>
        <v>2964.241</v>
      </c>
      <c r="F224" s="1275">
        <f t="shared" si="25"/>
        <v>36622.883999999998</v>
      </c>
      <c r="G224" s="1275">
        <f t="shared" si="25"/>
        <v>0</v>
      </c>
      <c r="H224" s="1275">
        <f t="shared" si="25"/>
        <v>0</v>
      </c>
      <c r="I224" s="1275">
        <f t="shared" si="25"/>
        <v>0</v>
      </c>
      <c r="J224" s="1275">
        <f t="shared" si="25"/>
        <v>0</v>
      </c>
      <c r="K224" s="1275">
        <f t="shared" si="25"/>
        <v>0</v>
      </c>
      <c r="L224" s="1275">
        <f t="shared" si="25"/>
        <v>0</v>
      </c>
      <c r="M224" s="1275">
        <f t="shared" si="25"/>
        <v>0</v>
      </c>
      <c r="N224" s="1275">
        <f t="shared" si="25"/>
        <v>0</v>
      </c>
      <c r="O224" s="1275">
        <f t="shared" si="25"/>
        <v>0</v>
      </c>
      <c r="P224" s="1276">
        <f t="shared" si="25"/>
        <v>0</v>
      </c>
      <c r="Q224" s="1275">
        <f t="shared" si="25"/>
        <v>0</v>
      </c>
      <c r="R224" s="1275">
        <f t="shared" si="25"/>
        <v>0</v>
      </c>
      <c r="S224" s="1275">
        <f t="shared" si="25"/>
        <v>0</v>
      </c>
      <c r="T224" s="1275">
        <f t="shared" si="25"/>
        <v>0</v>
      </c>
      <c r="U224" s="1275">
        <f t="shared" si="25"/>
        <v>35000</v>
      </c>
      <c r="V224" s="1275">
        <f t="shared" si="25"/>
        <v>0</v>
      </c>
      <c r="W224" s="1275">
        <f>W225+W226+W227+W229+W228</f>
        <v>0</v>
      </c>
      <c r="X224" s="1275">
        <f t="shared" si="25"/>
        <v>0</v>
      </c>
      <c r="Y224" s="1275">
        <f t="shared" si="25"/>
        <v>0</v>
      </c>
      <c r="Z224" s="1275">
        <f t="shared" si="25"/>
        <v>0</v>
      </c>
      <c r="AA224" s="1275">
        <f t="shared" si="25"/>
        <v>0</v>
      </c>
      <c r="AB224" s="1275">
        <f t="shared" si="25"/>
        <v>0</v>
      </c>
      <c r="AC224" s="1275">
        <f t="shared" si="25"/>
        <v>0</v>
      </c>
      <c r="AD224" s="1275">
        <f t="shared" si="25"/>
        <v>0</v>
      </c>
      <c r="AE224" s="1275">
        <f t="shared" si="25"/>
        <v>10285.376</v>
      </c>
      <c r="AF224" s="1275">
        <f t="shared" si="25"/>
        <v>0</v>
      </c>
      <c r="AG224" s="1275">
        <f t="shared" si="25"/>
        <v>0</v>
      </c>
      <c r="AH224" s="1227">
        <f>SUM(C224:AG224)</f>
        <v>156742.43099999998</v>
      </c>
    </row>
    <row r="225" spans="1:34" x14ac:dyDescent="0.2">
      <c r="A225" s="1274" t="s">
        <v>8</v>
      </c>
      <c r="B225" s="1389"/>
      <c r="C225" s="1302"/>
      <c r="D225" s="1302"/>
      <c r="E225" s="1303">
        <v>2964.241</v>
      </c>
      <c r="F225" s="1303">
        <f>3144.317+37.346+2791.336+433.758+3665.696+8848.441+5232.771+7662.467+1038.538+3768.214</f>
        <v>36622.883999999998</v>
      </c>
      <c r="G225" s="1303"/>
      <c r="H225" s="1303"/>
      <c r="I225" s="1303"/>
      <c r="J225" s="1303"/>
      <c r="K225" s="1303"/>
      <c r="L225" s="1303"/>
      <c r="M225" s="1303"/>
      <c r="N225" s="1303"/>
      <c r="O225" s="1303"/>
      <c r="P225" s="1304"/>
      <c r="Q225" s="1303"/>
      <c r="R225" s="1303"/>
      <c r="S225" s="1303"/>
      <c r="T225" s="1303"/>
      <c r="U225" s="1303"/>
      <c r="V225" s="1303"/>
      <c r="W225" s="1303"/>
      <c r="X225" s="1303"/>
      <c r="Y225" s="1303"/>
      <c r="Z225" s="1303"/>
      <c r="AA225" s="1303"/>
      <c r="AB225" s="1303"/>
      <c r="AC225" s="1303"/>
      <c r="AD225" s="1303"/>
      <c r="AE225" s="1303"/>
      <c r="AF225" s="1303"/>
      <c r="AG225" s="1303"/>
      <c r="AH225" s="1227">
        <f>SUM(C225:AG225)</f>
        <v>39587.125</v>
      </c>
    </row>
    <row r="226" spans="1:34" x14ac:dyDescent="0.2">
      <c r="A226" s="1274" t="s">
        <v>9</v>
      </c>
      <c r="B226" s="1389"/>
      <c r="C226" s="1302"/>
      <c r="D226" s="1302"/>
      <c r="E226" s="1303"/>
      <c r="F226" s="1303"/>
      <c r="G226" s="1303"/>
      <c r="H226" s="1303"/>
      <c r="I226" s="1303"/>
      <c r="J226" s="1303"/>
      <c r="K226" s="1303"/>
      <c r="L226" s="1303"/>
      <c r="M226" s="1319"/>
      <c r="N226" s="1303"/>
      <c r="O226" s="1303"/>
      <c r="P226" s="1304"/>
      <c r="Q226" s="1303"/>
      <c r="R226" s="1303"/>
      <c r="S226" s="1303"/>
      <c r="T226" s="1303"/>
      <c r="U226" s="1303"/>
      <c r="V226" s="1454"/>
      <c r="W226" s="1443"/>
      <c r="X226" s="1303"/>
      <c r="Y226" s="1303"/>
      <c r="Z226" s="1303"/>
      <c r="AA226" s="1303"/>
      <c r="AB226" s="1303"/>
      <c r="AC226" s="1303"/>
      <c r="AD226" s="1303"/>
      <c r="AE226" s="1303"/>
      <c r="AF226" s="1303"/>
      <c r="AG226" s="1303"/>
      <c r="AH226" s="1227">
        <f>SUM(C226:AG226)</f>
        <v>0</v>
      </c>
    </row>
    <row r="227" spans="1:34" s="1289" customFormat="1" x14ac:dyDescent="0.2">
      <c r="A227" s="1285" t="s">
        <v>10</v>
      </c>
      <c r="B227" s="1372"/>
      <c r="C227" s="1374"/>
      <c r="D227" s="1374"/>
      <c r="E227" s="1375"/>
      <c r="F227" s="1375"/>
      <c r="G227" s="1375"/>
      <c r="H227" s="1375"/>
      <c r="I227" s="1390"/>
      <c r="J227" s="1375"/>
      <c r="K227" s="1375"/>
      <c r="L227" s="1391"/>
      <c r="M227" s="1375"/>
      <c r="N227" s="1375"/>
      <c r="O227" s="1375"/>
      <c r="P227" s="1375"/>
      <c r="Q227" s="1375"/>
      <c r="R227" s="1375"/>
      <c r="S227" s="1375"/>
      <c r="T227" s="1375"/>
      <c r="U227" s="1375">
        <v>35000</v>
      </c>
      <c r="V227" s="1375"/>
      <c r="W227" s="1375"/>
      <c r="X227" s="1375"/>
      <c r="Y227" s="1375"/>
      <c r="Z227" s="1375"/>
      <c r="AA227" s="1375"/>
      <c r="AB227" s="1375"/>
      <c r="AC227" s="1375"/>
      <c r="AD227" s="1378"/>
      <c r="AE227" s="1375"/>
      <c r="AF227" s="1375"/>
      <c r="AG227" s="1375"/>
      <c r="AH227" s="1231">
        <f>SUM(C227:AG227)</f>
        <v>35000</v>
      </c>
    </row>
    <row r="228" spans="1:34" s="1289" customFormat="1" x14ac:dyDescent="0.2">
      <c r="A228" s="1285" t="s">
        <v>356</v>
      </c>
      <c r="B228" s="1372"/>
      <c r="C228" s="1493"/>
      <c r="D228" s="1493">
        <v>71869.929999999993</v>
      </c>
      <c r="E228" s="1493"/>
      <c r="F228" s="1493"/>
      <c r="G228" s="1493"/>
      <c r="H228" s="1493"/>
      <c r="I228" s="1493"/>
      <c r="J228" s="1493"/>
      <c r="K228" s="1493"/>
      <c r="L228" s="1493"/>
      <c r="M228" s="1493"/>
      <c r="N228" s="1493"/>
      <c r="O228" s="1493"/>
      <c r="P228" s="1493">
        <v>25000</v>
      </c>
      <c r="Q228" s="1493"/>
      <c r="R228" s="1493"/>
      <c r="S228" s="1493"/>
      <c r="T228" s="1493"/>
      <c r="U228" s="1493"/>
      <c r="V228" s="1493"/>
      <c r="W228" s="1493"/>
      <c r="X228" s="1493"/>
      <c r="Y228" s="1493"/>
      <c r="Z228" s="1493"/>
      <c r="AA228" s="1493"/>
      <c r="AB228" s="1493"/>
      <c r="AC228" s="1493"/>
      <c r="AD228" s="1493"/>
      <c r="AE228" s="1493"/>
      <c r="AF228" s="1493"/>
      <c r="AG228" s="1493"/>
      <c r="AH228" s="1456">
        <f>SUM(C228:AG228)</f>
        <v>96869.93</v>
      </c>
    </row>
    <row r="229" spans="1:34" x14ac:dyDescent="0.2">
      <c r="A229" s="1274" t="s">
        <v>11</v>
      </c>
      <c r="B229" s="1237"/>
      <c r="C229" s="1302"/>
      <c r="D229" s="1306"/>
      <c r="E229" s="1306"/>
      <c r="F229" s="1304"/>
      <c r="G229" s="1304"/>
      <c r="H229" s="1304"/>
      <c r="I229" s="1304"/>
      <c r="J229" s="1304"/>
      <c r="K229" s="1304"/>
      <c r="L229" s="1304"/>
      <c r="M229" s="1574"/>
      <c r="N229" s="1304"/>
      <c r="O229" s="1304"/>
      <c r="P229" s="1304">
        <v>-25000</v>
      </c>
      <c r="Q229" s="1304"/>
      <c r="R229" s="1304"/>
      <c r="S229" s="1304"/>
      <c r="T229" s="1304"/>
      <c r="U229" s="1304"/>
      <c r="V229" s="1304"/>
      <c r="W229" s="1304"/>
      <c r="X229" s="1304"/>
      <c r="Y229" s="1304"/>
      <c r="Z229" s="1304"/>
      <c r="AA229" s="1304"/>
      <c r="AB229" s="1304"/>
      <c r="AC229" s="1304"/>
      <c r="AD229" s="1304"/>
      <c r="AE229" s="1304">
        <v>10285.376</v>
      </c>
      <c r="AF229" s="1473"/>
      <c r="AG229" s="1454"/>
      <c r="AH229" s="1207"/>
    </row>
    <row r="230" spans="1:34" ht="13.5" thickBot="1" x14ac:dyDescent="0.25">
      <c r="A230" s="1294"/>
      <c r="B230" s="1237"/>
      <c r="C230" s="1302"/>
      <c r="D230" s="1302"/>
      <c r="E230" s="1302"/>
      <c r="F230" s="1303"/>
      <c r="G230" s="1303"/>
      <c r="H230" s="1303"/>
      <c r="I230" s="1303"/>
      <c r="J230" s="1303"/>
      <c r="K230" s="1303"/>
      <c r="L230" s="1303"/>
      <c r="M230" s="1303"/>
      <c r="N230" s="1303"/>
      <c r="O230" s="1303"/>
      <c r="P230" s="1304"/>
      <c r="Q230" s="1303"/>
      <c r="R230" s="1303"/>
      <c r="S230" s="1303"/>
      <c r="T230" s="1303"/>
      <c r="U230" s="1303"/>
      <c r="V230" s="1303"/>
      <c r="W230" s="1303"/>
      <c r="X230" s="1303"/>
      <c r="Y230" s="1303"/>
      <c r="Z230" s="1303"/>
      <c r="AA230" s="1303"/>
      <c r="AB230" s="1303"/>
      <c r="AC230" s="1303"/>
      <c r="AD230" s="1303"/>
      <c r="AE230" s="1303"/>
      <c r="AF230" s="1303"/>
      <c r="AG230" s="1303"/>
      <c r="AH230" s="1207"/>
    </row>
    <row r="231" spans="1:34" x14ac:dyDescent="0.2">
      <c r="A231" s="1269"/>
      <c r="B231" s="1237"/>
      <c r="C231" s="1296"/>
      <c r="D231" s="1297"/>
      <c r="E231" s="1297"/>
      <c r="F231" s="1298"/>
      <c r="G231" s="1298"/>
      <c r="H231" s="1298"/>
      <c r="I231" s="1298"/>
      <c r="J231" s="1298"/>
      <c r="K231" s="1298"/>
      <c r="L231" s="1298"/>
      <c r="M231" s="1298"/>
      <c r="N231" s="1298"/>
      <c r="O231" s="1298"/>
      <c r="P231" s="1299"/>
      <c r="Q231" s="1298"/>
      <c r="R231" s="1298"/>
      <c r="S231" s="1298"/>
      <c r="T231" s="1298"/>
      <c r="U231" s="1298"/>
      <c r="V231" s="1298"/>
      <c r="W231" s="1298"/>
      <c r="X231" s="1298"/>
      <c r="Y231" s="1298"/>
      <c r="Z231" s="1298"/>
      <c r="AA231" s="1298"/>
      <c r="AB231" s="1298"/>
      <c r="AC231" s="1298"/>
      <c r="AD231" s="1298"/>
      <c r="AE231" s="1298"/>
      <c r="AF231" s="1298"/>
      <c r="AG231" s="1298"/>
      <c r="AH231" s="1207"/>
    </row>
    <row r="232" spans="1:34" ht="13.5" thickBot="1" x14ac:dyDescent="0.25">
      <c r="A232" s="1274" t="s">
        <v>12</v>
      </c>
      <c r="B232" s="1237"/>
      <c r="C232" s="1275">
        <f t="shared" ref="C232:AG232" si="26">C233</f>
        <v>0</v>
      </c>
      <c r="D232" s="1275">
        <f t="shared" si="26"/>
        <v>0</v>
      </c>
      <c r="E232" s="1275">
        <f t="shared" si="26"/>
        <v>0</v>
      </c>
      <c r="F232" s="1275">
        <f t="shared" si="26"/>
        <v>0</v>
      </c>
      <c r="G232" s="1275">
        <f t="shared" si="26"/>
        <v>0</v>
      </c>
      <c r="H232" s="1275">
        <f t="shared" si="26"/>
        <v>0</v>
      </c>
      <c r="I232" s="1275">
        <f t="shared" si="26"/>
        <v>0</v>
      </c>
      <c r="J232" s="1275">
        <f t="shared" si="26"/>
        <v>0</v>
      </c>
      <c r="K232" s="1275">
        <f t="shared" si="26"/>
        <v>0</v>
      </c>
      <c r="L232" s="1275">
        <f t="shared" si="26"/>
        <v>0</v>
      </c>
      <c r="M232" s="1275">
        <f t="shared" si="26"/>
        <v>0</v>
      </c>
      <c r="N232" s="1275">
        <f t="shared" si="26"/>
        <v>0</v>
      </c>
      <c r="O232" s="1275">
        <f t="shared" si="26"/>
        <v>0</v>
      </c>
      <c r="P232" s="1276">
        <f t="shared" si="26"/>
        <v>0</v>
      </c>
      <c r="Q232" s="1275">
        <f t="shared" si="26"/>
        <v>0</v>
      </c>
      <c r="R232" s="1275">
        <f t="shared" si="26"/>
        <v>0</v>
      </c>
      <c r="S232" s="1275">
        <f t="shared" si="26"/>
        <v>0</v>
      </c>
      <c r="T232" s="1275">
        <f t="shared" si="26"/>
        <v>0</v>
      </c>
      <c r="U232" s="1275">
        <f t="shared" si="26"/>
        <v>0</v>
      </c>
      <c r="V232" s="1275">
        <f t="shared" si="26"/>
        <v>0</v>
      </c>
      <c r="W232" s="1275">
        <f t="shared" si="26"/>
        <v>0</v>
      </c>
      <c r="X232" s="1275">
        <f t="shared" si="26"/>
        <v>0</v>
      </c>
      <c r="Y232" s="1275">
        <f t="shared" si="26"/>
        <v>0</v>
      </c>
      <c r="Z232" s="1275">
        <f t="shared" si="26"/>
        <v>0</v>
      </c>
      <c r="AA232" s="1275">
        <f t="shared" si="26"/>
        <v>0</v>
      </c>
      <c r="AB232" s="1275">
        <f t="shared" si="26"/>
        <v>0</v>
      </c>
      <c r="AC232" s="1275">
        <f t="shared" si="26"/>
        <v>0</v>
      </c>
      <c r="AD232" s="1275">
        <f t="shared" si="26"/>
        <v>0</v>
      </c>
      <c r="AE232" s="1275">
        <f t="shared" si="26"/>
        <v>0</v>
      </c>
      <c r="AF232" s="1275">
        <f t="shared" si="26"/>
        <v>0</v>
      </c>
      <c r="AG232" s="1275">
        <f t="shared" si="26"/>
        <v>0</v>
      </c>
      <c r="AH232" s="1207"/>
    </row>
    <row r="233" spans="1:34" x14ac:dyDescent="0.2">
      <c r="A233" s="1274" t="s">
        <v>8</v>
      </c>
      <c r="B233" s="1237"/>
      <c r="C233" s="1302"/>
      <c r="D233" s="1302"/>
      <c r="E233" s="1302"/>
      <c r="F233" s="1303"/>
      <c r="G233" s="1303"/>
      <c r="H233" s="1303"/>
      <c r="I233" s="1303"/>
      <c r="J233" s="1303"/>
      <c r="K233" s="1303"/>
      <c r="L233" s="1303"/>
      <c r="M233" s="1303"/>
      <c r="N233" s="1303"/>
      <c r="O233" s="1303"/>
      <c r="P233" s="1304"/>
      <c r="Q233" s="1303"/>
      <c r="R233" s="1303"/>
      <c r="S233" s="1303"/>
      <c r="T233" s="1303"/>
      <c r="U233" s="1303"/>
      <c r="V233" s="1303"/>
      <c r="W233" s="1303"/>
      <c r="X233" s="1303"/>
      <c r="Y233" s="1303"/>
      <c r="Z233" s="1303"/>
      <c r="AA233" s="1303"/>
      <c r="AB233" s="1303"/>
      <c r="AC233" s="1303"/>
      <c r="AD233" s="1303"/>
      <c r="AE233" s="1303"/>
      <c r="AF233" s="1303"/>
      <c r="AG233" s="1303"/>
      <c r="AH233" s="1207"/>
    </row>
    <row r="234" spans="1:34" x14ac:dyDescent="0.2">
      <c r="A234" s="1274" t="s">
        <v>775</v>
      </c>
      <c r="B234" s="1237"/>
      <c r="C234" s="1293"/>
      <c r="D234" s="1293"/>
      <c r="E234" s="1293"/>
      <c r="F234" s="1293"/>
      <c r="G234" s="1293"/>
      <c r="H234" s="1293"/>
      <c r="I234" s="1293"/>
      <c r="J234" s="1293"/>
      <c r="K234" s="1293"/>
      <c r="L234" s="1293">
        <v>2417.5749999999998</v>
      </c>
      <c r="M234" s="1293"/>
      <c r="N234" s="1293">
        <v>1500</v>
      </c>
      <c r="O234" s="1293"/>
      <c r="P234" s="1293">
        <v>1500</v>
      </c>
      <c r="Q234" s="1293">
        <v>5137.57</v>
      </c>
      <c r="R234" s="1293"/>
      <c r="S234" s="1293"/>
      <c r="T234" s="1293"/>
      <c r="U234" s="1293"/>
      <c r="V234" s="1293">
        <v>2417.5749999999998</v>
      </c>
      <c r="W234" s="1293">
        <v>2130</v>
      </c>
      <c r="X234" s="1293"/>
      <c r="Y234" s="1293"/>
      <c r="Z234" s="1293"/>
      <c r="AA234" s="1293">
        <v>2133.4449999999997</v>
      </c>
      <c r="AB234" s="1293"/>
      <c r="AC234" s="1293">
        <v>973.90499999999997</v>
      </c>
      <c r="AD234" s="1293">
        <v>1328.6</v>
      </c>
      <c r="AE234" s="1293">
        <v>4083.1909999999998</v>
      </c>
      <c r="AF234" s="1293">
        <v>6070.2350000000006</v>
      </c>
      <c r="AG234" s="1293"/>
      <c r="AH234" s="1455">
        <f>SUM(C234:AG234)</f>
        <v>29692.095999999998</v>
      </c>
    </row>
    <row r="235" spans="1:34" ht="13.5" thickBot="1" x14ac:dyDescent="0.25">
      <c r="A235" s="1294"/>
      <c r="B235" s="1237"/>
      <c r="C235" s="1302"/>
      <c r="D235" s="1302"/>
      <c r="E235" s="1302"/>
      <c r="F235" s="1303"/>
      <c r="G235" s="1303"/>
      <c r="H235" s="1303"/>
      <c r="I235" s="1303"/>
      <c r="J235" s="1303"/>
      <c r="K235" s="1303"/>
      <c r="L235" s="1303"/>
      <c r="M235" s="1303"/>
      <c r="N235" s="1303"/>
      <c r="O235" s="1303"/>
      <c r="P235" s="1304"/>
      <c r="Q235" s="1303"/>
      <c r="R235" s="1303"/>
      <c r="S235" s="1303"/>
      <c r="T235" s="1303"/>
      <c r="U235" s="1303"/>
      <c r="V235" s="1303"/>
      <c r="W235" s="1303"/>
      <c r="X235" s="1303"/>
      <c r="Y235" s="1303"/>
      <c r="Z235" s="1303"/>
      <c r="AA235" s="1303"/>
      <c r="AB235" s="1303"/>
      <c r="AC235" s="1303"/>
      <c r="AD235" s="1303"/>
      <c r="AE235" s="1303"/>
      <c r="AF235" s="1303"/>
      <c r="AG235" s="1303"/>
      <c r="AH235" s="1207"/>
    </row>
    <row r="236" spans="1:34" x14ac:dyDescent="0.2">
      <c r="A236" s="1269"/>
      <c r="B236" s="1237"/>
      <c r="C236" s="1296"/>
      <c r="D236" s="1297"/>
      <c r="E236" s="1297"/>
      <c r="F236" s="1298"/>
      <c r="G236" s="1298"/>
      <c r="H236" s="1298"/>
      <c r="I236" s="1298"/>
      <c r="J236" s="1298"/>
      <c r="K236" s="1298"/>
      <c r="L236" s="1298"/>
      <c r="M236" s="1298"/>
      <c r="N236" s="1298"/>
      <c r="O236" s="1298"/>
      <c r="P236" s="1299"/>
      <c r="Q236" s="1298"/>
      <c r="R236" s="1298"/>
      <c r="S236" s="1298"/>
      <c r="T236" s="1298"/>
      <c r="U236" s="1298"/>
      <c r="V236" s="1298"/>
      <c r="W236" s="1298"/>
      <c r="X236" s="1298"/>
      <c r="Y236" s="1298"/>
      <c r="Z236" s="1298"/>
      <c r="AA236" s="1298"/>
      <c r="AB236" s="1298"/>
      <c r="AC236" s="1298"/>
      <c r="AD236" s="1298"/>
      <c r="AE236" s="1298"/>
      <c r="AF236" s="1298"/>
      <c r="AG236" s="1298"/>
      <c r="AH236" s="1207"/>
    </row>
    <row r="237" spans="1:34" x14ac:dyDescent="0.2">
      <c r="A237" s="1274" t="s">
        <v>13</v>
      </c>
      <c r="B237" s="1237"/>
      <c r="C237" s="1300">
        <f t="shared" ref="C237:AG237" si="27">C232-C224</f>
        <v>0</v>
      </c>
      <c r="D237" s="1300">
        <f t="shared" si="27"/>
        <v>-71869.929999999993</v>
      </c>
      <c r="E237" s="1300">
        <f t="shared" si="27"/>
        <v>-2964.241</v>
      </c>
      <c r="F237" s="1300">
        <f t="shared" si="27"/>
        <v>-36622.883999999998</v>
      </c>
      <c r="G237" s="1300">
        <f t="shared" si="27"/>
        <v>0</v>
      </c>
      <c r="H237" s="1300">
        <f t="shared" si="27"/>
        <v>0</v>
      </c>
      <c r="I237" s="1300">
        <f t="shared" si="27"/>
        <v>0</v>
      </c>
      <c r="J237" s="1300">
        <f t="shared" si="27"/>
        <v>0</v>
      </c>
      <c r="K237" s="1300">
        <f t="shared" si="27"/>
        <v>0</v>
      </c>
      <c r="L237" s="1300">
        <f t="shared" si="27"/>
        <v>0</v>
      </c>
      <c r="M237" s="1300">
        <f t="shared" si="27"/>
        <v>0</v>
      </c>
      <c r="N237" s="1300">
        <f t="shared" si="27"/>
        <v>0</v>
      </c>
      <c r="O237" s="1300">
        <f t="shared" si="27"/>
        <v>0</v>
      </c>
      <c r="P237" s="1301">
        <f t="shared" si="27"/>
        <v>0</v>
      </c>
      <c r="Q237" s="1300">
        <f t="shared" si="27"/>
        <v>0</v>
      </c>
      <c r="R237" s="1300">
        <f t="shared" si="27"/>
        <v>0</v>
      </c>
      <c r="S237" s="1300">
        <f t="shared" si="27"/>
        <v>0</v>
      </c>
      <c r="T237" s="1300">
        <f t="shared" si="27"/>
        <v>0</v>
      </c>
      <c r="U237" s="1300">
        <f t="shared" si="27"/>
        <v>-35000</v>
      </c>
      <c r="V237" s="1300">
        <f t="shared" si="27"/>
        <v>0</v>
      </c>
      <c r="W237" s="1300">
        <f t="shared" si="27"/>
        <v>0</v>
      </c>
      <c r="X237" s="1300">
        <f t="shared" si="27"/>
        <v>0</v>
      </c>
      <c r="Y237" s="1300">
        <f t="shared" si="27"/>
        <v>0</v>
      </c>
      <c r="Z237" s="1300">
        <f t="shared" si="27"/>
        <v>0</v>
      </c>
      <c r="AA237" s="1300">
        <f t="shared" si="27"/>
        <v>0</v>
      </c>
      <c r="AB237" s="1300">
        <f t="shared" si="27"/>
        <v>0</v>
      </c>
      <c r="AC237" s="1300">
        <f t="shared" si="27"/>
        <v>0</v>
      </c>
      <c r="AD237" s="1300">
        <f t="shared" si="27"/>
        <v>0</v>
      </c>
      <c r="AE237" s="1300">
        <f t="shared" si="27"/>
        <v>-10285.376</v>
      </c>
      <c r="AF237" s="1300">
        <f t="shared" si="27"/>
        <v>0</v>
      </c>
      <c r="AG237" s="1300">
        <f t="shared" si="27"/>
        <v>0</v>
      </c>
      <c r="AH237" s="1207"/>
    </row>
    <row r="238" spans="1:34" ht="13.5" thickBot="1" x14ac:dyDescent="0.25">
      <c r="A238" s="1274"/>
      <c r="B238" s="1237"/>
      <c r="C238" s="1300"/>
      <c r="D238" s="1302"/>
      <c r="E238" s="1302"/>
      <c r="F238" s="1303"/>
      <c r="G238" s="1303"/>
      <c r="H238" s="1303"/>
      <c r="I238" s="1303"/>
      <c r="J238" s="1303"/>
      <c r="K238" s="1303"/>
      <c r="L238" s="1303"/>
      <c r="M238" s="1303"/>
      <c r="N238" s="1303"/>
      <c r="O238" s="1303"/>
      <c r="P238" s="1304"/>
      <c r="Q238" s="1303"/>
      <c r="R238" s="1303"/>
      <c r="S238" s="1303"/>
      <c r="T238" s="1303"/>
      <c r="U238" s="1303"/>
      <c r="V238" s="1303"/>
      <c r="W238" s="1303"/>
      <c r="X238" s="1303"/>
      <c r="Y238" s="1303"/>
      <c r="Z238" s="1303"/>
      <c r="AA238" s="1303"/>
      <c r="AB238" s="1303"/>
      <c r="AC238" s="1303"/>
      <c r="AD238" s="1303"/>
      <c r="AE238" s="1303"/>
      <c r="AF238" s="1303"/>
      <c r="AG238" s="1303"/>
      <c r="AH238" s="1207"/>
    </row>
    <row r="239" spans="1:34" x14ac:dyDescent="0.2">
      <c r="A239" s="1233"/>
      <c r="B239" s="1234"/>
      <c r="C239" s="1305"/>
      <c r="D239" s="1297"/>
      <c r="E239" s="1297"/>
      <c r="F239" s="1298"/>
      <c r="G239" s="1298"/>
      <c r="H239" s="1298"/>
      <c r="I239" s="1298"/>
      <c r="J239" s="1298"/>
      <c r="K239" s="1298"/>
      <c r="L239" s="1298"/>
      <c r="M239" s="1298"/>
      <c r="N239" s="1298"/>
      <c r="O239" s="1298"/>
      <c r="P239" s="1299"/>
      <c r="Q239" s="1298"/>
      <c r="R239" s="1298"/>
      <c r="S239" s="1298"/>
      <c r="T239" s="1298"/>
      <c r="U239" s="1298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07"/>
    </row>
    <row r="240" spans="1:34" x14ac:dyDescent="0.2">
      <c r="A240" s="1236" t="s">
        <v>15</v>
      </c>
      <c r="B240" s="1237"/>
      <c r="C240" s="1302">
        <f>B221+C237</f>
        <v>139501.23300000001</v>
      </c>
      <c r="D240" s="1302">
        <f t="shared" ref="D240:AG240" si="28">C247+D237</f>
        <v>67631.303000000014</v>
      </c>
      <c r="E240" s="1302">
        <f t="shared" si="28"/>
        <v>64667.062000000013</v>
      </c>
      <c r="F240" s="1302">
        <f t="shared" si="28"/>
        <v>37779.935000000019</v>
      </c>
      <c r="G240" s="1302">
        <f t="shared" si="28"/>
        <v>37779.935000000019</v>
      </c>
      <c r="H240" s="1302">
        <f t="shared" si="28"/>
        <v>37779.935000000019</v>
      </c>
      <c r="I240" s="1302">
        <f t="shared" si="28"/>
        <v>37779.935000000019</v>
      </c>
      <c r="J240" s="1302">
        <f t="shared" si="28"/>
        <v>37779.935000000019</v>
      </c>
      <c r="K240" s="1302">
        <f t="shared" si="28"/>
        <v>37779.935000000019</v>
      </c>
      <c r="L240" s="1302">
        <f t="shared" si="28"/>
        <v>37779.935000000019</v>
      </c>
      <c r="M240" s="1302">
        <f t="shared" si="28"/>
        <v>37779.935000000019</v>
      </c>
      <c r="N240" s="1302">
        <f t="shared" si="28"/>
        <v>37779.935000000019</v>
      </c>
      <c r="O240" s="1302">
        <f t="shared" si="28"/>
        <v>37779.935000000019</v>
      </c>
      <c r="P240" s="1306">
        <f t="shared" si="28"/>
        <v>37779.935000000019</v>
      </c>
      <c r="Q240" s="1302">
        <f t="shared" si="28"/>
        <v>37779.935000000019</v>
      </c>
      <c r="R240" s="1302">
        <f t="shared" si="28"/>
        <v>37779.935000000019</v>
      </c>
      <c r="S240" s="1302">
        <f t="shared" si="28"/>
        <v>37779.935000000019</v>
      </c>
      <c r="T240" s="1302">
        <f t="shared" si="28"/>
        <v>37779.935000000019</v>
      </c>
      <c r="U240" s="1302">
        <f t="shared" si="28"/>
        <v>2779.9350000000195</v>
      </c>
      <c r="V240" s="1302">
        <f t="shared" si="28"/>
        <v>2779.9350000000195</v>
      </c>
      <c r="W240" s="1302">
        <f t="shared" si="28"/>
        <v>2779.9350000000195</v>
      </c>
      <c r="X240" s="1302">
        <f t="shared" si="28"/>
        <v>2779.9350000000195</v>
      </c>
      <c r="Y240" s="1302">
        <f t="shared" si="28"/>
        <v>2779.9350000000195</v>
      </c>
      <c r="Z240" s="1302">
        <f t="shared" si="28"/>
        <v>2779.9350000000195</v>
      </c>
      <c r="AA240" s="1302">
        <f t="shared" si="28"/>
        <v>2779.9350000000195</v>
      </c>
      <c r="AB240" s="1302">
        <f t="shared" si="28"/>
        <v>2779.9350000000195</v>
      </c>
      <c r="AC240" s="1302">
        <f t="shared" si="28"/>
        <v>2779.9350000000195</v>
      </c>
      <c r="AD240" s="1302">
        <f t="shared" si="28"/>
        <v>2779.9350000000195</v>
      </c>
      <c r="AE240" s="1302">
        <f t="shared" si="28"/>
        <v>-7505.4409999999807</v>
      </c>
      <c r="AF240" s="1302">
        <f t="shared" si="28"/>
        <v>-7505.4409999999807</v>
      </c>
      <c r="AG240" s="1302">
        <f t="shared" si="28"/>
        <v>-7505.4409999999807</v>
      </c>
      <c r="AH240" s="1207"/>
    </row>
    <row r="241" spans="1:34" ht="13.5" thickBot="1" x14ac:dyDescent="0.25">
      <c r="A241" s="1250"/>
      <c r="B241" s="1307"/>
      <c r="C241" s="1308"/>
      <c r="D241" s="1308"/>
      <c r="E241" s="1308"/>
      <c r="F241" s="1309"/>
      <c r="G241" s="1309"/>
      <c r="H241" s="1309"/>
      <c r="I241" s="1309"/>
      <c r="J241" s="1309"/>
      <c r="K241" s="1309"/>
      <c r="L241" s="1309"/>
      <c r="M241" s="1309"/>
      <c r="N241" s="1309"/>
      <c r="O241" s="1309"/>
      <c r="P241" s="1310"/>
      <c r="Q241" s="1309"/>
      <c r="R241" s="1309"/>
      <c r="S241" s="1309"/>
      <c r="T241" s="1309"/>
      <c r="U241" s="1309"/>
      <c r="V241" s="1309"/>
      <c r="W241" s="1309"/>
      <c r="X241" s="1309"/>
      <c r="Y241" s="1309"/>
      <c r="Z241" s="1309"/>
      <c r="AA241" s="1309"/>
      <c r="AB241" s="1309"/>
      <c r="AC241" s="1309"/>
      <c r="AD241" s="1309"/>
      <c r="AE241" s="1309"/>
      <c r="AF241" s="1309"/>
      <c r="AG241" s="1309"/>
      <c r="AH241" s="1207"/>
    </row>
    <row r="242" spans="1:34" x14ac:dyDescent="0.2">
      <c r="A242" s="1233"/>
      <c r="B242" s="1234"/>
      <c r="C242" s="1297"/>
      <c r="D242" s="1297"/>
      <c r="E242" s="1297"/>
      <c r="F242" s="1298"/>
      <c r="G242" s="1298"/>
      <c r="H242" s="1298"/>
      <c r="I242" s="1298"/>
      <c r="J242" s="1298"/>
      <c r="K242" s="1298"/>
      <c r="L242" s="1298"/>
      <c r="M242" s="1298"/>
      <c r="N242" s="1298"/>
      <c r="O242" s="1298"/>
      <c r="P242" s="1299"/>
      <c r="Q242" s="1298"/>
      <c r="R242" s="1298"/>
      <c r="S242" s="1298"/>
      <c r="T242" s="1298"/>
      <c r="U242" s="1298"/>
      <c r="V242" s="1298"/>
      <c r="W242" s="1298"/>
      <c r="X242" s="1298"/>
      <c r="Y242" s="1298"/>
      <c r="Z242" s="1298"/>
      <c r="AA242" s="1298"/>
      <c r="AB242" s="1298"/>
      <c r="AC242" s="1298"/>
      <c r="AD242" s="1298"/>
      <c r="AE242" s="1298"/>
      <c r="AF242" s="1298"/>
      <c r="AG242" s="1298"/>
      <c r="AH242" s="1207"/>
    </row>
    <row r="243" spans="1:34" x14ac:dyDescent="0.2">
      <c r="A243" s="1236" t="s">
        <v>82</v>
      </c>
      <c r="B243" s="1237"/>
      <c r="C243" s="1302">
        <f t="shared" ref="C243:AG244" si="29">C251</f>
        <v>0</v>
      </c>
      <c r="D243" s="1302">
        <f t="shared" si="29"/>
        <v>0</v>
      </c>
      <c r="E243" s="1302">
        <f t="shared" si="29"/>
        <v>9735.7569999999996</v>
      </c>
      <c r="F243" s="1302">
        <f t="shared" si="29"/>
        <v>0</v>
      </c>
      <c r="G243" s="1302">
        <f t="shared" si="29"/>
        <v>0</v>
      </c>
      <c r="H243" s="1302">
        <f t="shared" si="29"/>
        <v>0</v>
      </c>
      <c r="I243" s="1302">
        <f t="shared" si="29"/>
        <v>0</v>
      </c>
      <c r="J243" s="1302">
        <f t="shared" si="29"/>
        <v>0</v>
      </c>
      <c r="K243" s="1302">
        <f t="shared" si="29"/>
        <v>0</v>
      </c>
      <c r="L243" s="1302">
        <f t="shared" si="29"/>
        <v>0</v>
      </c>
      <c r="M243" s="1302">
        <f t="shared" si="29"/>
        <v>0</v>
      </c>
      <c r="N243" s="1302">
        <f t="shared" si="29"/>
        <v>0</v>
      </c>
      <c r="O243" s="1302">
        <f t="shared" si="29"/>
        <v>0</v>
      </c>
      <c r="P243" s="1306">
        <f t="shared" si="29"/>
        <v>0</v>
      </c>
      <c r="Q243" s="1302">
        <f t="shared" si="29"/>
        <v>0</v>
      </c>
      <c r="R243" s="1302">
        <f t="shared" si="29"/>
        <v>0</v>
      </c>
      <c r="S243" s="1302">
        <f t="shared" si="29"/>
        <v>0</v>
      </c>
      <c r="T243" s="1302">
        <f t="shared" si="29"/>
        <v>0</v>
      </c>
      <c r="U243" s="1302">
        <f t="shared" si="29"/>
        <v>0</v>
      </c>
      <c r="V243" s="1302">
        <f t="shared" si="29"/>
        <v>0</v>
      </c>
      <c r="W243" s="1302">
        <f t="shared" si="29"/>
        <v>0</v>
      </c>
      <c r="X243" s="1302">
        <f t="shared" si="29"/>
        <v>0</v>
      </c>
      <c r="Y243" s="1302">
        <f t="shared" si="29"/>
        <v>0</v>
      </c>
      <c r="Z243" s="1302">
        <f t="shared" si="29"/>
        <v>0</v>
      </c>
      <c r="AA243" s="1302">
        <f t="shared" si="29"/>
        <v>0</v>
      </c>
      <c r="AB243" s="1302">
        <f t="shared" si="29"/>
        <v>0</v>
      </c>
      <c r="AC243" s="1302">
        <f t="shared" si="29"/>
        <v>0</v>
      </c>
      <c r="AD243" s="1302">
        <f t="shared" si="29"/>
        <v>0</v>
      </c>
      <c r="AE243" s="1302">
        <f t="shared" si="29"/>
        <v>0</v>
      </c>
      <c r="AF243" s="1302">
        <f t="shared" si="29"/>
        <v>0</v>
      </c>
      <c r="AG243" s="1302">
        <f t="shared" si="29"/>
        <v>0</v>
      </c>
      <c r="AH243" s="1207"/>
    </row>
    <row r="244" spans="1:34" x14ac:dyDescent="0.2">
      <c r="A244" s="1236" t="s">
        <v>83</v>
      </c>
      <c r="B244" s="1237"/>
      <c r="C244" s="1306">
        <f t="shared" si="29"/>
        <v>0</v>
      </c>
      <c r="D244" s="1306">
        <f t="shared" si="29"/>
        <v>0</v>
      </c>
      <c r="E244" s="1306">
        <f t="shared" si="29"/>
        <v>0</v>
      </c>
      <c r="F244" s="1306">
        <f t="shared" si="29"/>
        <v>0</v>
      </c>
      <c r="G244" s="1306">
        <f t="shared" si="29"/>
        <v>0</v>
      </c>
      <c r="H244" s="1306">
        <f t="shared" si="29"/>
        <v>0</v>
      </c>
      <c r="I244" s="1306">
        <f t="shared" si="29"/>
        <v>0</v>
      </c>
      <c r="J244" s="1306">
        <f t="shared" si="29"/>
        <v>0</v>
      </c>
      <c r="K244" s="1306">
        <f t="shared" si="29"/>
        <v>0</v>
      </c>
      <c r="L244" s="1306">
        <f t="shared" si="29"/>
        <v>0</v>
      </c>
      <c r="M244" s="1306">
        <f t="shared" si="29"/>
        <v>0</v>
      </c>
      <c r="N244" s="1306">
        <f t="shared" si="29"/>
        <v>0</v>
      </c>
      <c r="O244" s="1306">
        <f t="shared" si="29"/>
        <v>0</v>
      </c>
      <c r="P244" s="1306">
        <f t="shared" si="29"/>
        <v>0</v>
      </c>
      <c r="Q244" s="1306">
        <f t="shared" si="29"/>
        <v>0</v>
      </c>
      <c r="R244" s="1306">
        <f t="shared" si="29"/>
        <v>0</v>
      </c>
      <c r="S244" s="1306">
        <f t="shared" si="29"/>
        <v>0</v>
      </c>
      <c r="T244" s="1306">
        <f t="shared" si="29"/>
        <v>0</v>
      </c>
      <c r="U244" s="1306">
        <f t="shared" si="29"/>
        <v>0</v>
      </c>
      <c r="V244" s="1306">
        <f t="shared" si="29"/>
        <v>0</v>
      </c>
      <c r="W244" s="1306">
        <f t="shared" si="29"/>
        <v>0</v>
      </c>
      <c r="X244" s="1306">
        <f t="shared" si="29"/>
        <v>0</v>
      </c>
      <c r="Y244" s="1306">
        <f t="shared" si="29"/>
        <v>0</v>
      </c>
      <c r="Z244" s="1306">
        <f t="shared" si="29"/>
        <v>0</v>
      </c>
      <c r="AA244" s="1306">
        <f t="shared" si="29"/>
        <v>0</v>
      </c>
      <c r="AB244" s="1306">
        <f t="shared" si="29"/>
        <v>0</v>
      </c>
      <c r="AC244" s="1306">
        <f t="shared" si="29"/>
        <v>0</v>
      </c>
      <c r="AD244" s="1306">
        <f t="shared" si="29"/>
        <v>0</v>
      </c>
      <c r="AE244" s="1306">
        <f t="shared" si="29"/>
        <v>0</v>
      </c>
      <c r="AF244" s="1306">
        <f t="shared" si="29"/>
        <v>0</v>
      </c>
      <c r="AG244" s="1306">
        <f t="shared" si="29"/>
        <v>0</v>
      </c>
      <c r="AH244" s="1207"/>
    </row>
    <row r="245" spans="1:34" ht="13.5" thickBot="1" x14ac:dyDescent="0.25">
      <c r="A245" s="1250"/>
      <c r="B245" s="1307"/>
      <c r="C245" s="1308"/>
      <c r="D245" s="1308"/>
      <c r="E245" s="1308"/>
      <c r="F245" s="1309"/>
      <c r="G245" s="1309"/>
      <c r="H245" s="1309"/>
      <c r="I245" s="1309"/>
      <c r="J245" s="1309"/>
      <c r="K245" s="1309"/>
      <c r="L245" s="1309"/>
      <c r="M245" s="1309"/>
      <c r="N245" s="1309"/>
      <c r="O245" s="1309"/>
      <c r="P245" s="1310"/>
      <c r="Q245" s="1309"/>
      <c r="R245" s="1309"/>
      <c r="S245" s="1309"/>
      <c r="T245" s="1309"/>
      <c r="U245" s="1309"/>
      <c r="V245" s="1309"/>
      <c r="W245" s="1309"/>
      <c r="X245" s="1309"/>
      <c r="Y245" s="1309"/>
      <c r="Z245" s="1309"/>
      <c r="AA245" s="1309"/>
      <c r="AB245" s="1309"/>
      <c r="AC245" s="1309"/>
      <c r="AD245" s="1309"/>
      <c r="AE245" s="1309"/>
      <c r="AF245" s="1309"/>
      <c r="AG245" s="1309"/>
      <c r="AH245" s="1207"/>
    </row>
    <row r="246" spans="1:34" x14ac:dyDescent="0.2">
      <c r="A246" s="1236"/>
      <c r="B246" s="1237"/>
      <c r="C246" s="1302"/>
      <c r="D246" s="1302"/>
      <c r="E246" s="1302"/>
      <c r="F246" s="1303"/>
      <c r="G246" s="1303"/>
      <c r="H246" s="1303"/>
      <c r="I246" s="1303"/>
      <c r="J246" s="1303"/>
      <c r="K246" s="1303"/>
      <c r="L246" s="1303"/>
      <c r="M246" s="1303"/>
      <c r="N246" s="1303"/>
      <c r="O246" s="1303"/>
      <c r="P246" s="1304"/>
      <c r="Q246" s="1303"/>
      <c r="R246" s="1303"/>
      <c r="S246" s="1303"/>
      <c r="T246" s="1303"/>
      <c r="U246" s="1303"/>
      <c r="V246" s="1303"/>
      <c r="W246" s="1303"/>
      <c r="X246" s="1303"/>
      <c r="Y246" s="1303"/>
      <c r="Z246" s="1303"/>
      <c r="AA246" s="1303"/>
      <c r="AB246" s="1303"/>
      <c r="AC246" s="1303"/>
      <c r="AD246" s="1303"/>
      <c r="AE246" s="1303"/>
      <c r="AF246" s="1303"/>
      <c r="AG246" s="1303"/>
      <c r="AH246" s="1207"/>
    </row>
    <row r="247" spans="1:34" x14ac:dyDescent="0.2">
      <c r="A247" s="1236" t="s">
        <v>14</v>
      </c>
      <c r="B247" s="1237"/>
      <c r="C247" s="1302">
        <f t="shared" ref="C247:AG247" si="30">C240+C243+C244</f>
        <v>139501.23300000001</v>
      </c>
      <c r="D247" s="1302">
        <f t="shared" si="30"/>
        <v>67631.303000000014</v>
      </c>
      <c r="E247" s="1302">
        <f t="shared" si="30"/>
        <v>74402.819000000018</v>
      </c>
      <c r="F247" s="1302">
        <f t="shared" si="30"/>
        <v>37779.935000000019</v>
      </c>
      <c r="G247" s="1302">
        <f t="shared" si="30"/>
        <v>37779.935000000019</v>
      </c>
      <c r="H247" s="1302">
        <f t="shared" si="30"/>
        <v>37779.935000000019</v>
      </c>
      <c r="I247" s="1302">
        <f t="shared" si="30"/>
        <v>37779.935000000019</v>
      </c>
      <c r="J247" s="1302">
        <f t="shared" si="30"/>
        <v>37779.935000000019</v>
      </c>
      <c r="K247" s="1302">
        <f t="shared" si="30"/>
        <v>37779.935000000019</v>
      </c>
      <c r="L247" s="1302">
        <f t="shared" si="30"/>
        <v>37779.935000000019</v>
      </c>
      <c r="M247" s="1302">
        <f t="shared" si="30"/>
        <v>37779.935000000019</v>
      </c>
      <c r="N247" s="1302">
        <f t="shared" si="30"/>
        <v>37779.935000000019</v>
      </c>
      <c r="O247" s="1302">
        <f t="shared" si="30"/>
        <v>37779.935000000019</v>
      </c>
      <c r="P247" s="1306">
        <f t="shared" si="30"/>
        <v>37779.935000000019</v>
      </c>
      <c r="Q247" s="1302">
        <f t="shared" si="30"/>
        <v>37779.935000000019</v>
      </c>
      <c r="R247" s="1302">
        <f t="shared" si="30"/>
        <v>37779.935000000019</v>
      </c>
      <c r="S247" s="1302">
        <f t="shared" si="30"/>
        <v>37779.935000000019</v>
      </c>
      <c r="T247" s="1302">
        <f t="shared" si="30"/>
        <v>37779.935000000019</v>
      </c>
      <c r="U247" s="1302">
        <f t="shared" si="30"/>
        <v>2779.9350000000195</v>
      </c>
      <c r="V247" s="1302">
        <f t="shared" si="30"/>
        <v>2779.9350000000195</v>
      </c>
      <c r="W247" s="1302">
        <f t="shared" si="30"/>
        <v>2779.9350000000195</v>
      </c>
      <c r="X247" s="1302">
        <f t="shared" si="30"/>
        <v>2779.9350000000195</v>
      </c>
      <c r="Y247" s="1302">
        <f t="shared" si="30"/>
        <v>2779.9350000000195</v>
      </c>
      <c r="Z247" s="1302">
        <f t="shared" si="30"/>
        <v>2779.9350000000195</v>
      </c>
      <c r="AA247" s="1302">
        <f t="shared" si="30"/>
        <v>2779.9350000000195</v>
      </c>
      <c r="AB247" s="1302">
        <f t="shared" si="30"/>
        <v>2779.9350000000195</v>
      </c>
      <c r="AC247" s="1302">
        <f t="shared" si="30"/>
        <v>2779.9350000000195</v>
      </c>
      <c r="AD247" s="1302">
        <f t="shared" si="30"/>
        <v>2779.9350000000195</v>
      </c>
      <c r="AE247" s="1302">
        <f t="shared" si="30"/>
        <v>-7505.4409999999807</v>
      </c>
      <c r="AF247" s="1302">
        <f t="shared" si="30"/>
        <v>-7505.4409999999807</v>
      </c>
      <c r="AG247" s="1302">
        <f t="shared" si="30"/>
        <v>-7505.4409999999807</v>
      </c>
      <c r="AH247" s="1207"/>
    </row>
    <row r="248" spans="1:34" x14ac:dyDescent="0.2">
      <c r="A248" s="1236"/>
      <c r="B248" s="1237"/>
      <c r="C248" s="1302"/>
      <c r="D248" s="1302"/>
      <c r="E248" s="1302"/>
      <c r="F248" s="1303"/>
      <c r="G248" s="1303"/>
      <c r="H248" s="1303"/>
      <c r="I248" s="1303"/>
      <c r="J248" s="1303"/>
      <c r="K248" s="1303"/>
      <c r="L248" s="1303"/>
      <c r="M248" s="1303"/>
      <c r="N248" s="1303"/>
      <c r="O248" s="1303"/>
      <c r="P248" s="1304"/>
      <c r="Q248" s="1303"/>
      <c r="R248" s="1303"/>
      <c r="S248" s="1303"/>
      <c r="T248" s="1303"/>
      <c r="U248" s="1303"/>
      <c r="V248" s="1303"/>
      <c r="W248" s="1303"/>
      <c r="X248" s="1303"/>
      <c r="Y248" s="1303"/>
      <c r="Z248" s="1303"/>
      <c r="AA248" s="1303"/>
      <c r="AB248" s="1303"/>
      <c r="AC248" s="1303"/>
      <c r="AD248" s="1303"/>
      <c r="AE248" s="1303"/>
      <c r="AF248" s="1303"/>
      <c r="AG248" s="1303"/>
      <c r="AH248" s="1207"/>
    </row>
    <row r="249" spans="1:34" ht="13.5" thickBot="1" x14ac:dyDescent="0.25">
      <c r="A249" s="1250"/>
      <c r="B249" s="1307"/>
      <c r="C249" s="1312"/>
      <c r="D249" s="1312"/>
      <c r="E249" s="1312"/>
      <c r="F249" s="1313"/>
      <c r="G249" s="1313"/>
      <c r="H249" s="1313"/>
      <c r="I249" s="1313"/>
      <c r="J249" s="1313"/>
      <c r="K249" s="1313"/>
      <c r="L249" s="1313"/>
      <c r="M249" s="1313"/>
      <c r="N249" s="1313"/>
      <c r="O249" s="1313"/>
      <c r="P249" s="1314"/>
      <c r="Q249" s="1313"/>
      <c r="R249" s="1313"/>
      <c r="S249" s="1313"/>
      <c r="T249" s="1313"/>
      <c r="U249" s="1313"/>
      <c r="V249" s="1313"/>
      <c r="W249" s="1313"/>
      <c r="X249" s="1313"/>
      <c r="Y249" s="1313"/>
      <c r="Z249" s="1313"/>
      <c r="AA249" s="1313"/>
      <c r="AB249" s="1313"/>
      <c r="AC249" s="1313"/>
      <c r="AD249" s="1313"/>
      <c r="AE249" s="1313"/>
      <c r="AF249" s="1313"/>
      <c r="AG249" s="1313"/>
      <c r="AH249" s="1207"/>
    </row>
    <row r="250" spans="1:34" x14ac:dyDescent="0.2">
      <c r="A250" s="1316"/>
      <c r="B250" s="1207"/>
      <c r="C250" s="1227"/>
      <c r="D250" s="1227"/>
      <c r="E250" s="1227"/>
      <c r="F250" s="1227"/>
      <c r="G250" s="1227"/>
      <c r="H250" s="1227"/>
      <c r="I250" s="1227"/>
      <c r="J250" s="1227"/>
      <c r="K250" s="1227"/>
      <c r="L250" s="1227"/>
      <c r="M250" s="1227"/>
      <c r="N250" s="1227"/>
      <c r="O250" s="1227"/>
      <c r="P250" s="1229"/>
      <c r="Q250" s="1227"/>
      <c r="R250" s="1227"/>
      <c r="S250" s="1227"/>
      <c r="T250" s="1227"/>
      <c r="U250" s="1227"/>
      <c r="V250" s="1227"/>
      <c r="W250" s="1227"/>
      <c r="X250" s="1227"/>
      <c r="Y250" s="1227"/>
      <c r="Z250" s="1227"/>
      <c r="AA250" s="1227"/>
      <c r="AB250" s="1227"/>
      <c r="AC250" s="1227"/>
      <c r="AD250" s="1227"/>
      <c r="AE250" s="1227"/>
      <c r="AF250" s="1227"/>
      <c r="AG250" s="1227"/>
      <c r="AH250" s="1227">
        <f>SUM(C250:AG250)</f>
        <v>0</v>
      </c>
    </row>
    <row r="251" spans="1:34" x14ac:dyDescent="0.2">
      <c r="A251" s="1316"/>
      <c r="B251" s="1207"/>
      <c r="C251" s="1219"/>
      <c r="D251" s="1219"/>
      <c r="E251" s="1219">
        <v>9735.7569999999996</v>
      </c>
      <c r="F251" s="1219"/>
      <c r="G251" s="1220"/>
      <c r="H251" s="1219"/>
      <c r="I251" s="1219"/>
      <c r="J251" s="1219"/>
      <c r="K251" s="1219"/>
      <c r="L251" s="1220"/>
      <c r="M251" s="1220"/>
      <c r="N251" s="1221"/>
      <c r="O251" s="1220"/>
      <c r="P251" s="1221"/>
      <c r="Q251" s="1219"/>
      <c r="R251" s="1219"/>
      <c r="S251" s="1219"/>
      <c r="T251" s="1219"/>
      <c r="U251" s="1219"/>
      <c r="V251" s="1221"/>
      <c r="W251" s="1219"/>
      <c r="X251" s="1219"/>
      <c r="Y251" s="1219"/>
      <c r="Z251" s="1219"/>
      <c r="AA251" s="1384"/>
      <c r="AB251" s="1219"/>
      <c r="AC251" s="1219"/>
      <c r="AD251" s="1220"/>
      <c r="AE251" s="1219"/>
      <c r="AF251" s="1221"/>
      <c r="AG251" s="1219"/>
      <c r="AH251" s="1345"/>
    </row>
    <row r="252" spans="1:34" x14ac:dyDescent="0.2">
      <c r="A252" s="1207"/>
      <c r="B252" s="1207"/>
      <c r="C252" s="1207"/>
      <c r="D252" s="1219"/>
      <c r="E252" s="1347"/>
      <c r="F252" s="1207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8"/>
      <c r="Q252" s="1227"/>
      <c r="R252" s="1207"/>
      <c r="S252" s="1345"/>
      <c r="T252" s="1207"/>
      <c r="U252" s="1207"/>
      <c r="V252" s="1207"/>
      <c r="W252" s="1207"/>
      <c r="X252" s="1207"/>
      <c r="Y252" s="1345"/>
      <c r="Z252" s="1345"/>
      <c r="AA252" s="1345"/>
      <c r="AB252" s="1345"/>
      <c r="AC252" s="1345"/>
      <c r="AD252" s="1345"/>
      <c r="AE252" s="1345"/>
      <c r="AF252" s="1345"/>
      <c r="AG252" s="1345"/>
      <c r="AH252" s="1227">
        <f>SUM(C252:AG252)</f>
        <v>0</v>
      </c>
    </row>
    <row r="253" spans="1:34" x14ac:dyDescent="0.2">
      <c r="A253" s="1210" t="s">
        <v>415</v>
      </c>
      <c r="B253" s="1215">
        <f>B254+B255+B257</f>
        <v>425000</v>
      </c>
      <c r="C253" s="1207"/>
      <c r="D253" s="1207"/>
      <c r="E253" s="1207"/>
      <c r="F253" s="1207"/>
      <c r="G253" s="1207"/>
      <c r="H253" s="1207"/>
      <c r="I253" s="1207"/>
      <c r="J253" s="1207"/>
      <c r="K253" s="1392"/>
      <c r="L253" s="1207"/>
      <c r="M253" s="1207"/>
      <c r="N253" s="1207"/>
      <c r="O253" s="1207"/>
      <c r="P253" s="1208"/>
      <c r="Q253" s="1207"/>
      <c r="R253" s="1207"/>
      <c r="S253" s="1207"/>
      <c r="T253" s="1207"/>
      <c r="U253" s="1207"/>
      <c r="V253" s="1207"/>
      <c r="W253" s="1207"/>
      <c r="X253" s="1207"/>
      <c r="Y253" s="1207"/>
      <c r="Z253" s="1207"/>
      <c r="AA253" s="1384"/>
      <c r="AB253" s="1207"/>
      <c r="AC253" s="1207"/>
      <c r="AD253" s="1207"/>
      <c r="AE253" s="1207"/>
      <c r="AF253" s="1207"/>
      <c r="AG253" s="1207"/>
      <c r="AH253" s="1207"/>
    </row>
    <row r="254" spans="1:34" x14ac:dyDescent="0.2">
      <c r="A254" s="1365" t="s">
        <v>414</v>
      </c>
      <c r="B254" s="1219">
        <v>25000</v>
      </c>
      <c r="C254" s="1207"/>
      <c r="D254" s="1207"/>
      <c r="E254" s="1227"/>
      <c r="F254" s="1227"/>
      <c r="G254" s="1227"/>
      <c r="H254" s="1207"/>
      <c r="I254" s="1207"/>
      <c r="J254" s="1207"/>
      <c r="K254" s="1207"/>
      <c r="L254" s="1207"/>
      <c r="M254" s="1207"/>
      <c r="N254" s="1207"/>
      <c r="O254" s="1207"/>
      <c r="P254" s="1208"/>
      <c r="Q254" s="1207"/>
      <c r="R254" s="1207"/>
      <c r="S254" s="1207"/>
      <c r="T254" s="1207"/>
      <c r="U254" s="1227"/>
      <c r="V254" s="1207"/>
      <c r="W254" s="1207"/>
      <c r="X254" s="1207"/>
      <c r="Y254" s="1207"/>
      <c r="Z254" s="1207"/>
      <c r="AA254" s="1354"/>
      <c r="AB254" s="1207"/>
      <c r="AC254" s="1207"/>
      <c r="AD254" s="1207"/>
      <c r="AE254" s="1207"/>
      <c r="AF254" s="1207"/>
      <c r="AG254" s="1227"/>
      <c r="AH254" s="1207"/>
    </row>
    <row r="255" spans="1:34" x14ac:dyDescent="0.2">
      <c r="A255" s="1365" t="s">
        <v>287</v>
      </c>
      <c r="B255" s="1219">
        <v>300000</v>
      </c>
      <c r="C255" s="1207"/>
      <c r="D255" s="1207"/>
      <c r="E255" s="1207"/>
      <c r="F255" s="1207"/>
      <c r="G255" s="1207"/>
      <c r="H255" s="1207"/>
      <c r="I255" s="1207"/>
      <c r="J255" s="1207"/>
      <c r="K255" s="1207"/>
      <c r="L255" s="1207"/>
      <c r="M255" s="1207"/>
      <c r="N255" s="1207"/>
      <c r="O255" s="1207"/>
      <c r="P255" s="1208"/>
      <c r="Q255" s="1207"/>
      <c r="R255" s="1207"/>
      <c r="S255" s="1207"/>
      <c r="T255" s="1207"/>
      <c r="U255" s="1227"/>
      <c r="V255" s="1207"/>
      <c r="W255" s="1207"/>
      <c r="X255" s="1207"/>
      <c r="Y255" s="1207"/>
      <c r="Z255" s="1207"/>
      <c r="AA255" s="1207"/>
      <c r="AB255" s="1207"/>
      <c r="AC255" s="1207"/>
      <c r="AD255" s="1207"/>
      <c r="AE255" s="1207"/>
      <c r="AF255" s="1392"/>
      <c r="AG255" s="1207"/>
      <c r="AH255" s="1207"/>
    </row>
    <row r="256" spans="1:34" x14ac:dyDescent="0.2">
      <c r="A256" s="1316" t="s">
        <v>413</v>
      </c>
      <c r="B256" s="1219"/>
      <c r="C256" s="1207"/>
      <c r="D256" s="1207"/>
      <c r="E256" s="1207"/>
      <c r="F256" s="1207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8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07"/>
      <c r="AA256" s="1207"/>
      <c r="AB256" s="1207"/>
      <c r="AC256" s="1207"/>
      <c r="AD256" s="1207"/>
      <c r="AE256" s="1207"/>
      <c r="AF256" s="1207"/>
      <c r="AG256" s="1207"/>
      <c r="AH256" s="1207"/>
    </row>
    <row r="257" spans="1:34" x14ac:dyDescent="0.2">
      <c r="A257" s="1316" t="s">
        <v>441</v>
      </c>
      <c r="B257" s="1219">
        <v>100000</v>
      </c>
      <c r="C257" s="1207"/>
      <c r="D257" s="1207"/>
      <c r="E257" s="1207"/>
      <c r="F257" s="1207"/>
      <c r="G257" s="1207"/>
      <c r="H257" s="1207"/>
      <c r="I257" s="1207"/>
      <c r="J257" s="1207"/>
      <c r="K257" s="1207"/>
      <c r="L257" s="1207"/>
      <c r="M257" s="1207"/>
      <c r="N257" s="1207"/>
      <c r="O257" s="1207"/>
      <c r="P257" s="1208"/>
      <c r="Q257" s="1207"/>
      <c r="R257" s="1207"/>
      <c r="S257" s="1207"/>
      <c r="T257" s="1207"/>
      <c r="U257" s="1207"/>
      <c r="V257" s="1207"/>
      <c r="W257" s="1207"/>
      <c r="X257" s="1207"/>
      <c r="Y257" s="1207"/>
      <c r="Z257" s="1207"/>
      <c r="AA257" s="1207"/>
      <c r="AB257" s="1207"/>
      <c r="AC257" s="1207"/>
      <c r="AD257" s="1207"/>
      <c r="AE257" s="1207"/>
      <c r="AF257" s="1207"/>
      <c r="AG257" s="1207"/>
      <c r="AH257" s="1207"/>
    </row>
    <row r="258" spans="1:34" x14ac:dyDescent="0.2">
      <c r="A258" s="1207"/>
      <c r="B258" s="1207"/>
      <c r="C258" s="1207"/>
      <c r="D258" s="1207"/>
      <c r="E258" s="1207"/>
      <c r="F258" s="1207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8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07"/>
      <c r="AA258" s="1207"/>
      <c r="AB258" s="1207"/>
      <c r="AC258" s="1207"/>
      <c r="AD258" s="1207"/>
      <c r="AE258" s="1207"/>
      <c r="AF258" s="1207"/>
      <c r="AG258" s="1207"/>
      <c r="AH258" s="1207"/>
    </row>
    <row r="259" spans="1:34" x14ac:dyDescent="0.2">
      <c r="A259" s="1207"/>
      <c r="B259" s="1207"/>
      <c r="C259" s="1207"/>
      <c r="D259" s="1207"/>
      <c r="E259" s="1207"/>
      <c r="F259" s="1207"/>
      <c r="G259" s="1207"/>
      <c r="H259" s="1207"/>
      <c r="I259" s="1207"/>
      <c r="J259" s="1207"/>
      <c r="K259" s="1207"/>
      <c r="L259" s="1207"/>
      <c r="M259" s="1207"/>
      <c r="N259" s="1207"/>
      <c r="O259" s="1207"/>
      <c r="P259" s="1208"/>
      <c r="Q259" s="1207"/>
      <c r="R259" s="1207"/>
      <c r="S259" s="1207"/>
      <c r="T259" s="1207"/>
      <c r="U259" s="1207"/>
      <c r="V259" s="1207"/>
      <c r="W259" s="1207"/>
      <c r="X259" s="1207"/>
      <c r="Y259" s="1207"/>
      <c r="Z259" s="1207"/>
      <c r="AA259" s="1207"/>
      <c r="AB259" s="1207"/>
      <c r="AC259" s="1207"/>
      <c r="AD259" s="1207"/>
      <c r="AE259" s="1207"/>
      <c r="AF259" s="1207"/>
      <c r="AG259" s="1207"/>
      <c r="AH259" s="1207"/>
    </row>
    <row r="260" spans="1:34" ht="13.5" thickBot="1" x14ac:dyDescent="0.25">
      <c r="A260" s="1207"/>
      <c r="B260" s="1207"/>
      <c r="C260" s="1207"/>
      <c r="D260" s="1207"/>
      <c r="E260" s="1207"/>
      <c r="F260" s="1207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8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1207"/>
      <c r="AD260" s="1207"/>
      <c r="AE260" s="1207"/>
      <c r="AF260" s="1207"/>
      <c r="AG260" s="1207"/>
      <c r="AH260" s="1207"/>
    </row>
    <row r="261" spans="1:34" x14ac:dyDescent="0.2">
      <c r="A261" s="1233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34"/>
      <c r="O261" s="1234"/>
      <c r="P261" s="1235"/>
      <c r="Q261" s="1234"/>
      <c r="R261" s="1234"/>
      <c r="S261" s="1234"/>
      <c r="T261" s="1234"/>
      <c r="U261" s="1234"/>
      <c r="V261" s="1234"/>
      <c r="W261" s="1234"/>
      <c r="X261" s="1234"/>
      <c r="Y261" s="1234"/>
      <c r="Z261" s="1234"/>
      <c r="AA261" s="1234"/>
      <c r="AB261" s="1234"/>
      <c r="AC261" s="1234"/>
      <c r="AD261" s="1234"/>
      <c r="AE261" s="1234"/>
      <c r="AF261" s="1234"/>
      <c r="AG261" s="1234"/>
      <c r="AH261" s="1207"/>
    </row>
    <row r="262" spans="1:34" x14ac:dyDescent="0.2">
      <c r="A262" s="1236"/>
      <c r="B262" s="1237" t="s">
        <v>37</v>
      </c>
      <c r="C262" s="1237"/>
      <c r="D262" s="1237"/>
      <c r="E262" s="1238" t="s">
        <v>838</v>
      </c>
      <c r="F262" s="1239" t="s">
        <v>340</v>
      </c>
      <c r="G262" s="1707"/>
      <c r="H262" s="1239"/>
      <c r="I262" s="1239"/>
      <c r="J262" s="1239"/>
      <c r="K262" s="1239"/>
      <c r="L262" s="1239"/>
      <c r="M262" s="1239"/>
      <c r="N262" s="1239"/>
      <c r="O262" s="1239"/>
      <c r="P262" s="1240"/>
      <c r="Q262" s="1239"/>
      <c r="R262" s="1239"/>
      <c r="S262" s="1239"/>
      <c r="T262" s="1239"/>
      <c r="U262" s="1239"/>
      <c r="V262" s="1239"/>
      <c r="W262" s="1239"/>
      <c r="X262" s="1239"/>
      <c r="Y262" s="1239"/>
      <c r="Z262" s="1239"/>
      <c r="AA262" s="1239"/>
      <c r="AB262" s="1239"/>
      <c r="AC262" s="1239"/>
      <c r="AD262" s="1239"/>
      <c r="AE262" s="1239"/>
      <c r="AF262" s="1239"/>
      <c r="AG262" s="1239"/>
      <c r="AH262" s="1207"/>
    </row>
    <row r="263" spans="1:34" x14ac:dyDescent="0.2">
      <c r="A263" s="1236"/>
      <c r="B263" s="1237"/>
      <c r="C263" s="1237"/>
      <c r="D263" s="1237"/>
      <c r="E263" s="1237"/>
      <c r="F263" s="1237"/>
      <c r="G263" s="1237"/>
      <c r="H263" s="1237"/>
      <c r="I263" s="1237"/>
      <c r="J263" s="1237"/>
      <c r="K263" s="1237"/>
      <c r="L263" s="1237"/>
      <c r="M263" s="1237"/>
      <c r="N263" s="1237"/>
      <c r="O263" s="1237"/>
      <c r="P263" s="1241"/>
      <c r="Q263" s="1237"/>
      <c r="R263" s="1237"/>
      <c r="S263" s="1237"/>
      <c r="T263" s="1237"/>
      <c r="U263" s="1237"/>
      <c r="V263" s="1237"/>
      <c r="W263" s="1237"/>
      <c r="X263" s="1237"/>
      <c r="Y263" s="1237"/>
      <c r="Z263" s="1237"/>
      <c r="AA263" s="1237"/>
      <c r="AB263" s="1237"/>
      <c r="AC263" s="1237"/>
      <c r="AD263" s="1237"/>
      <c r="AE263" s="1237"/>
      <c r="AF263" s="1237"/>
      <c r="AG263" s="1237"/>
      <c r="AH263" s="1207"/>
    </row>
    <row r="264" spans="1:34" x14ac:dyDescent="0.2">
      <c r="A264" s="1236"/>
      <c r="B264" s="1237"/>
      <c r="C264" s="1239"/>
      <c r="D264" s="1239"/>
      <c r="E264" s="1237"/>
      <c r="F264" s="1237"/>
      <c r="G264" s="1237"/>
      <c r="H264" s="1237"/>
      <c r="I264" s="1237"/>
      <c r="J264" s="1237"/>
      <c r="K264" s="1237"/>
      <c r="L264" s="1237"/>
      <c r="M264" s="1237"/>
      <c r="N264" s="1237"/>
      <c r="O264" s="1237"/>
      <c r="P264" s="1241"/>
      <c r="Q264" s="1237"/>
      <c r="R264" s="1237"/>
      <c r="S264" s="1237"/>
      <c r="T264" s="1237"/>
      <c r="U264" s="1237"/>
      <c r="V264" s="1237"/>
      <c r="W264" s="1237"/>
      <c r="X264" s="1237"/>
      <c r="Y264" s="1237"/>
      <c r="Z264" s="1237"/>
      <c r="AA264" s="1237"/>
      <c r="AB264" s="1237"/>
      <c r="AC264" s="1237"/>
      <c r="AD264" s="1237"/>
      <c r="AE264" s="1237"/>
      <c r="AF264" s="1237"/>
      <c r="AG264" s="1237"/>
      <c r="AH264" s="1207"/>
    </row>
    <row r="265" spans="1:34" x14ac:dyDescent="0.2">
      <c r="A265" s="1236"/>
      <c r="B265" s="1237"/>
      <c r="C265" s="1239"/>
      <c r="D265" s="1239">
        <v>42619</v>
      </c>
      <c r="E265" s="1237"/>
      <c r="F265" s="1237"/>
      <c r="G265" s="1237"/>
      <c r="H265" s="1237"/>
      <c r="I265" s="1237"/>
      <c r="J265" s="1237"/>
      <c r="K265" s="1237"/>
      <c r="L265" s="1237"/>
      <c r="M265" s="1237"/>
      <c r="N265" s="1237"/>
      <c r="O265" s="1237"/>
      <c r="P265" s="1241"/>
      <c r="Q265" s="1237"/>
      <c r="R265" s="1237"/>
      <c r="S265" s="1237"/>
      <c r="T265" s="1237"/>
      <c r="U265" s="1237"/>
      <c r="V265" s="1237"/>
      <c r="W265" s="1237"/>
      <c r="X265" s="1237"/>
      <c r="Y265" s="1237"/>
      <c r="Z265" s="1237"/>
      <c r="AA265" s="1237"/>
      <c r="AB265" s="1237"/>
      <c r="AC265" s="1237"/>
      <c r="AD265" s="1237"/>
      <c r="AE265" s="1237"/>
      <c r="AF265" s="1237"/>
      <c r="AG265" s="1237"/>
      <c r="AH265" s="1207"/>
    </row>
    <row r="266" spans="1:34" ht="13.5" thickBot="1" x14ac:dyDescent="0.25">
      <c r="A266" s="1236"/>
      <c r="B266" s="1237"/>
      <c r="C266" s="1237"/>
      <c r="D266" s="1237"/>
      <c r="E266" s="1237"/>
      <c r="F266" s="1237"/>
      <c r="G266" s="1237"/>
      <c r="H266" s="1237"/>
      <c r="I266" s="1237"/>
      <c r="J266" s="1237"/>
      <c r="K266" s="1237"/>
      <c r="L266" s="1237"/>
      <c r="M266" s="1237"/>
      <c r="N266" s="1237"/>
      <c r="O266" s="1237"/>
      <c r="P266" s="1241"/>
      <c r="Q266" s="1237"/>
      <c r="R266" s="1237"/>
      <c r="S266" s="1237"/>
      <c r="T266" s="1237"/>
      <c r="U266" s="1237"/>
      <c r="V266" s="1237"/>
      <c r="W266" s="1237"/>
      <c r="X266" s="1237"/>
      <c r="Y266" s="1237"/>
      <c r="Z266" s="1237"/>
      <c r="AA266" s="1237"/>
      <c r="AB266" s="1237"/>
      <c r="AC266" s="1237"/>
      <c r="AD266" s="1237"/>
      <c r="AE266" s="1237"/>
      <c r="AF266" s="1237"/>
      <c r="AG266" s="1237"/>
      <c r="AH266" s="1207"/>
    </row>
    <row r="267" spans="1:34" ht="13.5" thickBot="1" x14ac:dyDescent="0.25">
      <c r="A267" s="1236"/>
      <c r="B267" s="1237"/>
      <c r="C267" s="1243"/>
      <c r="D267" s="1244" t="s">
        <v>16</v>
      </c>
      <c r="E267" s="1244"/>
      <c r="F267" s="1244"/>
      <c r="G267" s="1244"/>
      <c r="H267" s="1244"/>
      <c r="I267" s="1244"/>
      <c r="J267" s="1244"/>
      <c r="K267" s="1244"/>
      <c r="L267" s="1244"/>
      <c r="M267" s="1244"/>
      <c r="N267" s="1244"/>
      <c r="O267" s="1244"/>
      <c r="P267" s="1245"/>
      <c r="Q267" s="1244"/>
      <c r="R267" s="1244"/>
      <c r="S267" s="1244"/>
      <c r="T267" s="1244"/>
      <c r="U267" s="1244"/>
      <c r="V267" s="1244"/>
      <c r="W267" s="1244"/>
      <c r="X267" s="1244"/>
      <c r="Y267" s="1244"/>
      <c r="Z267" s="1244"/>
      <c r="AA267" s="1244"/>
      <c r="AB267" s="1244"/>
      <c r="AC267" s="1244"/>
      <c r="AD267" s="1244"/>
      <c r="AE267" s="1244"/>
      <c r="AF267" s="1244"/>
      <c r="AG267" s="1244"/>
      <c r="AH267" s="1207"/>
    </row>
    <row r="268" spans="1:34" ht="13.5" thickBot="1" x14ac:dyDescent="0.25">
      <c r="A268" s="1236"/>
      <c r="B268" s="1237"/>
      <c r="C268" s="1246" t="s">
        <v>452</v>
      </c>
      <c r="D268" s="1246" t="s">
        <v>453</v>
      </c>
      <c r="E268" s="1246" t="s">
        <v>434</v>
      </c>
      <c r="F268" s="1246" t="s">
        <v>390</v>
      </c>
      <c r="G268" s="1246" t="s">
        <v>454</v>
      </c>
      <c r="H268" s="1246" t="s">
        <v>455</v>
      </c>
      <c r="I268" s="1246" t="s">
        <v>456</v>
      </c>
      <c r="J268" s="1246" t="s">
        <v>457</v>
      </c>
      <c r="K268" s="1246" t="s">
        <v>458</v>
      </c>
      <c r="L268" s="1246" t="s">
        <v>216</v>
      </c>
      <c r="M268" s="1246" t="s">
        <v>459</v>
      </c>
      <c r="N268" s="1246" t="s">
        <v>297</v>
      </c>
      <c r="O268" s="1246" t="s">
        <v>211</v>
      </c>
      <c r="P268" s="1247" t="s">
        <v>270</v>
      </c>
      <c r="Q268" s="1246">
        <v>15</v>
      </c>
      <c r="R268" s="1246">
        <v>16</v>
      </c>
      <c r="S268" s="1246" t="s">
        <v>461</v>
      </c>
      <c r="T268" s="1246" t="s">
        <v>442</v>
      </c>
      <c r="U268" s="1246" t="s">
        <v>462</v>
      </c>
      <c r="V268" s="1246" t="s">
        <v>470</v>
      </c>
      <c r="W268" s="1246" t="s">
        <v>471</v>
      </c>
      <c r="X268" s="1246" t="s">
        <v>472</v>
      </c>
      <c r="Y268" s="1246" t="s">
        <v>463</v>
      </c>
      <c r="Z268" s="1246" t="s">
        <v>465</v>
      </c>
      <c r="AA268" s="1246" t="s">
        <v>466</v>
      </c>
      <c r="AB268" s="1246" t="s">
        <v>435</v>
      </c>
      <c r="AC268" s="1246" t="s">
        <v>467</v>
      </c>
      <c r="AD268" s="1246" t="s">
        <v>464</v>
      </c>
      <c r="AE268" s="1246" t="s">
        <v>429</v>
      </c>
      <c r="AF268" s="1246" t="s">
        <v>149</v>
      </c>
      <c r="AG268" s="1246" t="s">
        <v>210</v>
      </c>
      <c r="AH268" s="1207"/>
    </row>
    <row r="269" spans="1:34" x14ac:dyDescent="0.2">
      <c r="A269" s="1233"/>
      <c r="B269" s="1248"/>
      <c r="C269" s="1237"/>
      <c r="D269" s="1237"/>
      <c r="E269" s="1237"/>
      <c r="F269" s="1237"/>
      <c r="G269" s="1237"/>
      <c r="H269" s="1237"/>
      <c r="I269" s="1237"/>
      <c r="J269" s="1237"/>
      <c r="K269" s="1237"/>
      <c r="L269" s="1237"/>
      <c r="M269" s="1237"/>
      <c r="N269" s="1237"/>
      <c r="O269" s="1237"/>
      <c r="P269" s="1241"/>
      <c r="Q269" s="1237"/>
      <c r="R269" s="1237"/>
      <c r="S269" s="1237"/>
      <c r="T269" s="1237"/>
      <c r="U269" s="1237"/>
      <c r="V269" s="1237"/>
      <c r="W269" s="1237"/>
      <c r="X269" s="1237"/>
      <c r="Y269" s="1237"/>
      <c r="Z269" s="1237"/>
      <c r="AA269" s="1237"/>
      <c r="AB269" s="1237"/>
      <c r="AC269" s="1237"/>
      <c r="AD269" s="1237"/>
      <c r="AE269" s="1237"/>
      <c r="AF269" s="1237"/>
      <c r="AG269" s="1237"/>
      <c r="AH269" s="1207"/>
    </row>
    <row r="270" spans="1:34" x14ac:dyDescent="0.2">
      <c r="A270" s="1236" t="s">
        <v>0</v>
      </c>
      <c r="B270" s="1249">
        <v>12054.7</v>
      </c>
      <c r="C270" s="1237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41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07"/>
    </row>
    <row r="271" spans="1:34" ht="13.5" thickBot="1" x14ac:dyDescent="0.25">
      <c r="A271" s="1250"/>
      <c r="B271" s="1251"/>
      <c r="C271" s="1237"/>
      <c r="D271" s="1237"/>
      <c r="E271" s="1237"/>
      <c r="F271" s="1237"/>
      <c r="G271" s="1237"/>
      <c r="H271" s="1237"/>
      <c r="I271" s="1237"/>
      <c r="J271" s="1237"/>
      <c r="K271" s="1237"/>
      <c r="L271" s="1237"/>
      <c r="M271" s="1237"/>
      <c r="N271" s="1237"/>
      <c r="O271" s="1237"/>
      <c r="P271" s="1241"/>
      <c r="Q271" s="1237"/>
      <c r="R271" s="1237"/>
      <c r="S271" s="1237"/>
      <c r="T271" s="1237"/>
      <c r="U271" s="1237"/>
      <c r="V271" s="1237"/>
      <c r="W271" s="1237"/>
      <c r="X271" s="1237"/>
      <c r="Y271" s="1237"/>
      <c r="Z271" s="1237"/>
      <c r="AA271" s="1237"/>
      <c r="AB271" s="1237"/>
      <c r="AC271" s="1237"/>
      <c r="AD271" s="1237"/>
      <c r="AE271" s="1237"/>
      <c r="AF271" s="1237"/>
      <c r="AG271" s="1237"/>
      <c r="AH271" s="1207"/>
    </row>
    <row r="272" spans="1:34" x14ac:dyDescent="0.2">
      <c r="A272" s="1233"/>
      <c r="B272" s="1253"/>
      <c r="C272" s="1237"/>
      <c r="D272" s="1237"/>
      <c r="E272" s="1237"/>
      <c r="F272" s="1237"/>
      <c r="G272" s="1237"/>
      <c r="H272" s="1237"/>
      <c r="I272" s="1237"/>
      <c r="J272" s="1237"/>
      <c r="K272" s="1237"/>
      <c r="L272" s="1237"/>
      <c r="M272" s="1237"/>
      <c r="N272" s="1237"/>
      <c r="O272" s="1237"/>
      <c r="P272" s="1241"/>
      <c r="Q272" s="1237"/>
      <c r="R272" s="1237"/>
      <c r="S272" s="1237"/>
      <c r="T272" s="1237"/>
      <c r="U272" s="1237"/>
      <c r="V272" s="1237"/>
      <c r="W272" s="1237"/>
      <c r="X272" s="1237"/>
      <c r="Y272" s="1237"/>
      <c r="Z272" s="1237"/>
      <c r="AA272" s="1237"/>
      <c r="AB272" s="1237"/>
      <c r="AC272" s="1237"/>
      <c r="AD272" s="1237"/>
      <c r="AE272" s="1237"/>
      <c r="AF272" s="1237"/>
      <c r="AG272" s="1237"/>
      <c r="AH272" s="1207"/>
    </row>
    <row r="273" spans="1:34" x14ac:dyDescent="0.2">
      <c r="A273" s="1236" t="s">
        <v>1</v>
      </c>
      <c r="B273" s="1249">
        <f>B274+B275+B276</f>
        <v>0</v>
      </c>
      <c r="C273" s="1237"/>
      <c r="D273" s="1237"/>
      <c r="E273" s="1237"/>
      <c r="F273" s="1237"/>
      <c r="G273" s="1237"/>
      <c r="H273" s="1237"/>
      <c r="I273" s="1237"/>
      <c r="J273" s="1237"/>
      <c r="K273" s="1237"/>
      <c r="L273" s="1237"/>
      <c r="M273" s="1237"/>
      <c r="N273" s="1237"/>
      <c r="O273" s="1237"/>
      <c r="P273" s="1241"/>
      <c r="Q273" s="1237"/>
      <c r="R273" s="1237"/>
      <c r="S273" s="1237"/>
      <c r="T273" s="1237"/>
      <c r="U273" s="1237"/>
      <c r="V273" s="1237"/>
      <c r="W273" s="1237"/>
      <c r="X273" s="1237"/>
      <c r="Y273" s="1237"/>
      <c r="Z273" s="1237"/>
      <c r="AA273" s="1237"/>
      <c r="AB273" s="1237"/>
      <c r="AC273" s="1237"/>
      <c r="AD273" s="1237"/>
      <c r="AE273" s="1237"/>
      <c r="AF273" s="1237"/>
      <c r="AG273" s="1237"/>
      <c r="AH273" s="1207"/>
    </row>
    <row r="274" spans="1:34" x14ac:dyDescent="0.2">
      <c r="A274" s="1236" t="s">
        <v>38</v>
      </c>
      <c r="B274" s="1249">
        <f>C322</f>
        <v>0</v>
      </c>
      <c r="C274" s="1237"/>
      <c r="D274" s="1237"/>
      <c r="E274" s="1237"/>
      <c r="F274" s="1237"/>
      <c r="G274" s="1237"/>
      <c r="H274" s="1237"/>
      <c r="I274" s="1237"/>
      <c r="J274" s="1237"/>
      <c r="K274" s="1237"/>
      <c r="L274" s="1237"/>
      <c r="M274" s="1237"/>
      <c r="N274" s="1237"/>
      <c r="O274" s="1237"/>
      <c r="P274" s="1241"/>
      <c r="Q274" s="1237"/>
      <c r="R274" s="1237"/>
      <c r="S274" s="1237"/>
      <c r="T274" s="1237"/>
      <c r="U274" s="1237"/>
      <c r="V274" s="1237"/>
      <c r="W274" s="1237"/>
      <c r="X274" s="1237"/>
      <c r="Y274" s="1237"/>
      <c r="Z274" s="1237"/>
      <c r="AA274" s="1237"/>
      <c r="AB274" s="1237"/>
      <c r="AC274" s="1237"/>
      <c r="AD274" s="1237"/>
      <c r="AE274" s="1237"/>
      <c r="AF274" s="1237"/>
      <c r="AG274" s="1237"/>
      <c r="AH274" s="1207"/>
    </row>
    <row r="275" spans="1:34" x14ac:dyDescent="0.2">
      <c r="A275" s="1236" t="s">
        <v>39</v>
      </c>
      <c r="B275" s="1249">
        <f>C345</f>
        <v>0</v>
      </c>
      <c r="C275" s="1237"/>
      <c r="D275" s="1237"/>
      <c r="E275" s="1237"/>
      <c r="F275" s="1237"/>
      <c r="G275" s="1237"/>
      <c r="H275" s="1237"/>
      <c r="I275" s="1237"/>
      <c r="J275" s="1237"/>
      <c r="K275" s="1237"/>
      <c r="L275" s="1237"/>
      <c r="M275" s="1237"/>
      <c r="N275" s="1237"/>
      <c r="O275" s="1237"/>
      <c r="P275" s="1241"/>
      <c r="Q275" s="1237"/>
      <c r="R275" s="1237"/>
      <c r="S275" s="1237"/>
      <c r="T275" s="1237"/>
      <c r="U275" s="1237"/>
      <c r="V275" s="1237"/>
      <c r="W275" s="1237"/>
      <c r="X275" s="1237"/>
      <c r="Y275" s="1237"/>
      <c r="Z275" s="1237"/>
      <c r="AA275" s="1237"/>
      <c r="AB275" s="1237"/>
      <c r="AC275" s="1237"/>
      <c r="AD275" s="1237"/>
      <c r="AE275" s="1237"/>
      <c r="AF275" s="1237"/>
      <c r="AG275" s="1237"/>
      <c r="AH275" s="1207"/>
    </row>
    <row r="276" spans="1:34" x14ac:dyDescent="0.2">
      <c r="A276" s="1236" t="s">
        <v>3</v>
      </c>
      <c r="B276" s="1249"/>
      <c r="C276" s="1237"/>
      <c r="D276" s="1237"/>
      <c r="E276" s="1237"/>
      <c r="F276" s="1237"/>
      <c r="G276" s="1237"/>
      <c r="H276" s="1237"/>
      <c r="I276" s="1237"/>
      <c r="J276" s="1237"/>
      <c r="K276" s="1237"/>
      <c r="L276" s="1237"/>
      <c r="M276" s="1237"/>
      <c r="N276" s="1237"/>
      <c r="O276" s="1237"/>
      <c r="P276" s="1241"/>
      <c r="Q276" s="1237"/>
      <c r="R276" s="1237"/>
      <c r="S276" s="1237"/>
      <c r="T276" s="1237"/>
      <c r="U276" s="1237"/>
      <c r="V276" s="1237"/>
      <c r="W276" s="1237"/>
      <c r="X276" s="1237"/>
      <c r="Y276" s="1237"/>
      <c r="Z276" s="1237"/>
      <c r="AA276" s="1237"/>
      <c r="AB276" s="1237"/>
      <c r="AC276" s="1237"/>
      <c r="AD276" s="1237"/>
      <c r="AE276" s="1237"/>
      <c r="AF276" s="1237"/>
      <c r="AG276" s="1237"/>
      <c r="AH276" s="1207"/>
    </row>
    <row r="277" spans="1:34" ht="13.5" thickBot="1" x14ac:dyDescent="0.25">
      <c r="A277" s="1250"/>
      <c r="B277" s="1251"/>
      <c r="C277" s="1237"/>
      <c r="D277" s="1237"/>
      <c r="E277" s="1237"/>
      <c r="F277" s="1237"/>
      <c r="G277" s="1237"/>
      <c r="H277" s="1237"/>
      <c r="I277" s="1237"/>
      <c r="J277" s="1237"/>
      <c r="K277" s="1237"/>
      <c r="L277" s="1237"/>
      <c r="M277" s="1237"/>
      <c r="N277" s="1237"/>
      <c r="O277" s="1237"/>
      <c r="P277" s="1241"/>
      <c r="Q277" s="1237"/>
      <c r="R277" s="1237"/>
      <c r="S277" s="1237"/>
      <c r="T277" s="1237"/>
      <c r="U277" s="1237"/>
      <c r="V277" s="1237"/>
      <c r="W277" s="1237"/>
      <c r="X277" s="1237"/>
      <c r="Y277" s="1237"/>
      <c r="Z277" s="1237"/>
      <c r="AA277" s="1237"/>
      <c r="AB277" s="1237"/>
      <c r="AC277" s="1237"/>
      <c r="AD277" s="1237"/>
      <c r="AE277" s="1237"/>
      <c r="AF277" s="1237"/>
      <c r="AG277" s="1237"/>
      <c r="AH277" s="1207"/>
    </row>
    <row r="278" spans="1:34" x14ac:dyDescent="0.2">
      <c r="A278" s="1233"/>
      <c r="B278" s="1253"/>
      <c r="C278" s="1237"/>
      <c r="D278" s="1237"/>
      <c r="E278" s="1237"/>
      <c r="F278" s="1237"/>
      <c r="G278" s="1237"/>
      <c r="H278" s="1237"/>
      <c r="I278" s="1237"/>
      <c r="J278" s="1237"/>
      <c r="K278" s="1237"/>
      <c r="L278" s="1237"/>
      <c r="M278" s="1237"/>
      <c r="N278" s="1237"/>
      <c r="O278" s="1237"/>
      <c r="P278" s="1241"/>
      <c r="Q278" s="1237"/>
      <c r="R278" s="1237"/>
      <c r="S278" s="1237"/>
      <c r="T278" s="1237"/>
      <c r="U278" s="1237"/>
      <c r="V278" s="1237"/>
      <c r="W278" s="1237"/>
      <c r="X278" s="1237"/>
      <c r="Y278" s="1237"/>
      <c r="Z278" s="1237"/>
      <c r="AA278" s="1237"/>
      <c r="AB278" s="1237"/>
      <c r="AC278" s="1237"/>
      <c r="AD278" s="1237"/>
      <c r="AE278" s="1237"/>
      <c r="AF278" s="1237"/>
      <c r="AG278" s="1237"/>
      <c r="AH278" s="1207"/>
    </row>
    <row r="279" spans="1:34" x14ac:dyDescent="0.2">
      <c r="A279" s="1236" t="s">
        <v>4</v>
      </c>
      <c r="B279" s="1249">
        <f>B270-B273</f>
        <v>12054.7</v>
      </c>
      <c r="C279" s="1237"/>
      <c r="D279" s="1237"/>
      <c r="E279" s="1237"/>
      <c r="F279" s="1237"/>
      <c r="G279" s="1237"/>
      <c r="H279" s="1237"/>
      <c r="I279" s="1237"/>
      <c r="J279" s="1237"/>
      <c r="K279" s="1237"/>
      <c r="L279" s="1237"/>
      <c r="M279" s="1237"/>
      <c r="N279" s="1237"/>
      <c r="O279" s="1237"/>
      <c r="P279" s="1241"/>
      <c r="Q279" s="1237"/>
      <c r="R279" s="1237"/>
      <c r="S279" s="1237"/>
      <c r="T279" s="1237"/>
      <c r="U279" s="1237"/>
      <c r="V279" s="1237"/>
      <c r="W279" s="1237"/>
      <c r="X279" s="1237"/>
      <c r="Y279" s="1237"/>
      <c r="Z279" s="1237"/>
      <c r="AA279" s="1237"/>
      <c r="AB279" s="1237"/>
      <c r="AC279" s="1237"/>
      <c r="AD279" s="1237"/>
      <c r="AE279" s="1237"/>
      <c r="AF279" s="1237"/>
      <c r="AG279" s="1237"/>
      <c r="AH279" s="1207"/>
    </row>
    <row r="280" spans="1:34" ht="21" thickBot="1" x14ac:dyDescent="0.35">
      <c r="A280" s="1250"/>
      <c r="B280" s="1251"/>
      <c r="C280" s="1237"/>
      <c r="D280" s="1237"/>
      <c r="E280" s="1237"/>
      <c r="F280" s="1393"/>
      <c r="G280" s="1237"/>
      <c r="H280" s="1237"/>
      <c r="I280" s="1237"/>
      <c r="J280" s="1237"/>
      <c r="K280" s="1237"/>
      <c r="L280" s="1237"/>
      <c r="M280" s="1237"/>
      <c r="N280" s="1237"/>
      <c r="O280" s="1237"/>
      <c r="P280" s="1241"/>
      <c r="Q280" s="1237"/>
      <c r="R280" s="1237"/>
      <c r="S280" s="1237"/>
      <c r="T280" s="1237"/>
      <c r="U280" s="1237"/>
      <c r="V280" s="1237"/>
      <c r="W280" s="1237"/>
      <c r="X280" s="1237"/>
      <c r="Y280" s="1237"/>
      <c r="Z280" s="1237"/>
      <c r="AA280" s="1237"/>
      <c r="AB280" s="1237"/>
      <c r="AC280" s="1237"/>
      <c r="AD280" s="1237"/>
      <c r="AE280" s="1237"/>
      <c r="AF280" s="1237"/>
      <c r="AG280" s="1237"/>
      <c r="AH280" s="1207"/>
    </row>
    <row r="281" spans="1:34" x14ac:dyDescent="0.2">
      <c r="A281" s="1233"/>
      <c r="B281" s="1253"/>
      <c r="C281" s="1237"/>
      <c r="D281" s="1237"/>
      <c r="E281" s="1237"/>
      <c r="F281" s="1237"/>
      <c r="G281" s="1237"/>
      <c r="H281" s="1237"/>
      <c r="I281" s="1237"/>
      <c r="J281" s="1237"/>
      <c r="K281" s="1237"/>
      <c r="L281" s="1237"/>
      <c r="M281" s="1237"/>
      <c r="N281" s="1237"/>
      <c r="O281" s="1237"/>
      <c r="P281" s="1241"/>
      <c r="Q281" s="1237"/>
      <c r="R281" s="1237"/>
      <c r="S281" s="1237"/>
      <c r="T281" s="1237"/>
      <c r="U281" s="1237"/>
      <c r="V281" s="1237"/>
      <c r="W281" s="1237"/>
      <c r="X281" s="1237"/>
      <c r="Y281" s="1237"/>
      <c r="Z281" s="1237"/>
      <c r="AA281" s="1237"/>
      <c r="AB281" s="1237"/>
      <c r="AC281" s="1237"/>
      <c r="AD281" s="1237"/>
      <c r="AE281" s="1237"/>
      <c r="AF281" s="1237"/>
      <c r="AG281" s="1237"/>
      <c r="AH281" s="1207"/>
    </row>
    <row r="282" spans="1:34" x14ac:dyDescent="0.2">
      <c r="A282" s="1236" t="s">
        <v>17</v>
      </c>
      <c r="B282" s="1249"/>
      <c r="C282" s="1237"/>
      <c r="D282" s="1241"/>
      <c r="E282" s="1237"/>
      <c r="F282" s="1237"/>
      <c r="G282" s="1237"/>
      <c r="H282" s="1237"/>
      <c r="I282" s="1237"/>
      <c r="J282" s="1237"/>
      <c r="K282" s="1237"/>
      <c r="L282" s="1237"/>
      <c r="M282" s="1237"/>
      <c r="N282" s="1237"/>
      <c r="O282" s="1237"/>
      <c r="P282" s="1241"/>
      <c r="Q282" s="1237"/>
      <c r="R282" s="1237"/>
      <c r="S282" s="1237"/>
      <c r="T282" s="1237"/>
      <c r="U282" s="1237"/>
      <c r="V282" s="1237"/>
      <c r="W282" s="1237"/>
      <c r="X282" s="1237"/>
      <c r="Y282" s="1237"/>
      <c r="Z282" s="1237"/>
      <c r="AA282" s="1237"/>
      <c r="AB282" s="1237"/>
      <c r="AC282" s="1237"/>
      <c r="AD282" s="1237"/>
      <c r="AE282" s="1237"/>
      <c r="AF282" s="1237"/>
      <c r="AG282" s="1237"/>
      <c r="AH282" s="1207"/>
    </row>
    <row r="283" spans="1:34" ht="13.5" thickBot="1" x14ac:dyDescent="0.25">
      <c r="A283" s="1250"/>
      <c r="B283" s="1251"/>
      <c r="C283" s="1237"/>
      <c r="D283" s="1241"/>
      <c r="E283" s="1237"/>
      <c r="F283" s="1241"/>
      <c r="G283" s="1237"/>
      <c r="H283" s="1580"/>
      <c r="I283" s="1237"/>
      <c r="J283" s="1237"/>
      <c r="K283" s="1237"/>
      <c r="L283" s="1237"/>
      <c r="M283" s="1237"/>
      <c r="N283" s="1237"/>
      <c r="O283" s="1237"/>
      <c r="P283" s="1241"/>
      <c r="Q283" s="1237"/>
      <c r="R283" s="1237"/>
      <c r="S283" s="1237"/>
      <c r="T283" s="1237"/>
      <c r="U283" s="1237"/>
      <c r="V283" s="1237"/>
      <c r="W283" s="1237"/>
      <c r="X283" s="1258"/>
      <c r="Y283" s="1237"/>
      <c r="Z283" s="1237"/>
      <c r="AA283" s="1237"/>
      <c r="AB283" s="1237"/>
      <c r="AC283" s="1237"/>
      <c r="AD283" s="1237"/>
      <c r="AE283" s="1237"/>
      <c r="AF283" s="1707"/>
      <c r="AG283" s="1237"/>
      <c r="AH283" s="1207"/>
    </row>
    <row r="284" spans="1:34" ht="23.25" customHeight="1" x14ac:dyDescent="0.3">
      <c r="A284" s="1233"/>
      <c r="B284" s="1253"/>
      <c r="D284" s="1579"/>
      <c r="E284" s="1564"/>
      <c r="F284" s="1580"/>
      <c r="G284" s="1564"/>
      <c r="H284" s="1707"/>
      <c r="I284" s="1370"/>
      <c r="J284" s="1237"/>
      <c r="K284" s="1394"/>
      <c r="L284" s="1237"/>
      <c r="M284" s="1749"/>
      <c r="N284" s="1749"/>
      <c r="O284" s="1749"/>
      <c r="P284" s="1749"/>
      <c r="Q284" s="1749"/>
      <c r="R284" s="1749"/>
      <c r="S284" s="1534"/>
      <c r="T284" s="1534"/>
      <c r="U284" s="1534"/>
      <c r="V284" s="1534"/>
      <c r="W284" s="1534"/>
      <c r="X284" s="1534"/>
      <c r="Y284" s="1707"/>
      <c r="Z284" s="1707"/>
      <c r="AA284" s="1707"/>
      <c r="AB284" s="1237"/>
      <c r="AC284" s="1237"/>
      <c r="AD284" s="1237"/>
      <c r="AE284" s="1237"/>
      <c r="AF284" s="1707"/>
      <c r="AH284" s="1207"/>
    </row>
    <row r="285" spans="1:34" x14ac:dyDescent="0.2">
      <c r="A285" s="1236" t="s">
        <v>5</v>
      </c>
      <c r="B285" s="1249">
        <f>B279-B282</f>
        <v>12054.7</v>
      </c>
      <c r="C285" s="1392" t="s">
        <v>1499</v>
      </c>
      <c r="D285" s="1212" t="s">
        <v>187</v>
      </c>
      <c r="F285" s="1212"/>
      <c r="G285" s="1371" t="s">
        <v>142</v>
      </c>
      <c r="H285" s="1212"/>
      <c r="I285" s="1707" t="s">
        <v>223</v>
      </c>
      <c r="J285" s="1706"/>
      <c r="K285" s="1707"/>
      <c r="L285" s="1707"/>
      <c r="M285" s="1707"/>
      <c r="N285" s="1707"/>
      <c r="O285" s="1707" t="s">
        <v>145</v>
      </c>
      <c r="P285" s="1212" t="s">
        <v>69</v>
      </c>
      <c r="Q285" s="1370"/>
      <c r="R285" s="1707"/>
      <c r="S285" s="1212"/>
      <c r="T285" s="1707"/>
      <c r="U285" s="1707"/>
      <c r="V285" s="1707" t="s">
        <v>1383</v>
      </c>
      <c r="W285" s="1237"/>
      <c r="X285" s="1256"/>
      <c r="Y285" s="1707"/>
      <c r="Z285" s="1212"/>
      <c r="AA285" s="1212"/>
      <c r="AB285" s="1212"/>
      <c r="AC285" s="1395"/>
      <c r="AD285" s="1395"/>
      <c r="AE285" s="1719" t="s">
        <v>969</v>
      </c>
      <c r="AF285" s="1392" t="s">
        <v>1472</v>
      </c>
      <c r="AG285" s="1392"/>
      <c r="AH285" s="1207"/>
    </row>
    <row r="286" spans="1:34" ht="13.5" thickBot="1" x14ac:dyDescent="0.25">
      <c r="A286" s="1250"/>
      <c r="B286" s="1251"/>
      <c r="C286" s="1237"/>
      <c r="D286" s="1241"/>
      <c r="E286" s="1237"/>
      <c r="F286" s="1241"/>
      <c r="G286" s="1237"/>
      <c r="H286" s="1241"/>
      <c r="I286" s="1237"/>
      <c r="J286" s="1237"/>
      <c r="K286" s="1237"/>
      <c r="L286" s="1237"/>
      <c r="M286" s="1707"/>
      <c r="N286" s="1237"/>
      <c r="O286" s="1237"/>
      <c r="P286" s="1241"/>
      <c r="Q286" s="1237"/>
      <c r="R286" s="1237"/>
      <c r="S286" s="1237"/>
      <c r="T286" s="1237"/>
      <c r="U286" s="1237"/>
      <c r="V286" s="1237"/>
      <c r="W286" s="1237"/>
      <c r="X286" s="1237"/>
      <c r="Y286" s="1237"/>
      <c r="Z286" s="1237"/>
      <c r="AA286" s="1237"/>
      <c r="AB286" s="1237"/>
      <c r="AC286" s="1237"/>
      <c r="AD286" s="1237"/>
      <c r="AE286" s="1237"/>
      <c r="AF286" s="1237"/>
      <c r="AG286" s="1237"/>
      <c r="AH286" s="1207"/>
    </row>
    <row r="287" spans="1:34" x14ac:dyDescent="0.2">
      <c r="A287" s="1269"/>
      <c r="B287" s="1237"/>
      <c r="C287" s="1270"/>
      <c r="D287" s="1578"/>
      <c r="E287" s="1272"/>
      <c r="F287" s="1273"/>
      <c r="G287" s="1271"/>
      <c r="H287" s="1273"/>
      <c r="I287" s="1271"/>
      <c r="J287" s="1271"/>
      <c r="K287" s="1271"/>
      <c r="L287" s="1271"/>
      <c r="M287" s="1271"/>
      <c r="N287" s="1271"/>
      <c r="O287" s="1271"/>
      <c r="P287" s="1273"/>
      <c r="Q287" s="1271"/>
      <c r="R287" s="1271"/>
      <c r="S287" s="1271"/>
      <c r="T287" s="1271"/>
      <c r="U287" s="1271"/>
      <c r="V287" s="1271"/>
      <c r="W287" s="1271"/>
      <c r="X287" s="1271"/>
      <c r="Y287" s="1271"/>
      <c r="Z287" s="1271"/>
      <c r="AA287" s="1271"/>
      <c r="AB287" s="1271"/>
      <c r="AC287" s="1271"/>
      <c r="AD287" s="1271"/>
      <c r="AE287" s="1271"/>
      <c r="AF287" s="1271"/>
      <c r="AG287" s="1271"/>
      <c r="AH287" s="1207"/>
    </row>
    <row r="288" spans="1:34" ht="13.5" thickBot="1" x14ac:dyDescent="0.25">
      <c r="A288" s="1274" t="s">
        <v>7</v>
      </c>
      <c r="B288" s="1237"/>
      <c r="C288" s="1275">
        <f t="shared" ref="C288:AG288" si="31">C289+C290+C291+C293+C292</f>
        <v>63759.915000000001</v>
      </c>
      <c r="D288" s="1276">
        <f t="shared" si="31"/>
        <v>30000</v>
      </c>
      <c r="E288" s="1275">
        <f t="shared" si="31"/>
        <v>0</v>
      </c>
      <c r="F288" s="1276">
        <f t="shared" si="31"/>
        <v>0</v>
      </c>
      <c r="G288" s="1275">
        <f t="shared" si="31"/>
        <v>-0.28699999999662396</v>
      </c>
      <c r="H288" s="1276">
        <f t="shared" si="31"/>
        <v>0</v>
      </c>
      <c r="I288" s="1275">
        <f t="shared" si="31"/>
        <v>37900</v>
      </c>
      <c r="J288" s="1275">
        <f t="shared" si="31"/>
        <v>0</v>
      </c>
      <c r="K288" s="1275">
        <f t="shared" si="31"/>
        <v>0</v>
      </c>
      <c r="L288" s="1275">
        <f t="shared" si="31"/>
        <v>0</v>
      </c>
      <c r="M288" s="1275">
        <f t="shared" si="31"/>
        <v>0</v>
      </c>
      <c r="N288" s="1275">
        <f t="shared" si="31"/>
        <v>0</v>
      </c>
      <c r="O288" s="1275">
        <f t="shared" si="31"/>
        <v>0.37000000000261934</v>
      </c>
      <c r="P288" s="1276">
        <f t="shared" si="31"/>
        <v>0.28700000000026193</v>
      </c>
      <c r="Q288" s="1275">
        <f t="shared" si="31"/>
        <v>0</v>
      </c>
      <c r="R288" s="1275">
        <f t="shared" si="31"/>
        <v>0</v>
      </c>
      <c r="S288" s="1275">
        <f t="shared" si="31"/>
        <v>0</v>
      </c>
      <c r="T288" s="1275">
        <f t="shared" si="31"/>
        <v>0</v>
      </c>
      <c r="U288" s="1275">
        <f t="shared" si="31"/>
        <v>0</v>
      </c>
      <c r="V288" s="1275">
        <f>V289+V290+V291+V293+V292</f>
        <v>3425.384</v>
      </c>
      <c r="W288" s="1275">
        <f t="shared" si="31"/>
        <v>0</v>
      </c>
      <c r="X288" s="1275">
        <f t="shared" si="31"/>
        <v>0</v>
      </c>
      <c r="Y288" s="1275">
        <f t="shared" si="31"/>
        <v>0</v>
      </c>
      <c r="Z288" s="1275">
        <f t="shared" si="31"/>
        <v>0</v>
      </c>
      <c r="AA288" s="1275">
        <f t="shared" si="31"/>
        <v>0</v>
      </c>
      <c r="AB288" s="1275">
        <f t="shared" si="31"/>
        <v>0</v>
      </c>
      <c r="AC288" s="1275">
        <f t="shared" si="31"/>
        <v>0</v>
      </c>
      <c r="AD288" s="1275">
        <f t="shared" si="31"/>
        <v>0</v>
      </c>
      <c r="AE288" s="1275">
        <f t="shared" si="31"/>
        <v>145000</v>
      </c>
      <c r="AF288" s="1275">
        <f t="shared" si="31"/>
        <v>6216.2340000000004</v>
      </c>
      <c r="AG288" s="1275">
        <f t="shared" si="31"/>
        <v>0</v>
      </c>
      <c r="AH288" s="1227">
        <f>SUM(C288:AG288)</f>
        <v>286301.90299999999</v>
      </c>
    </row>
    <row r="289" spans="1:34" x14ac:dyDescent="0.2">
      <c r="A289" s="1274" t="s">
        <v>8</v>
      </c>
      <c r="B289" s="1389"/>
      <c r="C289" s="1302"/>
      <c r="D289" s="1306"/>
      <c r="E289" s="1396"/>
      <c r="F289" s="1304"/>
      <c r="G289" s="1303"/>
      <c r="H289" s="1304"/>
      <c r="I289" s="1319"/>
      <c r="J289" s="1303"/>
      <c r="K289" s="1303"/>
      <c r="L289" s="1303"/>
      <c r="M289" s="1303"/>
      <c r="N289" s="1303"/>
      <c r="O289" s="1303"/>
      <c r="P289" s="1304"/>
      <c r="Q289" s="1303"/>
      <c r="R289" s="1303"/>
      <c r="S289" s="1303"/>
      <c r="T289" s="1303"/>
      <c r="U289" s="1303"/>
      <c r="V289" s="1282"/>
      <c r="W289" s="1303"/>
      <c r="X289" s="1303"/>
      <c r="Y289" s="1303"/>
      <c r="Z289" s="1303"/>
      <c r="AA289" s="1303"/>
      <c r="AB289" s="1303"/>
      <c r="AC289" s="1303"/>
      <c r="AD289" s="1303"/>
      <c r="AE289" s="1303"/>
      <c r="AF289" s="1303"/>
      <c r="AG289" s="1397"/>
      <c r="AH289" s="1227">
        <f>SUM(C289:AG289)</f>
        <v>0</v>
      </c>
    </row>
    <row r="290" spans="1:34" x14ac:dyDescent="0.2">
      <c r="A290" s="1274" t="s">
        <v>9</v>
      </c>
      <c r="B290" s="1389"/>
      <c r="C290" s="1293"/>
      <c r="D290" s="1293"/>
      <c r="E290" s="1293"/>
      <c r="F290" s="1293"/>
      <c r="G290" s="1293"/>
      <c r="H290" s="1293"/>
      <c r="I290" s="1293"/>
      <c r="J290" s="1293"/>
      <c r="K290" s="1293"/>
      <c r="L290" s="1293"/>
      <c r="M290" s="1293"/>
      <c r="N290" s="1293"/>
      <c r="O290" s="1293"/>
      <c r="P290" s="1293"/>
      <c r="Q290" s="1293"/>
      <c r="R290" s="1293"/>
      <c r="S290" s="1293"/>
      <c r="T290" s="1293"/>
      <c r="U290" s="1293"/>
      <c r="V290" s="1293"/>
      <c r="W290" s="1293"/>
      <c r="X290" s="1293"/>
      <c r="Y290" s="1293"/>
      <c r="Z290" s="1293"/>
      <c r="AA290" s="1293"/>
      <c r="AB290" s="1293"/>
      <c r="AC290" s="1293"/>
      <c r="AD290" s="1293"/>
      <c r="AE290" s="1293">
        <v>145000</v>
      </c>
      <c r="AF290" s="1293"/>
      <c r="AG290" s="1293"/>
      <c r="AH290" s="1227">
        <f>SUM(C290:AG290)</f>
        <v>145000</v>
      </c>
    </row>
    <row r="291" spans="1:34" s="1289" customFormat="1" x14ac:dyDescent="0.2">
      <c r="A291" s="1285" t="s">
        <v>10</v>
      </c>
      <c r="B291" s="1372"/>
      <c r="C291" s="1398">
        <v>63759.915000000001</v>
      </c>
      <c r="D291" s="1374">
        <v>30000</v>
      </c>
      <c r="E291" s="1374"/>
      <c r="F291" s="1375"/>
      <c r="G291" s="1375"/>
      <c r="H291" s="1398"/>
      <c r="I291" s="1375">
        <v>37900</v>
      </c>
      <c r="J291" s="1375"/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/>
      <c r="U291" s="1375"/>
      <c r="V291" s="1375"/>
      <c r="W291" s="1375"/>
      <c r="X291" s="1376"/>
      <c r="Y291" s="1375"/>
      <c r="Z291" s="1390"/>
      <c r="AA291" s="1399"/>
      <c r="AB291" s="1375"/>
      <c r="AC291" s="1375"/>
      <c r="AD291" s="1377"/>
      <c r="AE291" s="1375"/>
      <c r="AF291" s="1375"/>
      <c r="AG291" s="1375"/>
      <c r="AH291" s="1231">
        <f>SUM(C291:AG291)</f>
        <v>131659.91500000001</v>
      </c>
    </row>
    <row r="292" spans="1:34" s="1289" customFormat="1" x14ac:dyDescent="0.2">
      <c r="A292" s="1285" t="s">
        <v>356</v>
      </c>
      <c r="B292" s="1372"/>
      <c r="C292" s="1493"/>
      <c r="D292" s="1493"/>
      <c r="E292" s="1493"/>
      <c r="F292" s="1493"/>
      <c r="G292" s="1493">
        <v>45678.713000000003</v>
      </c>
      <c r="H292" s="1493"/>
      <c r="I292" s="1493"/>
      <c r="J292" s="1493"/>
      <c r="K292" s="1493"/>
      <c r="L292" s="1493"/>
      <c r="M292" s="1493"/>
      <c r="N292" s="1493"/>
      <c r="O292" s="1493">
        <v>43370.37</v>
      </c>
      <c r="P292" s="1493">
        <v>26438.287</v>
      </c>
      <c r="Q292" s="1493"/>
      <c r="R292" s="1493"/>
      <c r="S292" s="1493"/>
      <c r="T292" s="1493"/>
      <c r="U292" s="1493"/>
      <c r="V292" s="1493"/>
      <c r="W292" s="1493"/>
      <c r="X292" s="1493"/>
      <c r="Y292" s="1493"/>
      <c r="Z292" s="1493"/>
      <c r="AA292" s="1493"/>
      <c r="AB292" s="1493"/>
      <c r="AC292" s="1493"/>
      <c r="AD292" s="1493"/>
      <c r="AE292" s="1493"/>
      <c r="AF292" s="1493"/>
      <c r="AG292" s="1493"/>
      <c r="AH292" s="1456">
        <f>SUM(C292:AG292)</f>
        <v>115487.37000000001</v>
      </c>
    </row>
    <row r="293" spans="1:34" x14ac:dyDescent="0.2">
      <c r="A293" s="1274" t="s">
        <v>11</v>
      </c>
      <c r="B293" s="1237"/>
      <c r="C293" s="1293"/>
      <c r="D293" s="1293"/>
      <c r="E293" s="1293"/>
      <c r="F293" s="1293"/>
      <c r="G293" s="1293">
        <v>-45679</v>
      </c>
      <c r="H293" s="1293"/>
      <c r="I293" s="1293"/>
      <c r="J293" s="1293"/>
      <c r="K293" s="1293"/>
      <c r="L293" s="1293"/>
      <c r="M293" s="1293"/>
      <c r="N293" s="1293"/>
      <c r="O293" s="1293">
        <v>-43370</v>
      </c>
      <c r="P293" s="1293">
        <v>-26438</v>
      </c>
      <c r="Q293" s="1293"/>
      <c r="R293" s="1293"/>
      <c r="S293" s="1293"/>
      <c r="T293" s="1293"/>
      <c r="U293" s="1293"/>
      <c r="V293" s="1293">
        <v>3425.384</v>
      </c>
      <c r="W293" s="1293"/>
      <c r="X293" s="1293"/>
      <c r="Y293" s="1293"/>
      <c r="Z293" s="1293"/>
      <c r="AA293" s="1293"/>
      <c r="AB293" s="1293"/>
      <c r="AC293" s="1293"/>
      <c r="AD293" s="1293"/>
      <c r="AE293" s="1293"/>
      <c r="AF293" s="1293">
        <v>6216.2340000000004</v>
      </c>
      <c r="AG293" s="1293"/>
      <c r="AH293" s="1207"/>
    </row>
    <row r="294" spans="1:34" ht="13.5" thickBot="1" x14ac:dyDescent="0.25">
      <c r="A294" s="1294"/>
      <c r="B294" s="1237"/>
      <c r="C294" s="1302"/>
      <c r="D294" s="1302"/>
      <c r="E294" s="1302"/>
      <c r="F294" s="1303"/>
      <c r="G294" s="1303"/>
      <c r="H294" s="1303"/>
      <c r="I294" s="1303"/>
      <c r="J294" s="1303"/>
      <c r="K294" s="1303"/>
      <c r="L294" s="1303"/>
      <c r="M294" s="1303"/>
      <c r="N294" s="1303"/>
      <c r="O294" s="1303"/>
      <c r="P294" s="1304"/>
      <c r="Q294" s="1303"/>
      <c r="R294" s="1303"/>
      <c r="S294" s="1303"/>
      <c r="T294" s="1303"/>
      <c r="U294" s="1303"/>
      <c r="V294" s="1303"/>
      <c r="W294" s="1303"/>
      <c r="X294" s="1303"/>
      <c r="Y294" s="1303"/>
      <c r="Z294" s="1303"/>
      <c r="AA294" s="1303"/>
      <c r="AB294" s="1303"/>
      <c r="AC294" s="1303"/>
      <c r="AD294" s="1303"/>
      <c r="AE294" s="1303"/>
      <c r="AF294" s="1303"/>
      <c r="AG294" s="1303"/>
      <c r="AH294" s="1207"/>
    </row>
    <row r="295" spans="1:34" x14ac:dyDescent="0.2">
      <c r="A295" s="1269"/>
      <c r="B295" s="1237"/>
      <c r="C295" s="1296"/>
      <c r="D295" s="1297"/>
      <c r="E295" s="1297"/>
      <c r="F295" s="1298"/>
      <c r="G295" s="1298"/>
      <c r="H295" s="1298"/>
      <c r="I295" s="1298"/>
      <c r="J295" s="1298"/>
      <c r="K295" s="1298"/>
      <c r="L295" s="1298"/>
      <c r="M295" s="1298"/>
      <c r="N295" s="1298"/>
      <c r="O295" s="1298"/>
      <c r="P295" s="1299"/>
      <c r="Q295" s="1298"/>
      <c r="R295" s="1298"/>
      <c r="S295" s="1298"/>
      <c r="T295" s="1298"/>
      <c r="U295" s="1298"/>
      <c r="V295" s="1298"/>
      <c r="W295" s="1298"/>
      <c r="X295" s="1298"/>
      <c r="Y295" s="1298"/>
      <c r="Z295" s="1298"/>
      <c r="AA295" s="1298"/>
      <c r="AB295" s="1298"/>
      <c r="AC295" s="1298"/>
      <c r="AD295" s="1298"/>
      <c r="AE295" s="1298"/>
      <c r="AF295" s="1298"/>
      <c r="AG295" s="1298"/>
      <c r="AH295" s="1207"/>
    </row>
    <row r="296" spans="1:34" ht="13.5" thickBot="1" x14ac:dyDescent="0.25">
      <c r="A296" s="1274" t="s">
        <v>12</v>
      </c>
      <c r="B296" s="1237"/>
      <c r="C296" s="1275">
        <f t="shared" ref="C296:AG296" si="32">C297</f>
        <v>0</v>
      </c>
      <c r="D296" s="1275">
        <f t="shared" si="32"/>
        <v>0</v>
      </c>
      <c r="E296" s="1275">
        <f t="shared" si="32"/>
        <v>0</v>
      </c>
      <c r="F296" s="1275">
        <f t="shared" si="32"/>
        <v>0</v>
      </c>
      <c r="G296" s="1275">
        <f t="shared" si="32"/>
        <v>0</v>
      </c>
      <c r="H296" s="1275">
        <f t="shared" si="32"/>
        <v>0</v>
      </c>
      <c r="I296" s="1275">
        <f t="shared" si="32"/>
        <v>0</v>
      </c>
      <c r="J296" s="1275">
        <f t="shared" si="32"/>
        <v>0</v>
      </c>
      <c r="K296" s="1275">
        <f t="shared" si="32"/>
        <v>0</v>
      </c>
      <c r="L296" s="1275">
        <f t="shared" si="32"/>
        <v>0</v>
      </c>
      <c r="M296" s="1275">
        <f t="shared" si="32"/>
        <v>0</v>
      </c>
      <c r="N296" s="1275">
        <f t="shared" si="32"/>
        <v>0</v>
      </c>
      <c r="O296" s="1275">
        <f t="shared" si="32"/>
        <v>0</v>
      </c>
      <c r="P296" s="1276">
        <f t="shared" si="32"/>
        <v>0</v>
      </c>
      <c r="Q296" s="1275">
        <f t="shared" si="32"/>
        <v>0</v>
      </c>
      <c r="R296" s="1275">
        <f t="shared" si="32"/>
        <v>0</v>
      </c>
      <c r="S296" s="1275">
        <f t="shared" si="32"/>
        <v>0</v>
      </c>
      <c r="T296" s="1275">
        <f t="shared" si="32"/>
        <v>0</v>
      </c>
      <c r="U296" s="1275">
        <f t="shared" si="32"/>
        <v>0</v>
      </c>
      <c r="V296" s="1275">
        <f t="shared" si="32"/>
        <v>0</v>
      </c>
      <c r="W296" s="1275">
        <f t="shared" si="32"/>
        <v>0</v>
      </c>
      <c r="X296" s="1275">
        <f t="shared" si="32"/>
        <v>0</v>
      </c>
      <c r="Y296" s="1275">
        <f t="shared" si="32"/>
        <v>0</v>
      </c>
      <c r="Z296" s="1275">
        <f t="shared" si="32"/>
        <v>0</v>
      </c>
      <c r="AA296" s="1275">
        <f t="shared" si="32"/>
        <v>0</v>
      </c>
      <c r="AB296" s="1275">
        <f t="shared" si="32"/>
        <v>0</v>
      </c>
      <c r="AC296" s="1275">
        <f t="shared" si="32"/>
        <v>0</v>
      </c>
      <c r="AD296" s="1275">
        <f t="shared" si="32"/>
        <v>0</v>
      </c>
      <c r="AE296" s="1275">
        <f t="shared" si="32"/>
        <v>0</v>
      </c>
      <c r="AF296" s="1275">
        <f t="shared" si="32"/>
        <v>0</v>
      </c>
      <c r="AG296" s="1275">
        <f t="shared" si="32"/>
        <v>0</v>
      </c>
      <c r="AH296" s="1207"/>
    </row>
    <row r="297" spans="1:34" x14ac:dyDescent="0.2">
      <c r="A297" s="1274" t="s">
        <v>8</v>
      </c>
      <c r="B297" s="1237"/>
      <c r="C297" s="1302"/>
      <c r="D297" s="1302"/>
      <c r="E297" s="1302"/>
      <c r="F297" s="1303"/>
      <c r="G297" s="1303"/>
      <c r="H297" s="1303"/>
      <c r="I297" s="1303"/>
      <c r="J297" s="1303"/>
      <c r="K297" s="1303"/>
      <c r="L297" s="1303"/>
      <c r="M297" s="1303"/>
      <c r="N297" s="1303"/>
      <c r="O297" s="1303"/>
      <c r="P297" s="1304"/>
      <c r="Q297" s="1303"/>
      <c r="R297" s="1303"/>
      <c r="S297" s="1303"/>
      <c r="T297" s="1303"/>
      <c r="U297" s="1303"/>
      <c r="V297" s="1303"/>
      <c r="W297" s="1303"/>
      <c r="X297" s="1303"/>
      <c r="Y297" s="1303"/>
      <c r="Z297" s="1303"/>
      <c r="AA297" s="1303"/>
      <c r="AB297" s="1303"/>
      <c r="AC297" s="1303"/>
      <c r="AD297" s="1303"/>
      <c r="AE297" s="1303"/>
      <c r="AF297" s="1303"/>
      <c r="AG297" s="1303"/>
      <c r="AH297" s="1207"/>
    </row>
    <row r="298" spans="1:34" x14ac:dyDescent="0.2">
      <c r="A298" s="1274" t="s">
        <v>775</v>
      </c>
      <c r="B298" s="1237"/>
      <c r="C298" s="1293"/>
      <c r="D298" s="1293">
        <v>2760.299</v>
      </c>
      <c r="E298" s="1293"/>
      <c r="F298" s="1293"/>
      <c r="G298" s="1293">
        <v>4862.0330000000004</v>
      </c>
      <c r="H298" s="1293">
        <v>6658.049</v>
      </c>
      <c r="I298" s="1293"/>
      <c r="J298" s="1293">
        <v>6573.4459999999999</v>
      </c>
      <c r="K298" s="1293">
        <v>1000</v>
      </c>
      <c r="L298" s="1293">
        <v>19160.519</v>
      </c>
      <c r="M298" s="1293">
        <v>600</v>
      </c>
      <c r="N298" s="1293">
        <v>3532.7130000000002</v>
      </c>
      <c r="O298" s="1293">
        <v>4740.6610000000001</v>
      </c>
      <c r="P298" s="1293"/>
      <c r="Q298" s="1293">
        <v>11997.102000000001</v>
      </c>
      <c r="R298" s="1293">
        <v>1327.9</v>
      </c>
      <c r="S298" s="1293"/>
      <c r="T298" s="1293">
        <v>600</v>
      </c>
      <c r="U298" s="1293">
        <v>1330.5</v>
      </c>
      <c r="V298" s="1293">
        <v>9238.741</v>
      </c>
      <c r="W298" s="1293"/>
      <c r="X298" s="1293">
        <v>1328.4</v>
      </c>
      <c r="Y298" s="1293">
        <v>6313.1909999999998</v>
      </c>
      <c r="Z298" s="1293">
        <v>966.68499999999995</v>
      </c>
      <c r="AA298" s="1293">
        <v>18603.704000000002</v>
      </c>
      <c r="AB298" s="1293">
        <v>5083.1909999999998</v>
      </c>
      <c r="AC298" s="1293"/>
      <c r="AD298" s="1293">
        <v>1260.4010000000001</v>
      </c>
      <c r="AE298" s="1293"/>
      <c r="AF298" s="1293">
        <v>31834.234000000004</v>
      </c>
      <c r="AG298" s="1293"/>
      <c r="AH298" s="1455">
        <f>SUM(C298:AG298)</f>
        <v>139771.769</v>
      </c>
    </row>
    <row r="299" spans="1:34" ht="13.5" thickBot="1" x14ac:dyDescent="0.25">
      <c r="A299" s="1294"/>
      <c r="B299" s="1237"/>
      <c r="C299" s="1302"/>
      <c r="D299" s="1302"/>
      <c r="E299" s="1302"/>
      <c r="F299" s="1303"/>
      <c r="G299" s="1303"/>
      <c r="H299" s="1303"/>
      <c r="I299" s="1303"/>
      <c r="J299" s="1303"/>
      <c r="K299" s="1303"/>
      <c r="L299" s="1303"/>
      <c r="M299" s="1303"/>
      <c r="N299" s="1303"/>
      <c r="O299" s="1303"/>
      <c r="P299" s="1304"/>
      <c r="Q299" s="1303"/>
      <c r="R299" s="1303"/>
      <c r="S299" s="1303"/>
      <c r="T299" s="1303"/>
      <c r="U299" s="1303"/>
      <c r="V299" s="1303"/>
      <c r="W299" s="1303"/>
      <c r="X299" s="1303"/>
      <c r="Y299" s="1303"/>
      <c r="Z299" s="1303"/>
      <c r="AA299" s="1303"/>
      <c r="AB299" s="1303"/>
      <c r="AC299" s="1303"/>
      <c r="AD299" s="1303"/>
      <c r="AE299" s="1303"/>
      <c r="AF299" s="1303"/>
      <c r="AG299" s="1303"/>
      <c r="AH299" s="1207"/>
    </row>
    <row r="300" spans="1:34" x14ac:dyDescent="0.2">
      <c r="A300" s="1269"/>
      <c r="B300" s="1237"/>
      <c r="C300" s="1296"/>
      <c r="D300" s="1297"/>
      <c r="E300" s="1297"/>
      <c r="F300" s="1298"/>
      <c r="G300" s="1298"/>
      <c r="H300" s="1298"/>
      <c r="I300" s="1298"/>
      <c r="J300" s="1298"/>
      <c r="K300" s="1298"/>
      <c r="L300" s="1298"/>
      <c r="M300" s="1298"/>
      <c r="N300" s="1298"/>
      <c r="O300" s="1298"/>
      <c r="P300" s="1299"/>
      <c r="Q300" s="1298"/>
      <c r="R300" s="1298"/>
      <c r="S300" s="1298"/>
      <c r="T300" s="1298"/>
      <c r="U300" s="1298"/>
      <c r="V300" s="1298"/>
      <c r="W300" s="1298"/>
      <c r="X300" s="1298"/>
      <c r="Y300" s="1298"/>
      <c r="Z300" s="1298"/>
      <c r="AA300" s="1298"/>
      <c r="AB300" s="1298"/>
      <c r="AC300" s="1298"/>
      <c r="AD300" s="1298"/>
      <c r="AE300" s="1298"/>
      <c r="AF300" s="1298"/>
      <c r="AG300" s="1298"/>
      <c r="AH300" s="1207"/>
    </row>
    <row r="301" spans="1:34" x14ac:dyDescent="0.2">
      <c r="A301" s="1274" t="s">
        <v>13</v>
      </c>
      <c r="B301" s="1237"/>
      <c r="C301" s="1300">
        <f t="shared" ref="C301:AG301" si="33">C296-C288</f>
        <v>-63759.915000000001</v>
      </c>
      <c r="D301" s="1300">
        <f t="shared" si="33"/>
        <v>-30000</v>
      </c>
      <c r="E301" s="1300">
        <f t="shared" si="33"/>
        <v>0</v>
      </c>
      <c r="F301" s="1300">
        <f t="shared" si="33"/>
        <v>0</v>
      </c>
      <c r="G301" s="1300">
        <f t="shared" si="33"/>
        <v>0.28699999999662396</v>
      </c>
      <c r="H301" s="1300">
        <f t="shared" si="33"/>
        <v>0</v>
      </c>
      <c r="I301" s="1300">
        <f t="shared" si="33"/>
        <v>-37900</v>
      </c>
      <c r="J301" s="1300">
        <f t="shared" si="33"/>
        <v>0</v>
      </c>
      <c r="K301" s="1300">
        <f t="shared" si="33"/>
        <v>0</v>
      </c>
      <c r="L301" s="1300">
        <f t="shared" si="33"/>
        <v>0</v>
      </c>
      <c r="M301" s="1300">
        <f t="shared" si="33"/>
        <v>0</v>
      </c>
      <c r="N301" s="1300">
        <f t="shared" si="33"/>
        <v>0</v>
      </c>
      <c r="O301" s="1300">
        <f t="shared" si="33"/>
        <v>-0.37000000000261934</v>
      </c>
      <c r="P301" s="1301">
        <f t="shared" si="33"/>
        <v>-0.28700000000026193</v>
      </c>
      <c r="Q301" s="1300">
        <f t="shared" si="33"/>
        <v>0</v>
      </c>
      <c r="R301" s="1300">
        <f t="shared" si="33"/>
        <v>0</v>
      </c>
      <c r="S301" s="1300">
        <f t="shared" si="33"/>
        <v>0</v>
      </c>
      <c r="T301" s="1300">
        <f t="shared" si="33"/>
        <v>0</v>
      </c>
      <c r="U301" s="1300">
        <f t="shared" si="33"/>
        <v>0</v>
      </c>
      <c r="V301" s="1300">
        <f t="shared" si="33"/>
        <v>-3425.384</v>
      </c>
      <c r="W301" s="1300">
        <f t="shared" si="33"/>
        <v>0</v>
      </c>
      <c r="X301" s="1300">
        <f t="shared" si="33"/>
        <v>0</v>
      </c>
      <c r="Y301" s="1300">
        <f t="shared" si="33"/>
        <v>0</v>
      </c>
      <c r="Z301" s="1300">
        <f t="shared" si="33"/>
        <v>0</v>
      </c>
      <c r="AA301" s="1300">
        <f t="shared" si="33"/>
        <v>0</v>
      </c>
      <c r="AB301" s="1300">
        <f t="shared" si="33"/>
        <v>0</v>
      </c>
      <c r="AC301" s="1300">
        <f t="shared" si="33"/>
        <v>0</v>
      </c>
      <c r="AD301" s="1300">
        <f t="shared" si="33"/>
        <v>0</v>
      </c>
      <c r="AE301" s="1300">
        <f t="shared" si="33"/>
        <v>-145000</v>
      </c>
      <c r="AF301" s="1300">
        <f t="shared" si="33"/>
        <v>-6216.2340000000004</v>
      </c>
      <c r="AG301" s="1300">
        <f t="shared" si="33"/>
        <v>0</v>
      </c>
      <c r="AH301" s="1207"/>
    </row>
    <row r="302" spans="1:34" ht="13.5" thickBot="1" x14ac:dyDescent="0.25">
      <c r="A302" s="1274"/>
      <c r="B302" s="1237"/>
      <c r="C302" s="1300"/>
      <c r="D302" s="1302"/>
      <c r="E302" s="1302"/>
      <c r="F302" s="1303"/>
      <c r="G302" s="1303"/>
      <c r="H302" s="1303"/>
      <c r="I302" s="1303"/>
      <c r="J302" s="1303"/>
      <c r="K302" s="1303"/>
      <c r="L302" s="1303"/>
      <c r="M302" s="1303"/>
      <c r="N302" s="1303"/>
      <c r="O302" s="1303"/>
      <c r="P302" s="1304"/>
      <c r="Q302" s="1303"/>
      <c r="R302" s="1303"/>
      <c r="S302" s="1303"/>
      <c r="T302" s="1303"/>
      <c r="U302" s="1303"/>
      <c r="V302" s="1303"/>
      <c r="W302" s="1303"/>
      <c r="X302" s="1303"/>
      <c r="Y302" s="1303"/>
      <c r="Z302" s="1303"/>
      <c r="AA302" s="1303"/>
      <c r="AB302" s="1303"/>
      <c r="AC302" s="1303"/>
      <c r="AD302" s="1303"/>
      <c r="AE302" s="1303"/>
      <c r="AF302" s="1303"/>
      <c r="AG302" s="1303"/>
      <c r="AH302" s="1207"/>
    </row>
    <row r="303" spans="1:34" x14ac:dyDescent="0.2">
      <c r="A303" s="1233"/>
      <c r="B303" s="1234"/>
      <c r="C303" s="1305"/>
      <c r="D303" s="1297"/>
      <c r="E303" s="1297"/>
      <c r="F303" s="1298"/>
      <c r="G303" s="1298"/>
      <c r="H303" s="1298"/>
      <c r="I303" s="1298"/>
      <c r="J303" s="1298"/>
      <c r="K303" s="1298"/>
      <c r="L303" s="1298"/>
      <c r="M303" s="1298"/>
      <c r="N303" s="1298"/>
      <c r="O303" s="1298"/>
      <c r="P303" s="1299"/>
      <c r="Q303" s="1298"/>
      <c r="R303" s="1298"/>
      <c r="S303" s="1298"/>
      <c r="T303" s="1298"/>
      <c r="U303" s="1298"/>
      <c r="V303" s="1298"/>
      <c r="W303" s="1298"/>
      <c r="X303" s="1298"/>
      <c r="Y303" s="1298"/>
      <c r="Z303" s="1298"/>
      <c r="AA303" s="1298"/>
      <c r="AB303" s="1298"/>
      <c r="AC303" s="1298"/>
      <c r="AD303" s="1298"/>
      <c r="AE303" s="1298"/>
      <c r="AF303" s="1298"/>
      <c r="AG303" s="1298"/>
      <c r="AH303" s="1207"/>
    </row>
    <row r="304" spans="1:34" x14ac:dyDescent="0.2">
      <c r="A304" s="1236" t="s">
        <v>15</v>
      </c>
      <c r="B304" s="1237"/>
      <c r="C304" s="1302">
        <f>B285+C301</f>
        <v>-51705.214999999997</v>
      </c>
      <c r="D304" s="1302">
        <f t="shared" ref="D304:AG304" si="34">C311+D301</f>
        <v>-81705.214999999997</v>
      </c>
      <c r="E304" s="1302">
        <f t="shared" si="34"/>
        <v>-81705.214999999997</v>
      </c>
      <c r="F304" s="1302">
        <f t="shared" si="34"/>
        <v>-81705.214999999997</v>
      </c>
      <c r="G304" s="1302">
        <f t="shared" si="34"/>
        <v>-81704.928</v>
      </c>
      <c r="H304" s="1302">
        <f t="shared" si="34"/>
        <v>-81704.928</v>
      </c>
      <c r="I304" s="1302">
        <f t="shared" si="34"/>
        <v>-119604.928</v>
      </c>
      <c r="J304" s="1302">
        <f t="shared" si="34"/>
        <v>-119604.928</v>
      </c>
      <c r="K304" s="1302">
        <f t="shared" si="34"/>
        <v>-119604.928</v>
      </c>
      <c r="L304" s="1302">
        <f t="shared" si="34"/>
        <v>-119604.928</v>
      </c>
      <c r="M304" s="1302">
        <f t="shared" si="34"/>
        <v>-119604.928</v>
      </c>
      <c r="N304" s="1302">
        <f t="shared" si="34"/>
        <v>-119604.928</v>
      </c>
      <c r="O304" s="1302">
        <f t="shared" si="34"/>
        <v>-119605.29800000001</v>
      </c>
      <c r="P304" s="1306">
        <f t="shared" si="34"/>
        <v>-119605.58500000001</v>
      </c>
      <c r="Q304" s="1302">
        <f t="shared" si="34"/>
        <v>-119605.58500000001</v>
      </c>
      <c r="R304" s="1302">
        <f t="shared" si="34"/>
        <v>-119605.58500000001</v>
      </c>
      <c r="S304" s="1302">
        <f t="shared" si="34"/>
        <v>-119605.58500000001</v>
      </c>
      <c r="T304" s="1302">
        <f t="shared" si="34"/>
        <v>-119605.58500000001</v>
      </c>
      <c r="U304" s="1302">
        <f t="shared" si="34"/>
        <v>-119605.58500000001</v>
      </c>
      <c r="V304" s="1302">
        <f t="shared" si="34"/>
        <v>-123030.96900000001</v>
      </c>
      <c r="W304" s="1302">
        <f t="shared" si="34"/>
        <v>-123030.96900000001</v>
      </c>
      <c r="X304" s="1302">
        <f t="shared" si="34"/>
        <v>-123030.96900000001</v>
      </c>
      <c r="Y304" s="1302">
        <f t="shared" si="34"/>
        <v>-123030.96900000001</v>
      </c>
      <c r="Z304" s="1302">
        <f t="shared" si="34"/>
        <v>-123030.96900000001</v>
      </c>
      <c r="AA304" s="1302">
        <f t="shared" si="34"/>
        <v>-123030.96900000001</v>
      </c>
      <c r="AB304" s="1302">
        <f t="shared" si="34"/>
        <v>-123030.96900000001</v>
      </c>
      <c r="AC304" s="1302">
        <f t="shared" si="34"/>
        <v>-123030.96900000001</v>
      </c>
      <c r="AD304" s="1302">
        <f t="shared" si="34"/>
        <v>-123030.96900000001</v>
      </c>
      <c r="AE304" s="1302">
        <f t="shared" si="34"/>
        <v>-268030.96900000004</v>
      </c>
      <c r="AF304" s="1302">
        <f t="shared" si="34"/>
        <v>-274247.20300000004</v>
      </c>
      <c r="AG304" s="1302">
        <f t="shared" si="34"/>
        <v>-274247.20300000004</v>
      </c>
      <c r="AH304" s="1207"/>
    </row>
    <row r="305" spans="1:34" ht="13.5" thickBot="1" x14ac:dyDescent="0.25">
      <c r="A305" s="1250"/>
      <c r="B305" s="1307"/>
      <c r="C305" s="1308"/>
      <c r="D305" s="1308"/>
      <c r="E305" s="1308"/>
      <c r="F305" s="1309"/>
      <c r="G305" s="1309"/>
      <c r="H305" s="1309"/>
      <c r="I305" s="1309"/>
      <c r="J305" s="1309"/>
      <c r="K305" s="1309"/>
      <c r="L305" s="1309"/>
      <c r="M305" s="1309"/>
      <c r="N305" s="1309"/>
      <c r="O305" s="1309"/>
      <c r="P305" s="1310"/>
      <c r="Q305" s="1309"/>
      <c r="R305" s="1309"/>
      <c r="S305" s="1309"/>
      <c r="T305" s="1309"/>
      <c r="U305" s="1309"/>
      <c r="V305" s="1309"/>
      <c r="W305" s="1309"/>
      <c r="X305" s="1309"/>
      <c r="Y305" s="1309"/>
      <c r="Z305" s="1309"/>
      <c r="AA305" s="1309"/>
      <c r="AB305" s="1309"/>
      <c r="AC305" s="1309"/>
      <c r="AD305" s="1309"/>
      <c r="AE305" s="1309"/>
      <c r="AF305" s="1309"/>
      <c r="AG305" s="1309"/>
      <c r="AH305" s="1207"/>
    </row>
    <row r="306" spans="1:34" x14ac:dyDescent="0.2">
      <c r="A306" s="1233"/>
      <c r="B306" s="1234"/>
      <c r="C306" s="1297"/>
      <c r="D306" s="1297"/>
      <c r="E306" s="1297"/>
      <c r="F306" s="1298"/>
      <c r="G306" s="1298"/>
      <c r="H306" s="1298"/>
      <c r="I306" s="1298"/>
      <c r="J306" s="1298"/>
      <c r="K306" s="1298"/>
      <c r="L306" s="1298"/>
      <c r="M306" s="1298"/>
      <c r="N306" s="1298"/>
      <c r="O306" s="1298"/>
      <c r="P306" s="1299"/>
      <c r="Q306" s="1298"/>
      <c r="R306" s="1298"/>
      <c r="S306" s="1298"/>
      <c r="T306" s="1298"/>
      <c r="U306" s="1298"/>
      <c r="V306" s="1298"/>
      <c r="W306" s="1298"/>
      <c r="X306" s="1298"/>
      <c r="Y306" s="1298"/>
      <c r="Z306" s="1298"/>
      <c r="AA306" s="1298"/>
      <c r="AB306" s="1298"/>
      <c r="AC306" s="1298"/>
      <c r="AD306" s="1298"/>
      <c r="AE306" s="1298"/>
      <c r="AF306" s="1298"/>
      <c r="AG306" s="1298"/>
      <c r="AH306" s="1207"/>
    </row>
    <row r="307" spans="1:34" x14ac:dyDescent="0.2">
      <c r="A307" s="1236" t="s">
        <v>82</v>
      </c>
      <c r="B307" s="1237"/>
      <c r="C307" s="1302">
        <f t="shared" ref="C307:AG308" si="35">C315</f>
        <v>0</v>
      </c>
      <c r="D307" s="1302">
        <f t="shared" si="35"/>
        <v>0</v>
      </c>
      <c r="E307" s="1302">
        <f t="shared" si="35"/>
        <v>0</v>
      </c>
      <c r="F307" s="1302">
        <f t="shared" si="35"/>
        <v>0</v>
      </c>
      <c r="G307" s="1302">
        <f t="shared" si="35"/>
        <v>0</v>
      </c>
      <c r="H307" s="1302">
        <f t="shared" si="35"/>
        <v>0</v>
      </c>
      <c r="I307" s="1302">
        <f t="shared" si="35"/>
        <v>0</v>
      </c>
      <c r="J307" s="1302">
        <f t="shared" si="35"/>
        <v>0</v>
      </c>
      <c r="K307" s="1302">
        <f t="shared" si="35"/>
        <v>0</v>
      </c>
      <c r="L307" s="1302">
        <f t="shared" si="35"/>
        <v>0</v>
      </c>
      <c r="M307" s="1302">
        <f t="shared" si="35"/>
        <v>0</v>
      </c>
      <c r="N307" s="1302">
        <f t="shared" si="35"/>
        <v>0</v>
      </c>
      <c r="O307" s="1302">
        <f t="shared" si="35"/>
        <v>0</v>
      </c>
      <c r="P307" s="1306">
        <f t="shared" si="35"/>
        <v>0</v>
      </c>
      <c r="Q307" s="1302">
        <f t="shared" si="35"/>
        <v>0</v>
      </c>
      <c r="R307" s="1302">
        <f t="shared" si="35"/>
        <v>0</v>
      </c>
      <c r="S307" s="1302">
        <f t="shared" si="35"/>
        <v>0</v>
      </c>
      <c r="T307" s="1302">
        <f t="shared" si="35"/>
        <v>0</v>
      </c>
      <c r="U307" s="1302">
        <f t="shared" si="35"/>
        <v>0</v>
      </c>
      <c r="V307" s="1302">
        <f t="shared" si="35"/>
        <v>0</v>
      </c>
      <c r="W307" s="1302">
        <f t="shared" si="35"/>
        <v>0</v>
      </c>
      <c r="X307" s="1302">
        <f t="shared" si="35"/>
        <v>0</v>
      </c>
      <c r="Y307" s="1302">
        <f t="shared" si="35"/>
        <v>0</v>
      </c>
      <c r="Z307" s="1302">
        <f t="shared" si="35"/>
        <v>0</v>
      </c>
      <c r="AA307" s="1302">
        <f t="shared" si="35"/>
        <v>0</v>
      </c>
      <c r="AB307" s="1302">
        <f t="shared" si="35"/>
        <v>0</v>
      </c>
      <c r="AC307" s="1302">
        <f t="shared" si="35"/>
        <v>0</v>
      </c>
      <c r="AD307" s="1302">
        <f t="shared" si="35"/>
        <v>0</v>
      </c>
      <c r="AE307" s="1302">
        <f t="shared" si="35"/>
        <v>0</v>
      </c>
      <c r="AF307" s="1302">
        <f t="shared" si="35"/>
        <v>0</v>
      </c>
      <c r="AG307" s="1302">
        <f t="shared" si="35"/>
        <v>0</v>
      </c>
      <c r="AH307" s="1207"/>
    </row>
    <row r="308" spans="1:34" x14ac:dyDescent="0.2">
      <c r="A308" s="1236" t="s">
        <v>83</v>
      </c>
      <c r="B308" s="1237"/>
      <c r="C308" s="1306">
        <f t="shared" si="35"/>
        <v>0</v>
      </c>
      <c r="D308" s="1306">
        <f t="shared" si="35"/>
        <v>0</v>
      </c>
      <c r="E308" s="1306">
        <f t="shared" si="35"/>
        <v>0</v>
      </c>
      <c r="F308" s="1306">
        <f t="shared" si="35"/>
        <v>0</v>
      </c>
      <c r="G308" s="1306">
        <f t="shared" si="35"/>
        <v>0</v>
      </c>
      <c r="H308" s="1306">
        <f t="shared" si="35"/>
        <v>0</v>
      </c>
      <c r="I308" s="1306">
        <f t="shared" si="35"/>
        <v>0</v>
      </c>
      <c r="J308" s="1306">
        <f t="shared" si="35"/>
        <v>0</v>
      </c>
      <c r="K308" s="1306">
        <f t="shared" si="35"/>
        <v>0</v>
      </c>
      <c r="L308" s="1306">
        <f t="shared" si="35"/>
        <v>0</v>
      </c>
      <c r="M308" s="1306">
        <f t="shared" si="35"/>
        <v>0</v>
      </c>
      <c r="N308" s="1306">
        <f t="shared" si="35"/>
        <v>0</v>
      </c>
      <c r="O308" s="1306">
        <f t="shared" si="35"/>
        <v>0</v>
      </c>
      <c r="P308" s="1306">
        <f t="shared" si="35"/>
        <v>0</v>
      </c>
      <c r="Q308" s="1306">
        <f t="shared" si="35"/>
        <v>0</v>
      </c>
      <c r="R308" s="1306">
        <f t="shared" si="35"/>
        <v>0</v>
      </c>
      <c r="S308" s="1306">
        <f t="shared" si="35"/>
        <v>0</v>
      </c>
      <c r="T308" s="1306">
        <f t="shared" si="35"/>
        <v>0</v>
      </c>
      <c r="U308" s="1306">
        <f t="shared" si="35"/>
        <v>0</v>
      </c>
      <c r="V308" s="1306">
        <f t="shared" si="35"/>
        <v>0</v>
      </c>
      <c r="W308" s="1306">
        <f t="shared" si="35"/>
        <v>0</v>
      </c>
      <c r="X308" s="1306">
        <f t="shared" si="35"/>
        <v>0</v>
      </c>
      <c r="Y308" s="1306">
        <f t="shared" si="35"/>
        <v>0</v>
      </c>
      <c r="Z308" s="1306">
        <f t="shared" si="35"/>
        <v>0</v>
      </c>
      <c r="AA308" s="1306">
        <f t="shared" si="35"/>
        <v>0</v>
      </c>
      <c r="AB308" s="1306">
        <f t="shared" si="35"/>
        <v>0</v>
      </c>
      <c r="AC308" s="1306">
        <f t="shared" si="35"/>
        <v>0</v>
      </c>
      <c r="AD308" s="1306">
        <f t="shared" si="35"/>
        <v>0</v>
      </c>
      <c r="AE308" s="1306">
        <f t="shared" si="35"/>
        <v>0</v>
      </c>
      <c r="AF308" s="1306">
        <f t="shared" si="35"/>
        <v>0</v>
      </c>
      <c r="AG308" s="1306">
        <f t="shared" si="35"/>
        <v>0</v>
      </c>
      <c r="AH308" s="1207"/>
    </row>
    <row r="309" spans="1:34" ht="13.5" thickBot="1" x14ac:dyDescent="0.25">
      <c r="A309" s="1250"/>
      <c r="B309" s="1307"/>
      <c r="C309" s="1308"/>
      <c r="D309" s="1308"/>
      <c r="E309" s="1308"/>
      <c r="F309" s="1309"/>
      <c r="G309" s="1309"/>
      <c r="H309" s="1309"/>
      <c r="I309" s="1309"/>
      <c r="J309" s="1309"/>
      <c r="K309" s="1309"/>
      <c r="L309" s="1309"/>
      <c r="M309" s="1309"/>
      <c r="N309" s="1309"/>
      <c r="O309" s="1309"/>
      <c r="P309" s="1310"/>
      <c r="Q309" s="1309"/>
      <c r="R309" s="1309"/>
      <c r="S309" s="1309"/>
      <c r="T309" s="1309"/>
      <c r="U309" s="1309"/>
      <c r="V309" s="1309"/>
      <c r="W309" s="1309"/>
      <c r="X309" s="1309"/>
      <c r="Y309" s="1309"/>
      <c r="Z309" s="1309"/>
      <c r="AA309" s="1309"/>
      <c r="AB309" s="1309"/>
      <c r="AC309" s="1309"/>
      <c r="AD309" s="1309"/>
      <c r="AE309" s="1309"/>
      <c r="AF309" s="1309"/>
      <c r="AG309" s="1309"/>
      <c r="AH309" s="1207"/>
    </row>
    <row r="310" spans="1:34" x14ac:dyDescent="0.2">
      <c r="A310" s="1236"/>
      <c r="B310" s="1237"/>
      <c r="C310" s="1302"/>
      <c r="D310" s="1302"/>
      <c r="E310" s="1302"/>
      <c r="F310" s="1303"/>
      <c r="G310" s="1303"/>
      <c r="H310" s="1303"/>
      <c r="I310" s="1303"/>
      <c r="J310" s="1303"/>
      <c r="K310" s="1303"/>
      <c r="L310" s="1303"/>
      <c r="M310" s="1303"/>
      <c r="N310" s="1303"/>
      <c r="O310" s="1303"/>
      <c r="P310" s="1304"/>
      <c r="Q310" s="1303"/>
      <c r="R310" s="1303"/>
      <c r="S310" s="1303"/>
      <c r="T310" s="1303"/>
      <c r="U310" s="1303"/>
      <c r="V310" s="1303"/>
      <c r="W310" s="1303"/>
      <c r="X310" s="1303"/>
      <c r="Y310" s="1303"/>
      <c r="Z310" s="1303"/>
      <c r="AA310" s="1303"/>
      <c r="AB310" s="1303"/>
      <c r="AC310" s="1303"/>
      <c r="AD310" s="1303"/>
      <c r="AE310" s="1303"/>
      <c r="AF310" s="1303"/>
      <c r="AG310" s="1303"/>
      <c r="AH310" s="1207"/>
    </row>
    <row r="311" spans="1:34" x14ac:dyDescent="0.2">
      <c r="A311" s="1236" t="s">
        <v>14</v>
      </c>
      <c r="B311" s="1237"/>
      <c r="C311" s="1302">
        <f t="shared" ref="C311:AG311" si="36">C304+C307+C308</f>
        <v>-51705.214999999997</v>
      </c>
      <c r="D311" s="1302">
        <f t="shared" si="36"/>
        <v>-81705.214999999997</v>
      </c>
      <c r="E311" s="1302">
        <f t="shared" si="36"/>
        <v>-81705.214999999997</v>
      </c>
      <c r="F311" s="1302">
        <f t="shared" si="36"/>
        <v>-81705.214999999997</v>
      </c>
      <c r="G311" s="1302">
        <f t="shared" si="36"/>
        <v>-81704.928</v>
      </c>
      <c r="H311" s="1302">
        <f t="shared" si="36"/>
        <v>-81704.928</v>
      </c>
      <c r="I311" s="1302">
        <f t="shared" si="36"/>
        <v>-119604.928</v>
      </c>
      <c r="J311" s="1302">
        <f t="shared" si="36"/>
        <v>-119604.928</v>
      </c>
      <c r="K311" s="1302">
        <f t="shared" si="36"/>
        <v>-119604.928</v>
      </c>
      <c r="L311" s="1302">
        <f t="shared" si="36"/>
        <v>-119604.928</v>
      </c>
      <c r="M311" s="1302">
        <f t="shared" si="36"/>
        <v>-119604.928</v>
      </c>
      <c r="N311" s="1302">
        <f t="shared" si="36"/>
        <v>-119604.928</v>
      </c>
      <c r="O311" s="1302">
        <f t="shared" si="36"/>
        <v>-119605.29800000001</v>
      </c>
      <c r="P311" s="1306">
        <f t="shared" si="36"/>
        <v>-119605.58500000001</v>
      </c>
      <c r="Q311" s="1302">
        <f t="shared" si="36"/>
        <v>-119605.58500000001</v>
      </c>
      <c r="R311" s="1302">
        <f t="shared" si="36"/>
        <v>-119605.58500000001</v>
      </c>
      <c r="S311" s="1302">
        <f t="shared" si="36"/>
        <v>-119605.58500000001</v>
      </c>
      <c r="T311" s="1302">
        <f t="shared" si="36"/>
        <v>-119605.58500000001</v>
      </c>
      <c r="U311" s="1302">
        <f t="shared" si="36"/>
        <v>-119605.58500000001</v>
      </c>
      <c r="V311" s="1302">
        <f t="shared" si="36"/>
        <v>-123030.96900000001</v>
      </c>
      <c r="W311" s="1302">
        <f t="shared" si="36"/>
        <v>-123030.96900000001</v>
      </c>
      <c r="X311" s="1302">
        <f t="shared" si="36"/>
        <v>-123030.96900000001</v>
      </c>
      <c r="Y311" s="1302">
        <f t="shared" si="36"/>
        <v>-123030.96900000001</v>
      </c>
      <c r="Z311" s="1302">
        <f t="shared" si="36"/>
        <v>-123030.96900000001</v>
      </c>
      <c r="AA311" s="1302">
        <f t="shared" si="36"/>
        <v>-123030.96900000001</v>
      </c>
      <c r="AB311" s="1302">
        <f t="shared" si="36"/>
        <v>-123030.96900000001</v>
      </c>
      <c r="AC311" s="1302">
        <f t="shared" si="36"/>
        <v>-123030.96900000001</v>
      </c>
      <c r="AD311" s="1302">
        <f t="shared" si="36"/>
        <v>-123030.96900000001</v>
      </c>
      <c r="AE311" s="1302">
        <f t="shared" si="36"/>
        <v>-268030.96900000004</v>
      </c>
      <c r="AF311" s="1302">
        <f t="shared" si="36"/>
        <v>-274247.20300000004</v>
      </c>
      <c r="AG311" s="1302">
        <f t="shared" si="36"/>
        <v>-274247.20300000004</v>
      </c>
      <c r="AH311" s="1207"/>
    </row>
    <row r="312" spans="1:34" x14ac:dyDescent="0.2">
      <c r="A312" s="1236"/>
      <c r="B312" s="1237"/>
      <c r="C312" s="1302"/>
      <c r="D312" s="1302"/>
      <c r="E312" s="1302"/>
      <c r="F312" s="1303"/>
      <c r="G312" s="1303"/>
      <c r="H312" s="1303"/>
      <c r="I312" s="1303"/>
      <c r="J312" s="1303"/>
      <c r="K312" s="1303"/>
      <c r="L312" s="1303"/>
      <c r="M312" s="1303"/>
      <c r="N312" s="1303"/>
      <c r="O312" s="1303"/>
      <c r="P312" s="1304"/>
      <c r="Q312" s="1303"/>
      <c r="R312" s="1303"/>
      <c r="S312" s="1303"/>
      <c r="T312" s="1303"/>
      <c r="U312" s="1303"/>
      <c r="V312" s="1303"/>
      <c r="W312" s="1303"/>
      <c r="X312" s="1303"/>
      <c r="Y312" s="1303"/>
      <c r="Z312" s="1303"/>
      <c r="AA312" s="1303"/>
      <c r="AB312" s="1303"/>
      <c r="AC312" s="1303"/>
      <c r="AD312" s="1303"/>
      <c r="AE312" s="1303"/>
      <c r="AF312" s="1303"/>
      <c r="AG312" s="1303"/>
      <c r="AH312" s="1207"/>
    </row>
    <row r="313" spans="1:34" ht="13.5" thickBot="1" x14ac:dyDescent="0.25">
      <c r="A313" s="1250"/>
      <c r="B313" s="1307"/>
      <c r="C313" s="1312"/>
      <c r="D313" s="1312"/>
      <c r="E313" s="1312"/>
      <c r="F313" s="1313"/>
      <c r="G313" s="1313"/>
      <c r="H313" s="1313"/>
      <c r="I313" s="1313"/>
      <c r="J313" s="1313"/>
      <c r="K313" s="1313"/>
      <c r="L313" s="1313"/>
      <c r="M313" s="1313"/>
      <c r="N313" s="1313"/>
      <c r="O313" s="1313"/>
      <c r="P313" s="1314"/>
      <c r="Q313" s="1313"/>
      <c r="R313" s="1313"/>
      <c r="S313" s="1313"/>
      <c r="T313" s="1313"/>
      <c r="U313" s="1313"/>
      <c r="V313" s="1313"/>
      <c r="W313" s="1313"/>
      <c r="X313" s="1313"/>
      <c r="Y313" s="1313"/>
      <c r="Z313" s="1313"/>
      <c r="AA313" s="1313"/>
      <c r="AB313" s="1313"/>
      <c r="AC313" s="1313"/>
      <c r="AD313" s="1313"/>
      <c r="AE313" s="1313"/>
      <c r="AF313" s="1313"/>
      <c r="AG313" s="1313"/>
      <c r="AH313" s="1207"/>
    </row>
    <row r="314" spans="1:34" x14ac:dyDescent="0.2">
      <c r="A314" s="1316"/>
      <c r="B314" s="1207"/>
      <c r="C314" s="1227"/>
      <c r="D314" s="1227"/>
      <c r="E314" s="1227"/>
      <c r="F314" s="1227"/>
      <c r="G314" s="1227"/>
      <c r="H314" s="1227"/>
      <c r="I314" s="1227"/>
      <c r="J314" s="1227"/>
      <c r="K314" s="1227"/>
      <c r="L314" s="1227"/>
      <c r="M314" s="1227"/>
      <c r="N314" s="1227"/>
      <c r="O314" s="1227"/>
      <c r="P314" s="1229"/>
      <c r="Q314" s="1227"/>
      <c r="R314" s="1227"/>
      <c r="S314" s="1227"/>
      <c r="T314" s="1227"/>
      <c r="U314" s="1227"/>
      <c r="V314" s="1227"/>
      <c r="W314" s="1227"/>
      <c r="X314" s="1227"/>
      <c r="Y314" s="1227"/>
      <c r="Z314" s="1227"/>
      <c r="AA314" s="1227"/>
      <c r="AB314" s="1227"/>
      <c r="AC314" s="1227"/>
      <c r="AD314" s="1227"/>
      <c r="AE314" s="1227"/>
      <c r="AF314" s="1227"/>
      <c r="AG314" s="1227"/>
      <c r="AH314" s="1227">
        <f>SUM(C314:AG314)</f>
        <v>0</v>
      </c>
    </row>
    <row r="315" spans="1:34" x14ac:dyDescent="0.2">
      <c r="A315" s="1344"/>
      <c r="B315" s="1383"/>
      <c r="C315" s="1219"/>
      <c r="D315" s="1221"/>
      <c r="E315" s="1356"/>
      <c r="F315" s="1219"/>
      <c r="G315" s="1219"/>
      <c r="H315" s="1220"/>
      <c r="I315" s="1219"/>
      <c r="J315" s="1219"/>
      <c r="K315" s="1219"/>
      <c r="L315" s="1219"/>
      <c r="M315" s="1220"/>
      <c r="N315" s="1220"/>
      <c r="O315" s="1220">
        <f>10913.984-7466.84-3447.144</f>
        <v>0</v>
      </c>
      <c r="P315" s="1221"/>
      <c r="Q315" s="1219"/>
      <c r="R315" s="1219"/>
      <c r="S315" s="1219"/>
      <c r="T315" s="1219"/>
      <c r="U315" s="1219"/>
      <c r="V315" s="1219"/>
      <c r="W315" s="1220"/>
      <c r="X315" s="1220"/>
      <c r="Y315" s="1220"/>
      <c r="Z315" s="1220"/>
      <c r="AA315" s="1220"/>
      <c r="AB315" s="1220"/>
      <c r="AC315" s="1220"/>
      <c r="AD315" s="1221"/>
      <c r="AE315" s="1219"/>
      <c r="AF315" s="1219"/>
      <c r="AG315" s="1219"/>
      <c r="AH315" s="1227"/>
    </row>
    <row r="316" spans="1:34" x14ac:dyDescent="0.2">
      <c r="A316" s="1207"/>
      <c r="B316" s="1207"/>
      <c r="C316" s="1207"/>
      <c r="D316" s="1207"/>
      <c r="E316" s="134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1208"/>
      <c r="Q316" s="1207"/>
      <c r="R316" s="1207"/>
      <c r="S316" s="1207"/>
      <c r="T316" s="1207"/>
      <c r="U316" s="1207"/>
      <c r="V316" s="1207"/>
      <c r="W316" s="1207"/>
      <c r="X316" s="1207"/>
      <c r="Y316" s="1207"/>
      <c r="Z316" s="1207"/>
      <c r="AA316" s="1207"/>
      <c r="AB316" s="1207"/>
      <c r="AC316" s="1207"/>
      <c r="AD316" s="1207"/>
      <c r="AE316" s="1207"/>
      <c r="AF316" s="1207"/>
      <c r="AG316" s="1207"/>
      <c r="AH316" s="1227"/>
    </row>
    <row r="317" spans="1:34" x14ac:dyDescent="0.2">
      <c r="A317" s="1210" t="s">
        <v>415</v>
      </c>
      <c r="B317" s="1215">
        <f>B318+B319+B321+B320</f>
        <v>1020000</v>
      </c>
      <c r="C317" s="1367"/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1208"/>
      <c r="Q317" s="1207"/>
      <c r="R317" s="1207"/>
      <c r="S317" s="1207"/>
      <c r="T317" s="1207"/>
      <c r="U317" s="1401"/>
      <c r="V317" s="1220"/>
      <c r="W317" s="1227"/>
      <c r="X317" s="1207"/>
      <c r="Y317" s="1207"/>
      <c r="Z317" s="1207"/>
      <c r="AA317" s="1384"/>
      <c r="AB317" s="1207"/>
      <c r="AC317" s="1207"/>
      <c r="AD317" s="1207"/>
      <c r="AE317" s="1207"/>
      <c r="AF317" s="1207"/>
      <c r="AG317" s="1207"/>
      <c r="AH317" s="1207"/>
    </row>
    <row r="318" spans="1:34" x14ac:dyDescent="0.2">
      <c r="A318" s="1365" t="s">
        <v>414</v>
      </c>
      <c r="B318" s="1219">
        <v>20000</v>
      </c>
      <c r="C318" s="1207"/>
      <c r="D318" s="1207"/>
      <c r="E318" s="122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8"/>
      <c r="Q318" s="1207"/>
      <c r="R318" s="1207"/>
      <c r="S318" s="1207"/>
      <c r="T318" s="1207"/>
      <c r="U318" s="1230"/>
      <c r="V318" s="1230"/>
      <c r="W318" s="1207"/>
      <c r="X318" s="1207"/>
      <c r="Y318" s="1207"/>
      <c r="Z318" s="1207"/>
      <c r="AA318" s="1207"/>
      <c r="AB318" s="1207"/>
      <c r="AC318" s="1227"/>
      <c r="AD318" s="1227"/>
      <c r="AE318" s="1207"/>
      <c r="AF318" s="1207"/>
      <c r="AG318" s="1207"/>
      <c r="AH318" s="1207"/>
    </row>
    <row r="319" spans="1:34" x14ac:dyDescent="0.2">
      <c r="A319" s="1365" t="s">
        <v>287</v>
      </c>
      <c r="B319" s="1219">
        <v>600000</v>
      </c>
      <c r="C319" s="1207"/>
      <c r="D319" s="1207"/>
      <c r="E319" s="1207"/>
      <c r="F319" s="1207"/>
      <c r="G319" s="1207"/>
      <c r="H319" s="1207"/>
      <c r="I319" s="1207"/>
      <c r="J319" s="1207"/>
      <c r="K319" s="1227"/>
      <c r="L319" s="1207"/>
      <c r="M319" s="1207"/>
      <c r="N319" s="1207"/>
      <c r="O319" s="1207"/>
      <c r="P319" s="1208"/>
      <c r="Q319" s="1207"/>
      <c r="R319" s="1207"/>
      <c r="S319" s="1207"/>
      <c r="T319" s="1207"/>
      <c r="U319" s="1402"/>
      <c r="V319" s="1230"/>
      <c r="W319" s="1207"/>
      <c r="X319" s="1227"/>
      <c r="Y319" s="1207"/>
      <c r="Z319" s="1207"/>
      <c r="AA319" s="1207"/>
      <c r="AB319" s="1207"/>
      <c r="AC319" s="1207"/>
      <c r="AD319" s="1207"/>
      <c r="AE319" s="1207"/>
      <c r="AF319" s="1207"/>
      <c r="AG319" s="1207"/>
    </row>
    <row r="320" spans="1:34" x14ac:dyDescent="0.2">
      <c r="A320" s="1316" t="s">
        <v>413</v>
      </c>
      <c r="B320" s="1219">
        <v>200000</v>
      </c>
      <c r="C320" s="1207"/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8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07"/>
      <c r="AA320" s="1207"/>
      <c r="AB320" s="1207"/>
      <c r="AC320" s="1207"/>
      <c r="AD320" s="1207"/>
      <c r="AE320" s="1207"/>
      <c r="AF320" s="1207"/>
      <c r="AG320" s="1207"/>
    </row>
    <row r="321" spans="1:34" x14ac:dyDescent="0.2">
      <c r="A321" s="1316" t="s">
        <v>441</v>
      </c>
      <c r="B321" s="1219">
        <v>200000</v>
      </c>
      <c r="C321" s="1207"/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1208"/>
      <c r="Q321" s="1207"/>
      <c r="R321" s="1207"/>
      <c r="S321" s="1207"/>
      <c r="T321" s="1207"/>
      <c r="U321" s="1207"/>
      <c r="V321" s="1207"/>
      <c r="W321" s="1207"/>
      <c r="X321" s="1207"/>
      <c r="Y321" s="1207"/>
      <c r="Z321" s="1207"/>
      <c r="AA321" s="1207"/>
      <c r="AB321" s="1207"/>
      <c r="AC321" s="1207"/>
      <c r="AD321" s="1207"/>
      <c r="AE321" s="1207"/>
      <c r="AF321" s="1207"/>
      <c r="AG321" s="1207"/>
    </row>
    <row r="322" spans="1:34" x14ac:dyDescent="0.2">
      <c r="A322" s="1207"/>
      <c r="B322" s="1207"/>
      <c r="C322" s="1207"/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8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07"/>
      <c r="AA322" s="1207"/>
      <c r="AB322" s="1207"/>
      <c r="AC322" s="1207"/>
      <c r="AD322" s="1207"/>
      <c r="AE322" s="1207"/>
      <c r="AF322" s="1207"/>
      <c r="AG322" s="1207"/>
    </row>
    <row r="323" spans="1:34" x14ac:dyDescent="0.2">
      <c r="A323" s="1223" t="s">
        <v>449</v>
      </c>
      <c r="B323" s="1280"/>
      <c r="K323" s="1223"/>
      <c r="L323" s="1207"/>
    </row>
    <row r="324" spans="1:34" x14ac:dyDescent="0.2">
      <c r="AB324" s="1283"/>
      <c r="AC324" s="1283"/>
      <c r="AD324" s="1283"/>
      <c r="AE324" s="1283"/>
    </row>
    <row r="331" spans="1:34" ht="15" x14ac:dyDescent="0.2">
      <c r="A331" s="1403"/>
      <c r="B331" s="1404"/>
    </row>
    <row r="332" spans="1:34" ht="15" x14ac:dyDescent="0.2">
      <c r="A332" s="1403"/>
      <c r="B332" s="1404"/>
    </row>
    <row r="333" spans="1:34" ht="15" x14ac:dyDescent="0.2">
      <c r="A333" s="1403"/>
      <c r="B333" s="1404"/>
    </row>
    <row r="335" spans="1:34" ht="13.5" thickBot="1" x14ac:dyDescent="0.25"/>
    <row r="336" spans="1:34" x14ac:dyDescent="0.2">
      <c r="A336" s="1233"/>
      <c r="B336" s="1234"/>
      <c r="C336" s="1234"/>
      <c r="D336" s="1234"/>
      <c r="E336" s="1234"/>
      <c r="F336" s="1234"/>
      <c r="G336" s="1234"/>
      <c r="H336" s="1234"/>
      <c r="I336" s="1234"/>
      <c r="J336" s="1234"/>
      <c r="K336" s="1234"/>
      <c r="L336" s="1234"/>
      <c r="M336" s="1234"/>
      <c r="N336" s="1234"/>
      <c r="O336" s="1234"/>
      <c r="P336" s="1235"/>
      <c r="Q336" s="1234"/>
      <c r="R336" s="1234"/>
      <c r="S336" s="1234"/>
      <c r="T336" s="1234"/>
      <c r="U336" s="1234"/>
      <c r="V336" s="1234"/>
      <c r="W336" s="1234"/>
      <c r="X336" s="1234"/>
      <c r="Y336" s="1234"/>
      <c r="Z336" s="1234"/>
      <c r="AA336" s="1234"/>
      <c r="AB336" s="1234"/>
      <c r="AC336" s="1234"/>
      <c r="AD336" s="1234"/>
      <c r="AE336" s="1234"/>
      <c r="AF336" s="1234"/>
      <c r="AG336" s="1234"/>
      <c r="AH336" s="1207"/>
    </row>
    <row r="337" spans="1:34" x14ac:dyDescent="0.2">
      <c r="A337" s="1236"/>
      <c r="B337" s="1237" t="s">
        <v>37</v>
      </c>
      <c r="C337" s="1237"/>
      <c r="D337" s="1237"/>
      <c r="E337" s="1238" t="s">
        <v>838</v>
      </c>
      <c r="F337" s="1239" t="s">
        <v>1496</v>
      </c>
      <c r="G337" s="1730"/>
      <c r="H337" s="1239"/>
      <c r="I337" s="1239"/>
      <c r="J337" s="1239"/>
      <c r="K337" s="1239"/>
      <c r="L337" s="1239"/>
      <c r="M337" s="1239"/>
      <c r="N337" s="1239"/>
      <c r="O337" s="1239"/>
      <c r="P337" s="1240"/>
      <c r="Q337" s="1239"/>
      <c r="R337" s="1239"/>
      <c r="S337" s="1239"/>
      <c r="T337" s="1239"/>
      <c r="U337" s="1239"/>
      <c r="V337" s="1239"/>
      <c r="W337" s="1239"/>
      <c r="X337" s="1239"/>
      <c r="Y337" s="1239"/>
      <c r="Z337" s="1239"/>
      <c r="AA337" s="1239"/>
      <c r="AB337" s="1239"/>
      <c r="AC337" s="1239"/>
      <c r="AD337" s="1239"/>
      <c r="AE337" s="1239"/>
      <c r="AF337" s="1239"/>
      <c r="AG337" s="1239"/>
      <c r="AH337" s="1207"/>
    </row>
    <row r="338" spans="1:34" x14ac:dyDescent="0.2">
      <c r="A338" s="1236"/>
      <c r="B338" s="1237"/>
      <c r="C338" s="1237"/>
      <c r="D338" s="1237"/>
      <c r="E338" s="1237"/>
      <c r="F338" s="1237"/>
      <c r="G338" s="1237"/>
      <c r="H338" s="1237"/>
      <c r="I338" s="1237"/>
      <c r="J338" s="1237"/>
      <c r="K338" s="1237"/>
      <c r="L338" s="1237"/>
      <c r="M338" s="1237"/>
      <c r="N338" s="1237"/>
      <c r="O338" s="1237"/>
      <c r="P338" s="1241"/>
      <c r="Q338" s="1237"/>
      <c r="R338" s="1237"/>
      <c r="S338" s="1237"/>
      <c r="T338" s="1237"/>
      <c r="U338" s="1237"/>
      <c r="V338" s="1237"/>
      <c r="W338" s="1237"/>
      <c r="X338" s="1237"/>
      <c r="Y338" s="1237"/>
      <c r="Z338" s="1237"/>
      <c r="AA338" s="1237"/>
      <c r="AB338" s="1237"/>
      <c r="AC338" s="1237"/>
      <c r="AD338" s="1237"/>
      <c r="AE338" s="1237"/>
      <c r="AF338" s="1237"/>
      <c r="AG338" s="1237"/>
      <c r="AH338" s="1207"/>
    </row>
    <row r="339" spans="1:34" x14ac:dyDescent="0.2">
      <c r="A339" s="1236"/>
      <c r="B339" s="1237"/>
      <c r="C339" s="1239"/>
      <c r="D339" s="1239"/>
      <c r="E339" s="1237"/>
      <c r="F339" s="1237"/>
      <c r="G339" s="1237"/>
      <c r="H339" s="1237"/>
      <c r="I339" s="1237"/>
      <c r="J339" s="1237"/>
      <c r="K339" s="1237"/>
      <c r="L339" s="1237"/>
      <c r="M339" s="1237"/>
      <c r="N339" s="1237"/>
      <c r="O339" s="1237"/>
      <c r="P339" s="1241"/>
      <c r="Q339" s="1237"/>
      <c r="R339" s="1237"/>
      <c r="S339" s="1237"/>
      <c r="T339" s="1237"/>
      <c r="U339" s="1237"/>
      <c r="V339" s="1237"/>
      <c r="W339" s="1237"/>
      <c r="X339" s="1237"/>
      <c r="Y339" s="1237"/>
      <c r="Z339" s="1237"/>
      <c r="AA339" s="1237"/>
      <c r="AB339" s="1237"/>
      <c r="AC339" s="1237"/>
      <c r="AD339" s="1237"/>
      <c r="AE339" s="1237"/>
      <c r="AF339" s="1237"/>
      <c r="AG339" s="1237"/>
      <c r="AH339" s="1207"/>
    </row>
    <row r="340" spans="1:34" x14ac:dyDescent="0.2">
      <c r="A340" s="1236"/>
      <c r="B340" s="1237"/>
      <c r="C340" s="1239"/>
      <c r="D340" s="1239"/>
      <c r="E340" s="1237"/>
      <c r="F340" s="1237"/>
      <c r="G340" s="1237"/>
      <c r="H340" s="1237"/>
      <c r="I340" s="1237"/>
      <c r="J340" s="1237"/>
      <c r="K340" s="1237"/>
      <c r="L340" s="1237"/>
      <c r="M340" s="1237"/>
      <c r="N340" s="1237"/>
      <c r="O340" s="1237"/>
      <c r="P340" s="1241"/>
      <c r="Q340" s="1237"/>
      <c r="R340" s="1237"/>
      <c r="S340" s="1237"/>
      <c r="T340" s="1237"/>
      <c r="U340" s="1237"/>
      <c r="V340" s="1237"/>
      <c r="W340" s="1237"/>
      <c r="X340" s="1237"/>
      <c r="Y340" s="1237"/>
      <c r="Z340" s="1237"/>
      <c r="AA340" s="1237"/>
      <c r="AB340" s="1237"/>
      <c r="AC340" s="1237"/>
      <c r="AD340" s="1237"/>
      <c r="AE340" s="1237"/>
      <c r="AF340" s="1237"/>
      <c r="AG340" s="1237"/>
      <c r="AH340" s="1207"/>
    </row>
    <row r="341" spans="1:34" ht="13.5" thickBot="1" x14ac:dyDescent="0.25">
      <c r="A341" s="1236"/>
      <c r="B341" s="1237"/>
      <c r="C341" s="1237"/>
      <c r="D341" s="1237"/>
      <c r="E341" s="1237"/>
      <c r="F341" s="1237"/>
      <c r="G341" s="1237"/>
      <c r="H341" s="1237"/>
      <c r="I341" s="1237"/>
      <c r="J341" s="1237"/>
      <c r="K341" s="1237"/>
      <c r="L341" s="1237"/>
      <c r="M341" s="1237"/>
      <c r="N341" s="1237"/>
      <c r="O341" s="1237"/>
      <c r="P341" s="1241"/>
      <c r="Q341" s="1237"/>
      <c r="R341" s="1237"/>
      <c r="S341" s="1237"/>
      <c r="T341" s="1237"/>
      <c r="U341" s="1237"/>
      <c r="V341" s="1237"/>
      <c r="W341" s="1237"/>
      <c r="X341" s="1237"/>
      <c r="Y341" s="1237"/>
      <c r="Z341" s="1237"/>
      <c r="AA341" s="1237"/>
      <c r="AB341" s="1237"/>
      <c r="AC341" s="1237"/>
      <c r="AD341" s="1237"/>
      <c r="AE341" s="1237"/>
      <c r="AF341" s="1237"/>
      <c r="AG341" s="1237"/>
      <c r="AH341" s="1207"/>
    </row>
    <row r="342" spans="1:34" ht="13.5" thickBot="1" x14ac:dyDescent="0.25">
      <c r="A342" s="1236"/>
      <c r="B342" s="1237"/>
      <c r="C342" s="1243"/>
      <c r="D342" s="1244" t="s">
        <v>16</v>
      </c>
      <c r="E342" s="1244"/>
      <c r="F342" s="1244"/>
      <c r="G342" s="1244"/>
      <c r="H342" s="1244"/>
      <c r="I342" s="1244"/>
      <c r="J342" s="1244"/>
      <c r="K342" s="1244"/>
      <c r="L342" s="1244"/>
      <c r="M342" s="1244"/>
      <c r="N342" s="1244"/>
      <c r="O342" s="1244"/>
      <c r="P342" s="1245"/>
      <c r="Q342" s="1244"/>
      <c r="R342" s="1244"/>
      <c r="S342" s="1244"/>
      <c r="T342" s="1244"/>
      <c r="U342" s="1244"/>
      <c r="V342" s="1244"/>
      <c r="W342" s="1244"/>
      <c r="X342" s="1244"/>
      <c r="Y342" s="1244"/>
      <c r="Z342" s="1244"/>
      <c r="AA342" s="1244"/>
      <c r="AB342" s="1244"/>
      <c r="AC342" s="1244"/>
      <c r="AD342" s="1244"/>
      <c r="AE342" s="1244"/>
      <c r="AF342" s="1244"/>
      <c r="AG342" s="1244"/>
      <c r="AH342" s="1207"/>
    </row>
    <row r="343" spans="1:34" ht="13.5" thickBot="1" x14ac:dyDescent="0.25">
      <c r="A343" s="1236"/>
      <c r="B343" s="1237"/>
      <c r="C343" s="1246" t="s">
        <v>452</v>
      </c>
      <c r="D343" s="1246" t="s">
        <v>453</v>
      </c>
      <c r="E343" s="1246" t="s">
        <v>434</v>
      </c>
      <c r="F343" s="1246" t="s">
        <v>390</v>
      </c>
      <c r="G343" s="1246" t="s">
        <v>454</v>
      </c>
      <c r="H343" s="1246" t="s">
        <v>455</v>
      </c>
      <c r="I343" s="1246" t="s">
        <v>456</v>
      </c>
      <c r="J343" s="1246" t="s">
        <v>457</v>
      </c>
      <c r="K343" s="1246" t="s">
        <v>458</v>
      </c>
      <c r="L343" s="1246" t="s">
        <v>216</v>
      </c>
      <c r="M343" s="1246" t="s">
        <v>459</v>
      </c>
      <c r="N343" s="1246" t="s">
        <v>297</v>
      </c>
      <c r="O343" s="1246" t="s">
        <v>211</v>
      </c>
      <c r="P343" s="1247" t="s">
        <v>270</v>
      </c>
      <c r="Q343" s="1246">
        <v>15</v>
      </c>
      <c r="R343" s="1246">
        <v>16</v>
      </c>
      <c r="S343" s="1246" t="s">
        <v>461</v>
      </c>
      <c r="T343" s="1246" t="s">
        <v>442</v>
      </c>
      <c r="U343" s="1246" t="s">
        <v>462</v>
      </c>
      <c r="V343" s="1246" t="s">
        <v>470</v>
      </c>
      <c r="W343" s="1246" t="s">
        <v>471</v>
      </c>
      <c r="X343" s="1246" t="s">
        <v>472</v>
      </c>
      <c r="Y343" s="1246" t="s">
        <v>463</v>
      </c>
      <c r="Z343" s="1246" t="s">
        <v>465</v>
      </c>
      <c r="AA343" s="1246" t="s">
        <v>466</v>
      </c>
      <c r="AB343" s="1246" t="s">
        <v>435</v>
      </c>
      <c r="AC343" s="1246" t="s">
        <v>467</v>
      </c>
      <c r="AD343" s="1246" t="s">
        <v>464</v>
      </c>
      <c r="AE343" s="1246" t="s">
        <v>429</v>
      </c>
      <c r="AF343" s="1246" t="s">
        <v>149</v>
      </c>
      <c r="AG343" s="1246" t="s">
        <v>210</v>
      </c>
      <c r="AH343" s="1207"/>
    </row>
    <row r="344" spans="1:34" x14ac:dyDescent="0.2">
      <c r="A344" s="1233"/>
      <c r="B344" s="1248"/>
      <c r="C344" s="1237"/>
      <c r="D344" s="1237"/>
      <c r="E344" s="1237"/>
      <c r="F344" s="1237"/>
      <c r="G344" s="1237"/>
      <c r="H344" s="1237"/>
      <c r="I344" s="1237"/>
      <c r="J344" s="1237"/>
      <c r="K344" s="1237"/>
      <c r="L344" s="1237"/>
      <c r="M344" s="1237"/>
      <c r="N344" s="1237"/>
      <c r="O344" s="1237"/>
      <c r="P344" s="1241"/>
      <c r="Q344" s="1237"/>
      <c r="R344" s="1237"/>
      <c r="S344" s="1237"/>
      <c r="T344" s="1237"/>
      <c r="U344" s="1237"/>
      <c r="V344" s="1237"/>
      <c r="W344" s="1237"/>
      <c r="X344" s="1237"/>
      <c r="Y344" s="1237"/>
      <c r="Z344" s="1237"/>
      <c r="AA344" s="1237"/>
      <c r="AB344" s="1237"/>
      <c r="AC344" s="1237"/>
      <c r="AD344" s="1237"/>
      <c r="AE344" s="1237"/>
      <c r="AF344" s="1237"/>
      <c r="AG344" s="1237"/>
      <c r="AH344" s="1207"/>
    </row>
    <row r="345" spans="1:34" x14ac:dyDescent="0.2">
      <c r="A345" s="1236" t="s">
        <v>0</v>
      </c>
      <c r="B345" s="1249">
        <f>+'AOUT 2016'!AG386</f>
        <v>0</v>
      </c>
      <c r="C345" s="1237"/>
      <c r="D345" s="1237"/>
      <c r="E345" s="1237"/>
      <c r="F345" s="1237"/>
      <c r="G345" s="1237"/>
      <c r="H345" s="1237"/>
      <c r="I345" s="1237"/>
      <c r="J345" s="1237"/>
      <c r="K345" s="1237"/>
      <c r="L345" s="1237"/>
      <c r="M345" s="1237"/>
      <c r="N345" s="1237"/>
      <c r="O345" s="1237"/>
      <c r="P345" s="1241"/>
      <c r="Q345" s="1237"/>
      <c r="R345" s="1237"/>
      <c r="S345" s="1237"/>
      <c r="T345" s="1237"/>
      <c r="U345" s="1237"/>
      <c r="V345" s="1237"/>
      <c r="W345" s="1237"/>
      <c r="X345" s="1237"/>
      <c r="Y345" s="1237"/>
      <c r="Z345" s="1237"/>
      <c r="AA345" s="1237"/>
      <c r="AB345" s="1237"/>
      <c r="AC345" s="1237"/>
      <c r="AD345" s="1237"/>
      <c r="AE345" s="1237"/>
      <c r="AF345" s="1237"/>
      <c r="AG345" s="1237"/>
      <c r="AH345" s="1207"/>
    </row>
    <row r="346" spans="1:34" ht="13.5" thickBot="1" x14ac:dyDescent="0.25">
      <c r="A346" s="1250"/>
      <c r="B346" s="1251"/>
      <c r="C346" s="1237"/>
      <c r="D346" s="1237"/>
      <c r="E346" s="1237"/>
      <c r="F346" s="1237"/>
      <c r="G346" s="1237"/>
      <c r="H346" s="1237"/>
      <c r="I346" s="1237"/>
      <c r="J346" s="1237"/>
      <c r="K346" s="1237"/>
      <c r="L346" s="1237"/>
      <c r="M346" s="1237"/>
      <c r="N346" s="1237"/>
      <c r="O346" s="1237"/>
      <c r="P346" s="1241"/>
      <c r="Q346" s="1237"/>
      <c r="R346" s="1237"/>
      <c r="S346" s="1237"/>
      <c r="T346" s="1237"/>
      <c r="U346" s="1237"/>
      <c r="V346" s="1237"/>
      <c r="W346" s="1237"/>
      <c r="X346" s="1237"/>
      <c r="Y346" s="1237"/>
      <c r="Z346" s="1237"/>
      <c r="AA346" s="1237"/>
      <c r="AB346" s="1237"/>
      <c r="AC346" s="1237"/>
      <c r="AD346" s="1237"/>
      <c r="AE346" s="1237"/>
      <c r="AF346" s="1237"/>
      <c r="AG346" s="1237"/>
      <c r="AH346" s="1207"/>
    </row>
    <row r="347" spans="1:34" x14ac:dyDescent="0.2">
      <c r="A347" s="1233"/>
      <c r="B347" s="1253"/>
      <c r="C347" s="1237"/>
      <c r="D347" s="1237"/>
      <c r="E347" s="1237"/>
      <c r="F347" s="1237"/>
      <c r="G347" s="1237"/>
      <c r="H347" s="1237"/>
      <c r="I347" s="1237"/>
      <c r="J347" s="1237"/>
      <c r="K347" s="1237"/>
      <c r="L347" s="1237"/>
      <c r="M347" s="1237"/>
      <c r="N347" s="1237"/>
      <c r="O347" s="1237"/>
      <c r="P347" s="1241"/>
      <c r="Q347" s="1237"/>
      <c r="R347" s="1237"/>
      <c r="S347" s="1237"/>
      <c r="T347" s="1237"/>
      <c r="U347" s="1237"/>
      <c r="V347" s="1237"/>
      <c r="W347" s="1237"/>
      <c r="X347" s="1237"/>
      <c r="Y347" s="1237"/>
      <c r="Z347" s="1237"/>
      <c r="AA347" s="1237"/>
      <c r="AB347" s="1237"/>
      <c r="AC347" s="1237"/>
      <c r="AD347" s="1237"/>
      <c r="AE347" s="1237"/>
      <c r="AF347" s="1237"/>
      <c r="AG347" s="1237"/>
      <c r="AH347" s="1207"/>
    </row>
    <row r="348" spans="1:34" x14ac:dyDescent="0.2">
      <c r="A348" s="1236" t="s">
        <v>1</v>
      </c>
      <c r="B348" s="1249">
        <f>B349+B350+B351</f>
        <v>0</v>
      </c>
      <c r="C348" s="1237"/>
      <c r="D348" s="1237"/>
      <c r="E348" s="1237"/>
      <c r="F348" s="1237"/>
      <c r="G348" s="1237"/>
      <c r="H348" s="1237"/>
      <c r="I348" s="1237"/>
      <c r="J348" s="1237"/>
      <c r="K348" s="1237"/>
      <c r="L348" s="1237"/>
      <c r="M348" s="1237"/>
      <c r="N348" s="1237"/>
      <c r="O348" s="1237"/>
      <c r="P348" s="1241"/>
      <c r="Q348" s="1237"/>
      <c r="R348" s="1237"/>
      <c r="S348" s="1237"/>
      <c r="T348" s="1237"/>
      <c r="U348" s="1237"/>
      <c r="V348" s="1237"/>
      <c r="W348" s="1237"/>
      <c r="X348" s="1237"/>
      <c r="Y348" s="1237"/>
      <c r="Z348" s="1237"/>
      <c r="AA348" s="1237"/>
      <c r="AB348" s="1237"/>
      <c r="AC348" s="1237"/>
      <c r="AD348" s="1237"/>
      <c r="AE348" s="1237"/>
      <c r="AF348" s="1237"/>
      <c r="AG348" s="1237"/>
      <c r="AH348" s="1207"/>
    </row>
    <row r="349" spans="1:34" x14ac:dyDescent="0.2">
      <c r="A349" s="1236" t="s">
        <v>38</v>
      </c>
      <c r="B349" s="1249">
        <f>C397</f>
        <v>0</v>
      </c>
      <c r="C349" s="1237"/>
      <c r="D349" s="1237"/>
      <c r="E349" s="1237"/>
      <c r="F349" s="1237"/>
      <c r="G349" s="1237"/>
      <c r="H349" s="1237"/>
      <c r="I349" s="1237"/>
      <c r="J349" s="1237"/>
      <c r="K349" s="1237"/>
      <c r="L349" s="1237"/>
      <c r="M349" s="1237"/>
      <c r="N349" s="1237"/>
      <c r="O349" s="1237"/>
      <c r="P349" s="1241"/>
      <c r="Q349" s="1237"/>
      <c r="R349" s="1237"/>
      <c r="S349" s="1237"/>
      <c r="T349" s="1237"/>
      <c r="U349" s="1237"/>
      <c r="V349" s="1237"/>
      <c r="W349" s="1237"/>
      <c r="X349" s="1237"/>
      <c r="Y349" s="1237"/>
      <c r="Z349" s="1237"/>
      <c r="AA349" s="1237"/>
      <c r="AB349" s="1237"/>
      <c r="AC349" s="1237"/>
      <c r="AD349" s="1237"/>
      <c r="AE349" s="1237"/>
      <c r="AF349" s="1237"/>
      <c r="AG349" s="1237"/>
      <c r="AH349" s="1207"/>
    </row>
    <row r="350" spans="1:34" x14ac:dyDescent="0.2">
      <c r="A350" s="1236" t="s">
        <v>39</v>
      </c>
      <c r="B350" s="1249">
        <f>C420</f>
        <v>0</v>
      </c>
      <c r="C350" s="1237"/>
      <c r="D350" s="1237"/>
      <c r="E350" s="1237"/>
      <c r="F350" s="1237"/>
      <c r="G350" s="1237"/>
      <c r="H350" s="1237"/>
      <c r="I350" s="1237"/>
      <c r="J350" s="1237"/>
      <c r="K350" s="1237"/>
      <c r="L350" s="1237"/>
      <c r="M350" s="1237"/>
      <c r="N350" s="1237"/>
      <c r="O350" s="1237"/>
      <c r="P350" s="1241"/>
      <c r="Q350" s="1237"/>
      <c r="R350" s="1237"/>
      <c r="S350" s="1237"/>
      <c r="T350" s="1237"/>
      <c r="U350" s="1237"/>
      <c r="V350" s="1237"/>
      <c r="W350" s="1237"/>
      <c r="X350" s="1237"/>
      <c r="Y350" s="1237"/>
      <c r="Z350" s="1237"/>
      <c r="AA350" s="1237"/>
      <c r="AB350" s="1237"/>
      <c r="AC350" s="1237"/>
      <c r="AD350" s="1237"/>
      <c r="AE350" s="1237"/>
      <c r="AF350" s="1237"/>
      <c r="AG350" s="1237"/>
      <c r="AH350" s="1207"/>
    </row>
    <row r="351" spans="1:34" x14ac:dyDescent="0.2">
      <c r="A351" s="1236" t="s">
        <v>3</v>
      </c>
      <c r="B351" s="1249"/>
      <c r="C351" s="1237"/>
      <c r="D351" s="1237"/>
      <c r="E351" s="1237"/>
      <c r="F351" s="1237"/>
      <c r="G351" s="1237"/>
      <c r="H351" s="1237"/>
      <c r="I351" s="1237"/>
      <c r="J351" s="1237"/>
      <c r="K351" s="1237"/>
      <c r="L351" s="1237"/>
      <c r="M351" s="1237"/>
      <c r="N351" s="1237"/>
      <c r="O351" s="1237"/>
      <c r="P351" s="1241"/>
      <c r="Q351" s="1237"/>
      <c r="R351" s="1237"/>
      <c r="S351" s="1237"/>
      <c r="T351" s="1237"/>
      <c r="U351" s="1237"/>
      <c r="V351" s="1237"/>
      <c r="W351" s="1237"/>
      <c r="X351" s="1237"/>
      <c r="Y351" s="1237"/>
      <c r="Z351" s="1237"/>
      <c r="AA351" s="1237"/>
      <c r="AB351" s="1237"/>
      <c r="AC351" s="1237"/>
      <c r="AD351" s="1237"/>
      <c r="AE351" s="1237"/>
      <c r="AF351" s="1237"/>
      <c r="AG351" s="1237"/>
      <c r="AH351" s="1207"/>
    </row>
    <row r="352" spans="1:34" ht="13.5" thickBot="1" x14ac:dyDescent="0.25">
      <c r="A352" s="1250"/>
      <c r="B352" s="1251"/>
      <c r="C352" s="1237"/>
      <c r="D352" s="1237"/>
      <c r="E352" s="1237"/>
      <c r="F352" s="1237"/>
      <c r="G352" s="1237"/>
      <c r="H352" s="1237"/>
      <c r="I352" s="1237"/>
      <c r="J352" s="1237"/>
      <c r="K352" s="1237"/>
      <c r="L352" s="1237"/>
      <c r="M352" s="1237"/>
      <c r="N352" s="1237"/>
      <c r="O352" s="1237"/>
      <c r="P352" s="1241"/>
      <c r="Q352" s="1237"/>
      <c r="R352" s="1237"/>
      <c r="S352" s="1237"/>
      <c r="T352" s="1237"/>
      <c r="U352" s="1237"/>
      <c r="V352" s="1237"/>
      <c r="W352" s="1237"/>
      <c r="X352" s="1237"/>
      <c r="Y352" s="1237"/>
      <c r="Z352" s="1237"/>
      <c r="AA352" s="1237"/>
      <c r="AB352" s="1237"/>
      <c r="AC352" s="1237"/>
      <c r="AD352" s="1237"/>
      <c r="AE352" s="1237"/>
      <c r="AF352" s="1237"/>
      <c r="AG352" s="1237"/>
      <c r="AH352" s="1207"/>
    </row>
    <row r="353" spans="1:34" x14ac:dyDescent="0.2">
      <c r="A353" s="1233"/>
      <c r="B353" s="1253"/>
      <c r="C353" s="1237"/>
      <c r="D353" s="1237"/>
      <c r="E353" s="1237"/>
      <c r="F353" s="1237"/>
      <c r="G353" s="1237"/>
      <c r="H353" s="1237"/>
      <c r="I353" s="1237"/>
      <c r="J353" s="1237"/>
      <c r="K353" s="1237"/>
      <c r="L353" s="1237"/>
      <c r="M353" s="1237"/>
      <c r="N353" s="1237"/>
      <c r="O353" s="1237"/>
      <c r="P353" s="1241"/>
      <c r="Q353" s="1237"/>
      <c r="R353" s="1237"/>
      <c r="S353" s="1237"/>
      <c r="T353" s="1237"/>
      <c r="U353" s="1237"/>
      <c r="V353" s="1237"/>
      <c r="W353" s="1237"/>
      <c r="X353" s="1237"/>
      <c r="Y353" s="1237"/>
      <c r="Z353" s="1237"/>
      <c r="AA353" s="1237"/>
      <c r="AB353" s="1237"/>
      <c r="AC353" s="1237"/>
      <c r="AD353" s="1237"/>
      <c r="AE353" s="1237"/>
      <c r="AF353" s="1237"/>
      <c r="AG353" s="1237"/>
      <c r="AH353" s="1207"/>
    </row>
    <row r="354" spans="1:34" x14ac:dyDescent="0.2">
      <c r="A354" s="1236" t="s">
        <v>4</v>
      </c>
      <c r="B354" s="1249">
        <f>B345-B348</f>
        <v>0</v>
      </c>
      <c r="C354" s="1237"/>
      <c r="D354" s="1237"/>
      <c r="E354" s="1237"/>
      <c r="F354" s="1237"/>
      <c r="G354" s="1237"/>
      <c r="H354" s="1237"/>
      <c r="I354" s="1237"/>
      <c r="J354" s="1237"/>
      <c r="K354" s="1237"/>
      <c r="L354" s="1237"/>
      <c r="M354" s="1237"/>
      <c r="N354" s="1237"/>
      <c r="O354" s="1237"/>
      <c r="P354" s="1241"/>
      <c r="Q354" s="1237"/>
      <c r="R354" s="1237"/>
      <c r="S354" s="1237"/>
      <c r="T354" s="1237"/>
      <c r="U354" s="1237"/>
      <c r="V354" s="1237"/>
      <c r="W354" s="1237"/>
      <c r="X354" s="1237"/>
      <c r="Y354" s="1237"/>
      <c r="Z354" s="1237"/>
      <c r="AA354" s="1237"/>
      <c r="AB354" s="1237"/>
      <c r="AC354" s="1237"/>
      <c r="AD354" s="1237"/>
      <c r="AE354" s="1237"/>
      <c r="AF354" s="1237"/>
      <c r="AG354" s="1237"/>
      <c r="AH354" s="1207"/>
    </row>
    <row r="355" spans="1:34" ht="21" thickBot="1" x14ac:dyDescent="0.35">
      <c r="A355" s="1250"/>
      <c r="B355" s="1251"/>
      <c r="C355" s="1237"/>
      <c r="D355" s="1237"/>
      <c r="E355" s="1237"/>
      <c r="F355" s="1393"/>
      <c r="G355" s="1237"/>
      <c r="H355" s="1237"/>
      <c r="I355" s="1237"/>
      <c r="J355" s="1237"/>
      <c r="K355" s="1237"/>
      <c r="L355" s="1237"/>
      <c r="M355" s="1237"/>
      <c r="N355" s="1237"/>
      <c r="O355" s="1237"/>
      <c r="P355" s="1241"/>
      <c r="Q355" s="1237"/>
      <c r="R355" s="1237"/>
      <c r="S355" s="1237"/>
      <c r="T355" s="1237"/>
      <c r="U355" s="1237"/>
      <c r="V355" s="1237"/>
      <c r="W355" s="1237"/>
      <c r="X355" s="1237"/>
      <c r="Y355" s="1237"/>
      <c r="Z355" s="1237"/>
      <c r="AA355" s="1237"/>
      <c r="AB355" s="1237"/>
      <c r="AC355" s="1237"/>
      <c r="AD355" s="1237"/>
      <c r="AE355" s="1237"/>
      <c r="AF355" s="1237"/>
      <c r="AG355" s="1237"/>
      <c r="AH355" s="1207"/>
    </row>
    <row r="356" spans="1:34" x14ac:dyDescent="0.2">
      <c r="A356" s="1233"/>
      <c r="B356" s="1253"/>
      <c r="C356" s="1237"/>
      <c r="D356" s="1237"/>
      <c r="E356" s="1237"/>
      <c r="F356" s="1237"/>
      <c r="G356" s="1237"/>
      <c r="H356" s="1237"/>
      <c r="I356" s="1237"/>
      <c r="J356" s="1237"/>
      <c r="K356" s="1237"/>
      <c r="L356" s="1237"/>
      <c r="M356" s="1237"/>
      <c r="N356" s="1237"/>
      <c r="O356" s="1237"/>
      <c r="P356" s="1241"/>
      <c r="Q356" s="1237"/>
      <c r="R356" s="1237"/>
      <c r="S356" s="1237"/>
      <c r="T356" s="1237"/>
      <c r="U356" s="1237"/>
      <c r="V356" s="1237"/>
      <c r="W356" s="1237"/>
      <c r="X356" s="1237"/>
      <c r="Y356" s="1237"/>
      <c r="Z356" s="1237"/>
      <c r="AA356" s="1237"/>
      <c r="AB356" s="1237"/>
      <c r="AC356" s="1237"/>
      <c r="AD356" s="1237"/>
      <c r="AE356" s="1237"/>
      <c r="AF356" s="1237"/>
      <c r="AG356" s="1237"/>
      <c r="AH356" s="1207"/>
    </row>
    <row r="357" spans="1:34" x14ac:dyDescent="0.2">
      <c r="A357" s="1236" t="s">
        <v>17</v>
      </c>
      <c r="B357" s="1249"/>
      <c r="C357" s="1237"/>
      <c r="D357" s="1241"/>
      <c r="E357" s="1237"/>
      <c r="F357" s="1237"/>
      <c r="G357" s="1237"/>
      <c r="H357" s="1237"/>
      <c r="I357" s="1237"/>
      <c r="J357" s="1237"/>
      <c r="K357" s="1237"/>
      <c r="L357" s="1237"/>
      <c r="M357" s="1237"/>
      <c r="N357" s="1237"/>
      <c r="O357" s="1237"/>
      <c r="P357" s="1241"/>
      <c r="Q357" s="1237"/>
      <c r="R357" s="1237"/>
      <c r="S357" s="1237"/>
      <c r="T357" s="1237"/>
      <c r="U357" s="1237"/>
      <c r="V357" s="1237"/>
      <c r="W357" s="1237"/>
      <c r="X357" s="1237"/>
      <c r="Y357" s="1237"/>
      <c r="Z357" s="1237"/>
      <c r="AA357" s="1237"/>
      <c r="AB357" s="1237"/>
      <c r="AC357" s="1237"/>
      <c r="AD357" s="1237"/>
      <c r="AE357" s="1237"/>
      <c r="AF357" s="1237"/>
      <c r="AG357" s="1237"/>
      <c r="AH357" s="1207"/>
    </row>
    <row r="358" spans="1:34" ht="13.5" thickBot="1" x14ac:dyDescent="0.25">
      <c r="A358" s="1250"/>
      <c r="B358" s="1251"/>
      <c r="C358" s="1237"/>
      <c r="D358" s="1241"/>
      <c r="E358" s="1237"/>
      <c r="F358" s="1241"/>
      <c r="G358" s="1237"/>
      <c r="H358" s="1580"/>
      <c r="I358" s="1237"/>
      <c r="J358" s="1237"/>
      <c r="K358" s="1237"/>
      <c r="L358" s="1237"/>
      <c r="M358" s="1237"/>
      <c r="N358" s="1237"/>
      <c r="O358" s="1237"/>
      <c r="P358" s="1241"/>
      <c r="Q358" s="1237"/>
      <c r="R358" s="1237"/>
      <c r="S358" s="1237"/>
      <c r="T358" s="1237"/>
      <c r="U358" s="1237"/>
      <c r="V358" s="1237"/>
      <c r="W358" s="1237"/>
      <c r="X358" s="1258"/>
      <c r="Y358" s="1237"/>
      <c r="Z358" s="1237"/>
      <c r="AA358" s="1237"/>
      <c r="AB358" s="1237"/>
      <c r="AC358" s="1237"/>
      <c r="AD358" s="1237"/>
      <c r="AE358" s="1237"/>
      <c r="AF358" s="1730"/>
      <c r="AG358" s="1237"/>
      <c r="AH358" s="1207"/>
    </row>
    <row r="359" spans="1:34" ht="23.25" customHeight="1" x14ac:dyDescent="0.3">
      <c r="A359" s="1233"/>
      <c r="B359" s="1253"/>
      <c r="D359" s="1579"/>
      <c r="E359" s="1564"/>
      <c r="F359" s="1580"/>
      <c r="G359" s="1564"/>
      <c r="H359" s="1730"/>
      <c r="I359" s="1370"/>
      <c r="J359" s="1237"/>
      <c r="K359" s="1394"/>
      <c r="L359" s="1237"/>
      <c r="M359" s="1749"/>
      <c r="N359" s="1749"/>
      <c r="O359" s="1749"/>
      <c r="P359" s="1749"/>
      <c r="Q359" s="1749"/>
      <c r="R359" s="1749"/>
      <c r="S359" s="1534"/>
      <c r="T359" s="1534"/>
      <c r="U359" s="1534"/>
      <c r="V359" s="1534"/>
      <c r="W359" s="1534"/>
      <c r="X359" s="1534"/>
      <c r="Y359" s="1730"/>
      <c r="Z359" s="1730"/>
      <c r="AA359" s="1730"/>
      <c r="AB359" s="1237"/>
      <c r="AC359" s="1237"/>
      <c r="AD359" s="1237"/>
      <c r="AE359" s="1237"/>
      <c r="AF359" s="1730"/>
      <c r="AH359" s="1207"/>
    </row>
    <row r="360" spans="1:34" x14ac:dyDescent="0.2">
      <c r="A360" s="1236" t="s">
        <v>5</v>
      </c>
      <c r="B360" s="1249">
        <f>B354-B357</f>
        <v>0</v>
      </c>
      <c r="C360" s="1392"/>
      <c r="D360" s="1212"/>
      <c r="F360" s="1212"/>
      <c r="G360" s="1371"/>
      <c r="H360" s="1212"/>
      <c r="I360" s="1730"/>
      <c r="J360" s="1729"/>
      <c r="K360" s="1730"/>
      <c r="L360" s="1730"/>
      <c r="M360" s="1730"/>
      <c r="N360" s="1730"/>
      <c r="O360" s="1730"/>
      <c r="P360" s="1212"/>
      <c r="Q360" s="1370"/>
      <c r="R360" s="1730"/>
      <c r="S360" s="1212"/>
      <c r="T360" s="1730"/>
      <c r="U360" s="1730"/>
      <c r="V360" s="1730"/>
      <c r="W360" s="1237"/>
      <c r="X360" s="1256"/>
      <c r="Y360" s="1730"/>
      <c r="Z360" s="1212"/>
      <c r="AA360" s="1212"/>
      <c r="AB360" s="1212"/>
      <c r="AC360" s="1395"/>
      <c r="AD360" s="1395"/>
      <c r="AE360" s="1730"/>
      <c r="AF360" s="1392"/>
      <c r="AG360" s="1392"/>
      <c r="AH360" s="1207"/>
    </row>
    <row r="361" spans="1:34" ht="13.5" thickBot="1" x14ac:dyDescent="0.25">
      <c r="A361" s="1250"/>
      <c r="B361" s="1251"/>
      <c r="C361" s="1237"/>
      <c r="D361" s="1241"/>
      <c r="E361" s="1237"/>
      <c r="F361" s="1241"/>
      <c r="G361" s="1237"/>
      <c r="H361" s="1241"/>
      <c r="I361" s="1237"/>
      <c r="J361" s="1237"/>
      <c r="K361" s="1237"/>
      <c r="L361" s="1237"/>
      <c r="M361" s="1730"/>
      <c r="N361" s="1237"/>
      <c r="O361" s="1237"/>
      <c r="P361" s="1241"/>
      <c r="Q361" s="1237"/>
      <c r="R361" s="1237"/>
      <c r="S361" s="1237"/>
      <c r="T361" s="1237"/>
      <c r="U361" s="1237"/>
      <c r="V361" s="1237"/>
      <c r="W361" s="1237"/>
      <c r="X361" s="1237"/>
      <c r="Y361" s="1237"/>
      <c r="Z361" s="1237"/>
      <c r="AA361" s="1237"/>
      <c r="AB361" s="1237"/>
      <c r="AC361" s="1237"/>
      <c r="AD361" s="1237"/>
      <c r="AE361" s="1237"/>
      <c r="AF361" s="1237"/>
      <c r="AG361" s="1237"/>
      <c r="AH361" s="1207"/>
    </row>
    <row r="362" spans="1:34" x14ac:dyDescent="0.2">
      <c r="A362" s="1269"/>
      <c r="B362" s="1237"/>
      <c r="C362" s="1270"/>
      <c r="D362" s="1578"/>
      <c r="E362" s="1272"/>
      <c r="F362" s="1273"/>
      <c r="G362" s="1271"/>
      <c r="H362" s="1273"/>
      <c r="I362" s="1271"/>
      <c r="J362" s="1271"/>
      <c r="K362" s="1271"/>
      <c r="L362" s="1271"/>
      <c r="M362" s="1271"/>
      <c r="N362" s="1271"/>
      <c r="O362" s="1271"/>
      <c r="P362" s="1273"/>
      <c r="Q362" s="1271"/>
      <c r="R362" s="1271"/>
      <c r="S362" s="1271"/>
      <c r="T362" s="1271"/>
      <c r="U362" s="1271"/>
      <c r="V362" s="1271"/>
      <c r="W362" s="1271"/>
      <c r="X362" s="1271"/>
      <c r="Y362" s="1271"/>
      <c r="Z362" s="1271"/>
      <c r="AA362" s="1271"/>
      <c r="AB362" s="1271"/>
      <c r="AC362" s="1271"/>
      <c r="AD362" s="1271"/>
      <c r="AE362" s="1271"/>
      <c r="AF362" s="1271"/>
      <c r="AG362" s="1271"/>
      <c r="AH362" s="1207"/>
    </row>
    <row r="363" spans="1:34" ht="13.5" thickBot="1" x14ac:dyDescent="0.25">
      <c r="A363" s="1274" t="s">
        <v>7</v>
      </c>
      <c r="B363" s="1237"/>
      <c r="C363" s="1275">
        <f t="shared" ref="C363:U363" si="37">C364+C365+C366+C368+C367</f>
        <v>0</v>
      </c>
      <c r="D363" s="1276">
        <f t="shared" si="37"/>
        <v>0</v>
      </c>
      <c r="E363" s="1275">
        <f t="shared" si="37"/>
        <v>0</v>
      </c>
      <c r="F363" s="1276">
        <f t="shared" si="37"/>
        <v>0</v>
      </c>
      <c r="G363" s="1275">
        <f t="shared" si="37"/>
        <v>0</v>
      </c>
      <c r="H363" s="1276">
        <f t="shared" si="37"/>
        <v>0</v>
      </c>
      <c r="I363" s="1275">
        <f t="shared" si="37"/>
        <v>0</v>
      </c>
      <c r="J363" s="1275">
        <f t="shared" si="37"/>
        <v>0</v>
      </c>
      <c r="K363" s="1275">
        <f t="shared" si="37"/>
        <v>0</v>
      </c>
      <c r="L363" s="1275">
        <f t="shared" si="37"/>
        <v>0</v>
      </c>
      <c r="M363" s="1275">
        <f t="shared" si="37"/>
        <v>0</v>
      </c>
      <c r="N363" s="1275">
        <f t="shared" si="37"/>
        <v>0</v>
      </c>
      <c r="O363" s="1275">
        <f t="shared" si="37"/>
        <v>0</v>
      </c>
      <c r="P363" s="1276">
        <f t="shared" si="37"/>
        <v>0</v>
      </c>
      <c r="Q363" s="1275">
        <f t="shared" si="37"/>
        <v>0</v>
      </c>
      <c r="R363" s="1275">
        <f t="shared" si="37"/>
        <v>0</v>
      </c>
      <c r="S363" s="1275">
        <f t="shared" si="37"/>
        <v>0</v>
      </c>
      <c r="T363" s="1275">
        <f t="shared" si="37"/>
        <v>0</v>
      </c>
      <c r="U363" s="1275">
        <f t="shared" si="37"/>
        <v>0</v>
      </c>
      <c r="V363" s="1275">
        <f>V364+V365+V366+V368+V367</f>
        <v>0</v>
      </c>
      <c r="W363" s="1275">
        <f t="shared" ref="W363:AG363" si="38">W364+W365+W366+W368+W367</f>
        <v>0</v>
      </c>
      <c r="X363" s="1275">
        <f t="shared" si="38"/>
        <v>16300</v>
      </c>
      <c r="Y363" s="1275">
        <f t="shared" si="38"/>
        <v>7500</v>
      </c>
      <c r="Z363" s="1275">
        <f t="shared" si="38"/>
        <v>0</v>
      </c>
      <c r="AA363" s="1275">
        <f t="shared" si="38"/>
        <v>16350</v>
      </c>
      <c r="AB363" s="1275">
        <f t="shared" si="38"/>
        <v>0</v>
      </c>
      <c r="AC363" s="1275">
        <f t="shared" si="38"/>
        <v>0</v>
      </c>
      <c r="AD363" s="1275">
        <f t="shared" si="38"/>
        <v>24000</v>
      </c>
      <c r="AE363" s="1275">
        <f t="shared" si="38"/>
        <v>0</v>
      </c>
      <c r="AF363" s="1275">
        <f t="shared" si="38"/>
        <v>22961.126</v>
      </c>
      <c r="AG363" s="1275">
        <f t="shared" si="38"/>
        <v>0</v>
      </c>
      <c r="AH363" s="1227">
        <f>SUM(C363:AG363)</f>
        <v>87111.126000000004</v>
      </c>
    </row>
    <row r="364" spans="1:34" x14ac:dyDescent="0.2">
      <c r="A364" s="1274" t="s">
        <v>8</v>
      </c>
      <c r="B364" s="1389"/>
      <c r="C364" s="1302"/>
      <c r="D364" s="1306"/>
      <c r="E364" s="1396"/>
      <c r="F364" s="1304"/>
      <c r="G364" s="1303"/>
      <c r="H364" s="1304"/>
      <c r="I364" s="1319"/>
      <c r="J364" s="1303"/>
      <c r="K364" s="1303"/>
      <c r="L364" s="1303"/>
      <c r="M364" s="1303"/>
      <c r="N364" s="1303"/>
      <c r="O364" s="1303"/>
      <c r="P364" s="1304"/>
      <c r="Q364" s="1303"/>
      <c r="R364" s="1303"/>
      <c r="S364" s="1303"/>
      <c r="T364" s="1303"/>
      <c r="U364" s="1303"/>
      <c r="V364" s="1282"/>
      <c r="W364" s="1303"/>
      <c r="X364" s="1303"/>
      <c r="Y364" s="1303"/>
      <c r="Z364" s="1303"/>
      <c r="AA364" s="1303"/>
      <c r="AB364" s="1303"/>
      <c r="AC364" s="1303"/>
      <c r="AD364" s="1303"/>
      <c r="AE364" s="1303"/>
      <c r="AF364" s="1303"/>
      <c r="AG364" s="1397"/>
      <c r="AH364" s="1227">
        <f>SUM(C364:AG364)</f>
        <v>0</v>
      </c>
    </row>
    <row r="365" spans="1:34" x14ac:dyDescent="0.2">
      <c r="A365" s="1274" t="s">
        <v>9</v>
      </c>
      <c r="B365" s="1389"/>
      <c r="C365" s="1293"/>
      <c r="D365" s="1293"/>
      <c r="E365" s="1293"/>
      <c r="F365" s="1293"/>
      <c r="G365" s="1293"/>
      <c r="H365" s="1293"/>
      <c r="I365" s="1293"/>
      <c r="J365" s="1293"/>
      <c r="K365" s="1293"/>
      <c r="L365" s="1293"/>
      <c r="M365" s="1293"/>
      <c r="N365" s="1293"/>
      <c r="O365" s="1293"/>
      <c r="P365" s="1293"/>
      <c r="Q365" s="1293"/>
      <c r="R365" s="1293"/>
      <c r="S365" s="1293"/>
      <c r="T365" s="1293"/>
      <c r="U365" s="1293"/>
      <c r="V365" s="1293"/>
      <c r="W365" s="1293"/>
      <c r="X365" s="1293">
        <v>16300</v>
      </c>
      <c r="Y365" s="1293">
        <v>7500</v>
      </c>
      <c r="Z365" s="1293"/>
      <c r="AA365" s="1293">
        <v>16350</v>
      </c>
      <c r="AB365" s="1293"/>
      <c r="AC365" s="1293"/>
      <c r="AD365" s="1293">
        <f>16400+7600</f>
        <v>24000</v>
      </c>
      <c r="AE365" s="1293"/>
      <c r="AF365" s="1293">
        <f>15501.303+7459.823</f>
        <v>22961.126</v>
      </c>
      <c r="AG365" s="1293"/>
      <c r="AH365" s="1227">
        <f>SUM(C365:AG365)</f>
        <v>87111.126000000004</v>
      </c>
    </row>
    <row r="366" spans="1:34" s="1289" customFormat="1" x14ac:dyDescent="0.2">
      <c r="A366" s="1285" t="s">
        <v>10</v>
      </c>
      <c r="B366" s="1372"/>
      <c r="C366" s="1398"/>
      <c r="D366" s="1374"/>
      <c r="E366" s="1374"/>
      <c r="F366" s="1375"/>
      <c r="G366" s="1375"/>
      <c r="H366" s="1398"/>
      <c r="I366" s="1375"/>
      <c r="J366" s="1375"/>
      <c r="K366" s="1375"/>
      <c r="L366" s="1375"/>
      <c r="M366" s="1375"/>
      <c r="N366" s="1375"/>
      <c r="O366" s="1375"/>
      <c r="P366" s="1375"/>
      <c r="Q366" s="1375"/>
      <c r="R366" s="1375"/>
      <c r="S366" s="1375"/>
      <c r="T366" s="1375"/>
      <c r="U366" s="1375"/>
      <c r="V366" s="1375"/>
      <c r="W366" s="1375"/>
      <c r="X366" s="1376"/>
      <c r="Y366" s="1375"/>
      <c r="Z366" s="1390"/>
      <c r="AA366" s="1399"/>
      <c r="AB366" s="1375"/>
      <c r="AC366" s="1375"/>
      <c r="AD366" s="1377"/>
      <c r="AE366" s="1375"/>
      <c r="AF366" s="1375"/>
      <c r="AG366" s="1375"/>
      <c r="AH366" s="1231">
        <f>SUM(C366:AG366)</f>
        <v>0</v>
      </c>
    </row>
    <row r="367" spans="1:34" s="1289" customFormat="1" x14ac:dyDescent="0.2">
      <c r="A367" s="1285" t="s">
        <v>356</v>
      </c>
      <c r="B367" s="1372"/>
      <c r="C367" s="1493"/>
      <c r="D367" s="1493"/>
      <c r="E367" s="1493"/>
      <c r="F367" s="1493"/>
      <c r="G367" s="1493"/>
      <c r="H367" s="1493"/>
      <c r="I367" s="1493"/>
      <c r="J367" s="1493"/>
      <c r="K367" s="1493"/>
      <c r="L367" s="1493"/>
      <c r="M367" s="1493"/>
      <c r="N367" s="1493"/>
      <c r="O367" s="1493"/>
      <c r="P367" s="1493"/>
      <c r="Q367" s="1493"/>
      <c r="R367" s="1493"/>
      <c r="S367" s="1493"/>
      <c r="T367" s="1493"/>
      <c r="U367" s="1493"/>
      <c r="V367" s="1493"/>
      <c r="W367" s="1493"/>
      <c r="X367" s="1493"/>
      <c r="Y367" s="1493"/>
      <c r="Z367" s="1493"/>
      <c r="AA367" s="1493"/>
      <c r="AB367" s="1493"/>
      <c r="AC367" s="1493"/>
      <c r="AD367" s="1493"/>
      <c r="AE367" s="1493"/>
      <c r="AF367" s="1493"/>
      <c r="AG367" s="1493"/>
      <c r="AH367" s="1456">
        <f>SUM(C367:AG367)</f>
        <v>0</v>
      </c>
    </row>
    <row r="368" spans="1:34" x14ac:dyDescent="0.2">
      <c r="A368" s="1274" t="s">
        <v>11</v>
      </c>
      <c r="B368" s="1237"/>
      <c r="C368" s="1293"/>
      <c r="D368" s="1293"/>
      <c r="E368" s="1293"/>
      <c r="F368" s="1293"/>
      <c r="G368" s="1293"/>
      <c r="H368" s="1293"/>
      <c r="I368" s="1293"/>
      <c r="J368" s="1293"/>
      <c r="K368" s="1293"/>
      <c r="L368" s="1293"/>
      <c r="M368" s="1293"/>
      <c r="N368" s="1293"/>
      <c r="O368" s="1293"/>
      <c r="P368" s="1293"/>
      <c r="Q368" s="1293"/>
      <c r="R368" s="1293"/>
      <c r="S368" s="1293"/>
      <c r="T368" s="1293"/>
      <c r="U368" s="1293"/>
      <c r="V368" s="1293"/>
      <c r="W368" s="1293"/>
      <c r="X368" s="1293"/>
      <c r="Y368" s="1293"/>
      <c r="Z368" s="1293"/>
      <c r="AA368" s="1293"/>
      <c r="AB368" s="1293"/>
      <c r="AC368" s="1293"/>
      <c r="AD368" s="1293"/>
      <c r="AE368" s="1293"/>
      <c r="AF368" s="1293"/>
      <c r="AG368" s="1293"/>
      <c r="AH368" s="1207"/>
    </row>
    <row r="369" spans="1:34" ht="13.5" thickBot="1" x14ac:dyDescent="0.25">
      <c r="A369" s="1294"/>
      <c r="B369" s="1237"/>
      <c r="C369" s="1302"/>
      <c r="D369" s="1302"/>
      <c r="E369" s="1302"/>
      <c r="F369" s="1303"/>
      <c r="G369" s="1303"/>
      <c r="H369" s="1303"/>
      <c r="I369" s="1303"/>
      <c r="J369" s="1303"/>
      <c r="K369" s="1303"/>
      <c r="L369" s="1303"/>
      <c r="M369" s="1303"/>
      <c r="N369" s="1303"/>
      <c r="O369" s="1303"/>
      <c r="P369" s="1304"/>
      <c r="Q369" s="1303"/>
      <c r="R369" s="1303"/>
      <c r="S369" s="1303"/>
      <c r="T369" s="1303"/>
      <c r="U369" s="1303"/>
      <c r="V369" s="1303"/>
      <c r="W369" s="1303"/>
      <c r="X369" s="1303"/>
      <c r="Y369" s="1303"/>
      <c r="Z369" s="1303"/>
      <c r="AA369" s="1303"/>
      <c r="AB369" s="1303"/>
      <c r="AC369" s="1303"/>
      <c r="AD369" s="1303"/>
      <c r="AE369" s="1303"/>
      <c r="AF369" s="1303"/>
      <c r="AG369" s="1303"/>
      <c r="AH369" s="1207"/>
    </row>
    <row r="370" spans="1:34" x14ac:dyDescent="0.2">
      <c r="A370" s="1269"/>
      <c r="B370" s="1237"/>
      <c r="C370" s="1296"/>
      <c r="D370" s="1297"/>
      <c r="E370" s="1297"/>
      <c r="F370" s="1298"/>
      <c r="G370" s="1298"/>
      <c r="H370" s="1298"/>
      <c r="I370" s="1298"/>
      <c r="J370" s="1298"/>
      <c r="K370" s="1298"/>
      <c r="L370" s="1298"/>
      <c r="M370" s="1298"/>
      <c r="N370" s="1298"/>
      <c r="O370" s="1298"/>
      <c r="P370" s="1299"/>
      <c r="Q370" s="1298"/>
      <c r="R370" s="1298"/>
      <c r="S370" s="1298"/>
      <c r="T370" s="1298"/>
      <c r="U370" s="1298"/>
      <c r="V370" s="1298"/>
      <c r="W370" s="1298"/>
      <c r="X370" s="1298"/>
      <c r="Y370" s="1298"/>
      <c r="Z370" s="1298"/>
      <c r="AA370" s="1298"/>
      <c r="AB370" s="1298"/>
      <c r="AC370" s="1298"/>
      <c r="AD370" s="1298"/>
      <c r="AE370" s="1298"/>
      <c r="AF370" s="1298"/>
      <c r="AG370" s="1298"/>
      <c r="AH370" s="1207"/>
    </row>
    <row r="371" spans="1:34" ht="13.5" thickBot="1" x14ac:dyDescent="0.25">
      <c r="A371" s="1274" t="s">
        <v>12</v>
      </c>
      <c r="B371" s="1237"/>
      <c r="C371" s="1275">
        <f t="shared" ref="C371:AG371" si="39">C372</f>
        <v>0</v>
      </c>
      <c r="D371" s="1275">
        <f t="shared" si="39"/>
        <v>0</v>
      </c>
      <c r="E371" s="1275">
        <f t="shared" si="39"/>
        <v>0</v>
      </c>
      <c r="F371" s="1275">
        <f t="shared" si="39"/>
        <v>0</v>
      </c>
      <c r="G371" s="1275">
        <f t="shared" si="39"/>
        <v>0</v>
      </c>
      <c r="H371" s="1275">
        <f t="shared" si="39"/>
        <v>0</v>
      </c>
      <c r="I371" s="1275">
        <f t="shared" si="39"/>
        <v>0</v>
      </c>
      <c r="J371" s="1275">
        <f t="shared" si="39"/>
        <v>0</v>
      </c>
      <c r="K371" s="1275">
        <f t="shared" si="39"/>
        <v>0</v>
      </c>
      <c r="L371" s="1275">
        <f t="shared" si="39"/>
        <v>0</v>
      </c>
      <c r="M371" s="1275">
        <f t="shared" si="39"/>
        <v>0</v>
      </c>
      <c r="N371" s="1275">
        <f t="shared" si="39"/>
        <v>0</v>
      </c>
      <c r="O371" s="1275">
        <f t="shared" si="39"/>
        <v>0</v>
      </c>
      <c r="P371" s="1276">
        <f t="shared" si="39"/>
        <v>0</v>
      </c>
      <c r="Q371" s="1275">
        <f t="shared" si="39"/>
        <v>0</v>
      </c>
      <c r="R371" s="1275">
        <f t="shared" si="39"/>
        <v>0</v>
      </c>
      <c r="S371" s="1275">
        <f t="shared" si="39"/>
        <v>0</v>
      </c>
      <c r="T371" s="1275">
        <f t="shared" si="39"/>
        <v>0</v>
      </c>
      <c r="U371" s="1275">
        <f t="shared" si="39"/>
        <v>0</v>
      </c>
      <c r="V371" s="1275">
        <f t="shared" si="39"/>
        <v>0</v>
      </c>
      <c r="W371" s="1275">
        <f t="shared" si="39"/>
        <v>0</v>
      </c>
      <c r="X371" s="1275">
        <f t="shared" si="39"/>
        <v>0</v>
      </c>
      <c r="Y371" s="1275">
        <f t="shared" si="39"/>
        <v>0</v>
      </c>
      <c r="Z371" s="1275">
        <f t="shared" si="39"/>
        <v>0</v>
      </c>
      <c r="AA371" s="1275">
        <f t="shared" si="39"/>
        <v>0</v>
      </c>
      <c r="AB371" s="1275">
        <f t="shared" si="39"/>
        <v>0</v>
      </c>
      <c r="AC371" s="1275">
        <f t="shared" si="39"/>
        <v>0</v>
      </c>
      <c r="AD371" s="1275">
        <f t="shared" si="39"/>
        <v>0</v>
      </c>
      <c r="AE371" s="1275">
        <f t="shared" si="39"/>
        <v>0</v>
      </c>
      <c r="AF371" s="1275">
        <f t="shared" si="39"/>
        <v>0</v>
      </c>
      <c r="AG371" s="1275">
        <f t="shared" si="39"/>
        <v>0</v>
      </c>
      <c r="AH371" s="1207"/>
    </row>
    <row r="372" spans="1:34" x14ac:dyDescent="0.2">
      <c r="A372" s="1274" t="s">
        <v>8</v>
      </c>
      <c r="B372" s="1237"/>
      <c r="C372" s="1302"/>
      <c r="D372" s="1302"/>
      <c r="E372" s="1302"/>
      <c r="F372" s="1303"/>
      <c r="G372" s="1303"/>
      <c r="H372" s="1303"/>
      <c r="I372" s="1303"/>
      <c r="J372" s="1303"/>
      <c r="K372" s="1303"/>
      <c r="L372" s="1303"/>
      <c r="M372" s="1303"/>
      <c r="N372" s="1303"/>
      <c r="O372" s="1303"/>
      <c r="P372" s="1304"/>
      <c r="Q372" s="1303"/>
      <c r="R372" s="1303"/>
      <c r="S372" s="1303"/>
      <c r="T372" s="1303"/>
      <c r="U372" s="1303"/>
      <c r="V372" s="1303"/>
      <c r="W372" s="1303"/>
      <c r="X372" s="1303"/>
      <c r="Y372" s="1303"/>
      <c r="Z372" s="1303"/>
      <c r="AA372" s="1303"/>
      <c r="AB372" s="1303"/>
      <c r="AC372" s="1303"/>
      <c r="AD372" s="1303"/>
      <c r="AE372" s="1303"/>
      <c r="AF372" s="1303"/>
      <c r="AG372" s="1303"/>
      <c r="AH372" s="1207"/>
    </row>
    <row r="373" spans="1:34" x14ac:dyDescent="0.2">
      <c r="A373" s="1274" t="s">
        <v>775</v>
      </c>
      <c r="B373" s="1237"/>
      <c r="C373" s="1293"/>
      <c r="D373" s="1293"/>
      <c r="E373" s="1293"/>
      <c r="F373" s="1293"/>
      <c r="G373" s="1293"/>
      <c r="H373" s="1293"/>
      <c r="I373" s="1293"/>
      <c r="J373" s="1293"/>
      <c r="K373" s="1293"/>
      <c r="L373" s="1293"/>
      <c r="M373" s="1293"/>
      <c r="N373" s="1293"/>
      <c r="O373" s="1293"/>
      <c r="P373" s="1293"/>
      <c r="Q373" s="1293"/>
      <c r="R373" s="1293"/>
      <c r="S373" s="1293"/>
      <c r="T373" s="1293"/>
      <c r="U373" s="1293"/>
      <c r="V373" s="1293"/>
      <c r="W373" s="1293"/>
      <c r="X373" s="1293"/>
      <c r="Y373" s="1293"/>
      <c r="Z373" s="1293"/>
      <c r="AA373" s="1293"/>
      <c r="AB373" s="1293"/>
      <c r="AC373" s="1293"/>
      <c r="AD373" s="1293"/>
      <c r="AE373" s="1293"/>
      <c r="AF373" s="1293"/>
      <c r="AG373" s="1293"/>
      <c r="AH373" s="1455">
        <f>SUM(C373:AG373)</f>
        <v>0</v>
      </c>
    </row>
    <row r="374" spans="1:34" ht="13.5" thickBot="1" x14ac:dyDescent="0.25">
      <c r="A374" s="1294"/>
      <c r="B374" s="1237"/>
      <c r="C374" s="1302"/>
      <c r="D374" s="1302"/>
      <c r="E374" s="1302"/>
      <c r="F374" s="1303"/>
      <c r="G374" s="1303"/>
      <c r="H374" s="1303"/>
      <c r="I374" s="1303"/>
      <c r="J374" s="1303"/>
      <c r="K374" s="1303"/>
      <c r="L374" s="1303"/>
      <c r="M374" s="1303"/>
      <c r="N374" s="1303"/>
      <c r="O374" s="1303"/>
      <c r="P374" s="1304"/>
      <c r="Q374" s="1303"/>
      <c r="R374" s="1303"/>
      <c r="S374" s="1303"/>
      <c r="T374" s="1303"/>
      <c r="U374" s="1303"/>
      <c r="V374" s="1303"/>
      <c r="W374" s="1303"/>
      <c r="X374" s="1303"/>
      <c r="Y374" s="1303"/>
      <c r="Z374" s="1303"/>
      <c r="AA374" s="1303"/>
      <c r="AB374" s="1303"/>
      <c r="AC374" s="1303"/>
      <c r="AD374" s="1303"/>
      <c r="AE374" s="1303"/>
      <c r="AF374" s="1303"/>
      <c r="AG374" s="1303"/>
      <c r="AH374" s="1207"/>
    </row>
    <row r="375" spans="1:34" x14ac:dyDescent="0.2">
      <c r="A375" s="1269"/>
      <c r="B375" s="1237"/>
      <c r="C375" s="1296"/>
      <c r="D375" s="1297"/>
      <c r="E375" s="1297"/>
      <c r="F375" s="1298"/>
      <c r="G375" s="1298"/>
      <c r="H375" s="1298"/>
      <c r="I375" s="1298"/>
      <c r="J375" s="1298"/>
      <c r="K375" s="1298"/>
      <c r="L375" s="1298"/>
      <c r="M375" s="1298"/>
      <c r="N375" s="1298"/>
      <c r="O375" s="1298"/>
      <c r="P375" s="1299"/>
      <c r="Q375" s="1298"/>
      <c r="R375" s="1298"/>
      <c r="S375" s="1298"/>
      <c r="T375" s="1298"/>
      <c r="U375" s="1298"/>
      <c r="V375" s="1298"/>
      <c r="W375" s="1298"/>
      <c r="X375" s="1298"/>
      <c r="Y375" s="1298"/>
      <c r="Z375" s="1298"/>
      <c r="AA375" s="1298"/>
      <c r="AB375" s="1298"/>
      <c r="AC375" s="1298"/>
      <c r="AD375" s="1298"/>
      <c r="AE375" s="1298"/>
      <c r="AF375" s="1298"/>
      <c r="AG375" s="1298"/>
      <c r="AH375" s="1207"/>
    </row>
    <row r="376" spans="1:34" x14ac:dyDescent="0.2">
      <c r="A376" s="1274" t="s">
        <v>13</v>
      </c>
      <c r="B376" s="1237"/>
      <c r="C376" s="1300">
        <f t="shared" ref="C376:AG376" si="40">C371-C363</f>
        <v>0</v>
      </c>
      <c r="D376" s="1300">
        <f t="shared" si="40"/>
        <v>0</v>
      </c>
      <c r="E376" s="1300">
        <f t="shared" si="40"/>
        <v>0</v>
      </c>
      <c r="F376" s="1300">
        <f t="shared" si="40"/>
        <v>0</v>
      </c>
      <c r="G376" s="1300">
        <f t="shared" si="40"/>
        <v>0</v>
      </c>
      <c r="H376" s="1300">
        <f t="shared" si="40"/>
        <v>0</v>
      </c>
      <c r="I376" s="1300">
        <f t="shared" si="40"/>
        <v>0</v>
      </c>
      <c r="J376" s="1300">
        <f t="shared" si="40"/>
        <v>0</v>
      </c>
      <c r="K376" s="1300">
        <f t="shared" si="40"/>
        <v>0</v>
      </c>
      <c r="L376" s="1300">
        <f t="shared" si="40"/>
        <v>0</v>
      </c>
      <c r="M376" s="1300">
        <f t="shared" si="40"/>
        <v>0</v>
      </c>
      <c r="N376" s="1300">
        <f t="shared" si="40"/>
        <v>0</v>
      </c>
      <c r="O376" s="1300">
        <f t="shared" si="40"/>
        <v>0</v>
      </c>
      <c r="P376" s="1301">
        <f t="shared" si="40"/>
        <v>0</v>
      </c>
      <c r="Q376" s="1300">
        <f t="shared" si="40"/>
        <v>0</v>
      </c>
      <c r="R376" s="1300">
        <f t="shared" si="40"/>
        <v>0</v>
      </c>
      <c r="S376" s="1300">
        <f t="shared" si="40"/>
        <v>0</v>
      </c>
      <c r="T376" s="1300">
        <f t="shared" si="40"/>
        <v>0</v>
      </c>
      <c r="U376" s="1300">
        <f t="shared" si="40"/>
        <v>0</v>
      </c>
      <c r="V376" s="1300">
        <f t="shared" si="40"/>
        <v>0</v>
      </c>
      <c r="W376" s="1300">
        <f t="shared" si="40"/>
        <v>0</v>
      </c>
      <c r="X376" s="1300">
        <f t="shared" si="40"/>
        <v>-16300</v>
      </c>
      <c r="Y376" s="1300">
        <f t="shared" si="40"/>
        <v>-7500</v>
      </c>
      <c r="Z376" s="1300">
        <f t="shared" si="40"/>
        <v>0</v>
      </c>
      <c r="AA376" s="1300">
        <f t="shared" si="40"/>
        <v>-16350</v>
      </c>
      <c r="AB376" s="1300">
        <f t="shared" si="40"/>
        <v>0</v>
      </c>
      <c r="AC376" s="1300">
        <f t="shared" si="40"/>
        <v>0</v>
      </c>
      <c r="AD376" s="1300">
        <f t="shared" si="40"/>
        <v>-24000</v>
      </c>
      <c r="AE376" s="1300">
        <f t="shared" si="40"/>
        <v>0</v>
      </c>
      <c r="AF376" s="1300">
        <f t="shared" si="40"/>
        <v>-22961.126</v>
      </c>
      <c r="AG376" s="1300">
        <f t="shared" si="40"/>
        <v>0</v>
      </c>
      <c r="AH376" s="1207"/>
    </row>
    <row r="377" spans="1:34" ht="13.5" thickBot="1" x14ac:dyDescent="0.25">
      <c r="A377" s="1274"/>
      <c r="B377" s="1237"/>
      <c r="C377" s="1300"/>
      <c r="D377" s="1302"/>
      <c r="E377" s="1302"/>
      <c r="F377" s="1303"/>
      <c r="G377" s="1303"/>
      <c r="H377" s="1303"/>
      <c r="I377" s="1303"/>
      <c r="J377" s="1303"/>
      <c r="K377" s="1303"/>
      <c r="L377" s="1303"/>
      <c r="M377" s="1303"/>
      <c r="N377" s="1303"/>
      <c r="O377" s="1303"/>
      <c r="P377" s="1304"/>
      <c r="Q377" s="1303"/>
      <c r="R377" s="1303"/>
      <c r="S377" s="1303"/>
      <c r="T377" s="1303"/>
      <c r="U377" s="1303"/>
      <c r="V377" s="1303"/>
      <c r="W377" s="1303"/>
      <c r="X377" s="1303"/>
      <c r="Y377" s="1303"/>
      <c r="Z377" s="1303"/>
      <c r="AA377" s="1303"/>
      <c r="AB377" s="1303"/>
      <c r="AC377" s="1303"/>
      <c r="AD377" s="1303"/>
      <c r="AE377" s="1303"/>
      <c r="AF377" s="1303"/>
      <c r="AG377" s="1303"/>
      <c r="AH377" s="1207"/>
    </row>
    <row r="378" spans="1:34" x14ac:dyDescent="0.2">
      <c r="A378" s="1233"/>
      <c r="B378" s="1234"/>
      <c r="C378" s="1305"/>
      <c r="D378" s="1297"/>
      <c r="E378" s="1297"/>
      <c r="F378" s="1298"/>
      <c r="G378" s="1298"/>
      <c r="H378" s="1298"/>
      <c r="I378" s="1298"/>
      <c r="J378" s="1298"/>
      <c r="K378" s="1298"/>
      <c r="L378" s="1298"/>
      <c r="M378" s="1298"/>
      <c r="N378" s="1298"/>
      <c r="O378" s="1298"/>
      <c r="P378" s="1299"/>
      <c r="Q378" s="1298"/>
      <c r="R378" s="1298"/>
      <c r="S378" s="1298"/>
      <c r="T378" s="1298"/>
      <c r="U378" s="1298"/>
      <c r="V378" s="1298"/>
      <c r="W378" s="1298"/>
      <c r="X378" s="1298"/>
      <c r="Y378" s="1298"/>
      <c r="Z378" s="1298"/>
      <c r="AA378" s="1298"/>
      <c r="AB378" s="1298"/>
      <c r="AC378" s="1298"/>
      <c r="AD378" s="1298"/>
      <c r="AE378" s="1298"/>
      <c r="AF378" s="1298"/>
      <c r="AG378" s="1298"/>
      <c r="AH378" s="1207"/>
    </row>
    <row r="379" spans="1:34" x14ac:dyDescent="0.2">
      <c r="A379" s="1236" t="s">
        <v>15</v>
      </c>
      <c r="B379" s="1237"/>
      <c r="C379" s="1302">
        <f>B360+C376</f>
        <v>0</v>
      </c>
      <c r="D379" s="1302">
        <f t="shared" ref="D379" si="41">C386+D376</f>
        <v>0</v>
      </c>
      <c r="E379" s="1302">
        <f t="shared" ref="E379" si="42">D386+E376</f>
        <v>0</v>
      </c>
      <c r="F379" s="1302">
        <f t="shared" ref="F379" si="43">E386+F376</f>
        <v>0</v>
      </c>
      <c r="G379" s="1302">
        <f t="shared" ref="G379" si="44">F386+G376</f>
        <v>0</v>
      </c>
      <c r="H379" s="1302">
        <f t="shared" ref="H379" si="45">G386+H376</f>
        <v>0</v>
      </c>
      <c r="I379" s="1302">
        <f t="shared" ref="I379" si="46">H386+I376</f>
        <v>0</v>
      </c>
      <c r="J379" s="1302">
        <f t="shared" ref="J379" si="47">I386+J376</f>
        <v>0</v>
      </c>
      <c r="K379" s="1302">
        <f t="shared" ref="K379" si="48">J386+K376</f>
        <v>0</v>
      </c>
      <c r="L379" s="1302">
        <f t="shared" ref="L379" si="49">K386+L376</f>
        <v>0</v>
      </c>
      <c r="M379" s="1302">
        <f t="shared" ref="M379" si="50">L386+M376</f>
        <v>0</v>
      </c>
      <c r="N379" s="1302">
        <f t="shared" ref="N379" si="51">M386+N376</f>
        <v>0</v>
      </c>
      <c r="O379" s="1302">
        <f t="shared" ref="O379" si="52">N386+O376</f>
        <v>0</v>
      </c>
      <c r="P379" s="1306">
        <f t="shared" ref="P379" si="53">O386+P376</f>
        <v>0</v>
      </c>
      <c r="Q379" s="1302">
        <f t="shared" ref="Q379" si="54">P386+Q376</f>
        <v>0</v>
      </c>
      <c r="R379" s="1302">
        <f t="shared" ref="R379" si="55">Q386+R376</f>
        <v>0</v>
      </c>
      <c r="S379" s="1302">
        <f t="shared" ref="S379" si="56">R386+S376</f>
        <v>0</v>
      </c>
      <c r="T379" s="1302">
        <f t="shared" ref="T379" si="57">S386+T376</f>
        <v>0</v>
      </c>
      <c r="U379" s="1302">
        <f t="shared" ref="U379" si="58">T386+U376</f>
        <v>0</v>
      </c>
      <c r="V379" s="1302">
        <f t="shared" ref="V379" si="59">U386+V376</f>
        <v>0</v>
      </c>
      <c r="W379" s="1302">
        <f t="shared" ref="W379" si="60">V386+W376</f>
        <v>0</v>
      </c>
      <c r="X379" s="1302">
        <f t="shared" ref="X379" si="61">W386+X376</f>
        <v>-16300</v>
      </c>
      <c r="Y379" s="1302">
        <f t="shared" ref="Y379" si="62">X386+Y376</f>
        <v>-23800</v>
      </c>
      <c r="Z379" s="1302">
        <f t="shared" ref="Z379" si="63">Y386+Z376</f>
        <v>-23800</v>
      </c>
      <c r="AA379" s="1302">
        <f t="shared" ref="AA379" si="64">Z386+AA376</f>
        <v>-40150</v>
      </c>
      <c r="AB379" s="1302">
        <f t="shared" ref="AB379" si="65">AA386+AB376</f>
        <v>-40150</v>
      </c>
      <c r="AC379" s="1302">
        <f t="shared" ref="AC379" si="66">AB386+AC376</f>
        <v>-40150</v>
      </c>
      <c r="AD379" s="1302">
        <f t="shared" ref="AD379" si="67">AC386+AD376</f>
        <v>-64150</v>
      </c>
      <c r="AE379" s="1302">
        <f t="shared" ref="AE379" si="68">AD386+AE376</f>
        <v>-64150</v>
      </c>
      <c r="AF379" s="1302">
        <f t="shared" ref="AF379" si="69">AE386+AF376</f>
        <v>-87111.126000000004</v>
      </c>
      <c r="AG379" s="1302">
        <f t="shared" ref="AG379" si="70">AF386+AG376</f>
        <v>-87111.126000000004</v>
      </c>
      <c r="AH379" s="1207"/>
    </row>
    <row r="380" spans="1:34" ht="13.5" thickBot="1" x14ac:dyDescent="0.25">
      <c r="A380" s="1250"/>
      <c r="B380" s="1307"/>
      <c r="C380" s="1308"/>
      <c r="D380" s="1308"/>
      <c r="E380" s="1308"/>
      <c r="F380" s="1309"/>
      <c r="G380" s="1309"/>
      <c r="H380" s="1309"/>
      <c r="I380" s="1309"/>
      <c r="J380" s="1309"/>
      <c r="K380" s="1309"/>
      <c r="L380" s="1309"/>
      <c r="M380" s="1309"/>
      <c r="N380" s="1309"/>
      <c r="O380" s="1309"/>
      <c r="P380" s="1310"/>
      <c r="Q380" s="1309"/>
      <c r="R380" s="1309"/>
      <c r="S380" s="1309"/>
      <c r="T380" s="1309"/>
      <c r="U380" s="1309"/>
      <c r="V380" s="1309"/>
      <c r="W380" s="1309"/>
      <c r="X380" s="1309"/>
      <c r="Y380" s="1309"/>
      <c r="Z380" s="1309"/>
      <c r="AA380" s="1309"/>
      <c r="AB380" s="1309"/>
      <c r="AC380" s="1309"/>
      <c r="AD380" s="1309"/>
      <c r="AE380" s="1309"/>
      <c r="AF380" s="1309"/>
      <c r="AG380" s="1309"/>
      <c r="AH380" s="1207"/>
    </row>
    <row r="381" spans="1:34" x14ac:dyDescent="0.2">
      <c r="A381" s="1233"/>
      <c r="B381" s="1234"/>
      <c r="C381" s="1297"/>
      <c r="D381" s="1297"/>
      <c r="E381" s="1297"/>
      <c r="F381" s="1298"/>
      <c r="G381" s="1298"/>
      <c r="H381" s="1298"/>
      <c r="I381" s="1298"/>
      <c r="J381" s="1298"/>
      <c r="K381" s="1298"/>
      <c r="L381" s="1298"/>
      <c r="M381" s="1298"/>
      <c r="N381" s="1298"/>
      <c r="O381" s="1298"/>
      <c r="P381" s="1299"/>
      <c r="Q381" s="1298"/>
      <c r="R381" s="1298"/>
      <c r="S381" s="1298"/>
      <c r="T381" s="1298"/>
      <c r="U381" s="1298"/>
      <c r="V381" s="1298"/>
      <c r="W381" s="1298"/>
      <c r="X381" s="1298"/>
      <c r="Y381" s="1298"/>
      <c r="Z381" s="1298"/>
      <c r="AA381" s="1298"/>
      <c r="AB381" s="1298"/>
      <c r="AC381" s="1298"/>
      <c r="AD381" s="1298"/>
      <c r="AE381" s="1298"/>
      <c r="AF381" s="1298"/>
      <c r="AG381" s="1298"/>
      <c r="AH381" s="1207"/>
    </row>
    <row r="382" spans="1:34" x14ac:dyDescent="0.2">
      <c r="A382" s="1236" t="s">
        <v>82</v>
      </c>
      <c r="B382" s="1237"/>
      <c r="C382" s="1302">
        <f t="shared" ref="C382:AG382" si="71">C390</f>
        <v>0</v>
      </c>
      <c r="D382" s="1302">
        <f t="shared" si="71"/>
        <v>0</v>
      </c>
      <c r="E382" s="1302">
        <f t="shared" si="71"/>
        <v>0</v>
      </c>
      <c r="F382" s="1302">
        <f t="shared" si="71"/>
        <v>0</v>
      </c>
      <c r="G382" s="1302">
        <f t="shared" si="71"/>
        <v>0</v>
      </c>
      <c r="H382" s="1302">
        <f t="shared" si="71"/>
        <v>0</v>
      </c>
      <c r="I382" s="1302">
        <f t="shared" si="71"/>
        <v>0</v>
      </c>
      <c r="J382" s="1302">
        <f t="shared" si="71"/>
        <v>0</v>
      </c>
      <c r="K382" s="1302">
        <f t="shared" si="71"/>
        <v>0</v>
      </c>
      <c r="L382" s="1302">
        <f t="shared" si="71"/>
        <v>0</v>
      </c>
      <c r="M382" s="1302">
        <f t="shared" si="71"/>
        <v>0</v>
      </c>
      <c r="N382" s="1302">
        <f t="shared" si="71"/>
        <v>0</v>
      </c>
      <c r="O382" s="1302">
        <f t="shared" si="71"/>
        <v>0</v>
      </c>
      <c r="P382" s="1306">
        <f t="shared" si="71"/>
        <v>0</v>
      </c>
      <c r="Q382" s="1302">
        <f t="shared" si="71"/>
        <v>0</v>
      </c>
      <c r="R382" s="1302">
        <f t="shared" si="71"/>
        <v>0</v>
      </c>
      <c r="S382" s="1302">
        <f t="shared" si="71"/>
        <v>0</v>
      </c>
      <c r="T382" s="1302">
        <f t="shared" si="71"/>
        <v>0</v>
      </c>
      <c r="U382" s="1302">
        <f t="shared" si="71"/>
        <v>0</v>
      </c>
      <c r="V382" s="1302">
        <f t="shared" si="71"/>
        <v>0</v>
      </c>
      <c r="W382" s="1302">
        <f t="shared" si="71"/>
        <v>0</v>
      </c>
      <c r="X382" s="1302">
        <f t="shared" si="71"/>
        <v>0</v>
      </c>
      <c r="Y382" s="1302">
        <f t="shared" si="71"/>
        <v>0</v>
      </c>
      <c r="Z382" s="1302">
        <f t="shared" si="71"/>
        <v>0</v>
      </c>
      <c r="AA382" s="1302">
        <f t="shared" si="71"/>
        <v>0</v>
      </c>
      <c r="AB382" s="1302">
        <f t="shared" si="71"/>
        <v>0</v>
      </c>
      <c r="AC382" s="1302">
        <f t="shared" si="71"/>
        <v>0</v>
      </c>
      <c r="AD382" s="1302">
        <f t="shared" si="71"/>
        <v>0</v>
      </c>
      <c r="AE382" s="1302">
        <f t="shared" si="71"/>
        <v>0</v>
      </c>
      <c r="AF382" s="1302">
        <f t="shared" si="71"/>
        <v>0</v>
      </c>
      <c r="AG382" s="1302">
        <f t="shared" si="71"/>
        <v>0</v>
      </c>
      <c r="AH382" s="1207"/>
    </row>
    <row r="383" spans="1:34" x14ac:dyDescent="0.2">
      <c r="A383" s="1236" t="s">
        <v>83</v>
      </c>
      <c r="B383" s="1237"/>
      <c r="C383" s="1306">
        <f t="shared" ref="C383:AG383" si="72">C391</f>
        <v>0</v>
      </c>
      <c r="D383" s="1306">
        <f t="shared" si="72"/>
        <v>0</v>
      </c>
      <c r="E383" s="1306">
        <f t="shared" si="72"/>
        <v>0</v>
      </c>
      <c r="F383" s="1306">
        <f t="shared" si="72"/>
        <v>0</v>
      </c>
      <c r="G383" s="1306">
        <f t="shared" si="72"/>
        <v>0</v>
      </c>
      <c r="H383" s="1306">
        <f t="shared" si="72"/>
        <v>0</v>
      </c>
      <c r="I383" s="1306">
        <f t="shared" si="72"/>
        <v>0</v>
      </c>
      <c r="J383" s="1306">
        <f t="shared" si="72"/>
        <v>0</v>
      </c>
      <c r="K383" s="1306">
        <f t="shared" si="72"/>
        <v>0</v>
      </c>
      <c r="L383" s="1306">
        <f t="shared" si="72"/>
        <v>0</v>
      </c>
      <c r="M383" s="1306">
        <f t="shared" si="72"/>
        <v>0</v>
      </c>
      <c r="N383" s="1306">
        <f t="shared" si="72"/>
        <v>0</v>
      </c>
      <c r="O383" s="1306">
        <f t="shared" si="72"/>
        <v>0</v>
      </c>
      <c r="P383" s="1306">
        <f t="shared" si="72"/>
        <v>0</v>
      </c>
      <c r="Q383" s="1306">
        <f t="shared" si="72"/>
        <v>0</v>
      </c>
      <c r="R383" s="1306">
        <f t="shared" si="72"/>
        <v>0</v>
      </c>
      <c r="S383" s="1306">
        <f t="shared" si="72"/>
        <v>0</v>
      </c>
      <c r="T383" s="1306">
        <f t="shared" si="72"/>
        <v>0</v>
      </c>
      <c r="U383" s="1306">
        <f t="shared" si="72"/>
        <v>0</v>
      </c>
      <c r="V383" s="1306">
        <f t="shared" si="72"/>
        <v>0</v>
      </c>
      <c r="W383" s="1306">
        <f t="shared" si="72"/>
        <v>0</v>
      </c>
      <c r="X383" s="1306">
        <f t="shared" si="72"/>
        <v>0</v>
      </c>
      <c r="Y383" s="1306">
        <f t="shared" si="72"/>
        <v>0</v>
      </c>
      <c r="Z383" s="1306">
        <f t="shared" si="72"/>
        <v>0</v>
      </c>
      <c r="AA383" s="1306">
        <f t="shared" si="72"/>
        <v>0</v>
      </c>
      <c r="AB383" s="1306">
        <f t="shared" si="72"/>
        <v>0</v>
      </c>
      <c r="AC383" s="1306">
        <f t="shared" si="72"/>
        <v>0</v>
      </c>
      <c r="AD383" s="1306">
        <f t="shared" si="72"/>
        <v>0</v>
      </c>
      <c r="AE383" s="1306">
        <f t="shared" si="72"/>
        <v>0</v>
      </c>
      <c r="AF383" s="1306">
        <f t="shared" si="72"/>
        <v>0</v>
      </c>
      <c r="AG383" s="1306">
        <f t="shared" si="72"/>
        <v>0</v>
      </c>
      <c r="AH383" s="1207"/>
    </row>
    <row r="384" spans="1:34" ht="13.5" thickBot="1" x14ac:dyDescent="0.25">
      <c r="A384" s="1250"/>
      <c r="B384" s="1307"/>
      <c r="C384" s="1308"/>
      <c r="D384" s="1308"/>
      <c r="E384" s="1308"/>
      <c r="F384" s="1309"/>
      <c r="G384" s="1309"/>
      <c r="H384" s="1309"/>
      <c r="I384" s="1309"/>
      <c r="J384" s="1309"/>
      <c r="K384" s="1309"/>
      <c r="L384" s="1309"/>
      <c r="M384" s="1309"/>
      <c r="N384" s="1309"/>
      <c r="O384" s="1309"/>
      <c r="P384" s="1310"/>
      <c r="Q384" s="1309"/>
      <c r="R384" s="1309"/>
      <c r="S384" s="1309"/>
      <c r="T384" s="1309"/>
      <c r="U384" s="1309"/>
      <c r="V384" s="1309"/>
      <c r="W384" s="1309"/>
      <c r="X384" s="1309"/>
      <c r="Y384" s="1309"/>
      <c r="Z384" s="1309"/>
      <c r="AA384" s="1309"/>
      <c r="AB384" s="1309"/>
      <c r="AC384" s="1309"/>
      <c r="AD384" s="1309"/>
      <c r="AE384" s="1309"/>
      <c r="AF384" s="1309"/>
      <c r="AG384" s="1309"/>
      <c r="AH384" s="1207"/>
    </row>
    <row r="385" spans="1:34" x14ac:dyDescent="0.2">
      <c r="A385" s="1236"/>
      <c r="B385" s="1237"/>
      <c r="C385" s="1302"/>
      <c r="D385" s="1302"/>
      <c r="E385" s="1302"/>
      <c r="F385" s="1303"/>
      <c r="G385" s="1303"/>
      <c r="H385" s="1303"/>
      <c r="I385" s="1303"/>
      <c r="J385" s="1303"/>
      <c r="K385" s="1303"/>
      <c r="L385" s="1303"/>
      <c r="M385" s="1303"/>
      <c r="N385" s="1303"/>
      <c r="O385" s="1303"/>
      <c r="P385" s="1304"/>
      <c r="Q385" s="1303"/>
      <c r="R385" s="1303"/>
      <c r="S385" s="1303"/>
      <c r="T385" s="1303"/>
      <c r="U385" s="1303"/>
      <c r="V385" s="1303"/>
      <c r="W385" s="1303"/>
      <c r="X385" s="1303"/>
      <c r="Y385" s="1303"/>
      <c r="Z385" s="1303"/>
      <c r="AA385" s="1303"/>
      <c r="AB385" s="1303"/>
      <c r="AC385" s="1303"/>
      <c r="AD385" s="1303"/>
      <c r="AE385" s="1303"/>
      <c r="AF385" s="1303"/>
      <c r="AG385" s="1303"/>
      <c r="AH385" s="1207"/>
    </row>
    <row r="386" spans="1:34" x14ac:dyDescent="0.2">
      <c r="A386" s="1236" t="s">
        <v>14</v>
      </c>
      <c r="B386" s="1237"/>
      <c r="C386" s="1302">
        <f t="shared" ref="C386:AG386" si="73">C379+C382+C383</f>
        <v>0</v>
      </c>
      <c r="D386" s="1302">
        <f t="shared" si="73"/>
        <v>0</v>
      </c>
      <c r="E386" s="1302">
        <f t="shared" si="73"/>
        <v>0</v>
      </c>
      <c r="F386" s="1302">
        <f t="shared" si="73"/>
        <v>0</v>
      </c>
      <c r="G386" s="1302">
        <f t="shared" si="73"/>
        <v>0</v>
      </c>
      <c r="H386" s="1302">
        <f t="shared" si="73"/>
        <v>0</v>
      </c>
      <c r="I386" s="1302">
        <f t="shared" si="73"/>
        <v>0</v>
      </c>
      <c r="J386" s="1302">
        <f t="shared" si="73"/>
        <v>0</v>
      </c>
      <c r="K386" s="1302">
        <f t="shared" si="73"/>
        <v>0</v>
      </c>
      <c r="L386" s="1302">
        <f t="shared" si="73"/>
        <v>0</v>
      </c>
      <c r="M386" s="1302">
        <f t="shared" si="73"/>
        <v>0</v>
      </c>
      <c r="N386" s="1302">
        <f t="shared" si="73"/>
        <v>0</v>
      </c>
      <c r="O386" s="1302">
        <f t="shared" si="73"/>
        <v>0</v>
      </c>
      <c r="P386" s="1306">
        <f t="shared" si="73"/>
        <v>0</v>
      </c>
      <c r="Q386" s="1302">
        <f t="shared" si="73"/>
        <v>0</v>
      </c>
      <c r="R386" s="1302">
        <f t="shared" si="73"/>
        <v>0</v>
      </c>
      <c r="S386" s="1302">
        <f t="shared" si="73"/>
        <v>0</v>
      </c>
      <c r="T386" s="1302">
        <f t="shared" si="73"/>
        <v>0</v>
      </c>
      <c r="U386" s="1302">
        <f t="shared" si="73"/>
        <v>0</v>
      </c>
      <c r="V386" s="1302">
        <f t="shared" si="73"/>
        <v>0</v>
      </c>
      <c r="W386" s="1302">
        <f t="shared" si="73"/>
        <v>0</v>
      </c>
      <c r="X386" s="1302">
        <f t="shared" si="73"/>
        <v>-16300</v>
      </c>
      <c r="Y386" s="1302">
        <f t="shared" si="73"/>
        <v>-23800</v>
      </c>
      <c r="Z386" s="1302">
        <f t="shared" si="73"/>
        <v>-23800</v>
      </c>
      <c r="AA386" s="1302">
        <f t="shared" si="73"/>
        <v>-40150</v>
      </c>
      <c r="AB386" s="1302">
        <f t="shared" si="73"/>
        <v>-40150</v>
      </c>
      <c r="AC386" s="1302">
        <f t="shared" si="73"/>
        <v>-40150</v>
      </c>
      <c r="AD386" s="1302">
        <f t="shared" si="73"/>
        <v>-64150</v>
      </c>
      <c r="AE386" s="1302">
        <f t="shared" si="73"/>
        <v>-64150</v>
      </c>
      <c r="AF386" s="1302">
        <f t="shared" si="73"/>
        <v>-87111.126000000004</v>
      </c>
      <c r="AG386" s="1302">
        <f t="shared" si="73"/>
        <v>-87111.126000000004</v>
      </c>
      <c r="AH386" s="1207"/>
    </row>
    <row r="387" spans="1:34" x14ac:dyDescent="0.2">
      <c r="A387" s="1236"/>
      <c r="B387" s="1237"/>
      <c r="C387" s="1302"/>
      <c r="D387" s="1302"/>
      <c r="E387" s="1302"/>
      <c r="F387" s="1303"/>
      <c r="G387" s="1303"/>
      <c r="H387" s="1303"/>
      <c r="I387" s="1303"/>
      <c r="J387" s="1303"/>
      <c r="K387" s="1303"/>
      <c r="L387" s="1303"/>
      <c r="M387" s="1303"/>
      <c r="N387" s="1303"/>
      <c r="O387" s="1303"/>
      <c r="P387" s="1304"/>
      <c r="Q387" s="1303"/>
      <c r="R387" s="1303"/>
      <c r="S387" s="1303"/>
      <c r="T387" s="1303"/>
      <c r="U387" s="1303"/>
      <c r="V387" s="1303"/>
      <c r="W387" s="1303"/>
      <c r="X387" s="1303"/>
      <c r="Y387" s="1303"/>
      <c r="Z387" s="1303"/>
      <c r="AA387" s="1303"/>
      <c r="AB387" s="1303"/>
      <c r="AC387" s="1303"/>
      <c r="AD387" s="1303"/>
      <c r="AE387" s="1303"/>
      <c r="AF387" s="1303"/>
      <c r="AG387" s="1303"/>
      <c r="AH387" s="1207"/>
    </row>
    <row r="388" spans="1:34" ht="13.5" thickBot="1" x14ac:dyDescent="0.25">
      <c r="A388" s="1250"/>
      <c r="B388" s="1307"/>
      <c r="C388" s="1312"/>
      <c r="D388" s="1312"/>
      <c r="E388" s="1312"/>
      <c r="F388" s="1313"/>
      <c r="G388" s="1313"/>
      <c r="H388" s="1313"/>
      <c r="I388" s="1313"/>
      <c r="J388" s="1313"/>
      <c r="K388" s="1313"/>
      <c r="L388" s="1313"/>
      <c r="M388" s="1313"/>
      <c r="N388" s="1313"/>
      <c r="O388" s="1313"/>
      <c r="P388" s="1314"/>
      <c r="Q388" s="1313"/>
      <c r="R388" s="1313"/>
      <c r="S388" s="1313"/>
      <c r="T388" s="1313"/>
      <c r="U388" s="1313"/>
      <c r="V388" s="1313"/>
      <c r="W388" s="1313"/>
      <c r="X388" s="1313"/>
      <c r="Y388" s="1313"/>
      <c r="Z388" s="1313"/>
      <c r="AA388" s="1313"/>
      <c r="AB388" s="1313"/>
      <c r="AC388" s="1313"/>
      <c r="AD388" s="1313"/>
      <c r="AE388" s="1313"/>
      <c r="AF388" s="1313"/>
      <c r="AG388" s="1313"/>
      <c r="AH388" s="1207"/>
    </row>
    <row r="389" spans="1:34" x14ac:dyDescent="0.2">
      <c r="A389" s="1316"/>
      <c r="B389" s="1207"/>
      <c r="C389" s="1227"/>
      <c r="D389" s="1227"/>
      <c r="E389" s="1227"/>
      <c r="F389" s="1227"/>
      <c r="G389" s="1227"/>
      <c r="H389" s="1227"/>
      <c r="I389" s="1227"/>
      <c r="J389" s="1227"/>
      <c r="K389" s="1227"/>
      <c r="L389" s="1227"/>
      <c r="M389" s="1227"/>
      <c r="N389" s="1227"/>
      <c r="O389" s="1227"/>
      <c r="P389" s="1229"/>
      <c r="Q389" s="1227"/>
      <c r="R389" s="1227"/>
      <c r="S389" s="1227"/>
      <c r="T389" s="1227"/>
      <c r="U389" s="1227"/>
      <c r="V389" s="1227"/>
      <c r="W389" s="1227"/>
      <c r="X389" s="1227"/>
      <c r="Y389" s="1227"/>
      <c r="Z389" s="1227"/>
      <c r="AA389" s="1227"/>
      <c r="AB389" s="1227"/>
      <c r="AC389" s="1227"/>
      <c r="AD389" s="1227"/>
      <c r="AE389" s="1227"/>
      <c r="AF389" s="1227"/>
      <c r="AG389" s="1227"/>
      <c r="AH389" s="1227">
        <f>SUM(C389:AG389)</f>
        <v>0</v>
      </c>
    </row>
    <row r="390" spans="1:34" x14ac:dyDescent="0.2">
      <c r="A390" s="1344"/>
      <c r="B390" s="1383"/>
      <c r="C390" s="1219"/>
      <c r="D390" s="1221"/>
      <c r="E390" s="1356"/>
      <c r="F390" s="1219"/>
      <c r="G390" s="1219"/>
      <c r="H390" s="1220"/>
      <c r="I390" s="1219"/>
      <c r="J390" s="1219"/>
      <c r="K390" s="1219"/>
      <c r="L390" s="1219"/>
      <c r="M390" s="1220"/>
      <c r="N390" s="1220"/>
      <c r="O390" s="1220">
        <f>10913.984-7466.84-3447.144</f>
        <v>0</v>
      </c>
      <c r="P390" s="1221"/>
      <c r="Q390" s="1219"/>
      <c r="R390" s="1219"/>
      <c r="S390" s="1219"/>
      <c r="T390" s="1219"/>
      <c r="U390" s="1219"/>
      <c r="V390" s="1219"/>
      <c r="W390" s="1220"/>
      <c r="X390" s="1220"/>
      <c r="Y390" s="1220"/>
      <c r="Z390" s="1220"/>
      <c r="AA390" s="1220"/>
      <c r="AB390" s="1220"/>
      <c r="AC390" s="1220"/>
      <c r="AD390" s="1221"/>
      <c r="AE390" s="1219"/>
      <c r="AF390" s="1219"/>
      <c r="AG390" s="1219"/>
      <c r="AH390" s="1227"/>
    </row>
    <row r="391" spans="1:34" x14ac:dyDescent="0.2">
      <c r="A391" s="1207"/>
      <c r="B391" s="1207"/>
      <c r="C391" s="1207"/>
      <c r="D391" s="1207"/>
      <c r="E391" s="1347"/>
      <c r="F391" s="1207"/>
      <c r="G391" s="1207"/>
      <c r="H391" s="1207"/>
      <c r="I391" s="1207"/>
      <c r="J391" s="1207"/>
      <c r="K391" s="1207"/>
      <c r="L391" s="1207"/>
      <c r="M391" s="1207"/>
      <c r="N391" s="1207"/>
      <c r="O391" s="1207"/>
      <c r="P391" s="1208"/>
      <c r="Q391" s="1207"/>
      <c r="R391" s="1207"/>
      <c r="S391" s="1207"/>
      <c r="T391" s="1207"/>
      <c r="U391" s="1207"/>
      <c r="V391" s="1207"/>
      <c r="W391" s="1207"/>
      <c r="X391" s="1207"/>
      <c r="Y391" s="1207"/>
      <c r="Z391" s="1207"/>
      <c r="AA391" s="1207"/>
      <c r="AB391" s="1207"/>
      <c r="AC391" s="1207"/>
      <c r="AD391" s="1207"/>
      <c r="AE391" s="1207"/>
      <c r="AF391" s="1207"/>
      <c r="AG391" s="1207"/>
      <c r="AH391" s="1227"/>
    </row>
    <row r="392" spans="1:34" x14ac:dyDescent="0.2">
      <c r="A392" s="1210" t="s">
        <v>415</v>
      </c>
      <c r="B392" s="1215">
        <f>B393+B394+B396+B395</f>
        <v>1020000</v>
      </c>
      <c r="C392" s="1367"/>
      <c r="D392" s="1207"/>
      <c r="E392" s="1207"/>
      <c r="F392" s="1207"/>
      <c r="G392" s="1207"/>
      <c r="H392" s="1207"/>
      <c r="I392" s="1207"/>
      <c r="J392" s="1207"/>
      <c r="K392" s="1207"/>
      <c r="L392" s="1207"/>
      <c r="M392" s="1207"/>
      <c r="N392" s="1207"/>
      <c r="O392" s="1207"/>
      <c r="P392" s="1208"/>
      <c r="Q392" s="1207"/>
      <c r="R392" s="1207"/>
      <c r="S392" s="1207"/>
      <c r="T392" s="1207"/>
      <c r="U392" s="1401"/>
      <c r="V392" s="1220"/>
      <c r="W392" s="1227"/>
      <c r="X392" s="1207"/>
      <c r="Y392" s="1207"/>
      <c r="Z392" s="1207"/>
      <c r="AA392" s="1384"/>
      <c r="AB392" s="1207"/>
      <c r="AC392" s="1207"/>
      <c r="AD392" s="1207"/>
      <c r="AE392" s="1207"/>
      <c r="AF392" s="1207"/>
      <c r="AG392" s="1207"/>
      <c r="AH392" s="1207"/>
    </row>
    <row r="393" spans="1:34" x14ac:dyDescent="0.2">
      <c r="A393" s="1365" t="s">
        <v>414</v>
      </c>
      <c r="B393" s="1219">
        <v>20000</v>
      </c>
      <c r="C393" s="1207"/>
      <c r="D393" s="1207"/>
      <c r="E393" s="1227"/>
      <c r="F393" s="1207"/>
      <c r="G393" s="1207"/>
      <c r="H393" s="1207"/>
      <c r="I393" s="1207"/>
      <c r="J393" s="1207"/>
      <c r="K393" s="1207"/>
      <c r="L393" s="1207"/>
      <c r="M393" s="1207"/>
      <c r="N393" s="1207"/>
      <c r="O393" s="1207"/>
      <c r="P393" s="1208"/>
      <c r="Q393" s="1207"/>
      <c r="R393" s="1207"/>
      <c r="S393" s="1207"/>
      <c r="T393" s="1207"/>
      <c r="U393" s="1230"/>
      <c r="V393" s="1230"/>
      <c r="W393" s="1207"/>
      <c r="X393" s="1207"/>
      <c r="Y393" s="1207"/>
      <c r="Z393" s="1207"/>
      <c r="AA393" s="1207"/>
      <c r="AB393" s="1207"/>
      <c r="AC393" s="1227"/>
      <c r="AD393" s="1227"/>
      <c r="AE393" s="1207"/>
      <c r="AF393" s="1207"/>
      <c r="AG393" s="1207"/>
      <c r="AH393" s="1207"/>
    </row>
    <row r="394" spans="1:34" x14ac:dyDescent="0.2">
      <c r="A394" s="1365" t="s">
        <v>287</v>
      </c>
      <c r="B394" s="1219">
        <v>600000</v>
      </c>
      <c r="C394" s="1207"/>
      <c r="D394" s="1207"/>
      <c r="E394" s="1207"/>
      <c r="F394" s="1207"/>
      <c r="G394" s="1207"/>
      <c r="H394" s="1207"/>
      <c r="I394" s="1207"/>
      <c r="J394" s="1207"/>
      <c r="K394" s="1227"/>
      <c r="L394" s="1207"/>
      <c r="M394" s="1207"/>
      <c r="N394" s="1207"/>
      <c r="O394" s="1207"/>
      <c r="P394" s="1208"/>
      <c r="Q394" s="1207"/>
      <c r="R394" s="1207"/>
      <c r="S394" s="1207"/>
      <c r="T394" s="1207"/>
      <c r="U394" s="1402"/>
      <c r="V394" s="1230"/>
      <c r="W394" s="1207"/>
      <c r="X394" s="1227"/>
      <c r="Y394" s="1207"/>
      <c r="Z394" s="1207"/>
      <c r="AA394" s="1207"/>
      <c r="AB394" s="1207"/>
      <c r="AC394" s="1207"/>
      <c r="AD394" s="1207"/>
      <c r="AE394" s="1207"/>
      <c r="AF394" s="1207"/>
      <c r="AG394" s="1207"/>
    </row>
    <row r="395" spans="1:34" x14ac:dyDescent="0.2">
      <c r="A395" s="1316" t="s">
        <v>413</v>
      </c>
      <c r="B395" s="1219">
        <v>200000</v>
      </c>
      <c r="C395" s="1207"/>
      <c r="D395" s="1207"/>
      <c r="E395" s="1207"/>
      <c r="F395" s="1207"/>
      <c r="G395" s="1207"/>
      <c r="H395" s="1207"/>
      <c r="I395" s="1207"/>
      <c r="J395" s="1207"/>
      <c r="K395" s="1207"/>
      <c r="L395" s="1207"/>
      <c r="M395" s="1207"/>
      <c r="N395" s="1207"/>
      <c r="O395" s="1207"/>
      <c r="P395" s="1208"/>
      <c r="Q395" s="1207"/>
      <c r="R395" s="1207"/>
      <c r="S395" s="1207"/>
      <c r="T395" s="1207"/>
      <c r="U395" s="1207"/>
      <c r="V395" s="1207"/>
      <c r="W395" s="1207"/>
      <c r="X395" s="1207"/>
      <c r="Y395" s="1207"/>
      <c r="Z395" s="1207"/>
      <c r="AA395" s="1207"/>
      <c r="AB395" s="1207"/>
      <c r="AC395" s="1207"/>
      <c r="AD395" s="1207"/>
      <c r="AE395" s="1207"/>
      <c r="AF395" s="1207"/>
      <c r="AG395" s="1207"/>
    </row>
    <row r="396" spans="1:34" x14ac:dyDescent="0.2">
      <c r="A396" s="1316" t="s">
        <v>441</v>
      </c>
      <c r="B396" s="1219">
        <v>200000</v>
      </c>
      <c r="C396" s="1207"/>
      <c r="D396" s="1207"/>
      <c r="E396" s="1207"/>
      <c r="F396" s="1207"/>
      <c r="G396" s="1207"/>
      <c r="H396" s="1207"/>
      <c r="I396" s="1207"/>
      <c r="J396" s="1207"/>
      <c r="K396" s="1207"/>
      <c r="L396" s="1207"/>
      <c r="M396" s="1207"/>
      <c r="N396" s="1207"/>
      <c r="O396" s="1207"/>
      <c r="P396" s="1208"/>
      <c r="Q396" s="1207"/>
      <c r="R396" s="1207"/>
      <c r="S396" s="1207"/>
      <c r="T396" s="1207"/>
      <c r="U396" s="1207"/>
      <c r="V396" s="1207"/>
      <c r="W396" s="1207"/>
      <c r="X396" s="1207"/>
      <c r="Y396" s="1207"/>
      <c r="Z396" s="1207"/>
      <c r="AA396" s="1207"/>
      <c r="AB396" s="1207"/>
      <c r="AC396" s="1207"/>
      <c r="AD396" s="1207"/>
      <c r="AE396" s="1207"/>
      <c r="AF396" s="1207"/>
      <c r="AG396" s="1207"/>
    </row>
    <row r="397" spans="1:34" x14ac:dyDescent="0.2">
      <c r="A397" s="1207"/>
      <c r="B397" s="1207"/>
      <c r="C397" s="1207"/>
      <c r="D397" s="1207"/>
      <c r="E397" s="1207"/>
      <c r="F397" s="1207"/>
      <c r="G397" s="1207"/>
      <c r="H397" s="1207"/>
      <c r="I397" s="1207"/>
      <c r="J397" s="1207"/>
      <c r="K397" s="1207"/>
      <c r="L397" s="1207"/>
      <c r="M397" s="1207"/>
      <c r="N397" s="1207"/>
      <c r="O397" s="1207"/>
      <c r="P397" s="1208"/>
      <c r="Q397" s="1207"/>
      <c r="R397" s="1207"/>
      <c r="S397" s="1207"/>
      <c r="T397" s="1207"/>
      <c r="U397" s="1207"/>
      <c r="V397" s="1207"/>
      <c r="W397" s="1207"/>
      <c r="X397" s="1207"/>
      <c r="Y397" s="1207"/>
      <c r="Z397" s="1207"/>
      <c r="AA397" s="1207"/>
      <c r="AB397" s="1207"/>
      <c r="AC397" s="1207"/>
      <c r="AD397" s="1207"/>
      <c r="AE397" s="1207"/>
      <c r="AF397" s="1207"/>
      <c r="AG397" s="1207"/>
    </row>
    <row r="398" spans="1:34" x14ac:dyDescent="0.2">
      <c r="A398" s="1223" t="s">
        <v>449</v>
      </c>
      <c r="B398" s="1280"/>
      <c r="K398" s="1223"/>
      <c r="L398" s="1207"/>
    </row>
    <row r="399" spans="1:34" x14ac:dyDescent="0.2">
      <c r="AB399" s="1283"/>
      <c r="AC399" s="1283"/>
      <c r="AD399" s="1283"/>
      <c r="AE399" s="1283"/>
    </row>
  </sheetData>
  <mergeCells count="7">
    <mergeCell ref="M359:R359"/>
    <mergeCell ref="AC37:AD37"/>
    <mergeCell ref="I153:L153"/>
    <mergeCell ref="M153:U153"/>
    <mergeCell ref="V153:X153"/>
    <mergeCell ref="L220:M220"/>
    <mergeCell ref="M284:R284"/>
  </mergeCells>
  <pageMargins left="0.78740157480314965" right="0.78740157480314965" top="0.98425196850393704" bottom="0.98425196850393704" header="0.51181102362204722" footer="0.51181102362204722"/>
  <pageSetup paperSize="9" scale="34" fitToHeight="2" orientation="landscape" horizontalDpi="300" verticalDpi="3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358"/>
  <sheetViews>
    <sheetView topLeftCell="A16" workbookViewId="0">
      <pane ySplit="2355" topLeftCell="A41" activePane="bottomLeft"/>
      <selection activeCell="U19" sqref="U19:AD68"/>
      <selection pane="bottomLeft" activeCell="D45" sqref="D45"/>
    </sheetView>
  </sheetViews>
  <sheetFormatPr defaultColWidth="11.42578125" defaultRowHeight="12.75" x14ac:dyDescent="0.2"/>
  <cols>
    <col min="1" max="1" width="37.42578125" style="1209" customWidth="1"/>
    <col min="2" max="2" width="13.7109375" style="1209" customWidth="1"/>
    <col min="3" max="3" width="14" style="1209" customWidth="1"/>
    <col min="4" max="4" width="14.28515625" style="1209" customWidth="1"/>
    <col min="5" max="5" width="14.42578125" style="1209" bestFit="1" customWidth="1"/>
    <col min="6" max="6" width="12.7109375" style="1209" customWidth="1"/>
    <col min="7" max="7" width="13.85546875" style="1209" customWidth="1"/>
    <col min="8" max="8" width="13" style="1209" customWidth="1"/>
    <col min="9" max="9" width="11.7109375" style="1209" customWidth="1"/>
    <col min="10" max="11" width="10.85546875" style="1209" customWidth="1"/>
    <col min="12" max="12" width="11.85546875" style="1209" customWidth="1"/>
    <col min="13" max="13" width="10.85546875" style="1209" customWidth="1"/>
    <col min="14" max="14" width="10.28515625" style="1209" customWidth="1"/>
    <col min="15" max="15" width="10.85546875" style="1209" customWidth="1"/>
    <col min="16" max="16" width="10.85546875" style="1320" customWidth="1"/>
    <col min="17" max="17" width="12.28515625" style="1209" customWidth="1"/>
    <col min="18" max="18" width="11.85546875" style="1209" customWidth="1"/>
    <col min="19" max="19" width="11.42578125" style="1209"/>
    <col min="20" max="20" width="14" style="1209" customWidth="1"/>
    <col min="21" max="21" width="14.140625" style="1209" customWidth="1"/>
    <col min="22" max="22" width="11.85546875" style="1209" bestFit="1" customWidth="1"/>
    <col min="23" max="26" width="11.85546875" style="1209" customWidth="1"/>
    <col min="27" max="27" width="13.7109375" style="1209" customWidth="1"/>
    <col min="28" max="31" width="12.42578125" style="1209" customWidth="1"/>
    <col min="32" max="32" width="12" style="1209" customWidth="1"/>
    <col min="33" max="33" width="13.5703125" style="1209" customWidth="1"/>
    <col min="34" max="34" width="13.85546875" style="1209" bestFit="1" customWidth="1"/>
    <col min="35" max="35" width="11.85546875" style="1209" bestFit="1" customWidth="1"/>
    <col min="36" max="39" width="11.42578125" style="1209"/>
    <col min="40" max="40" width="13.85546875" style="1209" bestFit="1" customWidth="1"/>
    <col min="41" max="41" width="11.42578125" style="1209"/>
    <col min="42" max="42" width="13.85546875" style="1209" bestFit="1" customWidth="1"/>
    <col min="43" max="16384" width="11.42578125" style="1209"/>
  </cols>
  <sheetData>
    <row r="1" spans="1:36" x14ac:dyDescent="0.2">
      <c r="A1" s="1206" t="s">
        <v>693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8"/>
      <c r="Q1" s="1207"/>
      <c r="R1" s="1207"/>
      <c r="S1" s="1207"/>
      <c r="T1" s="1207"/>
      <c r="U1" s="1207"/>
      <c r="V1" s="1207"/>
      <c r="W1" s="1207"/>
      <c r="X1" s="1207"/>
      <c r="Y1" s="1207"/>
      <c r="Z1" s="1207"/>
      <c r="AA1" s="1207"/>
      <c r="AB1" s="1207"/>
      <c r="AC1" s="1207"/>
      <c r="AD1" s="1207"/>
      <c r="AE1" s="1207"/>
      <c r="AF1" s="1207"/>
      <c r="AG1" s="1207"/>
      <c r="AH1" s="1207"/>
    </row>
    <row r="2" spans="1:36" x14ac:dyDescent="0.2">
      <c r="A2" s="1210" t="s">
        <v>694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8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</row>
    <row r="3" spans="1:36" x14ac:dyDescent="0.2">
      <c r="A3" s="1210" t="s">
        <v>680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</row>
    <row r="4" spans="1:36" x14ac:dyDescent="0.2">
      <c r="A4" s="1207"/>
      <c r="B4" s="1207"/>
      <c r="C4" s="1625"/>
      <c r="D4" s="1625"/>
      <c r="E4" s="1625"/>
      <c r="F4" s="1625"/>
      <c r="G4" s="1625"/>
      <c r="H4" s="1625"/>
      <c r="I4" s="1625"/>
      <c r="J4" s="1625"/>
      <c r="K4" s="1625"/>
      <c r="L4" s="1625"/>
      <c r="M4" s="1625"/>
      <c r="N4" s="1625"/>
      <c r="O4" s="1625"/>
      <c r="P4" s="1212"/>
      <c r="Q4" s="1625"/>
      <c r="R4" s="1625"/>
      <c r="S4" s="1625"/>
      <c r="T4" s="1625"/>
      <c r="U4" s="1625"/>
      <c r="V4" s="1625"/>
      <c r="W4" s="1625"/>
      <c r="X4" s="1625"/>
      <c r="Y4" s="1625"/>
      <c r="Z4" s="1625"/>
      <c r="AA4" s="1625"/>
      <c r="AB4" s="1625"/>
      <c r="AC4" s="1625"/>
      <c r="AD4" s="1625"/>
      <c r="AE4" s="1625"/>
      <c r="AF4" s="1625"/>
      <c r="AG4" s="1625"/>
      <c r="AH4" s="1207"/>
    </row>
    <row r="5" spans="1:36" x14ac:dyDescent="0.2">
      <c r="A5" s="1213" t="s">
        <v>689</v>
      </c>
      <c r="B5" s="1214" t="s">
        <v>132</v>
      </c>
      <c r="C5" s="1215">
        <f t="shared" ref="C5:AG5" si="0">C6+C7+C8+C9</f>
        <v>-332112.84700000001</v>
      </c>
      <c r="D5" s="1215">
        <f t="shared" si="0"/>
        <v>-339308.16</v>
      </c>
      <c r="E5" s="1215">
        <f t="shared" si="0"/>
        <v>-339308.16</v>
      </c>
      <c r="F5" s="1215">
        <f t="shared" si="0"/>
        <v>-339308.16</v>
      </c>
      <c r="G5" s="1215">
        <f t="shared" si="0"/>
        <v>-339308.48000000004</v>
      </c>
      <c r="H5" s="1215">
        <f t="shared" si="0"/>
        <v>-339308.48000000004</v>
      </c>
      <c r="I5" s="1215">
        <f t="shared" si="0"/>
        <v>-339308.48000000004</v>
      </c>
      <c r="J5" s="1216">
        <f t="shared" si="0"/>
        <v>-339308.48000000004</v>
      </c>
      <c r="K5" s="1216">
        <f t="shared" si="0"/>
        <v>-339308.48000000004</v>
      </c>
      <c r="L5" s="1215">
        <f t="shared" si="0"/>
        <v>-348258.48000000004</v>
      </c>
      <c r="M5" s="1215">
        <f t="shared" si="0"/>
        <v>-348258.48000000004</v>
      </c>
      <c r="N5" s="1215">
        <f t="shared" si="0"/>
        <v>-348258.48000000004</v>
      </c>
      <c r="O5" s="1215">
        <f t="shared" si="0"/>
        <v>-348258.48000000004</v>
      </c>
      <c r="P5" s="1217">
        <f t="shared" si="0"/>
        <v>-348258.48000000004</v>
      </c>
      <c r="Q5" s="1215">
        <f t="shared" si="0"/>
        <v>-350537.76499999996</v>
      </c>
      <c r="R5" s="1215">
        <f t="shared" si="0"/>
        <v>-350537.76499999996</v>
      </c>
      <c r="S5" s="1215">
        <f t="shared" si="0"/>
        <v>-350537.76499999996</v>
      </c>
      <c r="T5" s="1215">
        <f t="shared" si="0"/>
        <v>-350537.76499999996</v>
      </c>
      <c r="U5" s="1215">
        <f t="shared" si="0"/>
        <v>-350537.76499999996</v>
      </c>
      <c r="V5" s="1215">
        <f t="shared" si="0"/>
        <v>-350537.76499999996</v>
      </c>
      <c r="W5" s="1215">
        <f t="shared" si="0"/>
        <v>-350537.76499999996</v>
      </c>
      <c r="X5" s="1215">
        <f t="shared" si="0"/>
        <v>-350537.76499999996</v>
      </c>
      <c r="Y5" s="1215">
        <f t="shared" si="0"/>
        <v>-350537.76499999996</v>
      </c>
      <c r="Z5" s="1215">
        <f t="shared" si="0"/>
        <v>-350537.76499999996</v>
      </c>
      <c r="AA5" s="1215">
        <f t="shared" si="0"/>
        <v>-336372.76499999996</v>
      </c>
      <c r="AB5" s="1215">
        <f t="shared" si="0"/>
        <v>-346340.76499999996</v>
      </c>
      <c r="AC5" s="1215">
        <f t="shared" si="0"/>
        <v>-342712.185</v>
      </c>
      <c r="AD5" s="1215">
        <f t="shared" si="0"/>
        <v>-339151.82</v>
      </c>
      <c r="AE5" s="1215">
        <f t="shared" si="0"/>
        <v>-331622.85299999994</v>
      </c>
      <c r="AF5" s="1215">
        <f t="shared" si="0"/>
        <v>-336914.97299999994</v>
      </c>
      <c r="AG5" s="1215">
        <f t="shared" si="0"/>
        <v>-330345.97299999994</v>
      </c>
      <c r="AH5" s="1207"/>
    </row>
    <row r="6" spans="1:36" x14ac:dyDescent="0.2">
      <c r="A6" s="1218">
        <v>100000</v>
      </c>
      <c r="B6" s="1207" t="s">
        <v>690</v>
      </c>
      <c r="C6" s="1219">
        <f t="shared" ref="C6:AF6" si="1">C70</f>
        <v>-401236.56599999999</v>
      </c>
      <c r="D6" s="1219">
        <f t="shared" si="1"/>
        <v>-408431.87900000002</v>
      </c>
      <c r="E6" s="1219">
        <f t="shared" si="1"/>
        <v>-408431.87900000002</v>
      </c>
      <c r="F6" s="1219">
        <f t="shared" si="1"/>
        <v>-408431.87900000002</v>
      </c>
      <c r="G6" s="1219">
        <f t="shared" si="1"/>
        <v>-408432.19900000002</v>
      </c>
      <c r="H6" s="1219">
        <f t="shared" si="1"/>
        <v>-408432.19900000002</v>
      </c>
      <c r="I6" s="1219">
        <f t="shared" si="1"/>
        <v>-408432.19900000002</v>
      </c>
      <c r="J6" s="1220">
        <f t="shared" si="1"/>
        <v>-408432.19900000002</v>
      </c>
      <c r="K6" s="1220">
        <f t="shared" si="1"/>
        <v>-408432.19900000002</v>
      </c>
      <c r="L6" s="1219">
        <f t="shared" si="1"/>
        <v>-417382.19900000002</v>
      </c>
      <c r="M6" s="1219">
        <f t="shared" si="1"/>
        <v>-417382.19900000002</v>
      </c>
      <c r="N6" s="1219">
        <f t="shared" si="1"/>
        <v>-417382.19900000002</v>
      </c>
      <c r="O6" s="1219">
        <f t="shared" si="1"/>
        <v>-417382.19900000002</v>
      </c>
      <c r="P6" s="1221">
        <f t="shared" si="1"/>
        <v>-417382.19900000002</v>
      </c>
      <c r="Q6" s="1219">
        <f t="shared" si="1"/>
        <v>-419661.484</v>
      </c>
      <c r="R6" s="1219">
        <f t="shared" si="1"/>
        <v>-419661.484</v>
      </c>
      <c r="S6" s="1219">
        <f t="shared" si="1"/>
        <v>-419661.484</v>
      </c>
      <c r="T6" s="1219">
        <f t="shared" si="1"/>
        <v>-419661.484</v>
      </c>
      <c r="U6" s="1219">
        <f t="shared" si="1"/>
        <v>-419661.484</v>
      </c>
      <c r="V6" s="1219">
        <f t="shared" si="1"/>
        <v>-419661.484</v>
      </c>
      <c r="W6" s="1219">
        <f t="shared" si="1"/>
        <v>-419661.484</v>
      </c>
      <c r="X6" s="1219">
        <f t="shared" si="1"/>
        <v>-419661.484</v>
      </c>
      <c r="Y6" s="1219">
        <f t="shared" si="1"/>
        <v>-419661.484</v>
      </c>
      <c r="Z6" s="1219">
        <f t="shared" si="1"/>
        <v>-419661.484</v>
      </c>
      <c r="AA6" s="1219">
        <f t="shared" si="1"/>
        <v>-405496.484</v>
      </c>
      <c r="AB6" s="1219">
        <f t="shared" si="1"/>
        <v>-415464.484</v>
      </c>
      <c r="AC6" s="1219">
        <f t="shared" si="1"/>
        <v>-411835.90399999998</v>
      </c>
      <c r="AD6" s="1219">
        <f t="shared" si="1"/>
        <v>-408275.53899999999</v>
      </c>
      <c r="AE6" s="1219">
        <f t="shared" si="1"/>
        <v>-403206.53899999999</v>
      </c>
      <c r="AF6" s="1219">
        <f t="shared" si="1"/>
        <v>-408498.65899999999</v>
      </c>
      <c r="AG6" s="1219">
        <f>AG70</f>
        <v>-401929.65899999999</v>
      </c>
      <c r="AH6" s="1207"/>
    </row>
    <row r="7" spans="1:36" x14ac:dyDescent="0.2">
      <c r="A7" s="1218">
        <v>25000</v>
      </c>
      <c r="B7" s="1207" t="s">
        <v>666</v>
      </c>
      <c r="C7" s="1219">
        <f t="shared" ref="C7:AG7" si="2">C184</f>
        <v>-82432.214000000007</v>
      </c>
      <c r="D7" s="1219">
        <f t="shared" si="2"/>
        <v>-82432.214000000007</v>
      </c>
      <c r="E7" s="1219">
        <f t="shared" si="2"/>
        <v>-82432.214000000007</v>
      </c>
      <c r="F7" s="1219">
        <f t="shared" si="2"/>
        <v>-82432.214000000007</v>
      </c>
      <c r="G7" s="1219">
        <f t="shared" si="2"/>
        <v>-82432.214000000007</v>
      </c>
      <c r="H7" s="1219">
        <f t="shared" si="2"/>
        <v>-82432.214000000007</v>
      </c>
      <c r="I7" s="1219">
        <f t="shared" si="2"/>
        <v>-82432.214000000007</v>
      </c>
      <c r="J7" s="1220">
        <f t="shared" si="2"/>
        <v>-82432.214000000007</v>
      </c>
      <c r="K7" s="1220">
        <f t="shared" si="2"/>
        <v>-82432.214000000007</v>
      </c>
      <c r="L7" s="1219">
        <f t="shared" si="2"/>
        <v>-82432.214000000007</v>
      </c>
      <c r="M7" s="1219">
        <f t="shared" si="2"/>
        <v>-82432.214000000007</v>
      </c>
      <c r="N7" s="1219">
        <f t="shared" si="2"/>
        <v>-82432.214000000007</v>
      </c>
      <c r="O7" s="1219">
        <f t="shared" si="2"/>
        <v>-82432.214000000007</v>
      </c>
      <c r="P7" s="1221">
        <f t="shared" si="2"/>
        <v>-82432.214000000007</v>
      </c>
      <c r="Q7" s="1219">
        <f t="shared" si="2"/>
        <v>-82432.214000000007</v>
      </c>
      <c r="R7" s="1219">
        <f t="shared" si="2"/>
        <v>-82432.214000000007</v>
      </c>
      <c r="S7" s="1222">
        <f t="shared" si="2"/>
        <v>-82432.214000000007</v>
      </c>
      <c r="T7" s="1219">
        <f t="shared" si="2"/>
        <v>-82432.214000000007</v>
      </c>
      <c r="U7" s="1219">
        <f t="shared" si="2"/>
        <v>-82432.214000000007</v>
      </c>
      <c r="V7" s="1219">
        <f t="shared" si="2"/>
        <v>-82432.214000000007</v>
      </c>
      <c r="W7" s="1219">
        <f t="shared" si="2"/>
        <v>-82432.214000000007</v>
      </c>
      <c r="X7" s="1219">
        <f t="shared" si="2"/>
        <v>-82432.214000000007</v>
      </c>
      <c r="Y7" s="1219">
        <f t="shared" si="2"/>
        <v>-82432.214000000007</v>
      </c>
      <c r="Z7" s="1219">
        <f t="shared" si="2"/>
        <v>-82432.214000000007</v>
      </c>
      <c r="AA7" s="1219">
        <f t="shared" si="2"/>
        <v>-82432.214000000007</v>
      </c>
      <c r="AB7" s="1219">
        <f t="shared" si="2"/>
        <v>-82432.214000000007</v>
      </c>
      <c r="AC7" s="1219">
        <f t="shared" si="2"/>
        <v>-82432.214000000007</v>
      </c>
      <c r="AD7" s="1219">
        <f t="shared" si="2"/>
        <v>-82432.214000000007</v>
      </c>
      <c r="AE7" s="1219">
        <f t="shared" si="2"/>
        <v>-79972.247000000003</v>
      </c>
      <c r="AF7" s="1219">
        <f t="shared" si="2"/>
        <v>-79972.247000000003</v>
      </c>
      <c r="AG7" s="1219">
        <f t="shared" si="2"/>
        <v>-79972.247000000003</v>
      </c>
      <c r="AH7" s="1207"/>
    </row>
    <row r="8" spans="1:36" x14ac:dyDescent="0.2">
      <c r="A8" s="1218">
        <v>25000</v>
      </c>
      <c r="B8" s="1207" t="s">
        <v>667</v>
      </c>
      <c r="C8" s="1219">
        <f t="shared" ref="C8:AG8" si="3">C247</f>
        <v>139501.23300000001</v>
      </c>
      <c r="D8" s="1219">
        <f t="shared" si="3"/>
        <v>139501.23300000001</v>
      </c>
      <c r="E8" s="1219">
        <f t="shared" si="3"/>
        <v>139501.23300000001</v>
      </c>
      <c r="F8" s="1219">
        <f t="shared" si="3"/>
        <v>139501.23300000001</v>
      </c>
      <c r="G8" s="1219">
        <f t="shared" si="3"/>
        <v>139501.23300000001</v>
      </c>
      <c r="H8" s="1219">
        <f t="shared" si="3"/>
        <v>139501.23300000001</v>
      </c>
      <c r="I8" s="1222">
        <f t="shared" si="3"/>
        <v>139501.23300000001</v>
      </c>
      <c r="J8" s="1220">
        <f t="shared" si="3"/>
        <v>139501.23300000001</v>
      </c>
      <c r="K8" s="1220">
        <f t="shared" si="3"/>
        <v>139501.23300000001</v>
      </c>
      <c r="L8" s="1219">
        <f t="shared" si="3"/>
        <v>139501.23300000001</v>
      </c>
      <c r="M8" s="1219">
        <f t="shared" si="3"/>
        <v>139501.23300000001</v>
      </c>
      <c r="N8" s="1219">
        <f t="shared" si="3"/>
        <v>139501.23300000001</v>
      </c>
      <c r="O8" s="1219">
        <f t="shared" si="3"/>
        <v>139501.23300000001</v>
      </c>
      <c r="P8" s="1221">
        <f t="shared" si="3"/>
        <v>139501.23300000001</v>
      </c>
      <c r="Q8" s="1219">
        <f t="shared" si="3"/>
        <v>139501.23300000001</v>
      </c>
      <c r="R8" s="1219">
        <f t="shared" si="3"/>
        <v>139501.23300000001</v>
      </c>
      <c r="S8" s="1219">
        <f t="shared" si="3"/>
        <v>139501.23300000001</v>
      </c>
      <c r="T8" s="1219">
        <f t="shared" si="3"/>
        <v>139501.23300000001</v>
      </c>
      <c r="U8" s="1219">
        <f t="shared" si="3"/>
        <v>139501.23300000001</v>
      </c>
      <c r="V8" s="1219">
        <f t="shared" si="3"/>
        <v>139501.23300000001</v>
      </c>
      <c r="W8" s="1219">
        <f t="shared" si="3"/>
        <v>139501.23300000001</v>
      </c>
      <c r="X8" s="1219">
        <f t="shared" si="3"/>
        <v>139501.23300000001</v>
      </c>
      <c r="Y8" s="1219">
        <f t="shared" si="3"/>
        <v>139501.23300000001</v>
      </c>
      <c r="Z8" s="1219">
        <f t="shared" si="3"/>
        <v>139501.23300000001</v>
      </c>
      <c r="AA8" s="1219">
        <f t="shared" si="3"/>
        <v>139501.23300000001</v>
      </c>
      <c r="AB8" s="1219">
        <f t="shared" si="3"/>
        <v>139501.23300000001</v>
      </c>
      <c r="AC8" s="1219">
        <f t="shared" si="3"/>
        <v>139501.23300000001</v>
      </c>
      <c r="AD8" s="1219">
        <f t="shared" si="3"/>
        <v>139501.23300000001</v>
      </c>
      <c r="AE8" s="1219">
        <f t="shared" si="3"/>
        <v>139501.23300000001</v>
      </c>
      <c r="AF8" s="1219">
        <f t="shared" si="3"/>
        <v>139501.23300000001</v>
      </c>
      <c r="AG8" s="1219">
        <f t="shared" si="3"/>
        <v>139501.23300000001</v>
      </c>
      <c r="AH8" s="1207"/>
      <c r="AJ8" s="1223"/>
    </row>
    <row r="9" spans="1:36" x14ac:dyDescent="0.2">
      <c r="A9" s="1218">
        <v>20000</v>
      </c>
      <c r="B9" s="1207" t="s">
        <v>691</v>
      </c>
      <c r="C9" s="1219">
        <f t="shared" ref="C9:AG9" si="4">C311</f>
        <v>12054.7</v>
      </c>
      <c r="D9" s="1219">
        <f t="shared" si="4"/>
        <v>12054.7</v>
      </c>
      <c r="E9" s="1219">
        <f t="shared" si="4"/>
        <v>12054.7</v>
      </c>
      <c r="F9" s="1219">
        <f t="shared" si="4"/>
        <v>12054.7</v>
      </c>
      <c r="G9" s="1222">
        <f t="shared" si="4"/>
        <v>12054.7</v>
      </c>
      <c r="H9" s="1219">
        <f t="shared" si="4"/>
        <v>12054.7</v>
      </c>
      <c r="I9" s="1219">
        <f t="shared" si="4"/>
        <v>12054.7</v>
      </c>
      <c r="J9" s="1220">
        <f t="shared" si="4"/>
        <v>12054.7</v>
      </c>
      <c r="K9" s="1220">
        <f t="shared" si="4"/>
        <v>12054.7</v>
      </c>
      <c r="L9" s="1219">
        <f t="shared" si="4"/>
        <v>12054.7</v>
      </c>
      <c r="M9" s="1219">
        <f t="shared" si="4"/>
        <v>12054.7</v>
      </c>
      <c r="N9" s="1219">
        <f t="shared" si="4"/>
        <v>12054.7</v>
      </c>
      <c r="O9" s="1219">
        <f t="shared" si="4"/>
        <v>12054.7</v>
      </c>
      <c r="P9" s="1221">
        <f t="shared" si="4"/>
        <v>12054.7</v>
      </c>
      <c r="Q9" s="1219">
        <f t="shared" si="4"/>
        <v>12054.7</v>
      </c>
      <c r="R9" s="1219">
        <f t="shared" si="4"/>
        <v>12054.7</v>
      </c>
      <c r="S9" s="1219">
        <f t="shared" si="4"/>
        <v>12054.7</v>
      </c>
      <c r="T9" s="1219">
        <f t="shared" si="4"/>
        <v>12054.7</v>
      </c>
      <c r="U9" s="1219">
        <f t="shared" si="4"/>
        <v>12054.7</v>
      </c>
      <c r="V9" s="1219">
        <f t="shared" si="4"/>
        <v>12054.7</v>
      </c>
      <c r="W9" s="1219">
        <f t="shared" si="4"/>
        <v>12054.7</v>
      </c>
      <c r="X9" s="1219">
        <f t="shared" si="4"/>
        <v>12054.7</v>
      </c>
      <c r="Y9" s="1219">
        <f t="shared" si="4"/>
        <v>12054.7</v>
      </c>
      <c r="Z9" s="1219">
        <f t="shared" si="4"/>
        <v>12054.7</v>
      </c>
      <c r="AA9" s="1219">
        <f t="shared" si="4"/>
        <v>12054.7</v>
      </c>
      <c r="AB9" s="1219">
        <f t="shared" si="4"/>
        <v>12054.7</v>
      </c>
      <c r="AC9" s="1219">
        <f t="shared" si="4"/>
        <v>12054.7</v>
      </c>
      <c r="AD9" s="1219">
        <f t="shared" si="4"/>
        <v>12054.7</v>
      </c>
      <c r="AE9" s="1219">
        <f t="shared" si="4"/>
        <v>12054.7</v>
      </c>
      <c r="AF9" s="1219">
        <f t="shared" si="4"/>
        <v>12054.7</v>
      </c>
      <c r="AG9" s="1219">
        <f t="shared" si="4"/>
        <v>12054.7</v>
      </c>
      <c r="AH9" s="1207"/>
    </row>
    <row r="10" spans="1:36" x14ac:dyDescent="0.2">
      <c r="A10" s="1213" t="s">
        <v>692</v>
      </c>
      <c r="B10" s="1214" t="s">
        <v>132</v>
      </c>
      <c r="C10" s="1224">
        <f t="shared" ref="C10:AG10" si="5">C11+C12+C13</f>
        <v>4750.732</v>
      </c>
      <c r="D10" s="1224">
        <f t="shared" si="5"/>
        <v>1000</v>
      </c>
      <c r="E10" s="1224">
        <f t="shared" si="5"/>
        <v>928.98299999999995</v>
      </c>
      <c r="F10" s="1224">
        <f t="shared" si="5"/>
        <v>7158.0689999999995</v>
      </c>
      <c r="G10" s="1224">
        <f t="shared" si="5"/>
        <v>8162.4770000000008</v>
      </c>
      <c r="H10" s="1224">
        <f t="shared" si="5"/>
        <v>0</v>
      </c>
      <c r="I10" s="1224">
        <f t="shared" si="5"/>
        <v>728.98900000000003</v>
      </c>
      <c r="J10" s="1225">
        <f t="shared" si="5"/>
        <v>5730.732</v>
      </c>
      <c r="K10" s="1225">
        <f t="shared" si="5"/>
        <v>2879.9549999999999</v>
      </c>
      <c r="L10" s="1224">
        <f t="shared" si="5"/>
        <v>25986.931</v>
      </c>
      <c r="M10" s="1224">
        <f t="shared" si="5"/>
        <v>1000</v>
      </c>
      <c r="N10" s="1224">
        <f t="shared" si="5"/>
        <v>980</v>
      </c>
      <c r="O10" s="1224">
        <f t="shared" si="5"/>
        <v>1300.961</v>
      </c>
      <c r="P10" s="1226">
        <f t="shared" si="5"/>
        <v>0</v>
      </c>
      <c r="Q10" s="1224">
        <f t="shared" si="5"/>
        <v>19864.752</v>
      </c>
      <c r="R10" s="1224">
        <f t="shared" si="5"/>
        <v>2408.0919999999996</v>
      </c>
      <c r="S10" s="1224">
        <f t="shared" si="5"/>
        <v>9537.8379999999997</v>
      </c>
      <c r="T10" s="1224">
        <f t="shared" si="5"/>
        <v>3050</v>
      </c>
      <c r="U10" s="1224">
        <f t="shared" si="5"/>
        <v>0</v>
      </c>
      <c r="V10" s="1224">
        <f t="shared" si="5"/>
        <v>13976.085999999999</v>
      </c>
      <c r="W10" s="1224">
        <f t="shared" si="5"/>
        <v>1955.7959999999998</v>
      </c>
      <c r="X10" s="1224">
        <f t="shared" si="5"/>
        <v>10772.717000000001</v>
      </c>
      <c r="Y10" s="1224">
        <f t="shared" si="5"/>
        <v>10003.337</v>
      </c>
      <c r="Z10" s="1224">
        <f t="shared" si="5"/>
        <v>6255.68</v>
      </c>
      <c r="AA10" s="1224">
        <f t="shared" si="5"/>
        <v>30407.512999999999</v>
      </c>
      <c r="AB10" s="1224">
        <f t="shared" si="5"/>
        <v>7544.0749999999998</v>
      </c>
      <c r="AC10" s="1224">
        <f t="shared" si="5"/>
        <v>1555</v>
      </c>
      <c r="AD10" s="1224">
        <f t="shared" si="5"/>
        <v>852</v>
      </c>
      <c r="AE10" s="1224">
        <f t="shared" si="5"/>
        <v>16587.342000000001</v>
      </c>
      <c r="AF10" s="1224">
        <f t="shared" si="5"/>
        <v>28031.616999999998</v>
      </c>
      <c r="AG10" s="1224">
        <f t="shared" si="5"/>
        <v>45237.050999999999</v>
      </c>
      <c r="AH10" s="1227">
        <f>SUM(C10:AG10)</f>
        <v>268646.72500000003</v>
      </c>
    </row>
    <row r="11" spans="1:36" x14ac:dyDescent="0.2">
      <c r="A11" s="1213"/>
      <c r="B11" s="1207" t="s">
        <v>666</v>
      </c>
      <c r="C11" s="1227">
        <f t="shared" ref="C11:AF11" si="6">C171</f>
        <v>1000</v>
      </c>
      <c r="D11" s="1227">
        <f t="shared" si="6"/>
        <v>0</v>
      </c>
      <c r="E11" s="1227">
        <f t="shared" si="6"/>
        <v>0</v>
      </c>
      <c r="F11" s="1227">
        <f t="shared" si="6"/>
        <v>1000</v>
      </c>
      <c r="G11" s="1227">
        <f t="shared" si="6"/>
        <v>0</v>
      </c>
      <c r="H11" s="1227">
        <f t="shared" si="6"/>
        <v>0</v>
      </c>
      <c r="I11" s="1227">
        <f t="shared" si="6"/>
        <v>728.98900000000003</v>
      </c>
      <c r="J11" s="1228">
        <f t="shared" si="6"/>
        <v>1000</v>
      </c>
      <c r="K11" s="1228">
        <f t="shared" si="6"/>
        <v>0</v>
      </c>
      <c r="L11" s="1227">
        <f t="shared" si="6"/>
        <v>2500</v>
      </c>
      <c r="M11" s="1227">
        <f t="shared" si="6"/>
        <v>1000</v>
      </c>
      <c r="N11" s="1227">
        <f t="shared" si="6"/>
        <v>0</v>
      </c>
      <c r="O11" s="1227">
        <f t="shared" si="6"/>
        <v>0</v>
      </c>
      <c r="P11" s="1229">
        <f t="shared" si="6"/>
        <v>0</v>
      </c>
      <c r="Q11" s="1227">
        <f t="shared" si="6"/>
        <v>2696.3110000000001</v>
      </c>
      <c r="R11" s="1227">
        <f t="shared" si="6"/>
        <v>859.24199999999996</v>
      </c>
      <c r="S11" s="1227">
        <f t="shared" si="6"/>
        <v>0</v>
      </c>
      <c r="T11" s="1227">
        <f t="shared" si="6"/>
        <v>1000</v>
      </c>
      <c r="U11" s="1227">
        <f t="shared" si="6"/>
        <v>0</v>
      </c>
      <c r="V11" s="1227">
        <f t="shared" si="6"/>
        <v>917</v>
      </c>
      <c r="W11" s="1227">
        <f t="shared" si="6"/>
        <v>0</v>
      </c>
      <c r="X11" s="1227">
        <f t="shared" si="6"/>
        <v>0</v>
      </c>
      <c r="Y11" s="1227">
        <f t="shared" si="6"/>
        <v>1890.932</v>
      </c>
      <c r="Z11" s="1227">
        <f t="shared" si="6"/>
        <v>0</v>
      </c>
      <c r="AA11" s="1227">
        <f t="shared" si="6"/>
        <v>3017</v>
      </c>
      <c r="AB11" s="1227">
        <f t="shared" si="6"/>
        <v>1564.075</v>
      </c>
      <c r="AC11" s="1227">
        <f t="shared" si="6"/>
        <v>0</v>
      </c>
      <c r="AD11" s="1227">
        <f t="shared" si="6"/>
        <v>852</v>
      </c>
      <c r="AE11" s="1227">
        <f t="shared" si="6"/>
        <v>1000</v>
      </c>
      <c r="AF11" s="1227">
        <f t="shared" si="6"/>
        <v>2545.86</v>
      </c>
      <c r="AG11" s="1227">
        <f>AG171</f>
        <v>21785.444</v>
      </c>
      <c r="AH11" s="1207"/>
    </row>
    <row r="12" spans="1:36" x14ac:dyDescent="0.2">
      <c r="A12" s="1213"/>
      <c r="B12" s="1207" t="s">
        <v>667</v>
      </c>
      <c r="C12" s="1227">
        <f t="shared" ref="C12:AG12" si="7">C234</f>
        <v>3750.732</v>
      </c>
      <c r="D12" s="1227">
        <f t="shared" si="7"/>
        <v>0</v>
      </c>
      <c r="E12" s="1227">
        <f t="shared" si="7"/>
        <v>0</v>
      </c>
      <c r="F12" s="1227">
        <f t="shared" si="7"/>
        <v>0</v>
      </c>
      <c r="G12" s="1227">
        <f t="shared" si="7"/>
        <v>4127.2280000000001</v>
      </c>
      <c r="H12" s="1227">
        <f t="shared" si="7"/>
        <v>0</v>
      </c>
      <c r="I12" s="1227">
        <f t="shared" si="7"/>
        <v>0</v>
      </c>
      <c r="J12" s="1228">
        <f t="shared" si="7"/>
        <v>3750.732</v>
      </c>
      <c r="K12" s="1228">
        <f t="shared" si="7"/>
        <v>2879.9549999999999</v>
      </c>
      <c r="L12" s="1227">
        <f t="shared" si="7"/>
        <v>6255.918999999999</v>
      </c>
      <c r="M12" s="1227">
        <f t="shared" si="7"/>
        <v>0</v>
      </c>
      <c r="N12" s="1227">
        <f t="shared" si="7"/>
        <v>0</v>
      </c>
      <c r="O12" s="1227">
        <f t="shared" si="7"/>
        <v>0</v>
      </c>
      <c r="P12" s="1229">
        <f t="shared" si="7"/>
        <v>0</v>
      </c>
      <c r="Q12" s="1227">
        <f t="shared" si="7"/>
        <v>5409.2209999999995</v>
      </c>
      <c r="R12" s="1227">
        <f t="shared" si="7"/>
        <v>0</v>
      </c>
      <c r="S12" s="1227">
        <f t="shared" si="7"/>
        <v>0</v>
      </c>
      <c r="T12" s="1227">
        <f t="shared" si="7"/>
        <v>0</v>
      </c>
      <c r="U12" s="1227">
        <f t="shared" si="7"/>
        <v>0</v>
      </c>
      <c r="V12" s="1227">
        <f t="shared" si="7"/>
        <v>790.89099999999996</v>
      </c>
      <c r="W12" s="1227">
        <f t="shared" si="7"/>
        <v>0</v>
      </c>
      <c r="X12" s="1227">
        <f t="shared" si="7"/>
        <v>1000</v>
      </c>
      <c r="Y12" s="1227">
        <f t="shared" si="7"/>
        <v>4082.4929999999999</v>
      </c>
      <c r="Z12" s="1227">
        <f t="shared" si="7"/>
        <v>3070.527</v>
      </c>
      <c r="AA12" s="1227">
        <f t="shared" si="7"/>
        <v>4508.4660000000003</v>
      </c>
      <c r="AB12" s="1227">
        <f t="shared" si="7"/>
        <v>0</v>
      </c>
      <c r="AC12" s="1227">
        <f t="shared" si="7"/>
        <v>0</v>
      </c>
      <c r="AD12" s="1227">
        <f t="shared" si="7"/>
        <v>0</v>
      </c>
      <c r="AE12" s="1227">
        <f t="shared" si="7"/>
        <v>2246.9079999999999</v>
      </c>
      <c r="AF12" s="1227">
        <f t="shared" si="7"/>
        <v>7269.6790000000001</v>
      </c>
      <c r="AG12" s="1227">
        <f t="shared" si="7"/>
        <v>8187.7279999999992</v>
      </c>
      <c r="AH12" s="1207"/>
    </row>
    <row r="13" spans="1:36" x14ac:dyDescent="0.2">
      <c r="A13" s="1213"/>
      <c r="B13" s="1207" t="s">
        <v>691</v>
      </c>
      <c r="C13" s="1227">
        <f t="shared" ref="C13:AG13" si="8">C298</f>
        <v>0</v>
      </c>
      <c r="D13" s="1227">
        <f t="shared" si="8"/>
        <v>1000</v>
      </c>
      <c r="E13" s="1227">
        <f t="shared" si="8"/>
        <v>928.98299999999995</v>
      </c>
      <c r="F13" s="1227">
        <f t="shared" si="8"/>
        <v>6158.0689999999995</v>
      </c>
      <c r="G13" s="1227">
        <f t="shared" si="8"/>
        <v>4035.2490000000003</v>
      </c>
      <c r="H13" s="1227">
        <f t="shared" si="8"/>
        <v>0</v>
      </c>
      <c r="I13" s="1227">
        <f t="shared" si="8"/>
        <v>0</v>
      </c>
      <c r="J13" s="1228">
        <f t="shared" si="8"/>
        <v>980</v>
      </c>
      <c r="K13" s="1228">
        <f t="shared" si="8"/>
        <v>0</v>
      </c>
      <c r="L13" s="1227">
        <f t="shared" si="8"/>
        <v>17231.012000000002</v>
      </c>
      <c r="M13" s="1227">
        <f t="shared" si="8"/>
        <v>0</v>
      </c>
      <c r="N13" s="1227">
        <f t="shared" si="8"/>
        <v>980</v>
      </c>
      <c r="O13" s="1227">
        <f t="shared" si="8"/>
        <v>1300.961</v>
      </c>
      <c r="P13" s="1229">
        <f t="shared" si="8"/>
        <v>0</v>
      </c>
      <c r="Q13" s="1227">
        <f t="shared" si="8"/>
        <v>11759.22</v>
      </c>
      <c r="R13" s="1227">
        <f t="shared" si="8"/>
        <v>1548.85</v>
      </c>
      <c r="S13" s="1227">
        <f t="shared" si="8"/>
        <v>9537.8379999999997</v>
      </c>
      <c r="T13" s="1227">
        <f t="shared" si="8"/>
        <v>2050</v>
      </c>
      <c r="U13" s="1227">
        <f t="shared" si="8"/>
        <v>0</v>
      </c>
      <c r="V13" s="1227">
        <f t="shared" si="8"/>
        <v>12268.195</v>
      </c>
      <c r="W13" s="1227">
        <f t="shared" si="8"/>
        <v>1955.7959999999998</v>
      </c>
      <c r="X13" s="1227">
        <f t="shared" si="8"/>
        <v>9772.7170000000006</v>
      </c>
      <c r="Y13" s="1227">
        <f t="shared" si="8"/>
        <v>4029.9120000000003</v>
      </c>
      <c r="Z13" s="1227">
        <f t="shared" si="8"/>
        <v>3185.1529999999998</v>
      </c>
      <c r="AA13" s="1227">
        <f t="shared" si="8"/>
        <v>22882.046999999999</v>
      </c>
      <c r="AB13" s="1227">
        <f t="shared" si="8"/>
        <v>5980</v>
      </c>
      <c r="AC13" s="1227">
        <f t="shared" si="8"/>
        <v>1555</v>
      </c>
      <c r="AD13" s="1227">
        <f t="shared" si="8"/>
        <v>0</v>
      </c>
      <c r="AE13" s="1227">
        <f t="shared" si="8"/>
        <v>13340.434000000001</v>
      </c>
      <c r="AF13" s="1227">
        <f t="shared" si="8"/>
        <v>18216.077999999998</v>
      </c>
      <c r="AG13" s="1227">
        <f t="shared" si="8"/>
        <v>15263.879000000001</v>
      </c>
      <c r="AH13" s="1207"/>
    </row>
    <row r="14" spans="1:36" x14ac:dyDescent="0.2">
      <c r="A14" s="1207"/>
      <c r="B14" s="1207"/>
      <c r="C14" s="1207"/>
      <c r="D14" s="1207"/>
      <c r="E14" s="1207"/>
      <c r="F14" s="1207"/>
      <c r="G14" s="1207"/>
      <c r="H14" s="1207"/>
      <c r="I14" s="1207"/>
      <c r="J14" s="1230"/>
      <c r="K14" s="1230"/>
      <c r="L14" s="1207"/>
      <c r="M14" s="1207"/>
      <c r="N14" s="1216"/>
      <c r="O14" s="1207"/>
      <c r="P14" s="1208"/>
      <c r="Q14" s="1207"/>
      <c r="R14" s="1207"/>
      <c r="S14" s="1207"/>
      <c r="T14" s="1207"/>
      <c r="U14" s="1216"/>
      <c r="V14" s="1207"/>
      <c r="W14" s="1207"/>
      <c r="X14" s="1207"/>
      <c r="Y14" s="1207"/>
      <c r="Z14" s="1207"/>
      <c r="AA14" s="1216"/>
      <c r="AB14" s="1207"/>
      <c r="AC14" s="1207"/>
      <c r="AD14" s="1207"/>
      <c r="AE14" s="1207"/>
      <c r="AF14" s="1207"/>
      <c r="AG14" s="1216"/>
      <c r="AH14" s="1231">
        <f>AG5+AH10</f>
        <v>-61699.247999999905</v>
      </c>
    </row>
    <row r="15" spans="1:36" ht="13.5" thickBot="1" x14ac:dyDescent="0.25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8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7"/>
      <c r="AF15" s="1207"/>
      <c r="AG15" s="1207"/>
      <c r="AH15" s="1232"/>
      <c r="AI15" s="1223"/>
    </row>
    <row r="16" spans="1:36" x14ac:dyDescent="0.2">
      <c r="A16" s="1233"/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5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2"/>
      <c r="AI16" s="1223"/>
    </row>
    <row r="17" spans="1:35" x14ac:dyDescent="0.2">
      <c r="A17" s="1236"/>
      <c r="B17" s="1237" t="s">
        <v>37</v>
      </c>
      <c r="C17" s="1237"/>
      <c r="D17" s="1237"/>
      <c r="E17" s="1238" t="s">
        <v>837</v>
      </c>
      <c r="F17" s="1239" t="s">
        <v>140</v>
      </c>
      <c r="G17" s="1239"/>
      <c r="H17" s="1625" t="s">
        <v>6</v>
      </c>
      <c r="I17" s="1239"/>
      <c r="J17" s="1239"/>
      <c r="K17" s="1239"/>
      <c r="L17" s="1239"/>
      <c r="M17" s="1239"/>
      <c r="N17" s="1239"/>
      <c r="O17" s="1239"/>
      <c r="P17" s="1240"/>
      <c r="Q17" s="1239"/>
      <c r="R17" s="1239"/>
      <c r="S17" s="1239"/>
      <c r="T17" s="1239"/>
      <c r="U17" s="1239"/>
      <c r="V17" s="1239"/>
      <c r="W17" s="1239"/>
      <c r="X17" s="1239"/>
      <c r="Y17" s="1239"/>
      <c r="AA17" s="1239"/>
      <c r="AB17" s="1239"/>
      <c r="AC17" s="1239"/>
      <c r="AD17" s="1239"/>
      <c r="AE17" s="1239"/>
      <c r="AF17" s="1239"/>
      <c r="AG17" s="1239"/>
      <c r="AH17" s="1232"/>
      <c r="AI17" s="1223"/>
    </row>
    <row r="18" spans="1:35" x14ac:dyDescent="0.2">
      <c r="A18" s="1236"/>
      <c r="B18" s="1237"/>
      <c r="C18" s="1237"/>
      <c r="D18" s="1239"/>
      <c r="E18" s="1237"/>
      <c r="F18" s="1237"/>
      <c r="G18" s="1237"/>
      <c r="H18" s="1237"/>
      <c r="I18" s="1237"/>
      <c r="J18" s="1237"/>
      <c r="K18" s="1237"/>
      <c r="L18" s="1237"/>
      <c r="M18" s="1237"/>
      <c r="N18" s="1237"/>
      <c r="O18" s="1237"/>
      <c r="P18" s="1241"/>
      <c r="Q18" s="1237"/>
      <c r="R18" s="1237"/>
      <c r="S18" s="1237"/>
      <c r="T18" s="1237"/>
      <c r="U18" s="1237"/>
      <c r="V18" s="1237"/>
      <c r="W18" s="1237"/>
      <c r="X18" s="1237"/>
      <c r="Y18" s="1237"/>
      <c r="Z18" s="1237"/>
      <c r="AA18" s="1237"/>
      <c r="AB18" s="1237"/>
      <c r="AC18" s="1237"/>
      <c r="AD18" s="1237"/>
      <c r="AE18" s="1237"/>
      <c r="AF18" s="1237"/>
      <c r="AG18" s="1237"/>
      <c r="AH18" s="1229"/>
    </row>
    <row r="19" spans="1:35" x14ac:dyDescent="0.2">
      <c r="A19" s="1242"/>
      <c r="B19" s="1239"/>
      <c r="C19" s="1239"/>
      <c r="D19" s="1238">
        <v>42619</v>
      </c>
      <c r="E19" s="1237"/>
      <c r="F19" s="1237"/>
      <c r="G19" s="1237"/>
      <c r="H19" s="1237"/>
      <c r="I19" s="1237"/>
      <c r="J19" s="1237"/>
      <c r="K19" s="1237"/>
      <c r="L19" s="1237"/>
      <c r="M19" s="1237"/>
      <c r="N19" s="1237"/>
      <c r="O19" s="1237"/>
      <c r="P19" s="1241"/>
      <c r="Q19" s="1237"/>
      <c r="R19" s="1237"/>
      <c r="S19" s="1237"/>
      <c r="T19" s="1237"/>
      <c r="U19" s="1237"/>
      <c r="V19" s="1237"/>
      <c r="W19" s="1237"/>
      <c r="X19" s="1237"/>
      <c r="Y19" s="1237"/>
      <c r="Z19" s="1237"/>
      <c r="AA19" s="1237"/>
      <c r="AB19" s="1237"/>
      <c r="AC19" s="1237"/>
      <c r="AD19" s="1237"/>
      <c r="AE19" s="1237"/>
      <c r="AF19" s="1237"/>
      <c r="AG19" s="1237"/>
      <c r="AH19" s="1207"/>
    </row>
    <row r="20" spans="1:35" x14ac:dyDescent="0.2">
      <c r="A20" s="1242"/>
      <c r="B20" s="1237"/>
      <c r="C20" s="1237"/>
      <c r="D20" s="1239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41"/>
      <c r="Q20" s="1237"/>
      <c r="R20" s="1237"/>
      <c r="S20" s="1237"/>
      <c r="T20" s="1237"/>
      <c r="U20" s="1237"/>
      <c r="V20" s="1237"/>
      <c r="W20" s="1237"/>
      <c r="X20" s="1237"/>
      <c r="Y20" s="1237"/>
      <c r="Z20" s="1237"/>
      <c r="AA20" s="1237"/>
      <c r="AB20" s="1237"/>
      <c r="AC20" s="1237"/>
      <c r="AD20" s="1237"/>
      <c r="AE20" s="1237"/>
      <c r="AF20" s="1237"/>
      <c r="AG20" s="1237"/>
      <c r="AH20" s="1207"/>
    </row>
    <row r="21" spans="1:35" ht="13.5" thickBot="1" x14ac:dyDescent="0.25">
      <c r="A21" s="1236"/>
      <c r="B21" s="1237"/>
      <c r="C21" s="1237"/>
      <c r="D21" s="1237"/>
      <c r="E21" s="1237"/>
      <c r="F21" s="1237"/>
      <c r="G21" s="1237"/>
      <c r="H21" s="1237"/>
      <c r="I21" s="1237"/>
      <c r="J21" s="1237"/>
      <c r="K21" s="1237"/>
      <c r="L21" s="1237"/>
      <c r="M21" s="1237"/>
      <c r="N21" s="1237"/>
      <c r="O21" s="1237"/>
      <c r="P21" s="1241"/>
      <c r="Q21" s="1237"/>
      <c r="R21" s="1237"/>
      <c r="S21" s="1237"/>
      <c r="T21" s="1237"/>
      <c r="U21" s="1237"/>
      <c r="V21" s="1237"/>
      <c r="W21" s="1237"/>
      <c r="X21" s="1237"/>
      <c r="Y21" s="1237"/>
      <c r="Z21" s="1237"/>
      <c r="AA21" s="1237"/>
      <c r="AB21" s="1237"/>
      <c r="AC21" s="1237"/>
      <c r="AD21" s="1237"/>
      <c r="AE21" s="1237"/>
      <c r="AF21" s="1237"/>
      <c r="AG21" s="1237"/>
      <c r="AH21" s="1207"/>
    </row>
    <row r="22" spans="1:35" ht="13.5" thickBot="1" x14ac:dyDescent="0.25">
      <c r="A22" s="1236"/>
      <c r="B22" s="1237"/>
      <c r="C22" s="1243"/>
      <c r="D22" s="1244" t="s">
        <v>16</v>
      </c>
      <c r="E22" s="1244"/>
      <c r="F22" s="1244"/>
      <c r="G22" s="1244"/>
      <c r="H22" s="1244"/>
      <c r="I22" s="1244"/>
      <c r="J22" s="1244"/>
      <c r="K22" s="1244"/>
      <c r="L22" s="1244"/>
      <c r="M22" s="1244"/>
      <c r="N22" s="1244"/>
      <c r="O22" s="1244"/>
      <c r="P22" s="1245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244"/>
      <c r="AE22" s="1244"/>
      <c r="AF22" s="1244"/>
      <c r="AG22" s="1244"/>
      <c r="AH22" s="1207"/>
    </row>
    <row r="23" spans="1:35" ht="13.5" thickBot="1" x14ac:dyDescent="0.25">
      <c r="A23" s="1236"/>
      <c r="B23" s="1237"/>
      <c r="C23" s="1246" t="s">
        <v>452</v>
      </c>
      <c r="D23" s="1246" t="s">
        <v>453</v>
      </c>
      <c r="E23" s="1246" t="s">
        <v>434</v>
      </c>
      <c r="F23" s="1246" t="s">
        <v>390</v>
      </c>
      <c r="G23" s="1246" t="s">
        <v>454</v>
      </c>
      <c r="H23" s="1246" t="s">
        <v>455</v>
      </c>
      <c r="I23" s="1246" t="s">
        <v>456</v>
      </c>
      <c r="J23" s="1246" t="s">
        <v>457</v>
      </c>
      <c r="K23" s="1246" t="s">
        <v>458</v>
      </c>
      <c r="L23" s="1246" t="s">
        <v>216</v>
      </c>
      <c r="M23" s="1246" t="s">
        <v>459</v>
      </c>
      <c r="N23" s="1246" t="s">
        <v>297</v>
      </c>
      <c r="O23" s="1246" t="s">
        <v>211</v>
      </c>
      <c r="P23" s="1247" t="s">
        <v>270</v>
      </c>
      <c r="Q23" s="1246" t="s">
        <v>490</v>
      </c>
      <c r="R23" s="1246" t="s">
        <v>460</v>
      </c>
      <c r="S23" s="1246" t="s">
        <v>461</v>
      </c>
      <c r="T23" s="1246" t="s">
        <v>442</v>
      </c>
      <c r="U23" s="1246" t="s">
        <v>462</v>
      </c>
      <c r="V23" s="1246" t="s">
        <v>470</v>
      </c>
      <c r="W23" s="1246" t="s">
        <v>471</v>
      </c>
      <c r="X23" s="1246" t="s">
        <v>472</v>
      </c>
      <c r="Y23" s="1246" t="s">
        <v>463</v>
      </c>
      <c r="Z23" s="1246" t="s">
        <v>465</v>
      </c>
      <c r="AA23" s="1246" t="s">
        <v>466</v>
      </c>
      <c r="AB23" s="1246" t="s">
        <v>435</v>
      </c>
      <c r="AC23" s="1246" t="s">
        <v>467</v>
      </c>
      <c r="AD23" s="1246" t="s">
        <v>464</v>
      </c>
      <c r="AE23" s="1246" t="s">
        <v>429</v>
      </c>
      <c r="AF23" s="1246" t="s">
        <v>149</v>
      </c>
      <c r="AG23" s="1246" t="s">
        <v>210</v>
      </c>
      <c r="AH23" s="1207"/>
    </row>
    <row r="24" spans="1:35" x14ac:dyDescent="0.2">
      <c r="A24" s="1233"/>
      <c r="B24" s="1248"/>
      <c r="C24" s="1237"/>
      <c r="D24" s="1237"/>
      <c r="E24" s="1237"/>
      <c r="F24" s="1237"/>
      <c r="G24" s="1237"/>
      <c r="H24" s="1237"/>
      <c r="I24" s="1237"/>
      <c r="J24" s="1237"/>
      <c r="K24" s="1237"/>
      <c r="L24" s="1237"/>
      <c r="M24" s="1237"/>
      <c r="N24" s="1237"/>
      <c r="O24" s="1237"/>
      <c r="P24" s="1241"/>
      <c r="Q24" s="1237"/>
      <c r="R24" s="1237"/>
      <c r="S24" s="1237"/>
      <c r="T24" s="1237"/>
      <c r="U24" s="1237"/>
      <c r="V24" s="1237"/>
      <c r="W24" s="1237"/>
      <c r="X24" s="1237"/>
      <c r="Y24" s="1237"/>
      <c r="Z24" s="1237"/>
      <c r="AA24" s="1237"/>
      <c r="AB24" s="1237"/>
      <c r="AC24" s="1237"/>
      <c r="AD24" s="1237"/>
      <c r="AE24" s="1237"/>
      <c r="AF24" s="1237"/>
      <c r="AG24" s="1237"/>
      <c r="AH24" s="1207"/>
    </row>
    <row r="25" spans="1:35" x14ac:dyDescent="0.2">
      <c r="A25" s="1236" t="s">
        <v>0</v>
      </c>
      <c r="B25" s="1249">
        <v>-403216.23499999999</v>
      </c>
      <c r="C25" s="1237"/>
      <c r="D25" s="1237"/>
      <c r="E25" s="1237"/>
      <c r="F25" s="1237"/>
      <c r="G25" s="1237"/>
      <c r="H25" s="1237"/>
      <c r="I25" s="1237"/>
      <c r="J25" s="1237"/>
      <c r="K25" s="1237"/>
      <c r="L25" s="1237"/>
      <c r="M25" s="1237"/>
      <c r="N25" s="1237"/>
      <c r="O25" s="1237"/>
      <c r="P25" s="1241"/>
      <c r="Q25" s="1237"/>
      <c r="R25" s="1237"/>
      <c r="S25" s="1237"/>
      <c r="T25" s="1237"/>
      <c r="U25" s="1237"/>
      <c r="V25" s="1237"/>
      <c r="W25" s="1237"/>
      <c r="X25" s="1237"/>
      <c r="Y25" s="1237"/>
      <c r="Z25" s="1237"/>
      <c r="AA25" s="1237"/>
      <c r="AB25" s="1237"/>
      <c r="AC25" s="1237"/>
      <c r="AD25" s="1237"/>
      <c r="AE25" s="1237"/>
      <c r="AF25" s="1237"/>
      <c r="AG25" s="1237"/>
      <c r="AH25" s="1207"/>
    </row>
    <row r="26" spans="1:35" ht="13.5" thickBot="1" x14ac:dyDescent="0.25">
      <c r="A26" s="1250"/>
      <c r="B26" s="1251"/>
      <c r="C26" s="1237"/>
      <c r="D26" s="1237"/>
      <c r="E26" s="1237"/>
      <c r="F26" s="1237"/>
      <c r="G26" s="1252"/>
      <c r="H26" s="1237"/>
      <c r="I26" s="1237"/>
      <c r="J26" s="1237"/>
      <c r="K26" s="1237"/>
      <c r="L26" s="1237"/>
      <c r="M26" s="1237"/>
      <c r="N26" s="1237"/>
      <c r="O26" s="1237"/>
      <c r="P26" s="1241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07"/>
    </row>
    <row r="27" spans="1:35" x14ac:dyDescent="0.2">
      <c r="A27" s="1233"/>
      <c r="B27" s="1253"/>
      <c r="C27" s="1237"/>
      <c r="D27" s="1237"/>
      <c r="E27" s="1237"/>
      <c r="F27" s="1237"/>
      <c r="G27" s="1237"/>
      <c r="H27" s="1237"/>
      <c r="I27" s="1237"/>
      <c r="J27" s="1237"/>
      <c r="K27" s="1237"/>
      <c r="L27" s="1237"/>
      <c r="M27" s="1237"/>
      <c r="N27" s="1237"/>
      <c r="O27" s="1237"/>
      <c r="P27" s="1241"/>
      <c r="Q27" s="1237"/>
      <c r="R27" s="1237"/>
      <c r="S27" s="1237"/>
      <c r="T27" s="1237"/>
      <c r="U27" s="1237"/>
      <c r="V27" s="1237"/>
      <c r="W27" s="1237"/>
      <c r="X27" s="1237"/>
      <c r="Y27" s="1237"/>
      <c r="Z27" s="1237"/>
      <c r="AA27" s="1237"/>
      <c r="AB27" s="1237"/>
      <c r="AC27" s="1237"/>
      <c r="AD27" s="1237"/>
      <c r="AE27" s="1237"/>
      <c r="AF27" s="1237"/>
      <c r="AG27" s="1237"/>
      <c r="AH27" s="1207"/>
    </row>
    <row r="28" spans="1:35" x14ac:dyDescent="0.2">
      <c r="A28" s="1236" t="s">
        <v>1</v>
      </c>
      <c r="B28" s="1249">
        <f>B29+B30+B31</f>
        <v>1979.6690000000001</v>
      </c>
      <c r="C28" s="1237"/>
      <c r="D28" s="1237"/>
      <c r="E28" s="1237"/>
      <c r="F28" s="1237"/>
      <c r="G28" s="1237"/>
      <c r="H28" s="1237"/>
      <c r="I28" s="1237"/>
      <c r="J28" s="1237"/>
      <c r="K28" s="1237"/>
      <c r="L28" s="1237"/>
      <c r="M28" s="1237"/>
      <c r="N28" s="1237"/>
      <c r="O28" s="1237"/>
      <c r="P28" s="1241"/>
      <c r="Q28" s="1237"/>
      <c r="R28" s="1237"/>
      <c r="S28" s="1237"/>
      <c r="T28" s="1237"/>
      <c r="U28" s="1237"/>
      <c r="V28" s="1237"/>
      <c r="W28" s="1237"/>
      <c r="X28" s="1237"/>
      <c r="Y28" s="1237"/>
      <c r="Z28" s="1237"/>
      <c r="AA28" s="1237"/>
      <c r="AB28" s="1237"/>
      <c r="AC28" s="1237"/>
      <c r="AD28" s="1237"/>
      <c r="AE28" s="1237"/>
      <c r="AF28" s="1237"/>
      <c r="AG28" s="1237"/>
      <c r="AH28" s="1207"/>
    </row>
    <row r="29" spans="1:35" x14ac:dyDescent="0.2">
      <c r="A29" s="1236" t="s">
        <v>38</v>
      </c>
      <c r="B29" s="1249">
        <f>C82</f>
        <v>1979.6690000000001</v>
      </c>
      <c r="C29" s="1237"/>
      <c r="D29" s="1237"/>
      <c r="E29" s="1237"/>
      <c r="F29" s="1237"/>
      <c r="G29" s="1237"/>
      <c r="H29" s="1237"/>
      <c r="I29" s="1237"/>
      <c r="J29" s="1237"/>
      <c r="K29" s="1237"/>
      <c r="L29" s="1237"/>
      <c r="M29" s="1237"/>
      <c r="N29" s="1237"/>
      <c r="O29" s="1237"/>
      <c r="P29" s="1241"/>
      <c r="Q29" s="1237"/>
      <c r="R29" s="1237"/>
      <c r="S29" s="1237"/>
      <c r="T29" s="1237"/>
      <c r="U29" s="1237"/>
      <c r="V29" s="1237"/>
      <c r="W29" s="1237"/>
      <c r="X29" s="1237"/>
      <c r="Y29" s="1237"/>
      <c r="Z29" s="1237"/>
      <c r="AA29" s="1237"/>
      <c r="AB29" s="1237"/>
      <c r="AC29" s="1237"/>
      <c r="AD29" s="1237"/>
      <c r="AE29" s="1237"/>
      <c r="AF29" s="1237"/>
      <c r="AG29" s="1237"/>
      <c r="AH29" s="1207"/>
    </row>
    <row r="30" spans="1:35" x14ac:dyDescent="0.2">
      <c r="A30" s="1236" t="s">
        <v>39</v>
      </c>
      <c r="B30" s="1249"/>
      <c r="C30" s="1237"/>
      <c r="D30" s="1237"/>
      <c r="E30" s="1237"/>
      <c r="F30" s="1237"/>
      <c r="G30" s="1237"/>
      <c r="H30" s="1237"/>
      <c r="I30" s="1237"/>
      <c r="J30" s="1237"/>
      <c r="K30" s="1237"/>
      <c r="L30" s="1237"/>
      <c r="M30" s="1237"/>
      <c r="N30" s="1237"/>
      <c r="O30" s="1237"/>
      <c r="P30" s="1241"/>
      <c r="Q30" s="1237"/>
      <c r="R30" s="1237"/>
      <c r="S30" s="1237"/>
      <c r="T30" s="1237"/>
      <c r="U30" s="1237"/>
      <c r="V30" s="1237"/>
      <c r="W30" s="1237"/>
      <c r="X30" s="1237"/>
      <c r="Y30" s="1237"/>
      <c r="Z30" s="1237"/>
      <c r="AA30" s="1237"/>
      <c r="AB30" s="1237"/>
      <c r="AC30" s="1237"/>
      <c r="AD30" s="1237"/>
      <c r="AE30" s="1237"/>
      <c r="AF30" s="1237"/>
      <c r="AG30" s="1237"/>
      <c r="AH30" s="1207"/>
    </row>
    <row r="31" spans="1:35" x14ac:dyDescent="0.2">
      <c r="A31" s="1236" t="s">
        <v>3</v>
      </c>
      <c r="B31" s="1249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41"/>
      <c r="Q31" s="1237"/>
      <c r="R31" s="1237"/>
      <c r="S31" s="1237"/>
      <c r="T31" s="1237"/>
      <c r="U31" s="1237"/>
      <c r="V31" s="1237"/>
      <c r="W31" s="1237"/>
      <c r="X31" s="1237"/>
      <c r="Y31" s="1237"/>
      <c r="Z31" s="1237"/>
      <c r="AA31" s="1237"/>
      <c r="AB31" s="1237"/>
      <c r="AC31" s="1237"/>
      <c r="AD31" s="1237"/>
      <c r="AE31" s="1237"/>
      <c r="AF31" s="1237"/>
      <c r="AG31" s="1237"/>
      <c r="AH31" s="1207"/>
    </row>
    <row r="32" spans="1:35" ht="13.5" thickBot="1" x14ac:dyDescent="0.25">
      <c r="A32" s="1250"/>
      <c r="B32" s="1251"/>
      <c r="C32" s="1237"/>
      <c r="D32" s="1237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41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37"/>
      <c r="AE32" s="1237"/>
      <c r="AF32" s="1237"/>
      <c r="AG32" s="1237"/>
      <c r="AH32" s="1207"/>
    </row>
    <row r="33" spans="1:40" ht="18" x14ac:dyDescent="0.25">
      <c r="A33" s="1233"/>
      <c r="B33" s="1253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  <c r="M33" s="1237"/>
      <c r="N33" s="1237"/>
      <c r="O33" s="1254"/>
      <c r="P33" s="1241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37"/>
      <c r="AE33" s="1237"/>
      <c r="AF33" s="1237"/>
      <c r="AG33" s="1237"/>
      <c r="AH33" s="1207"/>
    </row>
    <row r="34" spans="1:40" ht="18" x14ac:dyDescent="0.25">
      <c r="A34" s="1236" t="s">
        <v>4</v>
      </c>
      <c r="B34" s="1249">
        <f>B25+B28</f>
        <v>-401236.56599999999</v>
      </c>
      <c r="C34" s="1237"/>
      <c r="D34" s="1237"/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54"/>
      <c r="P34" s="1241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37"/>
      <c r="AE34" s="1237"/>
      <c r="AF34" s="1237"/>
      <c r="AG34" s="1237"/>
      <c r="AH34" s="1207"/>
    </row>
    <row r="35" spans="1:40" ht="18.75" thickBot="1" x14ac:dyDescent="0.3">
      <c r="A35" s="1250"/>
      <c r="B35" s="1251"/>
      <c r="C35" s="1237"/>
      <c r="D35" s="1237"/>
      <c r="E35" s="1237"/>
      <c r="F35" s="1237"/>
      <c r="G35" s="1237"/>
      <c r="H35" s="1237"/>
      <c r="I35" s="1237"/>
      <c r="K35" s="1237"/>
      <c r="L35" s="1237"/>
      <c r="M35" s="1237"/>
      <c r="N35" s="1237"/>
      <c r="O35" s="1254"/>
      <c r="P35" s="1241"/>
      <c r="Q35" s="1237"/>
      <c r="R35" s="1237"/>
      <c r="S35" s="1237"/>
      <c r="T35" s="1237"/>
      <c r="U35" s="1237"/>
      <c r="V35" s="1237"/>
      <c r="W35" s="1237"/>
      <c r="X35" s="1237"/>
      <c r="Y35" s="1237"/>
      <c r="Z35" s="1237"/>
      <c r="AA35" s="1237"/>
      <c r="AB35" s="1237"/>
      <c r="AC35" s="1237"/>
      <c r="AD35" s="1237"/>
      <c r="AE35" s="1237"/>
      <c r="AF35" s="1237"/>
      <c r="AG35" s="1237"/>
      <c r="AH35" s="1207"/>
    </row>
    <row r="36" spans="1:40" x14ac:dyDescent="0.2">
      <c r="A36" s="1233"/>
      <c r="B36" s="1253"/>
      <c r="C36" s="1237"/>
      <c r="D36" s="1237"/>
      <c r="E36" s="1237"/>
      <c r="F36" s="1237"/>
      <c r="G36" s="1237"/>
      <c r="H36" s="1237"/>
      <c r="I36" s="1237"/>
      <c r="J36" s="1237"/>
      <c r="K36" s="1237"/>
      <c r="L36" s="1237"/>
      <c r="M36" s="1237"/>
      <c r="N36" s="1237"/>
      <c r="O36" s="1237"/>
      <c r="P36" s="1241"/>
      <c r="Q36" s="1237"/>
      <c r="R36" s="1237"/>
      <c r="S36" s="1237"/>
      <c r="T36" s="1237"/>
      <c r="U36" s="1237"/>
      <c r="V36" s="1237"/>
      <c r="W36" s="1237"/>
      <c r="X36" s="1237"/>
      <c r="Y36" s="1237"/>
      <c r="Z36" s="1237"/>
      <c r="AA36" s="1237"/>
      <c r="AB36" s="1237"/>
      <c r="AC36" s="1237"/>
      <c r="AD36" s="1237"/>
      <c r="AE36" s="1237"/>
      <c r="AF36" s="1237"/>
      <c r="AG36" s="1237"/>
      <c r="AH36" s="1207"/>
    </row>
    <row r="37" spans="1:40" ht="18" x14ac:dyDescent="0.25">
      <c r="A37" s="1236" t="s">
        <v>913</v>
      </c>
      <c r="B37" s="1249"/>
      <c r="C37" s="1237"/>
      <c r="D37" s="1237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12"/>
      <c r="Q37" s="1625"/>
      <c r="R37" s="1237"/>
      <c r="S37" s="1255"/>
      <c r="T37" s="1237"/>
      <c r="U37" s="1237"/>
      <c r="V37" s="1237"/>
      <c r="W37" s="1237"/>
      <c r="X37" s="1237"/>
      <c r="Y37" s="1237"/>
      <c r="Z37" s="1237"/>
      <c r="AA37" s="1237"/>
      <c r="AB37" s="1237"/>
      <c r="AC37" s="1748"/>
      <c r="AD37" s="1748"/>
      <c r="AE37" s="1237"/>
      <c r="AF37" s="1237"/>
      <c r="AG37" s="1237"/>
      <c r="AH37" s="1207"/>
    </row>
    <row r="38" spans="1:40" ht="13.5" thickBot="1" x14ac:dyDescent="0.25">
      <c r="A38" s="1250"/>
      <c r="B38" s="1251"/>
      <c r="C38" s="1626" t="s">
        <v>166</v>
      </c>
      <c r="D38" s="1237"/>
      <c r="E38" s="1626" t="s">
        <v>177</v>
      </c>
      <c r="F38" s="1237"/>
      <c r="G38" s="1237"/>
      <c r="H38" s="1625"/>
      <c r="I38" s="1237"/>
      <c r="J38" s="1237"/>
      <c r="K38" s="1241"/>
      <c r="L38" s="1237"/>
      <c r="M38" s="1576"/>
      <c r="N38" s="1237"/>
      <c r="O38" s="1237"/>
      <c r="P38" s="1241"/>
      <c r="Q38" s="1237" t="s">
        <v>1492</v>
      </c>
      <c r="R38" s="1237"/>
      <c r="S38" s="1237"/>
      <c r="T38" s="1237"/>
      <c r="U38" s="1237"/>
      <c r="V38" s="1237"/>
      <c r="W38" s="1237"/>
      <c r="X38" s="1237"/>
      <c r="Y38" s="1237"/>
      <c r="Z38" s="1237"/>
      <c r="AA38" s="1237"/>
      <c r="AB38" s="1237"/>
      <c r="AC38" s="1237"/>
      <c r="AD38" s="1237"/>
      <c r="AE38" s="1237"/>
      <c r="AF38" s="1237"/>
      <c r="AG38" s="1237"/>
      <c r="AH38" s="1207"/>
    </row>
    <row r="39" spans="1:40" x14ac:dyDescent="0.2">
      <c r="A39" s="1233"/>
      <c r="B39" s="1253"/>
      <c r="C39" s="1625"/>
      <c r="D39" s="1624"/>
      <c r="E39" s="1624"/>
      <c r="F39" s="1237"/>
      <c r="G39" s="1237"/>
      <c r="H39" s="1624"/>
      <c r="I39" s="1237"/>
      <c r="J39" s="1237"/>
      <c r="K39" s="1237"/>
      <c r="L39" s="1237"/>
      <c r="M39" s="1625"/>
      <c r="N39" s="1237"/>
      <c r="O39" s="1258"/>
      <c r="P39" s="1212"/>
      <c r="Q39" s="1584" t="s">
        <v>1464</v>
      </c>
      <c r="R39" s="1237"/>
      <c r="S39" s="1625"/>
      <c r="T39" s="1237"/>
      <c r="U39" s="1259"/>
      <c r="V39" s="1259"/>
      <c r="W39" s="1586"/>
      <c r="X39" s="1259"/>
      <c r="Y39" s="1212" t="s">
        <v>1473</v>
      </c>
      <c r="Z39" s="1586"/>
      <c r="AA39" s="1261"/>
      <c r="AB39" s="1586"/>
      <c r="AC39" s="1587"/>
      <c r="AD39" s="1267" t="s">
        <v>1473</v>
      </c>
      <c r="AE39" s="1586"/>
      <c r="AF39" s="1259"/>
      <c r="AG39" s="1267" t="s">
        <v>1473</v>
      </c>
      <c r="AH39" s="1207"/>
    </row>
    <row r="40" spans="1:40" x14ac:dyDescent="0.2">
      <c r="A40" s="1236" t="s">
        <v>5</v>
      </c>
      <c r="B40" s="1249">
        <f>B34-B37</f>
        <v>-401236.56599999999</v>
      </c>
      <c r="C40" s="1256" t="s">
        <v>1216</v>
      </c>
      <c r="D40" s="1677" t="s">
        <v>206</v>
      </c>
      <c r="E40" s="1648"/>
      <c r="F40" s="1648"/>
      <c r="G40" s="1648" t="s">
        <v>1501</v>
      </c>
      <c r="H40" s="1625"/>
      <c r="I40" s="1625"/>
      <c r="J40" s="1648"/>
      <c r="K40" s="1648"/>
      <c r="L40" s="1649" t="s">
        <v>1488</v>
      </c>
      <c r="M40" s="1212"/>
      <c r="N40" s="1512"/>
      <c r="O40" s="1212"/>
      <c r="P40" s="1212"/>
      <c r="Q40" s="1212"/>
      <c r="R40" s="1625"/>
      <c r="S40" s="1212"/>
      <c r="T40" s="1212"/>
      <c r="U40" s="1212"/>
      <c r="V40" s="1263"/>
      <c r="W40" s="1212" t="s">
        <v>1489</v>
      </c>
      <c r="X40" s="1694" t="s">
        <v>1445</v>
      </c>
      <c r="Z40" s="1212"/>
      <c r="AA40" s="1264" t="s">
        <v>1445</v>
      </c>
      <c r="AB40" s="1212" t="s">
        <v>1282</v>
      </c>
      <c r="AC40" s="1212" t="s">
        <v>1494</v>
      </c>
      <c r="AD40" s="1267" t="s">
        <v>1445</v>
      </c>
      <c r="AE40" s="1267" t="s">
        <v>341</v>
      </c>
      <c r="AF40" s="1268"/>
      <c r="AG40" s="1267" t="s">
        <v>1445</v>
      </c>
      <c r="AH40" s="1207"/>
      <c r="AK40" s="1283"/>
    </row>
    <row r="41" spans="1:40" ht="13.5" thickBot="1" x14ac:dyDescent="0.25">
      <c r="A41" s="1250"/>
      <c r="B41" s="1251"/>
      <c r="C41" s="1237"/>
      <c r="D41" s="1237"/>
      <c r="E41" s="1237"/>
      <c r="F41" s="1237"/>
      <c r="G41" s="1237"/>
      <c r="H41" s="1237"/>
      <c r="I41" s="1237"/>
      <c r="J41" s="1237"/>
      <c r="K41" s="1237"/>
      <c r="L41" s="1625"/>
      <c r="M41" s="1237"/>
      <c r="N41" s="1237"/>
      <c r="O41" s="1237"/>
      <c r="P41" s="1241"/>
      <c r="Q41" s="1237"/>
      <c r="R41" s="1237"/>
      <c r="S41" s="1237"/>
      <c r="T41" s="1237"/>
      <c r="U41" s="1237"/>
      <c r="V41" s="1237"/>
      <c r="W41" s="1237"/>
      <c r="X41" s="1237"/>
      <c r="Y41" s="1237"/>
      <c r="Z41" s="1237"/>
      <c r="AA41" s="1237"/>
      <c r="AB41" s="1237"/>
      <c r="AC41" s="1237"/>
      <c r="AD41" s="1237"/>
      <c r="AE41" s="1237"/>
      <c r="AF41" s="1237"/>
      <c r="AG41" s="1237"/>
      <c r="AH41" s="1207"/>
      <c r="AK41" s="1283"/>
    </row>
    <row r="42" spans="1:40" x14ac:dyDescent="0.2">
      <c r="A42" s="1269"/>
      <c r="B42" s="1237"/>
      <c r="C42" s="1270"/>
      <c r="D42" s="1271"/>
      <c r="E42" s="1272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3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  <c r="AB42" s="1271"/>
      <c r="AC42" s="1271"/>
      <c r="AD42" s="1271"/>
      <c r="AE42" s="1271"/>
      <c r="AF42" s="1271"/>
      <c r="AG42" s="1271"/>
      <c r="AH42" s="1227">
        <f t="shared" ref="AH42:AH58" si="9">SUM(C42:AG42)</f>
        <v>0</v>
      </c>
    </row>
    <row r="43" spans="1:40" ht="13.5" thickBot="1" x14ac:dyDescent="0.25">
      <c r="A43" s="1274" t="s">
        <v>914</v>
      </c>
      <c r="B43" s="1237"/>
      <c r="C43" s="1300">
        <f t="shared" ref="C43:AG43" si="10">C44+C45+C48+C52+C51+C49+C50+C46+C47</f>
        <v>0</v>
      </c>
      <c r="D43" s="1275">
        <f t="shared" si="10"/>
        <v>7195.3130000000001</v>
      </c>
      <c r="E43" s="1275">
        <f t="shared" si="10"/>
        <v>0</v>
      </c>
      <c r="F43" s="1275">
        <f t="shared" si="10"/>
        <v>0</v>
      </c>
      <c r="G43" s="1275">
        <f t="shared" si="10"/>
        <v>0.32000000000334694</v>
      </c>
      <c r="H43" s="1275">
        <f t="shared" si="10"/>
        <v>0</v>
      </c>
      <c r="I43" s="1275">
        <f t="shared" si="10"/>
        <v>0</v>
      </c>
      <c r="J43" s="1275">
        <f t="shared" si="10"/>
        <v>0</v>
      </c>
      <c r="K43" s="1275">
        <f t="shared" si="10"/>
        <v>0</v>
      </c>
      <c r="L43" s="1275">
        <f t="shared" si="10"/>
        <v>8950</v>
      </c>
      <c r="M43" s="1275">
        <f t="shared" si="10"/>
        <v>0</v>
      </c>
      <c r="N43" s="1275">
        <f t="shared" si="10"/>
        <v>6.5938365878537297E-12</v>
      </c>
      <c r="O43" s="1275">
        <f t="shared" si="10"/>
        <v>0</v>
      </c>
      <c r="P43" s="1276">
        <f t="shared" si="10"/>
        <v>0</v>
      </c>
      <c r="Q43" s="1275">
        <f t="shared" si="10"/>
        <v>2279.284999999998</v>
      </c>
      <c r="R43" s="1275">
        <f t="shared" si="10"/>
        <v>0</v>
      </c>
      <c r="S43" s="1275">
        <f t="shared" si="10"/>
        <v>0</v>
      </c>
      <c r="T43" s="1275">
        <f t="shared" si="10"/>
        <v>0</v>
      </c>
      <c r="U43" s="1275">
        <f t="shared" si="10"/>
        <v>0</v>
      </c>
      <c r="V43" s="1275">
        <f t="shared" si="10"/>
        <v>-1.2505552149377763E-12</v>
      </c>
      <c r="W43" s="1275">
        <f t="shared" si="10"/>
        <v>0</v>
      </c>
      <c r="X43" s="1275">
        <f t="shared" si="10"/>
        <v>0</v>
      </c>
      <c r="Y43" s="1275">
        <f t="shared" si="10"/>
        <v>0</v>
      </c>
      <c r="Z43" s="1275">
        <f t="shared" si="10"/>
        <v>0</v>
      </c>
      <c r="AA43" s="1275">
        <f t="shared" si="10"/>
        <v>-1.8189894035458565E-12</v>
      </c>
      <c r="AB43" s="1275">
        <f t="shared" si="10"/>
        <v>22800</v>
      </c>
      <c r="AC43" s="1275">
        <f t="shared" si="10"/>
        <v>1071.419999999991</v>
      </c>
      <c r="AD43" s="1275">
        <f t="shared" si="10"/>
        <v>1970.635000000002</v>
      </c>
      <c r="AE43" s="1275">
        <f t="shared" si="10"/>
        <v>28800.000000000011</v>
      </c>
      <c r="AF43" s="1275">
        <f t="shared" si="10"/>
        <v>9115.119999999999</v>
      </c>
      <c r="AG43" s="1275">
        <f t="shared" si="10"/>
        <v>-3.637978807091713E-12</v>
      </c>
      <c r="AH43" s="1227">
        <f t="shared" si="9"/>
        <v>82182.093000000008</v>
      </c>
    </row>
    <row r="44" spans="1:40" x14ac:dyDescent="0.2">
      <c r="A44" s="1274" t="s">
        <v>8</v>
      </c>
      <c r="B44" s="1237"/>
      <c r="C44" s="1630">
        <f>5215-5215</f>
        <v>0</v>
      </c>
      <c r="D44" s="1630"/>
      <c r="E44" s="1630">
        <f>6774.162-6774.162</f>
        <v>0</v>
      </c>
      <c r="F44" s="1630">
        <f>22700-22700</f>
        <v>0</v>
      </c>
      <c r="G44" s="1630">
        <f>38780.504-8940-7000-6740.504-16100</f>
        <v>0</v>
      </c>
      <c r="H44" s="1630">
        <f>11000-11000</f>
        <v>0</v>
      </c>
      <c r="I44" s="1630"/>
      <c r="J44" s="1630">
        <f>20300-20300</f>
        <v>0</v>
      </c>
      <c r="K44" s="1630"/>
      <c r="L44" s="1630">
        <f>32654.841-1572.928-16050-5212.463-869.45</f>
        <v>8950</v>
      </c>
      <c r="M44" s="1630"/>
      <c r="N44" s="1630"/>
      <c r="O44" s="1630"/>
      <c r="P44" s="1630">
        <f>2272.041-2272.041</f>
        <v>0</v>
      </c>
      <c r="Q44" s="1630">
        <f>18215.315-17616.805-353.75</f>
        <v>244.7599999999984</v>
      </c>
      <c r="R44" s="1630"/>
      <c r="S44" s="1630">
        <f>5200-5200</f>
        <v>0</v>
      </c>
      <c r="T44" s="1630"/>
      <c r="U44" s="1630"/>
      <c r="V44" s="1630">
        <f>9250-9250</f>
        <v>0</v>
      </c>
      <c r="W44" s="1630"/>
      <c r="X44" s="1630">
        <v>16300</v>
      </c>
      <c r="Y44" s="1630">
        <v>7500</v>
      </c>
      <c r="Z44" s="1630">
        <f>10148.311-5140.559-5007.752</f>
        <v>0</v>
      </c>
      <c r="AA44" s="1630">
        <f>54289.865-6050-7350-9300-9450-5789.865</f>
        <v>16349.999999999998</v>
      </c>
      <c r="AB44" s="1630">
        <f>2600.89-2600.89</f>
        <v>0</v>
      </c>
      <c r="AC44" s="1630"/>
      <c r="AD44" s="1630">
        <v>24000</v>
      </c>
      <c r="AE44" s="1630">
        <f>20097.181-5081.877-9600-5415.304</f>
        <v>0</v>
      </c>
      <c r="AF44" s="1630">
        <f>8201.837-8201.837</f>
        <v>0</v>
      </c>
      <c r="AG44" s="1630">
        <f>96619.704-2010.698-4775.55-9221.627-9273.663-6091.21-7285.83-35000</f>
        <v>22961.125999999997</v>
      </c>
      <c r="AH44" s="1455">
        <f t="shared" si="9"/>
        <v>96305.885999999999</v>
      </c>
      <c r="AN44" s="1280">
        <v>9918.1650000000009</v>
      </c>
    </row>
    <row r="45" spans="1:40" x14ac:dyDescent="0.2">
      <c r="A45" s="1274" t="s">
        <v>703</v>
      </c>
      <c r="B45" s="1237"/>
      <c r="C45" s="1293"/>
      <c r="D45" s="1629">
        <f>2312+6136+705+354-2311.687</f>
        <v>7195.3130000000001</v>
      </c>
      <c r="E45" s="1304">
        <f>2950.362-1120.422-1829.94</f>
        <v>0</v>
      </c>
      <c r="F45" s="1304">
        <f>28068.774-1418.774-26650</f>
        <v>0</v>
      </c>
      <c r="G45" s="1304">
        <f>37404.943-1878.115-2994.501-7508.512-9267.088-9566.407-6190</f>
        <v>0.32000000000334694</v>
      </c>
      <c r="H45" s="1304"/>
      <c r="I45" s="1304">
        <f>900.81-900.81</f>
        <v>0</v>
      </c>
      <c r="J45" s="1304">
        <f>27993.02-1193.02-26800</f>
        <v>0</v>
      </c>
      <c r="K45" s="1304">
        <f>2984.112-417.748-446.829-2119.535</f>
        <v>0</v>
      </c>
      <c r="L45" s="1304">
        <f>18958.461-198.542-297.135-536.217-660.498-814.752-1600.539-2125.301-4461.407-8264.07</f>
        <v>0</v>
      </c>
      <c r="M45" s="1304"/>
      <c r="N45" s="1304">
        <f>50210.353-372.485-818.99-1149.39-4228.697-6741.401-8900-26850-1149.39</f>
        <v>6.5938365878537297E-12</v>
      </c>
      <c r="O45" s="1304"/>
      <c r="P45" s="1304">
        <f>738.545-738.545</f>
        <v>0</v>
      </c>
      <c r="Q45" s="1304">
        <f>5554.615-3520.09</f>
        <v>2034.5249999999996</v>
      </c>
      <c r="R45" s="1304">
        <f>38100-3500-7700-26900</f>
        <v>0</v>
      </c>
      <c r="S45" s="1304">
        <f>1147.821-1147.821</f>
        <v>0</v>
      </c>
      <c r="T45" s="1304">
        <f>11963.065-2384.639-2528.426-7050</f>
        <v>0</v>
      </c>
      <c r="U45" s="1304">
        <f>14507.716-7750-6757.716</f>
        <v>0</v>
      </c>
      <c r="V45" s="1304">
        <f>61386.558-834.17-1067.49-1198.553-2571.508-2880.016-4584.017-4849.096-8050-8100-26700-551.708</f>
        <v>-1.2505552149377763E-12</v>
      </c>
      <c r="W45" s="1304">
        <f>3490.063-676.64-2813.423</f>
        <v>0</v>
      </c>
      <c r="X45" s="1304">
        <f>1622.8-146.136-938.067-538.597</f>
        <v>0</v>
      </c>
      <c r="Y45" s="1304">
        <f>46112.186-1842.384-2216.828-8060-8992.974-25000</f>
        <v>0</v>
      </c>
      <c r="Z45" s="1304">
        <f>43270.208-2670.208-3500-5650-6200-7750-8500-9000</f>
        <v>0</v>
      </c>
      <c r="AA45" s="1304">
        <f>33380.872-5036.258-5500-6544.614-8000-8300</f>
        <v>0</v>
      </c>
      <c r="AB45" s="1304">
        <f>69077.667-1408.638-2029.54-2193.52-3143.859-3822.497-6979.613-9700-23000-7750-9050</f>
        <v>0</v>
      </c>
      <c r="AC45" s="1304">
        <f>42626.948-3462.226-3800.016-4693.286-7200-22400</f>
        <v>1071.419999999991</v>
      </c>
      <c r="AD45" s="1304">
        <f>30717.218-2070-3946.381-6813.37-7846.832-8070</f>
        <v>1970.6350000000002</v>
      </c>
      <c r="AE45" s="1304">
        <f>60666.785-433.839-496.666-2538.787-2557.56-2924.307-5168.697-5659.562-5802.71-6239.224-23500</f>
        <v>5345.4330000000118</v>
      </c>
      <c r="AF45" s="1304">
        <f>124628.557-266.059-602.168-695.2-1868.24-1880.004-2307.594-2371.003-2659.61-4018.134-4330.42-4807.573-5038.616-5456.166-6078.077-7036.73-7781.827-8039.956-8350-8516.514-9070-2698.024-7732.491-7759.031</f>
        <v>15265.119999999999</v>
      </c>
      <c r="AG45" s="1304">
        <f>11397.798-6277.57-5120.228</f>
        <v>0</v>
      </c>
      <c r="AH45" s="1455">
        <f t="shared" si="9"/>
        <v>32882.766000000011</v>
      </c>
      <c r="AI45" s="1283">
        <f>+AH45+AH44</f>
        <v>129188.652</v>
      </c>
      <c r="AJ45" s="1283"/>
      <c r="AN45" s="1280">
        <v>788.89499999999998</v>
      </c>
    </row>
    <row r="46" spans="1:40" x14ac:dyDescent="0.2">
      <c r="A46" s="1274" t="s">
        <v>704</v>
      </c>
      <c r="B46" s="1237"/>
      <c r="C46" s="1293">
        <f>4464.729-976.579-3488.15</f>
        <v>0</v>
      </c>
      <c r="D46" s="1282"/>
      <c r="E46" s="1282"/>
      <c r="F46" s="1593"/>
      <c r="G46" s="1593"/>
      <c r="H46" s="1593"/>
      <c r="I46" s="1593"/>
      <c r="J46" s="1593"/>
      <c r="K46" s="1593"/>
      <c r="L46" s="1593"/>
      <c r="M46" s="1593"/>
      <c r="N46" s="1593"/>
      <c r="O46" s="1593"/>
      <c r="P46" s="1593"/>
      <c r="Q46" s="1593"/>
      <c r="R46" s="1593"/>
      <c r="S46" s="1593"/>
      <c r="T46" s="1593"/>
      <c r="U46" s="1593"/>
      <c r="V46" s="1593"/>
      <c r="W46" s="1593"/>
      <c r="X46" s="1593">
        <v>-16300</v>
      </c>
      <c r="Y46" s="1593">
        <v>-7500</v>
      </c>
      <c r="Z46" s="1593"/>
      <c r="AA46" s="1593">
        <v>-16350</v>
      </c>
      <c r="AB46" s="1593"/>
      <c r="AC46" s="1593"/>
      <c r="AD46" s="1593">
        <f>+-16400-7600</f>
        <v>-24000</v>
      </c>
      <c r="AE46" s="1593"/>
      <c r="AF46" s="1593"/>
      <c r="AG46" s="1593">
        <f>+-15501.303-7459.823</f>
        <v>-22961.126</v>
      </c>
      <c r="AH46" s="1455">
        <f t="shared" si="9"/>
        <v>-87111.126000000004</v>
      </c>
      <c r="AN46" s="1280"/>
    </row>
    <row r="47" spans="1:40" x14ac:dyDescent="0.2">
      <c r="A47" s="1274" t="s">
        <v>705</v>
      </c>
      <c r="B47" s="1237"/>
      <c r="C47" s="1598"/>
      <c r="D47" s="1599"/>
      <c r="E47" s="1599"/>
      <c r="F47" s="1599"/>
      <c r="G47" s="1599"/>
      <c r="H47" s="1599"/>
      <c r="I47" s="1599"/>
      <c r="J47" s="1599"/>
      <c r="K47" s="1599"/>
      <c r="L47" s="1599"/>
      <c r="M47" s="1599"/>
      <c r="N47" s="1599"/>
      <c r="O47" s="1599"/>
      <c r="P47" s="1599"/>
      <c r="Q47" s="1599"/>
      <c r="R47" s="1599"/>
      <c r="S47" s="1599"/>
      <c r="T47" s="1599"/>
      <c r="U47" s="1599"/>
      <c r="V47" s="1304">
        <f>24442.09-24442.09</f>
        <v>0</v>
      </c>
      <c r="W47" s="1599"/>
      <c r="X47" s="1599"/>
      <c r="Y47" s="1599"/>
      <c r="Z47" s="1599"/>
      <c r="AA47" s="1599"/>
      <c r="AB47" s="1599"/>
      <c r="AC47" s="1599"/>
      <c r="AD47" s="1599"/>
      <c r="AE47" s="1599"/>
      <c r="AF47" s="1599"/>
      <c r="AG47" s="1599"/>
      <c r="AH47" s="1455">
        <f t="shared" si="9"/>
        <v>0</v>
      </c>
      <c r="AI47" s="1283"/>
      <c r="AJ47" s="1283"/>
      <c r="AN47" s="1280"/>
    </row>
    <row r="48" spans="1:40" s="1289" customFormat="1" x14ac:dyDescent="0.2">
      <c r="A48" s="1285" t="s">
        <v>10</v>
      </c>
      <c r="B48" s="1286"/>
      <c r="C48" s="1494"/>
      <c r="D48" s="1493"/>
      <c r="E48" s="1287"/>
      <c r="F48" s="1287"/>
      <c r="G48" s="1287"/>
      <c r="H48" s="1287"/>
      <c r="I48" s="1287"/>
      <c r="J48" s="1493"/>
      <c r="K48" s="1287"/>
      <c r="L48" s="1287"/>
      <c r="M48" s="1494"/>
      <c r="N48" s="1493"/>
      <c r="O48" s="1287"/>
      <c r="P48" s="1287"/>
      <c r="Q48" s="1287"/>
      <c r="R48" s="1287"/>
      <c r="S48" s="1287"/>
      <c r="T48" s="1493"/>
      <c r="U48" s="1287"/>
      <c r="V48" s="1287"/>
      <c r="W48" s="1287"/>
      <c r="X48" s="1287"/>
      <c r="Y48" s="1493"/>
      <c r="Z48" s="1287"/>
      <c r="AA48" s="1287"/>
      <c r="AB48" s="1522">
        <v>22800</v>
      </c>
      <c r="AC48" s="1493"/>
      <c r="AD48" s="1287"/>
      <c r="AE48" s="1287">
        <v>28800</v>
      </c>
      <c r="AF48" s="1287"/>
      <c r="AG48" s="1287"/>
      <c r="AH48" s="1456">
        <f t="shared" si="9"/>
        <v>51600</v>
      </c>
      <c r="AI48" s="1288"/>
      <c r="AN48" s="1290">
        <v>6347.85</v>
      </c>
    </row>
    <row r="49" spans="1:40" s="1289" customFormat="1" x14ac:dyDescent="0.2">
      <c r="A49" s="1285" t="s">
        <v>356</v>
      </c>
      <c r="B49" s="1291"/>
      <c r="C49" s="1494">
        <f>121097.892-121097.892</f>
        <v>0</v>
      </c>
      <c r="D49" s="1292"/>
      <c r="E49" s="1292"/>
      <c r="F49" s="1292"/>
      <c r="G49" s="1292"/>
      <c r="H49" s="1292"/>
      <c r="I49" s="1292"/>
      <c r="J49" s="1292"/>
      <c r="K49" s="1292"/>
      <c r="L49" s="1292"/>
      <c r="M49" s="1292"/>
      <c r="N49" s="1292"/>
      <c r="O49" s="1292"/>
      <c r="P49" s="1292"/>
      <c r="Q49" s="1292"/>
      <c r="R49" s="1292"/>
      <c r="S49" s="1292"/>
      <c r="T49" s="1292"/>
      <c r="U49" s="1292"/>
      <c r="V49" s="1292"/>
      <c r="W49" s="1292"/>
      <c r="X49" s="1292"/>
      <c r="Y49" s="1292"/>
      <c r="Z49" s="1292"/>
      <c r="AA49" s="1292"/>
      <c r="AB49" s="1292"/>
      <c r="AC49" s="1292"/>
      <c r="AD49" s="1292"/>
      <c r="AE49" s="1292"/>
      <c r="AF49" s="1292"/>
      <c r="AG49" s="1292"/>
      <c r="AH49" s="1456">
        <f t="shared" si="9"/>
        <v>0</v>
      </c>
      <c r="AN49" s="1290">
        <v>6249.5020000000004</v>
      </c>
    </row>
    <row r="50" spans="1:40" s="1320" customFormat="1" x14ac:dyDescent="0.2">
      <c r="A50" s="1530" t="s">
        <v>357</v>
      </c>
      <c r="B50" s="1241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  <c r="O50" s="1282"/>
      <c r="P50" s="1282"/>
      <c r="Q50" s="1282"/>
      <c r="R50" s="1282"/>
      <c r="S50" s="1282"/>
      <c r="T50" s="1282"/>
      <c r="U50" s="1282"/>
      <c r="V50" s="1282"/>
      <c r="W50" s="1282"/>
      <c r="X50" s="1282"/>
      <c r="Y50" s="1282"/>
      <c r="Z50" s="1282"/>
      <c r="AA50" s="1282"/>
      <c r="AB50" s="1282"/>
      <c r="AC50" s="1282"/>
      <c r="AD50" s="1282"/>
      <c r="AE50" s="1282"/>
      <c r="AF50" s="1282"/>
      <c r="AG50" s="1282"/>
      <c r="AH50" s="1531">
        <f t="shared" si="9"/>
        <v>0</v>
      </c>
      <c r="AN50" s="1355">
        <v>2246.556</v>
      </c>
    </row>
    <row r="51" spans="1:40" s="1320" customFormat="1" x14ac:dyDescent="0.2">
      <c r="A51" s="1530" t="s">
        <v>41</v>
      </c>
      <c r="B51" s="1241"/>
      <c r="C51" s="1293"/>
      <c r="D51" s="1293"/>
      <c r="E51" s="1293"/>
      <c r="F51" s="1293"/>
      <c r="G51" s="1293"/>
      <c r="H51" s="1293"/>
      <c r="I51" s="1293"/>
      <c r="J51" s="1293"/>
      <c r="K51" s="1293"/>
      <c r="L51" s="1293"/>
      <c r="M51" s="1293"/>
      <c r="N51" s="1293"/>
      <c r="O51" s="1293"/>
      <c r="P51" s="1293"/>
      <c r="Q51" s="1293"/>
      <c r="R51" s="1293"/>
      <c r="S51" s="1293"/>
      <c r="T51" s="1293"/>
      <c r="U51" s="1293"/>
      <c r="V51" s="1293"/>
      <c r="W51" s="1293"/>
      <c r="X51" s="1293"/>
      <c r="Y51" s="1293"/>
      <c r="Z51" s="1293"/>
      <c r="AA51" s="1293"/>
      <c r="AB51" s="1293"/>
      <c r="AC51" s="1293"/>
      <c r="AD51" s="1293"/>
      <c r="AE51" s="1293"/>
      <c r="AF51" s="1293"/>
      <c r="AG51" s="1293"/>
      <c r="AH51" s="1531">
        <f t="shared" si="9"/>
        <v>0</v>
      </c>
      <c r="AN51" s="1355"/>
    </row>
    <row r="52" spans="1:40" x14ac:dyDescent="0.2">
      <c r="A52" s="1274" t="s">
        <v>11</v>
      </c>
      <c r="B52" s="1237"/>
      <c r="C52" s="1293">
        <f>17106.057-4643.172-5479.942-2339.771-4643.172</f>
        <v>0</v>
      </c>
      <c r="D52" s="1293"/>
      <c r="E52" s="1575"/>
      <c r="F52" s="1293"/>
      <c r="G52" s="1293"/>
      <c r="H52" s="1293"/>
      <c r="I52" s="1293"/>
      <c r="J52" s="1293"/>
      <c r="K52" s="1293"/>
      <c r="L52" s="1293"/>
      <c r="M52" s="1575"/>
      <c r="N52" s="1293"/>
      <c r="O52" s="1293"/>
      <c r="P52" s="1293"/>
      <c r="Q52" s="1585"/>
      <c r="R52" s="1293"/>
      <c r="S52" s="1293"/>
      <c r="T52" s="1293"/>
      <c r="U52" s="1293"/>
      <c r="V52" s="1293"/>
      <c r="W52" s="1585"/>
      <c r="X52" s="1293"/>
      <c r="Y52" s="1293"/>
      <c r="Z52" s="1585"/>
      <c r="AA52" s="1293"/>
      <c r="AB52" s="1585"/>
      <c r="AC52" s="1585"/>
      <c r="AD52" s="1585"/>
      <c r="AE52" s="1585">
        <v>-5345.433</v>
      </c>
      <c r="AF52" s="1713">
        <v>-6150</v>
      </c>
      <c r="AG52" s="1585"/>
      <c r="AH52" s="1455">
        <f t="shared" si="9"/>
        <v>-11495.433000000001</v>
      </c>
      <c r="AN52" s="1280">
        <v>4028.1610000000001</v>
      </c>
    </row>
    <row r="53" spans="1:40" ht="13.5" thickBot="1" x14ac:dyDescent="0.25">
      <c r="A53" s="1294"/>
      <c r="B53" s="1237"/>
      <c r="C53" s="1295"/>
      <c r="D53" s="1295"/>
      <c r="E53" s="1295"/>
      <c r="F53" s="1295"/>
      <c r="G53" s="1295"/>
      <c r="H53" s="1295"/>
      <c r="I53" s="1295"/>
      <c r="J53" s="1295"/>
      <c r="K53" s="1295"/>
      <c r="L53" s="1295"/>
      <c r="M53" s="1295"/>
      <c r="N53" s="1295"/>
      <c r="O53" s="1295"/>
      <c r="P53" s="1295"/>
      <c r="Q53" s="1295"/>
      <c r="R53" s="1295"/>
      <c r="S53" s="1295"/>
      <c r="T53" s="1295"/>
      <c r="U53" s="1295"/>
      <c r="V53" s="1295"/>
      <c r="W53" s="1295"/>
      <c r="X53" s="1295"/>
      <c r="Y53" s="1295"/>
      <c r="Z53" s="1295"/>
      <c r="AA53" s="1295"/>
      <c r="AB53" s="1295"/>
      <c r="AC53" s="1295"/>
      <c r="AD53" s="1295"/>
      <c r="AE53" s="1295"/>
      <c r="AF53" s="1295"/>
      <c r="AG53" s="1295"/>
      <c r="AH53" s="1227">
        <f t="shared" si="9"/>
        <v>0</v>
      </c>
      <c r="AI53" s="1283"/>
      <c r="AJ53" s="1289"/>
      <c r="AN53" s="1280">
        <v>5501.3969999999999</v>
      </c>
    </row>
    <row r="54" spans="1:40" x14ac:dyDescent="0.2">
      <c r="A54" s="1269"/>
      <c r="B54" s="1237"/>
      <c r="C54" s="1296"/>
      <c r="D54" s="1297"/>
      <c r="E54" s="1297"/>
      <c r="F54" s="1298"/>
      <c r="G54" s="1298"/>
      <c r="H54" s="1298"/>
      <c r="I54" s="1298"/>
      <c r="J54" s="1298"/>
      <c r="K54" s="1298"/>
      <c r="L54" s="1298"/>
      <c r="M54" s="1298"/>
      <c r="N54" s="1298"/>
      <c r="O54" s="1298"/>
      <c r="P54" s="1299"/>
      <c r="Q54" s="1298"/>
      <c r="R54" s="1298"/>
      <c r="S54" s="1298"/>
      <c r="T54" s="1298"/>
      <c r="U54" s="1298"/>
      <c r="V54" s="1298"/>
      <c r="W54" s="1298"/>
      <c r="X54" s="1298"/>
      <c r="Y54" s="1298"/>
      <c r="Z54" s="1298"/>
      <c r="AA54" s="1298"/>
      <c r="AB54" s="1298"/>
      <c r="AC54" s="1298"/>
      <c r="AD54" s="1298"/>
      <c r="AE54" s="1298"/>
      <c r="AF54" s="1298"/>
      <c r="AG54" s="1298"/>
      <c r="AH54" s="1227">
        <f t="shared" si="9"/>
        <v>0</v>
      </c>
      <c r="AJ54" s="1289"/>
      <c r="AN54" s="1280">
        <v>3325.74</v>
      </c>
    </row>
    <row r="55" spans="1:40" ht="13.5" thickBot="1" x14ac:dyDescent="0.25">
      <c r="A55" s="1274" t="s">
        <v>12</v>
      </c>
      <c r="B55" s="1237"/>
      <c r="C55" s="1275">
        <f t="shared" ref="C55:AG55" si="11">C56</f>
        <v>0</v>
      </c>
      <c r="D55" s="1275">
        <f t="shared" si="11"/>
        <v>0</v>
      </c>
      <c r="E55" s="1275">
        <f t="shared" si="11"/>
        <v>0</v>
      </c>
      <c r="F55" s="1275">
        <f t="shared" si="11"/>
        <v>0</v>
      </c>
      <c r="G55" s="1275">
        <f t="shared" si="11"/>
        <v>0</v>
      </c>
      <c r="H55" s="1275">
        <f t="shared" si="11"/>
        <v>0</v>
      </c>
      <c r="I55" s="1275">
        <f t="shared" si="11"/>
        <v>0</v>
      </c>
      <c r="J55" s="1275">
        <f t="shared" si="11"/>
        <v>0</v>
      </c>
      <c r="K55" s="1275">
        <f t="shared" si="11"/>
        <v>0</v>
      </c>
      <c r="L55" s="1275">
        <f t="shared" si="11"/>
        <v>0</v>
      </c>
      <c r="M55" s="1276">
        <f t="shared" si="11"/>
        <v>0</v>
      </c>
      <c r="N55" s="1276">
        <f t="shared" si="11"/>
        <v>0</v>
      </c>
      <c r="O55" s="1276">
        <f t="shared" si="11"/>
        <v>0</v>
      </c>
      <c r="P55" s="1276">
        <f t="shared" si="11"/>
        <v>0</v>
      </c>
      <c r="Q55" s="1275">
        <f t="shared" si="11"/>
        <v>0</v>
      </c>
      <c r="R55" s="1275">
        <f t="shared" si="11"/>
        <v>0</v>
      </c>
      <c r="S55" s="1275">
        <f t="shared" si="11"/>
        <v>0</v>
      </c>
      <c r="T55" s="1275">
        <f t="shared" si="11"/>
        <v>0</v>
      </c>
      <c r="U55" s="1275">
        <f t="shared" si="11"/>
        <v>0</v>
      </c>
      <c r="V55" s="1275">
        <f t="shared" si="11"/>
        <v>0</v>
      </c>
      <c r="W55" s="1275">
        <f t="shared" si="11"/>
        <v>0</v>
      </c>
      <c r="X55" s="1275">
        <f t="shared" si="11"/>
        <v>0</v>
      </c>
      <c r="Y55" s="1275">
        <f t="shared" si="11"/>
        <v>0</v>
      </c>
      <c r="Z55" s="1275">
        <f t="shared" si="11"/>
        <v>0</v>
      </c>
      <c r="AA55" s="1275">
        <f t="shared" si="11"/>
        <v>0</v>
      </c>
      <c r="AB55" s="1275">
        <f t="shared" si="11"/>
        <v>0</v>
      </c>
      <c r="AC55" s="1275">
        <f t="shared" si="11"/>
        <v>0</v>
      </c>
      <c r="AD55" s="1275">
        <f t="shared" si="11"/>
        <v>0</v>
      </c>
      <c r="AE55" s="1275">
        <f t="shared" si="11"/>
        <v>0</v>
      </c>
      <c r="AF55" s="1275">
        <f t="shared" si="11"/>
        <v>0</v>
      </c>
      <c r="AG55" s="1275">
        <f t="shared" si="11"/>
        <v>0</v>
      </c>
      <c r="AH55" s="1227">
        <f t="shared" si="9"/>
        <v>0</v>
      </c>
      <c r="AN55" s="1280">
        <v>9717.5709999999999</v>
      </c>
    </row>
    <row r="56" spans="1:40" x14ac:dyDescent="0.2">
      <c r="A56" s="1274" t="s">
        <v>8</v>
      </c>
      <c r="B56" s="1237"/>
      <c r="C56" s="1293"/>
      <c r="D56" s="1293"/>
      <c r="E56" s="1293"/>
      <c r="F56" s="1293"/>
      <c r="G56" s="1293"/>
      <c r="H56" s="1293"/>
      <c r="I56" s="1293"/>
      <c r="J56" s="1293"/>
      <c r="K56" s="1293"/>
      <c r="L56" s="1293"/>
      <c r="M56" s="1293"/>
      <c r="N56" s="1293"/>
      <c r="O56" s="1293"/>
      <c r="P56" s="1293"/>
      <c r="Q56" s="1293"/>
      <c r="R56" s="1293"/>
      <c r="S56" s="1293"/>
      <c r="T56" s="1293"/>
      <c r="U56" s="1293"/>
      <c r="V56" s="1293"/>
      <c r="W56" s="1293"/>
      <c r="X56" s="1293"/>
      <c r="Y56" s="1293"/>
      <c r="Z56" s="1293"/>
      <c r="AA56" s="1293"/>
      <c r="AB56" s="1293"/>
      <c r="AC56" s="1293"/>
      <c r="AD56" s="1293"/>
      <c r="AE56" s="1293"/>
      <c r="AF56" s="1293"/>
      <c r="AG56" s="1293"/>
      <c r="AH56" s="1455">
        <f t="shared" si="9"/>
        <v>0</v>
      </c>
      <c r="AN56" s="1280">
        <v>673.17700000000002</v>
      </c>
    </row>
    <row r="57" spans="1:40" x14ac:dyDescent="0.2">
      <c r="A57" s="1274" t="s">
        <v>215</v>
      </c>
      <c r="B57" s="1237"/>
      <c r="C57" s="1293">
        <v>11550</v>
      </c>
      <c r="D57" s="1293"/>
      <c r="E57" s="1293">
        <v>1614.711</v>
      </c>
      <c r="F57" s="1293">
        <v>5018.1279999999997</v>
      </c>
      <c r="G57" s="1293">
        <v>13509.674000000003</v>
      </c>
      <c r="H57" s="1293">
        <v>695</v>
      </c>
      <c r="I57" s="1293">
        <v>1677.7850000000001</v>
      </c>
      <c r="J57" s="1293">
        <v>2278.4929999999999</v>
      </c>
      <c r="K57" s="1293">
        <v>806.83</v>
      </c>
      <c r="L57" s="1293">
        <v>14105.147000000001</v>
      </c>
      <c r="M57" s="1293"/>
      <c r="N57" s="1293">
        <v>6126.0640000000003</v>
      </c>
      <c r="O57" s="1293">
        <v>2575.91</v>
      </c>
      <c r="P57" s="1293">
        <v>1000</v>
      </c>
      <c r="Q57" s="1293">
        <v>36157.244000000006</v>
      </c>
      <c r="R57" s="1293">
        <v>2253.3310000000001</v>
      </c>
      <c r="S57" s="1293">
        <v>2056.6980000000003</v>
      </c>
      <c r="T57" s="1293">
        <v>2677.7849999999999</v>
      </c>
      <c r="U57" s="1293">
        <v>950</v>
      </c>
      <c r="V57" s="1293">
        <v>18059.620999999999</v>
      </c>
      <c r="W57" s="1293">
        <v>1677.7850000000001</v>
      </c>
      <c r="X57" s="1293">
        <v>1950</v>
      </c>
      <c r="Y57" s="1293">
        <v>1200</v>
      </c>
      <c r="Z57" s="1293">
        <v>1950</v>
      </c>
      <c r="AA57" s="1293">
        <v>5435.7170000000006</v>
      </c>
      <c r="AB57" s="1293">
        <v>2409.2020000000002</v>
      </c>
      <c r="AC57" s="1293">
        <v>651.81799999999998</v>
      </c>
      <c r="AD57" s="1293">
        <v>1000</v>
      </c>
      <c r="AE57" s="1293">
        <v>2691.953</v>
      </c>
      <c r="AF57" s="1293">
        <v>25404.971999999998</v>
      </c>
      <c r="AG57" s="1293">
        <v>81879.469000000012</v>
      </c>
      <c r="AH57" s="1455">
        <f>SUM(C57:AG57)</f>
        <v>249363.33700000006</v>
      </c>
      <c r="AI57" s="1283"/>
      <c r="AN57" s="1280">
        <v>4534.4949999999999</v>
      </c>
    </row>
    <row r="58" spans="1:40" ht="13.5" thickBot="1" x14ac:dyDescent="0.25">
      <c r="A58" s="1294"/>
      <c r="B58" s="1237"/>
      <c r="C58" s="1295"/>
      <c r="D58" s="1295"/>
      <c r="E58" s="1295"/>
      <c r="F58" s="1295"/>
      <c r="G58" s="1295"/>
      <c r="H58" s="1295"/>
      <c r="I58" s="1295"/>
      <c r="J58" s="1295"/>
      <c r="K58" s="1295"/>
      <c r="L58" s="1295"/>
      <c r="M58" s="1295"/>
      <c r="N58" s="1295"/>
      <c r="O58" s="1295"/>
      <c r="P58" s="1295"/>
      <c r="Q58" s="1295"/>
      <c r="R58" s="1295"/>
      <c r="S58" s="1295"/>
      <c r="T58" s="1295"/>
      <c r="U58" s="1295"/>
      <c r="V58" s="1295"/>
      <c r="W58" s="1295"/>
      <c r="X58" s="1295"/>
      <c r="Y58" s="1295"/>
      <c r="Z58" s="1295"/>
      <c r="AA58" s="1295"/>
      <c r="AB58" s="1295"/>
      <c r="AC58" s="1295"/>
      <c r="AD58" s="1295"/>
      <c r="AE58" s="1295"/>
      <c r="AF58" s="1295"/>
      <c r="AG58" s="1295"/>
      <c r="AH58" s="1227">
        <f t="shared" si="9"/>
        <v>0</v>
      </c>
      <c r="AN58" s="1280">
        <v>2827.3519999999999</v>
      </c>
    </row>
    <row r="59" spans="1:40" x14ac:dyDescent="0.2">
      <c r="A59" s="1269"/>
      <c r="B59" s="1237"/>
      <c r="C59" s="1296"/>
      <c r="D59" s="1297"/>
      <c r="E59" s="1297"/>
      <c r="F59" s="1298"/>
      <c r="G59" s="1298"/>
      <c r="H59" s="1298"/>
      <c r="I59" s="1298"/>
      <c r="J59" s="1298"/>
      <c r="K59" s="1298"/>
      <c r="L59" s="1298"/>
      <c r="M59" s="1298"/>
      <c r="N59" s="1298"/>
      <c r="O59" s="1298"/>
      <c r="P59" s="1299"/>
      <c r="Q59" s="1298"/>
      <c r="R59" s="1298"/>
      <c r="S59" s="1298"/>
      <c r="T59" s="1298"/>
      <c r="U59" s="1298"/>
      <c r="V59" s="1298"/>
      <c r="W59" s="1298"/>
      <c r="X59" s="1298"/>
      <c r="Y59" s="1298"/>
      <c r="Z59" s="1298"/>
      <c r="AA59" s="1298"/>
      <c r="AB59" s="1298"/>
      <c r="AC59" s="1298"/>
      <c r="AD59" s="1298"/>
      <c r="AE59" s="1298"/>
      <c r="AF59" s="1298"/>
      <c r="AG59" s="1298"/>
      <c r="AH59" s="1207"/>
      <c r="AJ59" s="1209">
        <f>18755+17890+17700+17800</f>
        <v>72145</v>
      </c>
      <c r="AN59" s="1280">
        <v>1850.7819999999999</v>
      </c>
    </row>
    <row r="60" spans="1:40" x14ac:dyDescent="0.2">
      <c r="A60" s="1274" t="s">
        <v>915</v>
      </c>
      <c r="B60" s="1237"/>
      <c r="C60" s="1300">
        <f t="shared" ref="C60:AG60" si="12">C55-C43</f>
        <v>0</v>
      </c>
      <c r="D60" s="1300">
        <f t="shared" si="12"/>
        <v>-7195.3130000000001</v>
      </c>
      <c r="E60" s="1300">
        <f t="shared" si="12"/>
        <v>0</v>
      </c>
      <c r="F60" s="1300">
        <f t="shared" si="12"/>
        <v>0</v>
      </c>
      <c r="G60" s="1300">
        <f t="shared" si="12"/>
        <v>-0.32000000000334694</v>
      </c>
      <c r="H60" s="1300">
        <f t="shared" si="12"/>
        <v>0</v>
      </c>
      <c r="I60" s="1300">
        <f t="shared" si="12"/>
        <v>0</v>
      </c>
      <c r="J60" s="1300">
        <f t="shared" si="12"/>
        <v>0</v>
      </c>
      <c r="K60" s="1300">
        <f t="shared" si="12"/>
        <v>0</v>
      </c>
      <c r="L60" s="1300">
        <f t="shared" si="12"/>
        <v>-8950</v>
      </c>
      <c r="M60" s="1300">
        <f t="shared" si="12"/>
        <v>0</v>
      </c>
      <c r="N60" s="1300">
        <f t="shared" si="12"/>
        <v>-6.5938365878537297E-12</v>
      </c>
      <c r="O60" s="1300">
        <f t="shared" si="12"/>
        <v>0</v>
      </c>
      <c r="P60" s="1301">
        <f t="shared" si="12"/>
        <v>0</v>
      </c>
      <c r="Q60" s="1300">
        <f t="shared" si="12"/>
        <v>-2279.284999999998</v>
      </c>
      <c r="R60" s="1300">
        <f t="shared" si="12"/>
        <v>0</v>
      </c>
      <c r="S60" s="1300">
        <f t="shared" si="12"/>
        <v>0</v>
      </c>
      <c r="T60" s="1300">
        <f t="shared" si="12"/>
        <v>0</v>
      </c>
      <c r="U60" s="1300">
        <f t="shared" si="12"/>
        <v>0</v>
      </c>
      <c r="V60" s="1300">
        <f t="shared" si="12"/>
        <v>1.2505552149377763E-12</v>
      </c>
      <c r="W60" s="1300">
        <f t="shared" si="12"/>
        <v>0</v>
      </c>
      <c r="X60" s="1300">
        <f t="shared" si="12"/>
        <v>0</v>
      </c>
      <c r="Y60" s="1300">
        <f t="shared" si="12"/>
        <v>0</v>
      </c>
      <c r="Z60" s="1300">
        <f t="shared" si="12"/>
        <v>0</v>
      </c>
      <c r="AA60" s="1300">
        <f t="shared" si="12"/>
        <v>1.8189894035458565E-12</v>
      </c>
      <c r="AB60" s="1300">
        <f t="shared" si="12"/>
        <v>-22800</v>
      </c>
      <c r="AC60" s="1300">
        <f t="shared" si="12"/>
        <v>-1071.419999999991</v>
      </c>
      <c r="AD60" s="1300">
        <f t="shared" si="12"/>
        <v>-1970.635000000002</v>
      </c>
      <c r="AE60" s="1300">
        <f t="shared" si="12"/>
        <v>-28800.000000000011</v>
      </c>
      <c r="AF60" s="1300">
        <f t="shared" si="12"/>
        <v>-9115.119999999999</v>
      </c>
      <c r="AG60" s="1300">
        <f t="shared" si="12"/>
        <v>3.637978807091713E-12</v>
      </c>
      <c r="AH60" s="1207"/>
      <c r="AJ60" s="1209">
        <f>AJ59+67000</f>
        <v>139145</v>
      </c>
      <c r="AL60" s="1283"/>
      <c r="AN60" s="1280">
        <v>915.26599999999996</v>
      </c>
    </row>
    <row r="61" spans="1:40" ht="13.5" thickBot="1" x14ac:dyDescent="0.25">
      <c r="A61" s="1274"/>
      <c r="B61" s="1237"/>
      <c r="C61" s="1300"/>
      <c r="D61" s="1302"/>
      <c r="E61" s="1302"/>
      <c r="F61" s="1303"/>
      <c r="G61" s="1303"/>
      <c r="H61" s="1303"/>
      <c r="I61" s="1303"/>
      <c r="J61" s="1303"/>
      <c r="K61" s="1303"/>
      <c r="L61" s="1303"/>
      <c r="M61" s="1303"/>
      <c r="N61" s="1303"/>
      <c r="O61" s="1303"/>
      <c r="P61" s="1304"/>
      <c r="Q61" s="1303"/>
      <c r="R61" s="1303"/>
      <c r="S61" s="1303"/>
      <c r="T61" s="1303"/>
      <c r="U61" s="1303"/>
      <c r="V61" s="1303"/>
      <c r="W61" s="1303"/>
      <c r="X61" s="1303"/>
      <c r="Y61" s="1303"/>
      <c r="Z61" s="1303"/>
      <c r="AA61" s="1303"/>
      <c r="AB61" s="1303"/>
      <c r="AC61" s="1303"/>
      <c r="AD61" s="1303"/>
      <c r="AE61" s="1303"/>
      <c r="AF61" s="1303"/>
      <c r="AG61" s="1303"/>
      <c r="AH61" s="1207"/>
      <c r="AN61" s="1280">
        <v>15000</v>
      </c>
    </row>
    <row r="62" spans="1:40" x14ac:dyDescent="0.2">
      <c r="A62" s="1233"/>
      <c r="B62" s="1234"/>
      <c r="C62" s="1305"/>
      <c r="D62" s="1297"/>
      <c r="E62" s="1297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9"/>
      <c r="Q62" s="1298"/>
      <c r="R62" s="1298"/>
      <c r="S62" s="1298"/>
      <c r="T62" s="1298"/>
      <c r="U62" s="1298"/>
      <c r="V62" s="1298"/>
      <c r="W62" s="1298"/>
      <c r="X62" s="1298"/>
      <c r="Y62" s="1298"/>
      <c r="Z62" s="1298"/>
      <c r="AA62" s="1298"/>
      <c r="AB62" s="1298"/>
      <c r="AC62" s="1298"/>
      <c r="AD62" s="1298"/>
      <c r="AE62" s="1298"/>
      <c r="AF62" s="1298"/>
      <c r="AG62" s="1298"/>
      <c r="AH62" s="1207"/>
      <c r="AN62" s="1280">
        <v>14101.822</v>
      </c>
    </row>
    <row r="63" spans="1:40" x14ac:dyDescent="0.2">
      <c r="A63" s="1236" t="s">
        <v>15</v>
      </c>
      <c r="B63" s="1237"/>
      <c r="C63" s="1302">
        <f>B40+C60</f>
        <v>-401236.56599999999</v>
      </c>
      <c r="D63" s="1302">
        <f t="shared" ref="D63:AG63" si="13">C70+D60</f>
        <v>-408431.87900000002</v>
      </c>
      <c r="E63" s="1302">
        <f t="shared" si="13"/>
        <v>-408431.87900000002</v>
      </c>
      <c r="F63" s="1302">
        <f t="shared" si="13"/>
        <v>-408431.87900000002</v>
      </c>
      <c r="G63" s="1302">
        <f t="shared" si="13"/>
        <v>-408432.19900000002</v>
      </c>
      <c r="H63" s="1302">
        <f t="shared" si="13"/>
        <v>-408432.19900000002</v>
      </c>
      <c r="I63" s="1302">
        <f t="shared" si="13"/>
        <v>-408432.19900000002</v>
      </c>
      <c r="J63" s="1302">
        <f t="shared" si="13"/>
        <v>-408432.19900000002</v>
      </c>
      <c r="K63" s="1302">
        <f t="shared" si="13"/>
        <v>-408432.19900000002</v>
      </c>
      <c r="L63" s="1302">
        <f t="shared" si="13"/>
        <v>-417382.19900000002</v>
      </c>
      <c r="M63" s="1302">
        <f t="shared" si="13"/>
        <v>-417382.19900000002</v>
      </c>
      <c r="N63" s="1302">
        <f t="shared" si="13"/>
        <v>-417382.19900000002</v>
      </c>
      <c r="O63" s="1302">
        <f t="shared" si="13"/>
        <v>-417382.19900000002</v>
      </c>
      <c r="P63" s="1306">
        <f t="shared" si="13"/>
        <v>-417382.19900000002</v>
      </c>
      <c r="Q63" s="1302">
        <f t="shared" si="13"/>
        <v>-419661.484</v>
      </c>
      <c r="R63" s="1302">
        <f t="shared" si="13"/>
        <v>-419661.484</v>
      </c>
      <c r="S63" s="1302">
        <f t="shared" si="13"/>
        <v>-419661.484</v>
      </c>
      <c r="T63" s="1302">
        <f t="shared" si="13"/>
        <v>-419661.484</v>
      </c>
      <c r="U63" s="1302">
        <f t="shared" si="13"/>
        <v>-419661.484</v>
      </c>
      <c r="V63" s="1302">
        <f t="shared" si="13"/>
        <v>-419661.484</v>
      </c>
      <c r="W63" s="1302">
        <f t="shared" si="13"/>
        <v>-419661.484</v>
      </c>
      <c r="X63" s="1302">
        <f t="shared" si="13"/>
        <v>-419661.484</v>
      </c>
      <c r="Y63" s="1302">
        <f t="shared" si="13"/>
        <v>-419661.484</v>
      </c>
      <c r="Z63" s="1302">
        <f t="shared" si="13"/>
        <v>-419661.484</v>
      </c>
      <c r="AA63" s="1302">
        <f t="shared" si="13"/>
        <v>-419661.484</v>
      </c>
      <c r="AB63" s="1302">
        <f t="shared" si="13"/>
        <v>-428296.484</v>
      </c>
      <c r="AC63" s="1302">
        <f t="shared" si="13"/>
        <v>-416535.90399999998</v>
      </c>
      <c r="AD63" s="1302">
        <f t="shared" si="13"/>
        <v>-413806.53899999999</v>
      </c>
      <c r="AE63" s="1302">
        <f t="shared" si="13"/>
        <v>-437075.53899999999</v>
      </c>
      <c r="AF63" s="1302">
        <f t="shared" si="13"/>
        <v>-412321.65899999999</v>
      </c>
      <c r="AG63" s="1302">
        <f t="shared" si="13"/>
        <v>-408498.65899999999</v>
      </c>
      <c r="AH63" s="1207"/>
      <c r="AN63" s="1280">
        <v>1397.2449999999999</v>
      </c>
    </row>
    <row r="64" spans="1:40" ht="13.5" thickBot="1" x14ac:dyDescent="0.25">
      <c r="A64" s="1250"/>
      <c r="B64" s="1307"/>
      <c r="C64" s="1308"/>
      <c r="D64" s="1308"/>
      <c r="E64" s="1308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10"/>
      <c r="Q64" s="1309"/>
      <c r="R64" s="1309"/>
      <c r="S64" s="1309"/>
      <c r="T64" s="1309"/>
      <c r="U64" s="1309"/>
      <c r="V64" s="1309"/>
      <c r="W64" s="1309"/>
      <c r="X64" s="1309"/>
      <c r="Y64" s="1309"/>
      <c r="Z64" s="1309"/>
      <c r="AA64" s="1309"/>
      <c r="AB64" s="1309"/>
      <c r="AC64" s="1309"/>
      <c r="AD64" s="1309"/>
      <c r="AE64" s="1309"/>
      <c r="AF64" s="1309"/>
      <c r="AG64" s="1309"/>
      <c r="AH64" s="1207"/>
      <c r="AN64" s="1280">
        <v>1322.63</v>
      </c>
    </row>
    <row r="65" spans="1:40" x14ac:dyDescent="0.2">
      <c r="A65" s="1233"/>
      <c r="B65" s="1234"/>
      <c r="C65" s="1297"/>
      <c r="D65" s="1297"/>
      <c r="E65" s="1297"/>
      <c r="F65" s="1298"/>
      <c r="G65" s="1298"/>
      <c r="H65" s="1298"/>
      <c r="I65" s="1298"/>
      <c r="J65" s="1298"/>
      <c r="K65" s="1298"/>
      <c r="L65" s="1298"/>
      <c r="M65" s="1298"/>
      <c r="N65" s="1298"/>
      <c r="O65" s="1298"/>
      <c r="P65" s="1299"/>
      <c r="Q65" s="1298"/>
      <c r="R65" s="1298"/>
      <c r="S65" s="1298"/>
      <c r="T65" s="1298"/>
      <c r="U65" s="1298"/>
      <c r="V65" s="1298"/>
      <c r="W65" s="1298"/>
      <c r="X65" s="1298"/>
      <c r="Y65" s="1298"/>
      <c r="Z65" s="1298"/>
      <c r="AA65" s="1298"/>
      <c r="AB65" s="1298"/>
      <c r="AC65" s="1298"/>
      <c r="AD65" s="1298"/>
      <c r="AE65" s="1298"/>
      <c r="AF65" s="1298"/>
      <c r="AG65" s="1298"/>
      <c r="AH65" s="1227">
        <f>SUM(C65:AG65)</f>
        <v>0</v>
      </c>
      <c r="AN65" s="1280">
        <v>1747.816</v>
      </c>
    </row>
    <row r="66" spans="1:40" x14ac:dyDescent="0.2">
      <c r="A66" s="1236" t="s">
        <v>82</v>
      </c>
      <c r="B66" s="1237"/>
      <c r="C66" s="1302">
        <f t="shared" ref="C66:AG67" si="14">C74</f>
        <v>0</v>
      </c>
      <c r="D66" s="1302">
        <f t="shared" si="14"/>
        <v>0</v>
      </c>
      <c r="E66" s="1302">
        <f t="shared" si="14"/>
        <v>0</v>
      </c>
      <c r="F66" s="1302">
        <f t="shared" si="14"/>
        <v>0</v>
      </c>
      <c r="G66" s="1302">
        <f t="shared" si="14"/>
        <v>0</v>
      </c>
      <c r="H66" s="1302">
        <f t="shared" si="14"/>
        <v>0</v>
      </c>
      <c r="I66" s="1302">
        <f t="shared" si="14"/>
        <v>0</v>
      </c>
      <c r="J66" s="1302">
        <f t="shared" si="14"/>
        <v>0</v>
      </c>
      <c r="K66" s="1302">
        <f t="shared" si="14"/>
        <v>0</v>
      </c>
      <c r="L66" s="1302">
        <f t="shared" si="14"/>
        <v>0</v>
      </c>
      <c r="M66" s="1302">
        <f t="shared" si="14"/>
        <v>0</v>
      </c>
      <c r="N66" s="1302">
        <f t="shared" si="14"/>
        <v>0</v>
      </c>
      <c r="O66" s="1302">
        <f t="shared" si="14"/>
        <v>0</v>
      </c>
      <c r="P66" s="1306">
        <f t="shared" si="14"/>
        <v>0</v>
      </c>
      <c r="Q66" s="1302">
        <f t="shared" si="14"/>
        <v>0</v>
      </c>
      <c r="R66" s="1302">
        <f t="shared" si="14"/>
        <v>0</v>
      </c>
      <c r="S66" s="1302">
        <f t="shared" si="14"/>
        <v>0</v>
      </c>
      <c r="T66" s="1302">
        <f t="shared" si="14"/>
        <v>0</v>
      </c>
      <c r="U66" s="1302">
        <f t="shared" si="14"/>
        <v>0</v>
      </c>
      <c r="V66" s="1302">
        <f t="shared" si="14"/>
        <v>0</v>
      </c>
      <c r="W66" s="1302">
        <f t="shared" si="14"/>
        <v>0</v>
      </c>
      <c r="X66" s="1302">
        <f t="shared" si="14"/>
        <v>0</v>
      </c>
      <c r="Y66" s="1302">
        <f t="shared" si="14"/>
        <v>0</v>
      </c>
      <c r="Z66" s="1302">
        <f t="shared" si="14"/>
        <v>0</v>
      </c>
      <c r="AA66" s="1302">
        <f t="shared" si="14"/>
        <v>14165</v>
      </c>
      <c r="AB66" s="1302">
        <f t="shared" si="14"/>
        <v>12832</v>
      </c>
      <c r="AC66" s="1302">
        <f t="shared" si="14"/>
        <v>4700</v>
      </c>
      <c r="AD66" s="1302">
        <f t="shared" si="14"/>
        <v>5531</v>
      </c>
      <c r="AE66" s="1302">
        <f t="shared" si="14"/>
        <v>33869</v>
      </c>
      <c r="AF66" s="1302">
        <f t="shared" si="14"/>
        <v>3823</v>
      </c>
      <c r="AG66" s="1302">
        <f t="shared" si="14"/>
        <v>6569</v>
      </c>
      <c r="AH66" s="1207"/>
      <c r="AN66" s="1280">
        <v>1021.722</v>
      </c>
    </row>
    <row r="67" spans="1:40" x14ac:dyDescent="0.2">
      <c r="A67" s="1236" t="s">
        <v>83</v>
      </c>
      <c r="B67" s="1237"/>
      <c r="C67" s="1306">
        <f t="shared" si="14"/>
        <v>0</v>
      </c>
      <c r="D67" s="1306">
        <f t="shared" si="14"/>
        <v>0</v>
      </c>
      <c r="E67" s="1306">
        <f t="shared" si="14"/>
        <v>0</v>
      </c>
      <c r="F67" s="1306">
        <f t="shared" si="14"/>
        <v>0</v>
      </c>
      <c r="G67" s="1306">
        <f t="shared" si="14"/>
        <v>0</v>
      </c>
      <c r="H67" s="1306">
        <f t="shared" si="14"/>
        <v>0</v>
      </c>
      <c r="I67" s="1306">
        <f t="shared" si="14"/>
        <v>0</v>
      </c>
      <c r="J67" s="1306">
        <f t="shared" si="14"/>
        <v>0</v>
      </c>
      <c r="K67" s="1306">
        <f t="shared" si="14"/>
        <v>0</v>
      </c>
      <c r="L67" s="1306">
        <f t="shared" si="14"/>
        <v>0</v>
      </c>
      <c r="M67" s="1306">
        <f t="shared" si="14"/>
        <v>0</v>
      </c>
      <c r="N67" s="1306">
        <f t="shared" si="14"/>
        <v>0</v>
      </c>
      <c r="O67" s="1306">
        <f t="shared" si="14"/>
        <v>0</v>
      </c>
      <c r="P67" s="1306">
        <f t="shared" si="14"/>
        <v>0</v>
      </c>
      <c r="Q67" s="1306">
        <f t="shared" si="14"/>
        <v>0</v>
      </c>
      <c r="R67" s="1306">
        <f t="shared" si="14"/>
        <v>0</v>
      </c>
      <c r="S67" s="1306">
        <f t="shared" si="14"/>
        <v>0</v>
      </c>
      <c r="T67" s="1306">
        <f t="shared" si="14"/>
        <v>0</v>
      </c>
      <c r="U67" s="1306">
        <f t="shared" si="14"/>
        <v>0</v>
      </c>
      <c r="V67" s="1306">
        <f t="shared" si="14"/>
        <v>0</v>
      </c>
      <c r="W67" s="1306">
        <f t="shared" si="14"/>
        <v>0</v>
      </c>
      <c r="X67" s="1306">
        <f t="shared" si="14"/>
        <v>0</v>
      </c>
      <c r="Y67" s="1306">
        <f t="shared" si="14"/>
        <v>0</v>
      </c>
      <c r="Z67" s="1306">
        <f t="shared" si="14"/>
        <v>0</v>
      </c>
      <c r="AA67" s="1306">
        <f t="shared" si="14"/>
        <v>0</v>
      </c>
      <c r="AB67" s="1306">
        <f t="shared" si="14"/>
        <v>0</v>
      </c>
      <c r="AC67" s="1306">
        <f t="shared" si="14"/>
        <v>0</v>
      </c>
      <c r="AD67" s="1306">
        <f t="shared" si="14"/>
        <v>0</v>
      </c>
      <c r="AE67" s="1306">
        <f t="shared" si="14"/>
        <v>0</v>
      </c>
      <c r="AF67" s="1306">
        <f t="shared" si="14"/>
        <v>0</v>
      </c>
      <c r="AG67" s="1306">
        <f t="shared" si="14"/>
        <v>0</v>
      </c>
      <c r="AH67" s="1207"/>
      <c r="AN67" s="1280">
        <v>4000</v>
      </c>
    </row>
    <row r="68" spans="1:40" ht="13.5" thickBot="1" x14ac:dyDescent="0.25">
      <c r="A68" s="1250"/>
      <c r="B68" s="1307"/>
      <c r="C68" s="1308"/>
      <c r="D68" s="1308"/>
      <c r="E68" s="1308"/>
      <c r="F68" s="1309"/>
      <c r="G68" s="1309"/>
      <c r="H68" s="1309"/>
      <c r="I68" s="1309"/>
      <c r="J68" s="1309"/>
      <c r="K68" s="1309"/>
      <c r="L68" s="1309"/>
      <c r="M68" s="1309"/>
      <c r="N68" s="1309"/>
      <c r="O68" s="1309"/>
      <c r="P68" s="1310"/>
      <c r="Q68" s="1309"/>
      <c r="R68" s="1309"/>
      <c r="S68" s="1309"/>
      <c r="T68" s="1309"/>
      <c r="U68" s="1309"/>
      <c r="V68" s="1309"/>
      <c r="W68" s="1309"/>
      <c r="X68" s="1309"/>
      <c r="Y68" s="1309"/>
      <c r="Z68" s="1309"/>
      <c r="AA68" s="1309"/>
      <c r="AB68" s="1309"/>
      <c r="AC68" s="1309"/>
      <c r="AD68" s="1309"/>
      <c r="AE68" s="1309"/>
      <c r="AF68" s="1309"/>
      <c r="AG68" s="1309"/>
      <c r="AH68" s="1207"/>
      <c r="AN68" s="1280"/>
    </row>
    <row r="69" spans="1:40" x14ac:dyDescent="0.2">
      <c r="A69" s="1236"/>
      <c r="B69" s="1237"/>
      <c r="C69" s="1302"/>
      <c r="D69" s="1302"/>
      <c r="E69" s="1302"/>
      <c r="F69" s="1303"/>
      <c r="G69" s="1303"/>
      <c r="H69" s="1303"/>
      <c r="I69" s="1303"/>
      <c r="J69" s="1303"/>
      <c r="K69" s="1303"/>
      <c r="L69" s="1303"/>
      <c r="M69" s="1303"/>
      <c r="N69" s="1303"/>
      <c r="O69" s="1303"/>
      <c r="P69" s="1304"/>
      <c r="Q69" s="1303"/>
      <c r="R69" s="1303"/>
      <c r="S69" s="1303"/>
      <c r="T69" s="1303"/>
      <c r="U69" s="1303"/>
      <c r="V69" s="1303"/>
      <c r="W69" s="1303"/>
      <c r="X69" s="1303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207"/>
      <c r="AN69" s="1280">
        <v>1616.846</v>
      </c>
    </row>
    <row r="70" spans="1:40" x14ac:dyDescent="0.2">
      <c r="A70" s="1236" t="s">
        <v>14</v>
      </c>
      <c r="B70" s="1237"/>
      <c r="C70" s="1302">
        <f t="shared" ref="C70:AG70" si="15">C63+C66+C67</f>
        <v>-401236.56599999999</v>
      </c>
      <c r="D70" s="1302">
        <f t="shared" si="15"/>
        <v>-408431.87900000002</v>
      </c>
      <c r="E70" s="1302">
        <f t="shared" si="15"/>
        <v>-408431.87900000002</v>
      </c>
      <c r="F70" s="1302">
        <f t="shared" si="15"/>
        <v>-408431.87900000002</v>
      </c>
      <c r="G70" s="1302">
        <f t="shared" si="15"/>
        <v>-408432.19900000002</v>
      </c>
      <c r="H70" s="1302">
        <f t="shared" si="15"/>
        <v>-408432.19900000002</v>
      </c>
      <c r="I70" s="1302">
        <f t="shared" si="15"/>
        <v>-408432.19900000002</v>
      </c>
      <c r="J70" s="1302">
        <f t="shared" si="15"/>
        <v>-408432.19900000002</v>
      </c>
      <c r="K70" s="1302">
        <f t="shared" si="15"/>
        <v>-408432.19900000002</v>
      </c>
      <c r="L70" s="1302">
        <f t="shared" si="15"/>
        <v>-417382.19900000002</v>
      </c>
      <c r="M70" s="1302">
        <f t="shared" si="15"/>
        <v>-417382.19900000002</v>
      </c>
      <c r="N70" s="1302">
        <f t="shared" si="15"/>
        <v>-417382.19900000002</v>
      </c>
      <c r="O70" s="1302">
        <f t="shared" si="15"/>
        <v>-417382.19900000002</v>
      </c>
      <c r="P70" s="1306">
        <f t="shared" si="15"/>
        <v>-417382.19900000002</v>
      </c>
      <c r="Q70" s="1302">
        <f t="shared" si="15"/>
        <v>-419661.484</v>
      </c>
      <c r="R70" s="1302">
        <f t="shared" si="15"/>
        <v>-419661.484</v>
      </c>
      <c r="S70" s="1302">
        <f t="shared" si="15"/>
        <v>-419661.484</v>
      </c>
      <c r="T70" s="1302">
        <f t="shared" si="15"/>
        <v>-419661.484</v>
      </c>
      <c r="U70" s="1302">
        <f t="shared" si="15"/>
        <v>-419661.484</v>
      </c>
      <c r="V70" s="1302">
        <f t="shared" si="15"/>
        <v>-419661.484</v>
      </c>
      <c r="W70" s="1302">
        <f t="shared" si="15"/>
        <v>-419661.484</v>
      </c>
      <c r="X70" s="1302">
        <f t="shared" si="15"/>
        <v>-419661.484</v>
      </c>
      <c r="Y70" s="1302">
        <f t="shared" si="15"/>
        <v>-419661.484</v>
      </c>
      <c r="Z70" s="1302">
        <f t="shared" si="15"/>
        <v>-419661.484</v>
      </c>
      <c r="AA70" s="1302">
        <f t="shared" si="15"/>
        <v>-405496.484</v>
      </c>
      <c r="AB70" s="1302">
        <f t="shared" si="15"/>
        <v>-415464.484</v>
      </c>
      <c r="AC70" s="1302">
        <f t="shared" si="15"/>
        <v>-411835.90399999998</v>
      </c>
      <c r="AD70" s="1302">
        <f t="shared" si="15"/>
        <v>-408275.53899999999</v>
      </c>
      <c r="AE70" s="1302">
        <f t="shared" si="15"/>
        <v>-403206.53899999999</v>
      </c>
      <c r="AF70" s="1302">
        <f t="shared" si="15"/>
        <v>-408498.65899999999</v>
      </c>
      <c r="AG70" s="1302">
        <f t="shared" si="15"/>
        <v>-401929.65899999999</v>
      </c>
      <c r="AH70" s="1311"/>
      <c r="AN70" s="1280">
        <v>7523.0129999999999</v>
      </c>
    </row>
    <row r="71" spans="1:40" x14ac:dyDescent="0.2">
      <c r="A71" s="1236"/>
      <c r="B71" s="1237"/>
      <c r="C71" s="1302"/>
      <c r="D71" s="1302"/>
      <c r="E71" s="1302"/>
      <c r="F71" s="1303"/>
      <c r="G71" s="1303"/>
      <c r="H71" s="1303"/>
      <c r="I71" s="1303"/>
      <c r="J71" s="1303"/>
      <c r="K71" s="1303"/>
      <c r="L71" s="1303"/>
      <c r="M71" s="1303"/>
      <c r="N71" s="1303"/>
      <c r="O71" s="1303"/>
      <c r="P71" s="1304"/>
      <c r="Q71" s="1303"/>
      <c r="R71" s="1303"/>
      <c r="S71" s="1303"/>
      <c r="T71" s="1303"/>
      <c r="U71" s="1303"/>
      <c r="V71" s="1303"/>
      <c r="W71" s="1303"/>
      <c r="X71" s="1303"/>
      <c r="Y71" s="1303"/>
      <c r="Z71" s="1303"/>
      <c r="AA71" s="1303"/>
      <c r="AB71" s="1303"/>
      <c r="AC71" s="1303"/>
      <c r="AD71" s="1303"/>
      <c r="AE71" s="1303"/>
      <c r="AF71" s="1303"/>
      <c r="AG71" s="1303"/>
      <c r="AH71" s="1207"/>
      <c r="AN71" s="1280">
        <v>716.57600000000002</v>
      </c>
    </row>
    <row r="72" spans="1:40" ht="13.5" thickBot="1" x14ac:dyDescent="0.25">
      <c r="A72" s="1250"/>
      <c r="B72" s="1307"/>
      <c r="C72" s="1312"/>
      <c r="D72" s="1312"/>
      <c r="E72" s="1312"/>
      <c r="F72" s="1313"/>
      <c r="G72" s="1313"/>
      <c r="H72" s="1313"/>
      <c r="I72" s="1313"/>
      <c r="J72" s="1313"/>
      <c r="K72" s="1313"/>
      <c r="L72" s="1313"/>
      <c r="M72" s="1313"/>
      <c r="N72" s="1313"/>
      <c r="O72" s="1313"/>
      <c r="P72" s="1314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207"/>
      <c r="AN72" s="1315">
        <v>1326.8</v>
      </c>
    </row>
    <row r="73" spans="1:40" x14ac:dyDescent="0.2">
      <c r="A73" s="1316"/>
      <c r="B73" s="1207"/>
      <c r="C73" s="1227"/>
      <c r="D73" s="1227"/>
      <c r="E73" s="1227"/>
      <c r="F73" s="1227"/>
      <c r="G73" s="1227"/>
      <c r="H73" s="1317"/>
      <c r="I73" s="1317"/>
      <c r="J73" s="1317"/>
      <c r="K73" s="1317"/>
      <c r="L73" s="1317"/>
      <c r="M73" s="1317"/>
      <c r="N73" s="1317"/>
      <c r="O73" s="1317"/>
      <c r="P73" s="1318"/>
      <c r="Q73" s="1317"/>
      <c r="R73" s="1317"/>
      <c r="S73" s="1317"/>
      <c r="T73" s="1317"/>
      <c r="U73" s="1317"/>
      <c r="V73" s="1317"/>
      <c r="W73" s="1317"/>
      <c r="X73" s="1317"/>
      <c r="Y73" s="1317"/>
      <c r="Z73" s="1317"/>
      <c r="AA73" s="1317"/>
      <c r="AB73" s="1317"/>
      <c r="AC73" s="1317"/>
      <c r="AD73" s="1317"/>
      <c r="AE73" s="1317"/>
      <c r="AF73" s="1317"/>
      <c r="AG73" s="1317"/>
      <c r="AH73" s="1207"/>
      <c r="AN73" s="1315">
        <v>4180.9530000000004</v>
      </c>
    </row>
    <row r="74" spans="1:40" x14ac:dyDescent="0.2">
      <c r="A74" s="1316" t="s">
        <v>40</v>
      </c>
      <c r="B74" s="1207"/>
      <c r="C74" s="1303"/>
      <c r="D74" s="1303"/>
      <c r="E74" s="1303"/>
      <c r="F74" s="1303"/>
      <c r="G74" s="1303"/>
      <c r="H74" s="1303"/>
      <c r="I74" s="1303"/>
      <c r="J74" s="1303"/>
      <c r="K74" s="1303"/>
      <c r="L74" s="1303"/>
      <c r="M74" s="1303"/>
      <c r="N74" s="1303"/>
      <c r="O74" s="1303"/>
      <c r="P74" s="1303"/>
      <c r="Q74" s="1303"/>
      <c r="R74" s="1303"/>
      <c r="S74" s="1303"/>
      <c r="T74" s="1303"/>
      <c r="U74" s="1303"/>
      <c r="V74" s="1303"/>
      <c r="W74" s="1303"/>
      <c r="X74" s="1303"/>
      <c r="Y74" s="1303"/>
      <c r="Z74" s="1303"/>
      <c r="AA74" s="1303">
        <v>14165</v>
      </c>
      <c r="AB74" s="1303">
        <v>12832</v>
      </c>
      <c r="AC74" s="1303">
        <v>4700</v>
      </c>
      <c r="AD74" s="1303">
        <v>5531</v>
      </c>
      <c r="AE74" s="1303">
        <v>33869</v>
      </c>
      <c r="AF74" s="1303">
        <v>3823</v>
      </c>
      <c r="AG74" s="1303">
        <v>6569</v>
      </c>
      <c r="AH74" s="1227">
        <f>SUM(C74:AG74)</f>
        <v>81489</v>
      </c>
      <c r="AI74" s="1320"/>
      <c r="AJ74" s="1320"/>
      <c r="AK74" s="1321"/>
      <c r="AN74" s="1315">
        <v>2761.194</v>
      </c>
    </row>
    <row r="75" spans="1:40" x14ac:dyDescent="0.2">
      <c r="A75" s="1316" t="s">
        <v>42</v>
      </c>
      <c r="B75" s="1207"/>
      <c r="C75" s="1303"/>
      <c r="D75" s="1303"/>
      <c r="E75" s="1303"/>
      <c r="F75" s="1319"/>
      <c r="G75" s="1319"/>
      <c r="H75" s="1319">
        <f t="shared" ref="H75" si="16">D57</f>
        <v>0</v>
      </c>
      <c r="I75" s="1319"/>
      <c r="J75" s="1319"/>
      <c r="K75" s="1319"/>
      <c r="L75" s="1319"/>
      <c r="M75" s="1319"/>
      <c r="N75" s="1319"/>
      <c r="O75" s="1319"/>
      <c r="P75" s="1319"/>
      <c r="Q75" s="1319"/>
      <c r="R75" s="1319"/>
      <c r="S75" s="1319"/>
      <c r="T75" s="1319"/>
      <c r="U75" s="1319"/>
      <c r="V75" s="1319"/>
      <c r="W75" s="1319"/>
      <c r="X75" s="1319"/>
      <c r="Y75" s="1319"/>
      <c r="Z75" s="1319"/>
      <c r="AA75" s="1319"/>
      <c r="AB75" s="1319"/>
      <c r="AC75" s="1319"/>
      <c r="AD75" s="1319"/>
      <c r="AE75" s="1319"/>
      <c r="AF75" s="1319"/>
      <c r="AG75" s="1319"/>
      <c r="AH75" s="1227">
        <f>SUM(C75:AG75)</f>
        <v>0</v>
      </c>
      <c r="AI75" s="1320"/>
      <c r="AJ75" s="1320"/>
      <c r="AK75" s="1321"/>
      <c r="AN75" s="1315">
        <v>6804.6840000000002</v>
      </c>
    </row>
    <row r="76" spans="1:40" ht="13.5" thickBot="1" x14ac:dyDescent="0.25">
      <c r="A76" s="1316"/>
      <c r="B76" s="1207"/>
      <c r="C76" s="1219"/>
      <c r="D76" s="1219"/>
      <c r="E76" s="1219"/>
      <c r="F76" s="1219"/>
      <c r="G76" s="1220"/>
      <c r="H76" s="1322"/>
      <c r="I76" s="1219"/>
      <c r="J76" s="1219"/>
      <c r="K76" s="1219"/>
      <c r="L76" s="1219"/>
      <c r="M76" s="1219"/>
      <c r="N76" s="1219"/>
      <c r="O76" s="1219"/>
      <c r="P76" s="1221"/>
      <c r="Q76" s="1219"/>
      <c r="R76" s="1219"/>
      <c r="S76" s="1219"/>
      <c r="T76" s="1219"/>
      <c r="U76" s="1219"/>
      <c r="V76" s="1322"/>
      <c r="W76" s="1322"/>
      <c r="X76" s="1219"/>
      <c r="Y76" s="1219"/>
      <c r="Z76" s="1219"/>
      <c r="AA76" s="1219"/>
      <c r="AB76" s="1219"/>
      <c r="AC76" s="1219"/>
      <c r="AD76" s="1219"/>
      <c r="AE76" s="1219"/>
      <c r="AF76" s="1219"/>
      <c r="AG76" s="1219"/>
      <c r="AH76" s="1207"/>
      <c r="AI76" s="1320"/>
      <c r="AJ76" s="1320"/>
      <c r="AK76" s="1321"/>
      <c r="AN76" s="1315">
        <v>14590.134</v>
      </c>
    </row>
    <row r="77" spans="1:40" x14ac:dyDescent="0.2">
      <c r="A77" s="1323" t="s">
        <v>495</v>
      </c>
      <c r="B77" s="1324" t="s">
        <v>509</v>
      </c>
      <c r="C77" s="1325"/>
      <c r="D77" s="1326"/>
      <c r="E77" s="1326"/>
      <c r="F77" s="1326"/>
      <c r="G77" s="1327"/>
      <c r="H77" s="1328"/>
      <c r="I77" s="1326"/>
      <c r="J77" s="1326"/>
      <c r="K77" s="1326"/>
      <c r="L77" s="1326"/>
      <c r="M77" s="1326"/>
      <c r="N77" s="1326"/>
      <c r="O77" s="1326"/>
      <c r="P77" s="1329"/>
      <c r="Q77" s="1326"/>
      <c r="R77" s="1326"/>
      <c r="S77" s="1326"/>
      <c r="T77" s="1326"/>
      <c r="U77" s="1326"/>
      <c r="V77" s="1328"/>
      <c r="W77" s="1328"/>
      <c r="X77" s="1326"/>
      <c r="Y77" s="1326"/>
      <c r="Z77" s="1326"/>
      <c r="AA77" s="1326"/>
      <c r="AB77" s="1326"/>
      <c r="AC77" s="1326"/>
      <c r="AD77" s="1326"/>
      <c r="AE77" s="1326"/>
      <c r="AF77" s="1326"/>
      <c r="AG77" s="1326"/>
      <c r="AH77" s="1330">
        <f>SUM(C77:AG77)</f>
        <v>0</v>
      </c>
      <c r="AI77" s="1320"/>
      <c r="AJ77" s="1320"/>
      <c r="AK77" s="1321"/>
      <c r="AN77" s="1280">
        <v>1034.9559999999999</v>
      </c>
    </row>
    <row r="78" spans="1:40" ht="13.5" thickBot="1" x14ac:dyDescent="0.25">
      <c r="A78" s="1331" t="s">
        <v>697</v>
      </c>
      <c r="B78" s="1332" t="s">
        <v>510</v>
      </c>
      <c r="C78" s="1333"/>
      <c r="D78" s="1334"/>
      <c r="E78" s="1334"/>
      <c r="F78" s="1334"/>
      <c r="G78" s="1334"/>
      <c r="H78" s="1335"/>
      <c r="I78" s="1336"/>
      <c r="J78" s="1334"/>
      <c r="K78" s="1334"/>
      <c r="L78" s="1335"/>
      <c r="M78" s="1334"/>
      <c r="N78" s="1334"/>
      <c r="O78" s="1334"/>
      <c r="P78" s="1337"/>
      <c r="Q78" s="1335"/>
      <c r="R78" s="1334"/>
      <c r="S78" s="1334"/>
      <c r="T78" s="1334"/>
      <c r="U78" s="1334"/>
      <c r="V78" s="1335"/>
      <c r="W78" s="1334"/>
      <c r="X78" s="1334"/>
      <c r="Y78" s="1334"/>
      <c r="Z78" s="1334"/>
      <c r="AA78" s="1335"/>
      <c r="AB78" s="1334"/>
      <c r="AC78" s="1334"/>
      <c r="AD78" s="1334"/>
      <c r="AE78" s="1334"/>
      <c r="AF78" s="1334"/>
      <c r="AG78" s="1334"/>
      <c r="AH78" s="1338">
        <f>SUM(C78:AG78)</f>
        <v>0</v>
      </c>
      <c r="AI78" s="1320"/>
      <c r="AJ78" s="1320"/>
      <c r="AK78" s="1321"/>
      <c r="AN78" s="1280"/>
    </row>
    <row r="79" spans="1:40" x14ac:dyDescent="0.2">
      <c r="A79" s="1323" t="s">
        <v>495</v>
      </c>
      <c r="B79" s="1324" t="s">
        <v>509</v>
      </c>
      <c r="C79" s="1339"/>
      <c r="D79" s="1339"/>
      <c r="E79" s="1339"/>
      <c r="F79" s="1339"/>
      <c r="G79" s="1339"/>
      <c r="H79" s="1340"/>
      <c r="I79" s="1341"/>
      <c r="J79" s="1339"/>
      <c r="K79" s="1339"/>
      <c r="L79" s="1340"/>
      <c r="M79" s="1339"/>
      <c r="N79" s="1339"/>
      <c r="O79" s="1339"/>
      <c r="P79" s="1342"/>
      <c r="Q79" s="1340"/>
      <c r="R79" s="1339"/>
      <c r="S79" s="1339"/>
      <c r="T79" s="1339"/>
      <c r="U79" s="1339"/>
      <c r="V79" s="1340"/>
      <c r="W79" s="1339"/>
      <c r="X79" s="1339"/>
      <c r="Y79" s="1339"/>
      <c r="Z79" s="1339"/>
      <c r="AA79" s="1340"/>
      <c r="AB79" s="1339"/>
      <c r="AC79" s="1339"/>
      <c r="AD79" s="1339"/>
      <c r="AE79" s="1339"/>
      <c r="AF79" s="1339"/>
      <c r="AG79" s="1339"/>
      <c r="AH79" s="1330">
        <f>SUM(C79:AG79)</f>
        <v>0</v>
      </c>
      <c r="AI79" s="1320"/>
      <c r="AJ79" s="1320"/>
      <c r="AK79" s="1321"/>
      <c r="AN79" s="1280"/>
    </row>
    <row r="80" spans="1:40" ht="13.5" thickBot="1" x14ac:dyDescent="0.25">
      <c r="A80" s="1331" t="s">
        <v>696</v>
      </c>
      <c r="B80" s="1332" t="s">
        <v>510</v>
      </c>
      <c r="C80" s="1339"/>
      <c r="D80" s="1339"/>
      <c r="E80" s="1339"/>
      <c r="F80" s="1339"/>
      <c r="G80" s="1339"/>
      <c r="H80" s="1340"/>
      <c r="I80" s="1341"/>
      <c r="J80" s="1339"/>
      <c r="K80" s="1339"/>
      <c r="L80" s="1340"/>
      <c r="M80" s="1339"/>
      <c r="N80" s="1339"/>
      <c r="O80" s="1339"/>
      <c r="P80" s="1342"/>
      <c r="Q80" s="1340"/>
      <c r="R80" s="1339"/>
      <c r="S80" s="1339"/>
      <c r="T80" s="1339"/>
      <c r="U80" s="1339"/>
      <c r="V80" s="1340"/>
      <c r="W80" s="1339"/>
      <c r="X80" s="1339"/>
      <c r="Y80" s="1339"/>
      <c r="Z80" s="1339"/>
      <c r="AA80" s="1340"/>
      <c r="AB80" s="1339"/>
      <c r="AC80" s="1339"/>
      <c r="AD80" s="1339"/>
      <c r="AE80" s="1339"/>
      <c r="AF80" s="1339"/>
      <c r="AG80" s="1339"/>
      <c r="AH80" s="1343"/>
      <c r="AI80" s="1320"/>
      <c r="AJ80" s="1320"/>
      <c r="AK80" s="1321"/>
      <c r="AN80" s="1280"/>
    </row>
    <row r="81" spans="1:43" x14ac:dyDescent="0.2">
      <c r="A81" s="1344"/>
      <c r="B81" s="1230"/>
      <c r="C81" s="1228"/>
      <c r="D81" s="1228"/>
      <c r="E81" s="1228"/>
      <c r="F81" s="1228"/>
      <c r="G81" s="1228"/>
      <c r="H81" s="1228"/>
      <c r="I81" s="1228"/>
      <c r="J81" s="1228"/>
      <c r="K81" s="1228"/>
      <c r="L81" s="1228"/>
      <c r="M81" s="1228"/>
      <c r="N81" s="1228"/>
      <c r="O81" s="1228"/>
      <c r="P81" s="1229"/>
      <c r="Q81" s="1228"/>
      <c r="R81" s="1228"/>
      <c r="S81" s="1228"/>
      <c r="T81" s="1228"/>
      <c r="U81" s="1228"/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320"/>
      <c r="AJ81" s="1320"/>
      <c r="AK81" s="1321"/>
      <c r="AN81" s="1280">
        <v>2000</v>
      </c>
    </row>
    <row r="82" spans="1:43" s="1321" customFormat="1" x14ac:dyDescent="0.2">
      <c r="A82" s="1236" t="s">
        <v>2</v>
      </c>
      <c r="B82" s="1207"/>
      <c r="C82" s="1345">
        <f>SUM(C84:C121)</f>
        <v>1979.6690000000001</v>
      </c>
      <c r="D82" s="1227"/>
      <c r="E82" s="1346"/>
      <c r="F82" s="1227"/>
      <c r="G82" s="1347"/>
      <c r="H82" s="1228"/>
      <c r="I82" s="1227"/>
      <c r="J82" s="1227"/>
      <c r="K82" s="1227"/>
      <c r="L82" s="1227"/>
      <c r="M82" s="1228"/>
      <c r="N82" s="1228"/>
      <c r="O82" s="1228"/>
      <c r="P82" s="1229"/>
      <c r="Q82" s="1228"/>
      <c r="R82" s="1228"/>
      <c r="S82" s="1228"/>
      <c r="T82" s="1227"/>
      <c r="U82" s="1227"/>
      <c r="V82" s="1227"/>
      <c r="W82" s="1227"/>
      <c r="X82" s="1227"/>
      <c r="Y82" s="1227"/>
      <c r="Z82" s="1227"/>
      <c r="AA82" s="1227"/>
      <c r="AB82" s="1227"/>
      <c r="AC82" s="1227"/>
      <c r="AD82" s="1227"/>
      <c r="AE82" s="1228"/>
      <c r="AF82" s="1227"/>
      <c r="AG82" s="1227"/>
      <c r="AH82" s="1207"/>
      <c r="AN82" s="1348">
        <v>2358.498</v>
      </c>
    </row>
    <row r="83" spans="1:43" s="1321" customFormat="1" x14ac:dyDescent="0.2">
      <c r="A83" s="1237"/>
      <c r="B83" s="1207"/>
      <c r="C83" s="1345"/>
      <c r="D83" s="1207"/>
      <c r="E83" s="1207"/>
      <c r="F83" s="1207"/>
      <c r="G83" s="1349"/>
      <c r="H83" s="1207"/>
      <c r="I83" s="1207"/>
      <c r="J83" s="1207"/>
      <c r="K83" s="1207"/>
      <c r="L83" s="1207"/>
      <c r="M83" s="1207"/>
      <c r="N83" s="1207"/>
      <c r="O83" s="1207"/>
      <c r="P83" s="1208"/>
      <c r="Q83" s="1207"/>
      <c r="R83" s="1207"/>
      <c r="S83" s="1207"/>
      <c r="T83" s="1207"/>
      <c r="U83" s="1207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N83" s="1348">
        <v>1458.3630000000001</v>
      </c>
    </row>
    <row r="84" spans="1:43" s="1321" customFormat="1" x14ac:dyDescent="0.2">
      <c r="A84" s="1207" t="s">
        <v>30</v>
      </c>
      <c r="B84" s="1350">
        <v>42605</v>
      </c>
      <c r="C84" s="1351"/>
      <c r="D84" s="1208"/>
      <c r="E84" s="1207"/>
      <c r="F84" s="1207"/>
      <c r="G84" s="1349"/>
      <c r="H84" s="1207"/>
      <c r="I84" s="1207"/>
      <c r="J84" s="1207"/>
      <c r="K84" s="1352"/>
      <c r="L84" s="1208"/>
      <c r="M84" s="1229"/>
      <c r="N84" s="1207"/>
      <c r="O84" s="1207"/>
      <c r="P84" s="1208"/>
      <c r="Q84" s="1207"/>
      <c r="R84" s="1207"/>
      <c r="S84" s="1207"/>
      <c r="T84" s="1207"/>
      <c r="U84" s="1207"/>
      <c r="V84" s="1207"/>
      <c r="W84" s="1207"/>
      <c r="X84" s="1207"/>
      <c r="Y84" s="1207"/>
      <c r="Z84" s="1207"/>
      <c r="AA84" s="1207"/>
      <c r="AB84" s="1207"/>
      <c r="AC84" s="1207"/>
      <c r="AD84" s="1207"/>
      <c r="AE84" s="1207"/>
      <c r="AF84" s="1207"/>
      <c r="AG84" s="1207"/>
      <c r="AH84" s="1207"/>
      <c r="AN84" s="1315">
        <v>718.548</v>
      </c>
    </row>
    <row r="85" spans="1:43" s="1321" customFormat="1" x14ac:dyDescent="0.2">
      <c r="A85" s="1207"/>
      <c r="B85" s="1350">
        <v>42255</v>
      </c>
      <c r="C85" s="1351"/>
      <c r="D85" s="1208"/>
      <c r="F85" s="1207"/>
      <c r="G85" s="1353"/>
      <c r="H85" s="1207"/>
      <c r="I85" s="1207"/>
      <c r="J85" s="1207"/>
      <c r="K85" s="1208"/>
      <c r="L85" s="1208"/>
      <c r="M85" s="1208"/>
      <c r="N85" s="1207"/>
      <c r="O85" s="1207"/>
      <c r="P85" s="1208"/>
      <c r="Q85" s="1207"/>
      <c r="R85" s="1207"/>
      <c r="S85" s="1207"/>
      <c r="T85" s="1207"/>
      <c r="U85" s="1207"/>
      <c r="V85" s="1207"/>
      <c r="W85" s="1207"/>
      <c r="X85" s="1207"/>
      <c r="Y85" s="1207"/>
      <c r="Z85" s="1207"/>
      <c r="AA85" s="1207"/>
      <c r="AB85" s="1207"/>
      <c r="AC85" s="1207"/>
      <c r="AD85" s="1207"/>
      <c r="AE85" s="1207"/>
      <c r="AF85" s="1207"/>
      <c r="AG85" s="1207"/>
      <c r="AH85" s="1207"/>
      <c r="AN85" s="1315">
        <v>1820.952</v>
      </c>
    </row>
    <row r="86" spans="1:43" x14ac:dyDescent="0.2">
      <c r="A86" s="1207"/>
      <c r="B86" s="1350">
        <v>42248</v>
      </c>
      <c r="C86" s="1345"/>
      <c r="D86" s="1354"/>
      <c r="E86" s="1207"/>
      <c r="F86" s="1207"/>
      <c r="G86" s="1353"/>
      <c r="H86" s="1207"/>
      <c r="I86" s="1207"/>
      <c r="J86" s="1207"/>
      <c r="K86" s="1617"/>
      <c r="L86" s="1208"/>
      <c r="M86" s="1208"/>
      <c r="N86" s="1207"/>
      <c r="O86" s="1207"/>
      <c r="P86" s="1208"/>
      <c r="Q86" s="1207"/>
      <c r="R86" s="1207"/>
      <c r="S86" s="1207"/>
      <c r="T86" s="1207"/>
      <c r="U86" s="1207"/>
      <c r="V86" s="1207"/>
      <c r="W86" s="1207"/>
      <c r="X86" s="1207"/>
      <c r="Y86" s="1207"/>
      <c r="Z86" s="1207"/>
      <c r="AA86" s="1207"/>
      <c r="AB86" s="1207"/>
      <c r="AC86" s="1207"/>
      <c r="AD86" s="1207"/>
      <c r="AE86" s="1207"/>
      <c r="AF86" s="1207"/>
      <c r="AG86" s="1207"/>
      <c r="AH86" s="1207"/>
      <c r="AI86" s="1355"/>
      <c r="AJ86" s="1320"/>
      <c r="AN86" s="1315">
        <v>2110.3739999999998</v>
      </c>
      <c r="AP86" s="1209">
        <v>1701.6279999999999</v>
      </c>
      <c r="AQ86" s="1209" t="s">
        <v>491</v>
      </c>
    </row>
    <row r="87" spans="1:43" x14ac:dyDescent="0.2">
      <c r="A87" s="1207"/>
      <c r="B87" s="1350">
        <v>42248</v>
      </c>
      <c r="C87" s="1356"/>
      <c r="D87" s="1345"/>
      <c r="E87" s="1357"/>
      <c r="F87" s="1207"/>
      <c r="G87" s="1349"/>
      <c r="H87" s="1207"/>
      <c r="I87" s="1207"/>
      <c r="J87" s="1207"/>
      <c r="K87" s="1207"/>
      <c r="L87" s="1207"/>
      <c r="M87" s="1207"/>
      <c r="N87" s="1207"/>
      <c r="O87" s="1207"/>
      <c r="P87" s="1208"/>
      <c r="Q87" s="1207"/>
      <c r="R87" s="1207"/>
      <c r="S87" s="1207"/>
      <c r="T87" s="1207"/>
      <c r="U87" s="1207"/>
      <c r="V87" s="1207"/>
      <c r="W87" s="1207"/>
      <c r="X87" s="1207"/>
      <c r="Y87" s="1207"/>
      <c r="Z87" s="1207"/>
      <c r="AA87" s="1207"/>
      <c r="AB87" s="1207"/>
      <c r="AC87" s="1207"/>
      <c r="AD87" s="1207"/>
      <c r="AE87" s="1207"/>
      <c r="AF87" s="1207"/>
      <c r="AG87" s="1207"/>
      <c r="AH87" s="1207"/>
      <c r="AI87" s="1280"/>
      <c r="AN87" s="1315">
        <v>2000</v>
      </c>
      <c r="AP87" s="1209">
        <v>5818.643</v>
      </c>
      <c r="AQ87" s="1209" t="s">
        <v>492</v>
      </c>
    </row>
    <row r="88" spans="1:43" x14ac:dyDescent="0.2">
      <c r="A88" s="1207" t="s">
        <v>31</v>
      </c>
      <c r="B88" s="1350">
        <v>42601</v>
      </c>
      <c r="C88" s="1358"/>
      <c r="D88" s="1354"/>
      <c r="E88" s="1354"/>
      <c r="F88" s="1354"/>
      <c r="G88" s="1349"/>
      <c r="H88" s="1207"/>
      <c r="I88" s="1207"/>
      <c r="J88" s="1207"/>
      <c r="K88" s="1207"/>
      <c r="L88" s="1207"/>
      <c r="M88" s="1207"/>
      <c r="N88" s="1207"/>
      <c r="O88" s="1207"/>
      <c r="P88" s="1208"/>
      <c r="Q88" s="1207"/>
      <c r="R88" s="1207"/>
      <c r="S88" s="1207"/>
      <c r="T88" s="1207"/>
      <c r="U88" s="1207"/>
      <c r="V88" s="1207"/>
      <c r="W88" s="1207"/>
      <c r="X88" s="1207"/>
      <c r="Y88" s="1207"/>
      <c r="Z88" s="1207"/>
      <c r="AA88" s="1207"/>
      <c r="AB88" s="1207"/>
      <c r="AC88" s="1207"/>
      <c r="AD88" s="1207"/>
      <c r="AE88" s="1207"/>
      <c r="AF88" s="1207"/>
      <c r="AG88" s="1207"/>
      <c r="AH88" s="1207"/>
      <c r="AI88" s="1280"/>
      <c r="AN88" s="1315">
        <v>1841.7439999999999</v>
      </c>
    </row>
    <row r="89" spans="1:43" x14ac:dyDescent="0.2">
      <c r="A89" s="1207"/>
      <c r="B89" s="1350">
        <v>42604</v>
      </c>
      <c r="C89" s="1354"/>
      <c r="D89" s="1354"/>
      <c r="E89" s="1354"/>
      <c r="F89" s="1207"/>
      <c r="G89" s="1353"/>
      <c r="H89" s="1207"/>
      <c r="I89" s="1207"/>
      <c r="J89" s="1207"/>
      <c r="K89" s="1207"/>
      <c r="L89" s="1207"/>
      <c r="M89" s="1207"/>
      <c r="N89" s="1207"/>
      <c r="O89" s="1207"/>
      <c r="P89" s="1208"/>
      <c r="Q89" s="1207"/>
      <c r="R89" s="1207"/>
      <c r="S89" s="1207"/>
      <c r="T89" s="1207"/>
      <c r="U89" s="1207"/>
      <c r="V89" s="1207"/>
      <c r="W89" s="1207"/>
      <c r="X89" s="1207"/>
      <c r="Y89" s="1207"/>
      <c r="Z89" s="1207"/>
      <c r="AA89" s="1207"/>
      <c r="AB89" s="1207"/>
      <c r="AC89" s="1207"/>
      <c r="AD89" s="1207"/>
      <c r="AE89" s="1207"/>
      <c r="AF89" s="1207"/>
      <c r="AG89" s="1207"/>
      <c r="AH89" s="1207"/>
      <c r="AI89" s="1280"/>
      <c r="AN89" s="1315">
        <v>747.24800000000005</v>
      </c>
    </row>
    <row r="90" spans="1:43" x14ac:dyDescent="0.2">
      <c r="A90" s="1207"/>
      <c r="B90" s="1350">
        <v>42613</v>
      </c>
      <c r="C90" s="1359">
        <f>8221.234-5921.234-2300</f>
        <v>0</v>
      </c>
      <c r="D90" s="1354"/>
      <c r="E90" s="1357"/>
      <c r="F90" s="1207"/>
      <c r="G90" s="1360"/>
      <c r="H90" s="1207"/>
      <c r="I90" s="1207"/>
      <c r="J90" s="1207"/>
      <c r="K90" s="1207"/>
      <c r="L90" s="1207"/>
      <c r="M90" s="1207"/>
      <c r="N90" s="1207"/>
      <c r="O90" s="1207"/>
      <c r="P90" s="1208"/>
      <c r="Q90" s="1207"/>
      <c r="R90" s="1207"/>
      <c r="S90" s="1207"/>
      <c r="T90" s="1207"/>
      <c r="U90" s="1207"/>
      <c r="V90" s="1207"/>
      <c r="W90" s="1207"/>
      <c r="X90" s="1207"/>
      <c r="Y90" s="1207"/>
      <c r="Z90" s="1207"/>
      <c r="AA90" s="1207"/>
      <c r="AB90" s="1207"/>
      <c r="AC90" s="1207"/>
      <c r="AD90" s="1207"/>
      <c r="AE90" s="1207"/>
      <c r="AF90" s="1207"/>
      <c r="AG90" s="1207"/>
      <c r="AH90" s="1207"/>
      <c r="AI90" s="1280"/>
      <c r="AN90" s="1315">
        <v>4413.4639999999999</v>
      </c>
    </row>
    <row r="91" spans="1:43" x14ac:dyDescent="0.2">
      <c r="A91" s="1207"/>
      <c r="B91" s="1350">
        <v>42608</v>
      </c>
      <c r="C91" s="1358"/>
      <c r="D91" s="1354"/>
      <c r="E91" s="1354"/>
      <c r="F91" s="1207"/>
      <c r="G91" s="1360"/>
      <c r="H91" s="1207"/>
      <c r="I91" s="1207"/>
      <c r="J91" s="1207"/>
      <c r="K91" s="1207"/>
      <c r="L91" s="1207"/>
      <c r="M91" s="1207"/>
      <c r="N91" s="1207"/>
      <c r="O91" s="1207"/>
      <c r="P91" s="1208"/>
      <c r="Q91" s="1207"/>
      <c r="R91" s="1207"/>
      <c r="S91" s="1207"/>
      <c r="T91" s="1207"/>
      <c r="U91" s="1207"/>
      <c r="V91" s="1207"/>
      <c r="W91" s="1207"/>
      <c r="X91" s="1207"/>
      <c r="Y91" s="1207"/>
      <c r="Z91" s="1207"/>
      <c r="AA91" s="1207"/>
      <c r="AB91" s="1207"/>
      <c r="AC91" s="1207"/>
      <c r="AD91" s="1207"/>
      <c r="AE91" s="1207"/>
      <c r="AF91" s="1207"/>
      <c r="AG91" s="1207"/>
      <c r="AH91" s="1207"/>
      <c r="AN91" s="1315">
        <v>1836.3130000000001</v>
      </c>
    </row>
    <row r="92" spans="1:43" x14ac:dyDescent="0.2">
      <c r="A92" s="1207"/>
      <c r="B92" s="1350">
        <v>42611</v>
      </c>
      <c r="C92" s="1358">
        <f>34886.394-450.566-14917.367-5919.58-6925.118-6673.763</f>
        <v>0</v>
      </c>
      <c r="D92" s="1354"/>
      <c r="E92" s="1354"/>
      <c r="F92" s="1207"/>
      <c r="G92" s="1207"/>
      <c r="H92" s="1207"/>
      <c r="I92" s="1207"/>
      <c r="J92" s="1207"/>
      <c r="K92" s="1207"/>
      <c r="L92" s="1207"/>
      <c r="M92" s="1207"/>
      <c r="N92" s="1207"/>
      <c r="O92" s="1207"/>
      <c r="P92" s="1208"/>
      <c r="Q92" s="1207"/>
      <c r="R92" s="1207"/>
      <c r="S92" s="1207"/>
      <c r="T92" s="1207"/>
      <c r="U92" s="1207"/>
      <c r="V92" s="1207"/>
      <c r="W92" s="1207"/>
      <c r="X92" s="1207"/>
      <c r="Y92" s="1207"/>
      <c r="Z92" s="1207"/>
      <c r="AA92" s="1207"/>
      <c r="AB92" s="1207"/>
      <c r="AC92" s="1207"/>
      <c r="AD92" s="1207"/>
      <c r="AE92" s="1207"/>
      <c r="AF92" s="1207"/>
      <c r="AG92" s="1207"/>
      <c r="AH92" s="1207"/>
      <c r="AN92" s="1315">
        <v>8000</v>
      </c>
    </row>
    <row r="93" spans="1:43" x14ac:dyDescent="0.2">
      <c r="A93" s="1207"/>
      <c r="B93" s="1350">
        <v>42612</v>
      </c>
      <c r="C93" s="1358"/>
      <c r="D93" s="1354"/>
      <c r="E93" s="1354"/>
      <c r="F93" s="1207"/>
      <c r="G93" s="1207"/>
      <c r="H93" s="1207"/>
      <c r="I93" s="1207"/>
      <c r="J93" s="1207"/>
      <c r="K93" s="1207"/>
      <c r="L93" s="1207"/>
      <c r="M93" s="1207"/>
      <c r="N93" s="1207"/>
      <c r="O93" s="1207"/>
      <c r="P93" s="1208"/>
      <c r="Q93" s="1207"/>
      <c r="R93" s="1207"/>
      <c r="S93" s="1207"/>
      <c r="T93" s="1207"/>
      <c r="U93" s="1207"/>
      <c r="V93" s="1207"/>
      <c r="W93" s="1207"/>
      <c r="X93" s="1207"/>
      <c r="Y93" s="1207"/>
      <c r="Z93" s="1207"/>
      <c r="AA93" s="1207"/>
      <c r="AB93" s="1207"/>
      <c r="AC93" s="1207"/>
      <c r="AD93" s="1207"/>
      <c r="AE93" s="1207"/>
      <c r="AF93" s="1207"/>
      <c r="AG93" s="1207"/>
      <c r="AH93" s="1207"/>
      <c r="AN93" s="1280">
        <f>SUM(AN44:AN92)</f>
        <v>167376.80400000003</v>
      </c>
      <c r="AP93" s="1361">
        <f>AN93+AP86+AP87</f>
        <v>174897.07500000004</v>
      </c>
    </row>
    <row r="94" spans="1:43" x14ac:dyDescent="0.2">
      <c r="A94" s="1207"/>
      <c r="B94" s="1350">
        <v>42591</v>
      </c>
      <c r="C94" s="1358"/>
      <c r="D94" s="1354"/>
      <c r="E94" s="1354"/>
      <c r="F94" s="1207"/>
      <c r="G94" s="1207"/>
      <c r="H94" s="1207"/>
      <c r="I94" s="1207"/>
      <c r="J94" s="1207"/>
      <c r="K94" s="1207"/>
      <c r="L94" s="1207"/>
      <c r="M94" s="1207"/>
      <c r="N94" s="1207"/>
      <c r="O94" s="1207"/>
      <c r="P94" s="1208"/>
      <c r="Q94" s="1207"/>
      <c r="R94" s="1207"/>
      <c r="S94" s="1207"/>
      <c r="T94" s="1207"/>
      <c r="U94" s="1207"/>
      <c r="V94" s="1207"/>
      <c r="W94" s="1207"/>
      <c r="X94" s="1207"/>
      <c r="Y94" s="1207"/>
      <c r="Z94" s="1207"/>
      <c r="AA94" s="1207"/>
      <c r="AB94" s="1207"/>
      <c r="AC94" s="1207"/>
      <c r="AD94" s="1207"/>
      <c r="AE94" s="1207"/>
      <c r="AF94" s="1207"/>
      <c r="AG94" s="1207"/>
      <c r="AH94" s="1207"/>
      <c r="AN94" s="1280"/>
      <c r="AP94" s="1361"/>
    </row>
    <row r="95" spans="1:43" x14ac:dyDescent="0.2">
      <c r="A95" s="1207"/>
      <c r="B95" s="1350">
        <v>42535</v>
      </c>
      <c r="C95" s="1363"/>
      <c r="D95" s="1354"/>
      <c r="E95" s="1354"/>
      <c r="F95" s="1207"/>
      <c r="G95" s="1207"/>
      <c r="H95" s="1207"/>
      <c r="I95" s="1207"/>
      <c r="J95" s="1207"/>
      <c r="K95" s="1207"/>
      <c r="L95" s="1207"/>
      <c r="M95" s="1207"/>
      <c r="N95" s="1207"/>
      <c r="O95" s="1207"/>
      <c r="P95" s="1208"/>
      <c r="Q95" s="1207"/>
      <c r="R95" s="1207"/>
      <c r="S95" s="1207"/>
      <c r="T95" s="1207"/>
      <c r="U95" s="1207"/>
      <c r="V95" s="1207"/>
      <c r="W95" s="1207"/>
      <c r="X95" s="1207"/>
      <c r="Y95" s="1207"/>
      <c r="Z95" s="1207"/>
      <c r="AA95" s="1207"/>
      <c r="AB95" s="1207"/>
      <c r="AC95" s="1207"/>
      <c r="AD95" s="1207"/>
      <c r="AE95" s="1207"/>
      <c r="AF95" s="1207"/>
      <c r="AG95" s="1207"/>
      <c r="AH95" s="1207"/>
      <c r="AN95" s="1280"/>
      <c r="AP95" s="1361"/>
    </row>
    <row r="96" spans="1:43" x14ac:dyDescent="0.2">
      <c r="A96" s="1207"/>
      <c r="B96" s="1350">
        <v>42594</v>
      </c>
      <c r="C96" s="1363"/>
      <c r="D96" s="1354"/>
      <c r="E96" s="1354"/>
      <c r="F96" s="1207"/>
      <c r="G96" s="1207"/>
      <c r="H96" s="1207"/>
      <c r="I96" s="1207"/>
      <c r="J96" s="1207"/>
      <c r="K96" s="1207"/>
      <c r="L96" s="1207"/>
      <c r="M96" s="1207"/>
      <c r="N96" s="1207"/>
      <c r="O96" s="1207"/>
      <c r="P96" s="1208"/>
      <c r="Q96" s="1207"/>
      <c r="R96" s="1207"/>
      <c r="S96" s="1207"/>
      <c r="T96" s="1207"/>
      <c r="U96" s="1207"/>
      <c r="V96" s="1207"/>
      <c r="W96" s="1207"/>
      <c r="X96" s="1207"/>
      <c r="Y96" s="1207"/>
      <c r="Z96" s="1207"/>
      <c r="AA96" s="1207"/>
      <c r="AB96" s="1207"/>
      <c r="AC96" s="1207"/>
      <c r="AD96" s="1207"/>
      <c r="AE96" s="1207"/>
      <c r="AF96" s="1207"/>
      <c r="AG96" s="1207"/>
      <c r="AH96" s="1207"/>
      <c r="AN96" s="1280"/>
      <c r="AP96" s="1361"/>
    </row>
    <row r="97" spans="1:42" x14ac:dyDescent="0.2">
      <c r="A97" s="1207"/>
      <c r="B97" s="1350">
        <v>42613</v>
      </c>
      <c r="C97" s="1363"/>
      <c r="D97" s="1354"/>
      <c r="E97" s="1354"/>
      <c r="F97" s="1207"/>
      <c r="G97" s="1207"/>
      <c r="H97" s="1207"/>
      <c r="I97" s="1207"/>
      <c r="J97" s="1207"/>
      <c r="K97" s="1207"/>
      <c r="L97" s="1207"/>
      <c r="M97" s="1207"/>
      <c r="N97" s="1207"/>
      <c r="O97" s="1207"/>
      <c r="P97" s="1208"/>
      <c r="Q97" s="1207"/>
      <c r="R97" s="1207"/>
      <c r="S97" s="1207"/>
      <c r="T97" s="1207"/>
      <c r="U97" s="1207"/>
      <c r="V97" s="1207"/>
      <c r="W97" s="1207"/>
      <c r="X97" s="1207"/>
      <c r="Y97" s="1207"/>
      <c r="Z97" s="1207"/>
      <c r="AA97" s="1207"/>
      <c r="AB97" s="1207"/>
      <c r="AC97" s="1207"/>
      <c r="AD97" s="1207"/>
      <c r="AE97" s="1207"/>
      <c r="AF97" s="1207"/>
      <c r="AG97" s="1207"/>
      <c r="AH97" s="1207"/>
      <c r="AN97" s="1280"/>
      <c r="AP97" s="1361"/>
    </row>
    <row r="98" spans="1:42" x14ac:dyDescent="0.2">
      <c r="A98" s="1207"/>
      <c r="B98" s="1350">
        <v>42612</v>
      </c>
      <c r="C98" s="1363"/>
      <c r="D98" s="1354"/>
      <c r="E98" s="1354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8"/>
      <c r="Q98" s="1207"/>
      <c r="R98" s="1207"/>
      <c r="S98" s="1207"/>
      <c r="T98" s="1207"/>
      <c r="U98" s="1207"/>
      <c r="V98" s="1207"/>
      <c r="W98" s="1207"/>
      <c r="X98" s="1207"/>
      <c r="Y98" s="1207"/>
      <c r="Z98" s="1207"/>
      <c r="AA98" s="1207"/>
      <c r="AB98" s="1207"/>
      <c r="AC98" s="1207"/>
      <c r="AD98" s="1207"/>
      <c r="AE98" s="1207"/>
      <c r="AF98" s="1207"/>
      <c r="AG98" s="1207"/>
      <c r="AH98" s="1207"/>
      <c r="AN98" s="1280"/>
      <c r="AP98" s="1361"/>
    </row>
    <row r="99" spans="1:42" x14ac:dyDescent="0.2">
      <c r="A99" s="1207"/>
      <c r="B99" s="1350">
        <v>42609</v>
      </c>
      <c r="C99" s="1363"/>
      <c r="D99" s="1354"/>
      <c r="E99" s="1354"/>
      <c r="F99" s="1207"/>
      <c r="G99" s="1207"/>
      <c r="H99" s="1207"/>
      <c r="I99" s="1207"/>
      <c r="J99" s="1207"/>
      <c r="K99" s="1207"/>
      <c r="L99" s="1207"/>
      <c r="M99" s="1207"/>
      <c r="N99" s="1207"/>
      <c r="O99" s="1207"/>
      <c r="P99" s="1208"/>
      <c r="Q99" s="1207"/>
      <c r="R99" s="1207"/>
      <c r="S99" s="1207"/>
      <c r="T99" s="1207"/>
      <c r="U99" s="1207"/>
      <c r="V99" s="1207"/>
      <c r="W99" s="1207"/>
      <c r="X99" s="1207"/>
      <c r="Y99" s="1207"/>
      <c r="Z99" s="1207"/>
      <c r="AA99" s="1207"/>
      <c r="AB99" s="1207"/>
      <c r="AC99" s="1207"/>
      <c r="AD99" s="1207"/>
      <c r="AE99" s="1207"/>
      <c r="AF99" s="1207"/>
      <c r="AG99" s="1207"/>
      <c r="AH99" s="1207"/>
      <c r="AN99" s="1280"/>
      <c r="AP99" s="1361"/>
    </row>
    <row r="100" spans="1:42" x14ac:dyDescent="0.2">
      <c r="A100" s="1207"/>
      <c r="B100" s="1350">
        <v>42610</v>
      </c>
      <c r="C100" s="1363"/>
      <c r="D100" s="1354"/>
      <c r="E100" s="1354"/>
      <c r="F100" s="1207"/>
      <c r="G100" s="1207"/>
      <c r="H100" s="1207"/>
      <c r="I100" s="1207"/>
      <c r="J100" s="1207"/>
      <c r="K100" s="1207"/>
      <c r="L100" s="1207"/>
      <c r="M100" s="1207"/>
      <c r="N100" s="1207"/>
      <c r="O100" s="1207"/>
      <c r="P100" s="1208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07"/>
      <c r="AA100" s="1207"/>
      <c r="AB100" s="1207"/>
      <c r="AC100" s="1207"/>
      <c r="AD100" s="1207"/>
      <c r="AE100" s="1207"/>
      <c r="AF100" s="1207"/>
      <c r="AG100" s="1207"/>
      <c r="AH100" s="1207"/>
      <c r="AN100" s="1280"/>
      <c r="AP100" s="1361"/>
    </row>
    <row r="101" spans="1:42" x14ac:dyDescent="0.2">
      <c r="A101" s="1207"/>
      <c r="B101" s="1350">
        <v>42611</v>
      </c>
      <c r="C101" s="1363"/>
      <c r="D101" s="1354"/>
      <c r="E101" s="1354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8"/>
      <c r="Q101" s="1207"/>
      <c r="R101" s="1207"/>
      <c r="S101" s="1207"/>
      <c r="T101" s="1207"/>
      <c r="U101" s="1207"/>
      <c r="V101" s="1207"/>
      <c r="W101" s="1207"/>
      <c r="X101" s="1207"/>
      <c r="Y101" s="1207"/>
      <c r="Z101" s="1207"/>
      <c r="AA101" s="1207"/>
      <c r="AB101" s="1207"/>
      <c r="AC101" s="1207"/>
      <c r="AD101" s="1207"/>
      <c r="AE101" s="1207"/>
      <c r="AF101" s="1207"/>
      <c r="AG101" s="1207"/>
      <c r="AH101" s="1207"/>
      <c r="AN101" s="1280"/>
      <c r="AP101" s="1361"/>
    </row>
    <row r="102" spans="1:42" x14ac:dyDescent="0.2">
      <c r="A102" s="1207"/>
      <c r="B102" s="1350">
        <v>42608</v>
      </c>
      <c r="C102" s="1363"/>
      <c r="D102" s="1354"/>
      <c r="E102" s="1354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8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07"/>
      <c r="AA102" s="1207"/>
      <c r="AB102" s="1207"/>
      <c r="AC102" s="1207"/>
      <c r="AD102" s="1207"/>
      <c r="AE102" s="1207"/>
      <c r="AF102" s="1207"/>
      <c r="AG102" s="1207"/>
      <c r="AH102" s="1207"/>
      <c r="AN102" s="1280"/>
      <c r="AP102" s="1361"/>
    </row>
    <row r="103" spans="1:42" x14ac:dyDescent="0.2">
      <c r="A103" s="1207"/>
      <c r="B103" s="1350">
        <v>42607</v>
      </c>
      <c r="C103" s="1363"/>
      <c r="D103" s="1354"/>
      <c r="E103" s="1354"/>
      <c r="F103" s="1207"/>
      <c r="G103" s="1207"/>
      <c r="H103" s="1207"/>
      <c r="I103" s="1207"/>
      <c r="J103" s="1207"/>
      <c r="K103" s="1207"/>
      <c r="L103" s="1207"/>
      <c r="M103" s="1207"/>
      <c r="N103" s="1207"/>
      <c r="O103" s="1207"/>
      <c r="P103" s="1208"/>
      <c r="Q103" s="1207"/>
      <c r="R103" s="1207"/>
      <c r="S103" s="1207"/>
      <c r="T103" s="1207"/>
      <c r="U103" s="1207"/>
      <c r="V103" s="1207"/>
      <c r="W103" s="1207"/>
      <c r="X103" s="1207"/>
      <c r="Y103" s="1207"/>
      <c r="Z103" s="1207"/>
      <c r="AA103" s="1207"/>
      <c r="AB103" s="1207"/>
      <c r="AC103" s="1207"/>
      <c r="AD103" s="1207"/>
      <c r="AE103" s="1207"/>
      <c r="AF103" s="1207"/>
      <c r="AG103" s="1207"/>
      <c r="AH103" s="1207"/>
      <c r="AN103" s="1280"/>
      <c r="AP103" s="1361"/>
    </row>
    <row r="104" spans="1:42" x14ac:dyDescent="0.2">
      <c r="A104" s="1207"/>
      <c r="B104" s="1350">
        <v>42606</v>
      </c>
      <c r="C104" s="1363"/>
      <c r="D104" s="1354"/>
      <c r="E104" s="1354"/>
      <c r="F104" s="1207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8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07"/>
      <c r="AA104" s="1207"/>
      <c r="AB104" s="1207"/>
      <c r="AC104" s="1207"/>
      <c r="AD104" s="1207"/>
      <c r="AE104" s="1207"/>
      <c r="AF104" s="1207"/>
      <c r="AG104" s="1207"/>
      <c r="AH104" s="1207"/>
      <c r="AN104" s="1280"/>
      <c r="AP104" s="1361"/>
    </row>
    <row r="105" spans="1:42" x14ac:dyDescent="0.2">
      <c r="A105" s="1207"/>
      <c r="B105" s="1350">
        <v>42603</v>
      </c>
      <c r="C105" s="1363"/>
      <c r="D105" s="1354"/>
      <c r="E105" s="1354"/>
      <c r="F105" s="1207"/>
      <c r="G105" s="1207"/>
      <c r="H105" s="1207"/>
      <c r="I105" s="1207"/>
      <c r="J105" s="1207"/>
      <c r="K105" s="1207"/>
      <c r="L105" s="1207"/>
      <c r="M105" s="1207"/>
      <c r="N105" s="1207"/>
      <c r="O105" s="1207"/>
      <c r="P105" s="1208"/>
      <c r="Q105" s="1207"/>
      <c r="R105" s="1207"/>
      <c r="S105" s="1207"/>
      <c r="T105" s="1207"/>
      <c r="U105" s="1207"/>
      <c r="V105" s="1207"/>
      <c r="W105" s="1207"/>
      <c r="X105" s="1207"/>
      <c r="Y105" s="1207"/>
      <c r="Z105" s="1207"/>
      <c r="AA105" s="1207"/>
      <c r="AB105" s="1207"/>
      <c r="AC105" s="1207"/>
      <c r="AD105" s="1207"/>
      <c r="AE105" s="1207"/>
      <c r="AF105" s="1207"/>
      <c r="AG105" s="1207"/>
      <c r="AH105" s="1207"/>
      <c r="AN105" s="1280"/>
      <c r="AP105" s="1361"/>
    </row>
    <row r="106" spans="1:42" x14ac:dyDescent="0.2">
      <c r="A106" s="1207"/>
      <c r="B106" s="1350">
        <v>42604</v>
      </c>
      <c r="C106" s="1363"/>
      <c r="D106" s="1354"/>
      <c r="E106" s="1354"/>
      <c r="F106" s="1207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8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07"/>
      <c r="AA106" s="1207"/>
      <c r="AB106" s="1207"/>
      <c r="AC106" s="1207"/>
      <c r="AD106" s="1207"/>
      <c r="AE106" s="1207"/>
      <c r="AF106" s="1207"/>
      <c r="AG106" s="1207"/>
      <c r="AH106" s="1207"/>
      <c r="AN106" s="1280"/>
      <c r="AP106" s="1361"/>
    </row>
    <row r="107" spans="1:42" x14ac:dyDescent="0.2">
      <c r="A107" s="1207"/>
      <c r="B107" s="1350">
        <v>42605</v>
      </c>
      <c r="C107" s="1363"/>
      <c r="D107" s="1354"/>
      <c r="E107" s="1354"/>
      <c r="F107" s="1207"/>
      <c r="G107" s="1207"/>
      <c r="H107" s="1207"/>
      <c r="I107" s="1207"/>
      <c r="J107" s="1207"/>
      <c r="K107" s="1207"/>
      <c r="L107" s="1207"/>
      <c r="M107" s="1207"/>
      <c r="N107" s="1207"/>
      <c r="O107" s="1207"/>
      <c r="P107" s="1208"/>
      <c r="Q107" s="1207"/>
      <c r="R107" s="1207"/>
      <c r="S107" s="1207"/>
      <c r="T107" s="1207"/>
      <c r="U107" s="1207"/>
      <c r="V107" s="1207"/>
      <c r="W107" s="1207"/>
      <c r="X107" s="1207"/>
      <c r="Y107" s="1207"/>
      <c r="Z107" s="1207"/>
      <c r="AA107" s="1207"/>
      <c r="AB107" s="1207"/>
      <c r="AC107" s="1207"/>
      <c r="AD107" s="1207"/>
      <c r="AE107" s="1207"/>
      <c r="AF107" s="1207"/>
      <c r="AG107" s="1207"/>
      <c r="AH107" s="1207"/>
      <c r="AN107" s="1280"/>
      <c r="AP107" s="1361"/>
    </row>
    <row r="108" spans="1:42" x14ac:dyDescent="0.2">
      <c r="A108" s="1207" t="s">
        <v>436</v>
      </c>
      <c r="B108" s="1350">
        <v>42349</v>
      </c>
      <c r="C108" s="1358"/>
      <c r="D108" s="1354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8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N108" s="1280"/>
    </row>
    <row r="109" spans="1:42" x14ac:dyDescent="0.2">
      <c r="A109" s="1365" t="s">
        <v>33</v>
      </c>
      <c r="B109" s="1350">
        <v>42601</v>
      </c>
      <c r="C109" s="1351">
        <f>7302.447-7302.447</f>
        <v>0</v>
      </c>
      <c r="D109" s="1354"/>
      <c r="E109" s="1207"/>
      <c r="F109" s="1207"/>
      <c r="G109" s="1346"/>
      <c r="H109" s="1354"/>
      <c r="I109" s="1207"/>
      <c r="J109" s="1207"/>
      <c r="K109" s="1207"/>
      <c r="L109" s="1207"/>
      <c r="M109" s="1207"/>
      <c r="N109" s="1207"/>
      <c r="O109" s="1207"/>
      <c r="P109" s="1208"/>
      <c r="Q109" s="1207"/>
      <c r="R109" s="1207"/>
      <c r="S109" s="1207"/>
      <c r="T109" s="1207"/>
      <c r="U109" s="1207"/>
      <c r="V109" s="1207"/>
      <c r="W109" s="1207"/>
      <c r="X109" s="1207"/>
      <c r="Y109" s="1207"/>
      <c r="Z109" s="1207"/>
      <c r="AA109" s="1207"/>
      <c r="AB109" s="1207"/>
      <c r="AC109" s="1207"/>
      <c r="AD109" s="1207"/>
      <c r="AE109" s="1207"/>
      <c r="AF109" s="1207"/>
      <c r="AG109" s="1207"/>
      <c r="AH109" s="1207"/>
      <c r="AN109" s="1280">
        <v>222914.55799999999</v>
      </c>
    </row>
    <row r="110" spans="1:42" x14ac:dyDescent="0.2">
      <c r="A110" s="1365" t="s">
        <v>32</v>
      </c>
      <c r="B110" s="1350">
        <v>42600</v>
      </c>
      <c r="C110" s="1351">
        <f>126913.589-41885.599-33853.808-29424.73-21749.452</f>
        <v>0</v>
      </c>
      <c r="D110" s="1354"/>
      <c r="E110" s="1351"/>
      <c r="F110" s="121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8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07"/>
      <c r="AA110" s="1207"/>
      <c r="AB110" s="1207"/>
      <c r="AC110" s="1207"/>
      <c r="AD110" s="1207"/>
      <c r="AE110" s="1207"/>
      <c r="AF110" s="1207"/>
      <c r="AG110" s="1207"/>
      <c r="AH110" s="1207"/>
    </row>
    <row r="111" spans="1:42" x14ac:dyDescent="0.2">
      <c r="A111" s="1365" t="s">
        <v>33</v>
      </c>
      <c r="B111" s="1350">
        <v>42605</v>
      </c>
      <c r="C111" s="1351">
        <f>47345.549-17317.037-16297.204-13731.308</f>
        <v>0</v>
      </c>
      <c r="D111" s="1207"/>
      <c r="E111" s="1350"/>
      <c r="F111" s="1219"/>
      <c r="G111" s="1207"/>
      <c r="H111" s="1207"/>
      <c r="I111" s="1207"/>
      <c r="J111" s="1207"/>
      <c r="K111" s="1207"/>
      <c r="L111" s="1207"/>
      <c r="M111" s="1207"/>
      <c r="N111" s="1207"/>
      <c r="O111" s="1207"/>
      <c r="P111" s="1208"/>
      <c r="Q111" s="1207"/>
      <c r="R111" s="1207"/>
      <c r="S111" s="1207"/>
      <c r="T111" s="1207"/>
      <c r="U111" s="1207"/>
      <c r="V111" s="1207"/>
      <c r="W111" s="1207"/>
      <c r="X111" s="1207"/>
      <c r="Y111" s="1207"/>
      <c r="Z111" s="1207"/>
      <c r="AA111" s="1207"/>
      <c r="AB111" s="1207"/>
      <c r="AC111" s="1207"/>
      <c r="AD111" s="1207"/>
      <c r="AE111" s="1207"/>
      <c r="AF111" s="1207"/>
      <c r="AG111" s="1207"/>
      <c r="AH111" s="1207"/>
      <c r="AN111" s="1361">
        <f>AN109-AN93</f>
        <v>55537.753999999957</v>
      </c>
    </row>
    <row r="112" spans="1:42" x14ac:dyDescent="0.2">
      <c r="A112" s="1365" t="s">
        <v>33</v>
      </c>
      <c r="B112" s="1350">
        <v>42607</v>
      </c>
      <c r="C112" s="1351">
        <f>7429.864-7429.864</f>
        <v>0</v>
      </c>
      <c r="D112" s="1207"/>
      <c r="E112" s="1350"/>
      <c r="F112" s="121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8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07"/>
      <c r="AA112" s="1207"/>
      <c r="AB112" s="1207"/>
      <c r="AC112" s="1207"/>
      <c r="AD112" s="1207"/>
      <c r="AE112" s="1207"/>
      <c r="AF112" s="1207"/>
      <c r="AG112" s="1207"/>
      <c r="AH112" s="1207"/>
    </row>
    <row r="113" spans="1:34" x14ac:dyDescent="0.2">
      <c r="A113" s="1365" t="s">
        <v>33</v>
      </c>
      <c r="B113" s="1350">
        <v>42611</v>
      </c>
      <c r="C113" s="1351"/>
      <c r="D113" s="1207"/>
      <c r="E113" s="1207"/>
      <c r="F113" s="1207"/>
      <c r="G113" s="1207"/>
      <c r="H113" s="1207"/>
      <c r="I113" s="1207"/>
      <c r="L113" s="1207"/>
      <c r="M113" s="1207"/>
      <c r="N113" s="1207"/>
      <c r="O113" s="1207"/>
      <c r="P113" s="1208"/>
      <c r="Q113" s="1207"/>
      <c r="R113" s="1207"/>
      <c r="S113" s="1207"/>
      <c r="T113" s="1207"/>
      <c r="U113" s="1207"/>
      <c r="V113" s="1207"/>
      <c r="W113" s="1207"/>
      <c r="X113" s="1207"/>
      <c r="Y113" s="1207"/>
      <c r="Z113" s="1207"/>
      <c r="AA113" s="1207"/>
      <c r="AB113" s="1207"/>
      <c r="AC113" s="1207"/>
      <c r="AD113" s="1207"/>
      <c r="AE113" s="1207"/>
      <c r="AF113" s="1207"/>
      <c r="AG113" s="1207"/>
      <c r="AH113" s="1207"/>
    </row>
    <row r="114" spans="1:34" x14ac:dyDescent="0.2">
      <c r="A114" s="1365" t="s">
        <v>32</v>
      </c>
      <c r="B114" s="1350">
        <v>42611</v>
      </c>
      <c r="C114" s="1351">
        <f>121160.221-43496.803-37700.274-20152.616-19810.528</f>
        <v>0</v>
      </c>
      <c r="D114" s="1207"/>
      <c r="E114" s="1354"/>
      <c r="F114" s="1207"/>
      <c r="G114" s="1207"/>
      <c r="H114" s="1207"/>
      <c r="I114" s="1207"/>
      <c r="L114" s="1207"/>
      <c r="M114" s="1207"/>
      <c r="N114" s="1207"/>
      <c r="O114" s="1207"/>
      <c r="P114" s="1208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07"/>
      <c r="AA114" s="1207"/>
      <c r="AB114" s="1207"/>
      <c r="AC114" s="1207"/>
      <c r="AD114" s="1207"/>
      <c r="AE114" s="1207"/>
      <c r="AF114" s="1207"/>
      <c r="AG114" s="1207"/>
      <c r="AH114" s="1207"/>
    </row>
    <row r="115" spans="1:34" x14ac:dyDescent="0.2">
      <c r="A115" s="1365" t="s">
        <v>33</v>
      </c>
      <c r="B115" s="1350">
        <v>42564</v>
      </c>
      <c r="C115" s="1351"/>
      <c r="D115" s="1354"/>
      <c r="E115" s="1354"/>
      <c r="F115" s="1207"/>
      <c r="G115" s="1207"/>
      <c r="H115" s="1207"/>
      <c r="I115" s="1207"/>
      <c r="J115" s="1207"/>
      <c r="K115" s="1207"/>
      <c r="L115" s="1207"/>
      <c r="M115" s="1207"/>
      <c r="N115" s="1207"/>
      <c r="O115" s="1207"/>
      <c r="P115" s="1208"/>
      <c r="Q115" s="1207"/>
      <c r="R115" s="1207"/>
      <c r="S115" s="1207"/>
      <c r="T115" s="1207"/>
      <c r="U115" s="1207"/>
      <c r="V115" s="1207"/>
      <c r="W115" s="1207"/>
      <c r="X115" s="1207"/>
      <c r="Y115" s="1207"/>
      <c r="Z115" s="1207"/>
      <c r="AA115" s="1207"/>
      <c r="AB115" s="1207"/>
      <c r="AC115" s="1207"/>
      <c r="AD115" s="1207"/>
      <c r="AE115" s="1207"/>
      <c r="AF115" s="1207"/>
      <c r="AG115" s="1207"/>
      <c r="AH115" s="1207"/>
    </row>
    <row r="116" spans="1:34" x14ac:dyDescent="0.2">
      <c r="A116" s="1365" t="s">
        <v>33</v>
      </c>
      <c r="B116" s="1350">
        <v>42467</v>
      </c>
      <c r="C116" s="1351"/>
      <c r="D116" s="1207"/>
      <c r="E116" s="1207"/>
      <c r="F116" s="1207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8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07"/>
      <c r="AA116" s="1207"/>
      <c r="AB116" s="1207"/>
      <c r="AC116" s="1207"/>
      <c r="AD116" s="1207"/>
      <c r="AE116" s="1207"/>
      <c r="AF116" s="1207"/>
      <c r="AG116" s="1207"/>
      <c r="AH116" s="1207"/>
    </row>
    <row r="117" spans="1:34" x14ac:dyDescent="0.2">
      <c r="A117" s="1365" t="s">
        <v>32</v>
      </c>
      <c r="B117" s="1350">
        <v>42468</v>
      </c>
      <c r="C117" s="1351"/>
      <c r="D117" s="1207"/>
      <c r="E117" s="1354"/>
      <c r="F117" s="1207"/>
      <c r="G117" s="1207"/>
      <c r="H117" s="1207"/>
      <c r="I117" s="1207"/>
      <c r="J117" s="1207"/>
      <c r="K117" s="1207"/>
      <c r="L117" s="1207"/>
      <c r="M117" s="1207"/>
      <c r="N117" s="1207"/>
      <c r="O117" s="1207"/>
      <c r="P117" s="1208"/>
      <c r="Q117" s="1207"/>
      <c r="R117" s="1207"/>
      <c r="S117" s="1207"/>
      <c r="T117" s="1207"/>
      <c r="U117" s="1207"/>
      <c r="V117" s="1207"/>
      <c r="W117" s="1207"/>
      <c r="X117" s="1207"/>
      <c r="Y117" s="1207"/>
      <c r="Z117" s="1207"/>
      <c r="AA117" s="1207"/>
      <c r="AB117" s="1207"/>
      <c r="AC117" s="1207"/>
      <c r="AD117" s="1207"/>
      <c r="AE117" s="1207"/>
      <c r="AF117" s="1207"/>
      <c r="AG117" s="1207"/>
      <c r="AH117" s="1207"/>
    </row>
    <row r="118" spans="1:34" x14ac:dyDescent="0.2">
      <c r="A118" s="1365" t="s">
        <v>33</v>
      </c>
      <c r="B118" s="1350">
        <v>42471</v>
      </c>
      <c r="C118" s="1351"/>
      <c r="D118" s="1366"/>
      <c r="E118" s="1207"/>
      <c r="F118" s="1207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8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07"/>
      <c r="AA118" s="1207"/>
      <c r="AB118" s="1207"/>
      <c r="AC118" s="1207"/>
      <c r="AD118" s="1207"/>
      <c r="AE118" s="1207"/>
      <c r="AF118" s="1207"/>
      <c r="AG118" s="1207"/>
      <c r="AH118" s="1207"/>
    </row>
    <row r="119" spans="1:34" x14ac:dyDescent="0.2">
      <c r="A119" s="1365" t="s">
        <v>33</v>
      </c>
      <c r="B119" s="1350">
        <v>42248</v>
      </c>
      <c r="C119" s="1351"/>
      <c r="D119" s="1207"/>
      <c r="E119" s="1366"/>
      <c r="F119" s="1207"/>
      <c r="G119" s="1207"/>
      <c r="H119" s="1207"/>
      <c r="I119" s="1207"/>
      <c r="J119" s="1207"/>
      <c r="K119" s="1207"/>
      <c r="L119" s="1207"/>
      <c r="M119" s="1207"/>
      <c r="N119" s="1207"/>
      <c r="O119" s="1207"/>
      <c r="P119" s="1208"/>
      <c r="Q119" s="1207"/>
      <c r="R119" s="1207"/>
      <c r="S119" s="1207"/>
      <c r="T119" s="1207"/>
      <c r="U119" s="1207"/>
      <c r="V119" s="1207"/>
      <c r="W119" s="1207"/>
      <c r="X119" s="1207"/>
      <c r="Y119" s="1207"/>
      <c r="Z119" s="1207"/>
      <c r="AA119" s="1207"/>
      <c r="AB119" s="1207"/>
      <c r="AC119" s="1207"/>
      <c r="AD119" s="1207"/>
      <c r="AE119" s="1207"/>
      <c r="AF119" s="1207"/>
      <c r="AG119" s="1207"/>
      <c r="AH119" s="1207"/>
    </row>
    <row r="120" spans="1:34" x14ac:dyDescent="0.2">
      <c r="A120" s="1365" t="s">
        <v>1283</v>
      </c>
      <c r="B120" s="1350">
        <v>42597</v>
      </c>
      <c r="C120" s="1367">
        <f>2348.419-600-600-548.419-600</f>
        <v>0</v>
      </c>
      <c r="D120" s="1207"/>
      <c r="E120" s="1354"/>
      <c r="F120" s="1207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8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</row>
    <row r="121" spans="1:34" x14ac:dyDescent="0.2">
      <c r="A121" s="1316" t="s">
        <v>1283</v>
      </c>
      <c r="B121" s="1350">
        <v>42580</v>
      </c>
      <c r="C121" s="1351">
        <v>1979.6690000000001</v>
      </c>
      <c r="D121" s="1207"/>
      <c r="E121" s="1207"/>
      <c r="F121" s="1207"/>
      <c r="G121" s="1354"/>
      <c r="H121" s="1354"/>
      <c r="I121" s="1207"/>
      <c r="J121" s="1207"/>
      <c r="K121" s="1207"/>
      <c r="L121" s="1207"/>
      <c r="M121" s="1207"/>
      <c r="N121" s="1207"/>
      <c r="O121" s="1207"/>
      <c r="P121" s="1208"/>
      <c r="Q121" s="1207"/>
      <c r="R121" s="1207"/>
      <c r="S121" s="1207"/>
      <c r="T121" s="1207"/>
      <c r="U121" s="1207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</row>
    <row r="122" spans="1:34" x14ac:dyDescent="0.2">
      <c r="A122" s="1207"/>
      <c r="B122" s="1350"/>
      <c r="C122" s="1345"/>
      <c r="D122" s="1207"/>
      <c r="E122" s="1207"/>
      <c r="F122" s="1207"/>
      <c r="G122" s="1354"/>
      <c r="H122" s="1207"/>
      <c r="I122" s="1207"/>
      <c r="J122" s="1207"/>
      <c r="K122" s="1207"/>
      <c r="L122" s="1207"/>
      <c r="M122" s="1207"/>
      <c r="N122" s="1207"/>
      <c r="O122" s="1207"/>
      <c r="P122" s="1208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07"/>
      <c r="AA122" s="1207"/>
      <c r="AB122" s="1207"/>
      <c r="AC122" s="1207"/>
      <c r="AD122" s="1207"/>
      <c r="AE122" s="1207"/>
      <c r="AF122" s="1207"/>
      <c r="AG122" s="1207"/>
      <c r="AH122" s="1207"/>
    </row>
    <row r="123" spans="1:34" x14ac:dyDescent="0.2">
      <c r="A123" s="1207"/>
      <c r="B123" s="1350"/>
      <c r="C123" s="1207"/>
      <c r="D123" s="1207"/>
      <c r="E123" s="1207"/>
      <c r="F123" s="1207"/>
      <c r="G123" s="1207"/>
      <c r="H123" s="1367"/>
      <c r="I123" s="1207"/>
      <c r="J123" s="1207"/>
      <c r="K123" s="1207"/>
      <c r="L123" s="1207"/>
      <c r="M123" s="1207"/>
      <c r="N123" s="1207"/>
      <c r="O123" s="1207"/>
      <c r="P123" s="1208"/>
      <c r="Q123" s="1207"/>
      <c r="R123" s="1207"/>
      <c r="S123" s="1207"/>
      <c r="T123" s="1207"/>
      <c r="U123" s="1207"/>
      <c r="V123" s="1207"/>
      <c r="W123" s="1207"/>
      <c r="X123" s="1207"/>
      <c r="Y123" s="1207"/>
      <c r="Z123" s="1207"/>
      <c r="AA123" s="1207"/>
      <c r="AB123" s="1207"/>
      <c r="AC123" s="1207"/>
      <c r="AD123" s="1207"/>
      <c r="AE123" s="1207"/>
      <c r="AF123" s="1207"/>
      <c r="AG123" s="1207"/>
      <c r="AH123" s="1207"/>
    </row>
    <row r="124" spans="1:34" x14ac:dyDescent="0.2">
      <c r="A124" s="1207"/>
      <c r="B124" s="1350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8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07"/>
      <c r="AA124" s="1207"/>
      <c r="AB124" s="1207"/>
      <c r="AC124" s="1207"/>
      <c r="AD124" s="1207"/>
      <c r="AE124" s="1207"/>
      <c r="AF124" s="1207"/>
      <c r="AG124" s="1207"/>
      <c r="AH124" s="1207"/>
    </row>
    <row r="125" spans="1:34" x14ac:dyDescent="0.2">
      <c r="A125" s="1316"/>
      <c r="B125" s="1350"/>
      <c r="C125" s="1345"/>
      <c r="D125" s="1207"/>
      <c r="E125" s="1207"/>
      <c r="F125" s="1207"/>
      <c r="G125" s="1207"/>
      <c r="H125" s="1207"/>
      <c r="I125" s="1207"/>
      <c r="J125" s="1207"/>
      <c r="K125" s="1207"/>
      <c r="L125" s="1207"/>
      <c r="M125" s="1207"/>
      <c r="N125" s="1207"/>
      <c r="O125" s="1207"/>
      <c r="P125" s="1208"/>
      <c r="Q125" s="1207"/>
      <c r="R125" s="1207"/>
      <c r="S125" s="1207"/>
      <c r="T125" s="1207"/>
      <c r="U125" s="1207"/>
      <c r="V125" s="1207"/>
      <c r="W125" s="1207"/>
      <c r="X125" s="1207"/>
      <c r="Y125" s="1207"/>
      <c r="Z125" s="1207"/>
      <c r="AA125" s="1207"/>
      <c r="AB125" s="1207"/>
      <c r="AC125" s="1207"/>
      <c r="AD125" s="1207"/>
      <c r="AE125" s="1207"/>
      <c r="AF125" s="1207"/>
      <c r="AG125" s="1207"/>
      <c r="AH125" s="1207"/>
    </row>
    <row r="126" spans="1:34" x14ac:dyDescent="0.2">
      <c r="A126" s="1316"/>
      <c r="B126" s="1350"/>
      <c r="C126" s="1345"/>
      <c r="D126" s="1207"/>
      <c r="E126" s="1207"/>
      <c r="F126" s="1207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8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07"/>
      <c r="AA126" s="1207"/>
      <c r="AB126" s="1207"/>
      <c r="AC126" s="1207"/>
      <c r="AD126" s="1207"/>
      <c r="AE126" s="1207"/>
      <c r="AF126" s="1207"/>
      <c r="AG126" s="1207"/>
      <c r="AH126" s="1207"/>
    </row>
    <row r="127" spans="1:34" x14ac:dyDescent="0.2">
      <c r="A127" s="1207"/>
      <c r="B127" s="1207"/>
      <c r="C127" s="1207"/>
      <c r="D127" s="1207"/>
      <c r="E127" s="1207"/>
      <c r="F127" s="1207"/>
      <c r="G127" s="1207"/>
      <c r="H127" s="1207"/>
      <c r="I127" s="1207"/>
      <c r="J127" s="1207"/>
      <c r="K127" s="1207"/>
      <c r="L127" s="1207"/>
      <c r="M127" s="1207"/>
      <c r="N127" s="1207"/>
      <c r="O127" s="1207"/>
      <c r="P127" s="1208"/>
      <c r="Q127" s="1207"/>
      <c r="R127" s="1207"/>
      <c r="S127" s="1207"/>
      <c r="T127" s="1207"/>
      <c r="U127" s="1207"/>
      <c r="V127" s="1207"/>
      <c r="W127" s="1207"/>
      <c r="X127" s="1207"/>
      <c r="Y127" s="1207"/>
      <c r="Z127" s="1207"/>
      <c r="AA127" s="1207"/>
      <c r="AB127" s="1207"/>
      <c r="AC127" s="1207"/>
      <c r="AD127" s="1207"/>
      <c r="AE127" s="1207"/>
      <c r="AF127" s="1207"/>
      <c r="AG127" s="1207"/>
      <c r="AH127" s="1207"/>
    </row>
    <row r="128" spans="1:34" x14ac:dyDescent="0.2">
      <c r="A128" s="1207"/>
      <c r="B128" s="1207"/>
      <c r="C128" s="1207"/>
      <c r="D128" s="1207"/>
      <c r="E128" s="1207"/>
      <c r="F128" s="1207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8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07"/>
      <c r="AA128" s="1207"/>
      <c r="AB128" s="1207"/>
      <c r="AC128" s="1207"/>
      <c r="AD128" s="1207"/>
      <c r="AE128" s="1207"/>
      <c r="AF128" s="1207"/>
      <c r="AG128" s="1207"/>
      <c r="AH128" s="1207"/>
    </row>
    <row r="129" spans="1:34" x14ac:dyDescent="0.2">
      <c r="A129" s="1207"/>
      <c r="B129" s="1207"/>
      <c r="C129" s="1207"/>
      <c r="D129" s="1207"/>
      <c r="E129" s="1207"/>
      <c r="F129" s="1207"/>
      <c r="G129" s="1207"/>
      <c r="H129" s="1207"/>
      <c r="I129" s="1207"/>
      <c r="J129" s="1207"/>
      <c r="K129" s="1207"/>
      <c r="L129" s="1207"/>
      <c r="M129" s="1207"/>
      <c r="N129" s="1207"/>
      <c r="O129" s="1207"/>
      <c r="P129" s="1208"/>
      <c r="Q129" s="1207"/>
      <c r="R129" s="1207"/>
      <c r="S129" s="1207"/>
      <c r="T129" s="1207"/>
      <c r="U129" s="1207"/>
      <c r="V129" s="1207"/>
      <c r="W129" s="1207"/>
      <c r="X129" s="1207"/>
      <c r="Y129" s="1207"/>
      <c r="Z129" s="1207"/>
      <c r="AA129" s="1207"/>
      <c r="AB129" s="1207"/>
      <c r="AC129" s="1207"/>
      <c r="AD129" s="1207"/>
      <c r="AE129" s="1207"/>
      <c r="AF129" s="1207"/>
      <c r="AG129" s="1207"/>
      <c r="AH129" s="1207"/>
    </row>
    <row r="130" spans="1:34" x14ac:dyDescent="0.2">
      <c r="A130" s="1207"/>
      <c r="B130" s="1207"/>
      <c r="C130" s="1207"/>
      <c r="D130" s="1207"/>
      <c r="E130" s="1207"/>
      <c r="F130" s="1207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8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07"/>
      <c r="AA130" s="1207"/>
      <c r="AB130" s="1207"/>
      <c r="AC130" s="1207"/>
      <c r="AD130" s="1207"/>
      <c r="AE130" s="1207"/>
      <c r="AF130" s="1207"/>
      <c r="AG130" s="1207"/>
      <c r="AH130" s="1207"/>
    </row>
    <row r="131" spans="1:34" ht="13.5" thickBot="1" x14ac:dyDescent="0.25">
      <c r="A131" s="1207"/>
      <c r="B131" s="1207"/>
      <c r="C131" s="1207"/>
      <c r="D131" s="1207"/>
      <c r="E131" s="1207"/>
      <c r="F131" s="1207"/>
      <c r="G131" s="1207"/>
      <c r="H131" s="1207"/>
      <c r="I131" s="1207"/>
      <c r="J131" s="1207"/>
      <c r="K131" s="1207"/>
      <c r="L131" s="1207"/>
      <c r="M131" s="1207"/>
      <c r="N131" s="1207"/>
      <c r="O131" s="1207"/>
      <c r="P131" s="1208"/>
      <c r="Q131" s="1207"/>
      <c r="R131" s="1207"/>
      <c r="S131" s="1207"/>
      <c r="T131" s="1207"/>
      <c r="U131" s="1207"/>
      <c r="V131" s="1207"/>
      <c r="W131" s="1207"/>
      <c r="X131" s="1207"/>
      <c r="Y131" s="1207"/>
      <c r="Z131" s="1207"/>
      <c r="AA131" s="1207"/>
      <c r="AB131" s="1207"/>
      <c r="AC131" s="1207"/>
      <c r="AD131" s="1207"/>
      <c r="AE131" s="1207"/>
      <c r="AF131" s="1207"/>
      <c r="AG131" s="1207"/>
      <c r="AH131" s="1207"/>
    </row>
    <row r="132" spans="1:34" x14ac:dyDescent="0.2">
      <c r="A132" s="1233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34"/>
      <c r="O132" s="1234"/>
      <c r="P132" s="1235"/>
      <c r="Q132" s="1234"/>
      <c r="R132" s="1234"/>
      <c r="S132" s="1234"/>
      <c r="T132" s="1234"/>
      <c r="U132" s="1234"/>
      <c r="V132" s="1234"/>
      <c r="W132" s="1234"/>
      <c r="X132" s="1234"/>
      <c r="Y132" s="1234"/>
      <c r="Z132" s="1234"/>
      <c r="AA132" s="1234"/>
      <c r="AB132" s="1234"/>
      <c r="AC132" s="1234"/>
      <c r="AD132" s="1234"/>
      <c r="AE132" s="1234"/>
      <c r="AF132" s="1234"/>
      <c r="AG132" s="1234"/>
      <c r="AH132" s="1207"/>
    </row>
    <row r="133" spans="1:34" x14ac:dyDescent="0.2">
      <c r="A133" s="1236"/>
      <c r="B133" s="1237" t="s">
        <v>37</v>
      </c>
      <c r="C133" s="1237"/>
      <c r="D133" s="1237"/>
      <c r="E133" s="1238" t="s">
        <v>837</v>
      </c>
      <c r="F133" s="1239" t="s">
        <v>95</v>
      </c>
      <c r="G133" s="1625" t="s">
        <v>6</v>
      </c>
      <c r="H133" s="1239"/>
      <c r="I133" s="1239"/>
      <c r="J133" s="1239"/>
      <c r="K133" s="1239"/>
      <c r="L133" s="1239"/>
      <c r="M133" s="1239"/>
      <c r="N133" s="1239"/>
      <c r="O133" s="1239"/>
      <c r="P133" s="1240"/>
      <c r="Q133" s="1239"/>
      <c r="R133" s="1239"/>
      <c r="S133" s="1239"/>
      <c r="T133" s="1239"/>
      <c r="U133" s="1239"/>
      <c r="V133" s="1239"/>
      <c r="W133" s="1239"/>
      <c r="X133" s="1239"/>
      <c r="Y133" s="1239"/>
      <c r="Z133" s="1239"/>
      <c r="AA133" s="1239"/>
      <c r="AB133" s="1239"/>
      <c r="AC133" s="1239"/>
      <c r="AD133" s="1239"/>
      <c r="AE133" s="1239"/>
      <c r="AF133" s="1239"/>
      <c r="AG133" s="1239"/>
      <c r="AH133" s="1207"/>
    </row>
    <row r="134" spans="1:34" x14ac:dyDescent="0.2">
      <c r="A134" s="1236"/>
      <c r="B134" s="1237"/>
      <c r="C134" s="1237"/>
      <c r="D134" s="1239"/>
      <c r="E134" s="1237"/>
      <c r="F134" s="1237"/>
      <c r="G134" s="1237"/>
      <c r="H134" s="1237"/>
      <c r="I134" s="1237"/>
      <c r="J134" s="1237"/>
      <c r="K134" s="1237"/>
      <c r="L134" s="1237"/>
      <c r="M134" s="1237"/>
      <c r="N134" s="1237"/>
      <c r="O134" s="1237"/>
      <c r="P134" s="1241"/>
      <c r="Q134" s="1237"/>
      <c r="R134" s="1237"/>
      <c r="S134" s="1237"/>
      <c r="T134" s="1237"/>
      <c r="U134" s="1237"/>
      <c r="V134" s="1237"/>
      <c r="W134" s="1237"/>
      <c r="X134" s="1237"/>
      <c r="Y134" s="1237"/>
      <c r="Z134" s="1237"/>
      <c r="AA134" s="1237"/>
      <c r="AB134" s="1237"/>
      <c r="AC134" s="1237"/>
      <c r="AD134" s="1237"/>
      <c r="AE134" s="1237"/>
      <c r="AF134" s="1237"/>
      <c r="AG134" s="1237"/>
      <c r="AH134" s="1207"/>
    </row>
    <row r="135" spans="1:34" x14ac:dyDescent="0.2">
      <c r="A135" s="1368"/>
      <c r="B135" s="1237"/>
      <c r="C135" s="1239"/>
      <c r="D135" s="1239">
        <v>42619</v>
      </c>
      <c r="E135" s="1237"/>
      <c r="F135" s="1237"/>
      <c r="G135" s="1237"/>
      <c r="H135" s="1237"/>
      <c r="I135" s="1237"/>
      <c r="J135" s="1237"/>
      <c r="K135" s="1237"/>
      <c r="L135" s="1237"/>
      <c r="M135" s="1237"/>
      <c r="N135" s="1237"/>
      <c r="O135" s="1237"/>
      <c r="P135" s="1241"/>
      <c r="Q135" s="1237"/>
      <c r="R135" s="1237"/>
      <c r="S135" s="1237"/>
      <c r="T135" s="1237"/>
      <c r="U135" s="1237"/>
      <c r="V135" s="1237"/>
      <c r="W135" s="1237"/>
      <c r="X135" s="1237"/>
      <c r="Y135" s="1237"/>
      <c r="Z135" s="1237"/>
      <c r="AA135" s="1237"/>
      <c r="AB135" s="1237"/>
      <c r="AC135" s="1237"/>
      <c r="AD135" s="1237"/>
      <c r="AE135" s="1237"/>
      <c r="AF135" s="1237"/>
      <c r="AG135" s="1237"/>
      <c r="AH135" s="1207"/>
    </row>
    <row r="136" spans="1:34" x14ac:dyDescent="0.2">
      <c r="A136" s="1236"/>
      <c r="B136" s="1237"/>
      <c r="C136" s="1239"/>
      <c r="D136" s="1239"/>
      <c r="E136" s="1237"/>
      <c r="F136" s="1237"/>
      <c r="G136" s="1237"/>
      <c r="H136" s="1237"/>
      <c r="I136" s="1237"/>
      <c r="J136" s="1237"/>
      <c r="K136" s="1237"/>
      <c r="L136" s="1237"/>
      <c r="M136" s="1237"/>
      <c r="N136" s="1237"/>
      <c r="O136" s="1237"/>
      <c r="P136" s="1241"/>
      <c r="Q136" s="1237"/>
      <c r="R136" s="1237"/>
      <c r="S136" s="1237"/>
      <c r="T136" s="1237"/>
      <c r="U136" s="1237"/>
      <c r="V136" s="1237"/>
      <c r="W136" s="1237"/>
      <c r="X136" s="1237"/>
      <c r="Y136" s="1237"/>
      <c r="Z136" s="1237"/>
      <c r="AA136" s="1237"/>
      <c r="AB136" s="1237"/>
      <c r="AC136" s="1237"/>
      <c r="AD136" s="1237"/>
      <c r="AE136" s="1237"/>
      <c r="AF136" s="1237"/>
      <c r="AG136" s="1237"/>
      <c r="AH136" s="1207"/>
    </row>
    <row r="137" spans="1:34" ht="13.5" thickBot="1" x14ac:dyDescent="0.25">
      <c r="A137" s="1236"/>
      <c r="B137" s="1237"/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1237"/>
      <c r="M137" s="1237"/>
      <c r="N137" s="1237"/>
      <c r="O137" s="1237"/>
      <c r="P137" s="1241"/>
      <c r="Q137" s="1237"/>
      <c r="R137" s="1237"/>
      <c r="S137" s="1237"/>
      <c r="T137" s="1237"/>
      <c r="U137" s="1237"/>
      <c r="V137" s="1237"/>
      <c r="W137" s="1237"/>
      <c r="X137" s="1237"/>
      <c r="Y137" s="1237"/>
      <c r="Z137" s="1237"/>
      <c r="AA137" s="1237"/>
      <c r="AB137" s="1237"/>
      <c r="AC137" s="1237"/>
      <c r="AD137" s="1237"/>
      <c r="AE137" s="1237"/>
      <c r="AF137" s="1237"/>
      <c r="AG137" s="1237"/>
      <c r="AH137" s="1207"/>
    </row>
    <row r="138" spans="1:34" ht="13.5" thickBot="1" x14ac:dyDescent="0.25">
      <c r="A138" s="1236"/>
      <c r="B138" s="1237"/>
      <c r="C138" s="1243"/>
      <c r="D138" s="1244" t="s">
        <v>16</v>
      </c>
      <c r="E138" s="1244"/>
      <c r="F138" s="1244"/>
      <c r="G138" s="1244"/>
      <c r="H138" s="1244"/>
      <c r="I138" s="1244"/>
      <c r="J138" s="1244"/>
      <c r="K138" s="1244"/>
      <c r="L138" s="1244"/>
      <c r="M138" s="1244"/>
      <c r="N138" s="1244"/>
      <c r="O138" s="1244"/>
      <c r="P138" s="1245"/>
      <c r="Q138" s="1244"/>
      <c r="R138" s="1244"/>
      <c r="S138" s="1244"/>
      <c r="T138" s="1244"/>
      <c r="U138" s="1244"/>
      <c r="V138" s="1244"/>
      <c r="W138" s="1244"/>
      <c r="X138" s="1244"/>
      <c r="Y138" s="1244"/>
      <c r="Z138" s="1244"/>
      <c r="AA138" s="1244"/>
      <c r="AB138" s="1244"/>
      <c r="AC138" s="1244"/>
      <c r="AD138" s="1244"/>
      <c r="AE138" s="1244"/>
      <c r="AF138" s="1244"/>
      <c r="AG138" s="1244"/>
      <c r="AH138" s="1207"/>
    </row>
    <row r="139" spans="1:34" ht="13.5" thickBot="1" x14ac:dyDescent="0.25">
      <c r="A139" s="1236"/>
      <c r="B139" s="1237"/>
      <c r="C139" s="1246" t="s">
        <v>452</v>
      </c>
      <c r="D139" s="1246" t="s">
        <v>453</v>
      </c>
      <c r="E139" s="1246" t="s">
        <v>434</v>
      </c>
      <c r="F139" s="1246" t="s">
        <v>390</v>
      </c>
      <c r="G139" s="1246" t="s">
        <v>454</v>
      </c>
      <c r="H139" s="1246" t="s">
        <v>455</v>
      </c>
      <c r="I139" s="1246" t="s">
        <v>456</v>
      </c>
      <c r="J139" s="1246" t="s">
        <v>457</v>
      </c>
      <c r="K139" s="1246" t="s">
        <v>458</v>
      </c>
      <c r="L139" s="1246" t="s">
        <v>216</v>
      </c>
      <c r="M139" s="1246" t="s">
        <v>459</v>
      </c>
      <c r="N139" s="1246" t="s">
        <v>297</v>
      </c>
      <c r="O139" s="1246" t="s">
        <v>211</v>
      </c>
      <c r="P139" s="1247" t="s">
        <v>270</v>
      </c>
      <c r="Q139" s="1246">
        <v>15</v>
      </c>
      <c r="R139" s="1246">
        <v>16</v>
      </c>
      <c r="S139" s="1246" t="s">
        <v>461</v>
      </c>
      <c r="T139" s="1246" t="s">
        <v>442</v>
      </c>
      <c r="U139" s="1246" t="s">
        <v>462</v>
      </c>
      <c r="V139" s="1246" t="s">
        <v>470</v>
      </c>
      <c r="W139" s="1246" t="s">
        <v>471</v>
      </c>
      <c r="X139" s="1246" t="s">
        <v>472</v>
      </c>
      <c r="Y139" s="1246" t="s">
        <v>463</v>
      </c>
      <c r="Z139" s="1246" t="s">
        <v>465</v>
      </c>
      <c r="AA139" s="1246" t="s">
        <v>466</v>
      </c>
      <c r="AB139" s="1246" t="s">
        <v>435</v>
      </c>
      <c r="AC139" s="1246" t="s">
        <v>467</v>
      </c>
      <c r="AD139" s="1246" t="s">
        <v>464</v>
      </c>
      <c r="AE139" s="1246" t="s">
        <v>429</v>
      </c>
      <c r="AF139" s="1246" t="s">
        <v>149</v>
      </c>
      <c r="AG139" s="1246" t="s">
        <v>210</v>
      </c>
      <c r="AH139" s="1207"/>
    </row>
    <row r="140" spans="1:34" x14ac:dyDescent="0.2">
      <c r="A140" s="1233"/>
      <c r="B140" s="1248"/>
      <c r="C140" s="1237"/>
      <c r="D140" s="1237"/>
      <c r="E140" s="1237"/>
      <c r="F140" s="1237"/>
      <c r="G140" s="1237"/>
      <c r="H140" s="1237"/>
      <c r="I140" s="1237"/>
      <c r="J140" s="1237"/>
      <c r="K140" s="1237"/>
      <c r="L140" s="1237"/>
      <c r="M140" s="1237"/>
      <c r="N140" s="1237"/>
      <c r="O140" s="1237"/>
      <c r="P140" s="1241"/>
      <c r="Q140" s="1237"/>
      <c r="R140" s="1237"/>
      <c r="S140" s="1237"/>
      <c r="T140" s="1237"/>
      <c r="U140" s="1237"/>
      <c r="V140" s="1237"/>
      <c r="W140" s="1237"/>
      <c r="X140" s="1237"/>
      <c r="Y140" s="1237"/>
      <c r="Z140" s="1237"/>
      <c r="AA140" s="1237"/>
      <c r="AB140" s="1237"/>
      <c r="AC140" s="1237"/>
      <c r="AD140" s="1237"/>
      <c r="AE140" s="1237"/>
      <c r="AF140" s="1237"/>
      <c r="AG140" s="1237"/>
      <c r="AH140" s="1207"/>
    </row>
    <row r="141" spans="1:34" x14ac:dyDescent="0.2">
      <c r="A141" s="1236" t="s">
        <v>0</v>
      </c>
      <c r="B141" s="1249">
        <v>-82432.214000000007</v>
      </c>
      <c r="C141" s="1237"/>
      <c r="D141" s="1237"/>
      <c r="E141" s="1237"/>
      <c r="F141" s="1237"/>
      <c r="G141" s="1237"/>
      <c r="H141" s="1237"/>
      <c r="I141" s="1237"/>
      <c r="J141" s="1237"/>
      <c r="K141" s="1237"/>
      <c r="L141" s="1237"/>
      <c r="M141" s="1237"/>
      <c r="N141" s="1237"/>
      <c r="O141" s="1237"/>
      <c r="P141" s="1241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07"/>
    </row>
    <row r="142" spans="1:34" ht="13.5" thickBot="1" x14ac:dyDescent="0.25">
      <c r="A142" s="1250"/>
      <c r="B142" s="1251"/>
      <c r="C142" s="1237"/>
      <c r="D142" s="1237"/>
      <c r="E142" s="1237"/>
      <c r="F142" s="1237"/>
      <c r="G142" s="1237"/>
      <c r="H142" s="1237"/>
      <c r="I142" s="1237"/>
      <c r="J142" s="1237"/>
      <c r="K142" s="1237"/>
      <c r="L142" s="1237"/>
      <c r="M142" s="1237"/>
      <c r="N142" s="1237"/>
      <c r="O142" s="1237"/>
      <c r="P142" s="1241"/>
      <c r="Q142" s="1237"/>
      <c r="R142" s="1237"/>
      <c r="S142" s="1237"/>
      <c r="T142" s="1237"/>
      <c r="U142" s="1237"/>
      <c r="V142" s="1237"/>
      <c r="W142" s="1237"/>
      <c r="X142" s="1237"/>
      <c r="Y142" s="1237"/>
      <c r="Z142" s="1237"/>
      <c r="AA142" s="1237"/>
      <c r="AB142" s="1237"/>
      <c r="AC142" s="1237"/>
      <c r="AD142" s="1237"/>
      <c r="AE142" s="1237"/>
      <c r="AF142" s="1237"/>
      <c r="AG142" s="1237"/>
      <c r="AH142" s="1207"/>
    </row>
    <row r="143" spans="1:34" x14ac:dyDescent="0.2">
      <c r="A143" s="1233"/>
      <c r="B143" s="1253"/>
      <c r="C143" s="1237"/>
      <c r="D143" s="1237"/>
      <c r="E143" s="1237"/>
      <c r="F143" s="1237"/>
      <c r="G143" s="1237"/>
      <c r="H143" s="1237"/>
      <c r="I143" s="1237"/>
      <c r="J143" s="1237"/>
      <c r="K143" s="1237"/>
      <c r="L143" s="1237"/>
      <c r="M143" s="1237"/>
      <c r="N143" s="1237"/>
      <c r="O143" s="1237"/>
      <c r="P143" s="1241"/>
      <c r="Q143" s="1237"/>
      <c r="R143" s="1237"/>
      <c r="S143" s="1237"/>
      <c r="T143" s="1237"/>
      <c r="U143" s="1237"/>
      <c r="V143" s="1237"/>
      <c r="W143" s="1237"/>
      <c r="X143" s="1237"/>
      <c r="Y143" s="1237"/>
      <c r="Z143" s="1237"/>
      <c r="AA143" s="1237"/>
      <c r="AB143" s="1237"/>
      <c r="AC143" s="1237"/>
      <c r="AD143" s="1237"/>
      <c r="AE143" s="1237"/>
      <c r="AF143" s="1237"/>
      <c r="AG143" s="1237"/>
      <c r="AH143" s="1207"/>
    </row>
    <row r="144" spans="1:34" x14ac:dyDescent="0.2">
      <c r="A144" s="1236" t="s">
        <v>1</v>
      </c>
      <c r="B144" s="1249">
        <f>B145+B146+B147</f>
        <v>0</v>
      </c>
      <c r="C144" s="1237"/>
      <c r="D144" s="1237"/>
      <c r="E144" s="1237"/>
      <c r="F144" s="1237"/>
      <c r="G144" s="1237"/>
      <c r="H144" s="1237"/>
      <c r="I144" s="1237"/>
      <c r="J144" s="1237"/>
      <c r="K144" s="1237"/>
      <c r="L144" s="1237"/>
      <c r="M144" s="1237"/>
      <c r="N144" s="1237"/>
      <c r="O144" s="1237"/>
      <c r="P144" s="1241"/>
      <c r="Q144" s="1237"/>
      <c r="R144" s="1237"/>
      <c r="S144" s="1237"/>
      <c r="T144" s="1237"/>
      <c r="U144" s="1237"/>
      <c r="V144" s="1237"/>
      <c r="W144" s="1237"/>
      <c r="X144" s="1237"/>
      <c r="Y144" s="1237"/>
      <c r="Z144" s="1237"/>
      <c r="AA144" s="1237"/>
      <c r="AB144" s="1237"/>
      <c r="AC144" s="1237"/>
      <c r="AD144" s="1237"/>
      <c r="AE144" s="1237"/>
      <c r="AF144" s="1237"/>
      <c r="AG144" s="1237"/>
      <c r="AH144" s="1207"/>
    </row>
    <row r="145" spans="1:34" x14ac:dyDescent="0.2">
      <c r="A145" s="1236" t="s">
        <v>38</v>
      </c>
      <c r="B145" s="1249">
        <f>C195</f>
        <v>0</v>
      </c>
      <c r="C145" s="1237"/>
      <c r="D145" s="1237"/>
      <c r="E145" s="1237"/>
      <c r="F145" s="1237"/>
      <c r="G145" s="1237"/>
      <c r="H145" s="1237"/>
      <c r="I145" s="1237"/>
      <c r="J145" s="1237"/>
      <c r="K145" s="1237"/>
      <c r="L145" s="1237"/>
      <c r="M145" s="1237"/>
      <c r="N145" s="1237"/>
      <c r="O145" s="1237"/>
      <c r="P145" s="1241"/>
      <c r="Q145" s="1237"/>
      <c r="R145" s="1237"/>
      <c r="S145" s="1237"/>
      <c r="T145" s="1237"/>
      <c r="U145" s="1237"/>
      <c r="V145" s="1237"/>
      <c r="W145" s="1237"/>
      <c r="X145" s="1237"/>
      <c r="Y145" s="1237"/>
      <c r="Z145" s="1237"/>
      <c r="AA145" s="1237"/>
      <c r="AB145" s="1237"/>
      <c r="AC145" s="1237"/>
      <c r="AD145" s="1237"/>
      <c r="AE145" s="1237"/>
      <c r="AF145" s="1237"/>
      <c r="AG145" s="1237"/>
      <c r="AH145" s="1207"/>
    </row>
    <row r="146" spans="1:34" x14ac:dyDescent="0.2">
      <c r="A146" s="1236" t="s">
        <v>39</v>
      </c>
      <c r="B146" s="1249">
        <f>C215</f>
        <v>0</v>
      </c>
      <c r="C146" s="1237"/>
      <c r="D146" s="1237"/>
      <c r="E146" s="1237"/>
      <c r="F146" s="1237"/>
      <c r="G146" s="1237"/>
      <c r="H146" s="1237"/>
      <c r="I146" s="1237"/>
      <c r="J146" s="1237"/>
      <c r="K146" s="1237"/>
      <c r="L146" s="1237"/>
      <c r="M146" s="1237"/>
      <c r="N146" s="1237"/>
      <c r="O146" s="1237"/>
      <c r="P146" s="1241"/>
      <c r="Q146" s="1237"/>
      <c r="R146" s="1237"/>
      <c r="S146" s="1237"/>
      <c r="T146" s="1237"/>
      <c r="U146" s="1237"/>
      <c r="V146" s="1237"/>
      <c r="W146" s="1237"/>
      <c r="X146" s="1237"/>
      <c r="Y146" s="1237"/>
      <c r="Z146" s="1237"/>
      <c r="AA146" s="1237"/>
      <c r="AB146" s="1237"/>
      <c r="AC146" s="1237"/>
      <c r="AD146" s="1237"/>
      <c r="AE146" s="1237"/>
      <c r="AF146" s="1237"/>
      <c r="AG146" s="1237"/>
      <c r="AH146" s="1207"/>
    </row>
    <row r="147" spans="1:34" x14ac:dyDescent="0.2">
      <c r="A147" s="1236" t="s">
        <v>3</v>
      </c>
      <c r="B147" s="1249"/>
      <c r="C147" s="1237"/>
      <c r="D147" s="1237"/>
      <c r="E147" s="1237"/>
      <c r="F147" s="1237"/>
      <c r="G147" s="1237"/>
      <c r="H147" s="1237"/>
      <c r="I147" s="1237"/>
      <c r="J147" s="1237"/>
      <c r="K147" s="1237"/>
      <c r="L147" s="1237"/>
      <c r="M147" s="1237"/>
      <c r="N147" s="1237"/>
      <c r="O147" s="1237"/>
      <c r="P147" s="1241"/>
      <c r="Q147" s="1237"/>
      <c r="R147" s="1237"/>
      <c r="S147" s="1237"/>
      <c r="T147" s="1237"/>
      <c r="U147" s="1237"/>
      <c r="V147" s="1237"/>
      <c r="W147" s="1237"/>
      <c r="X147" s="1237"/>
      <c r="Y147" s="1237"/>
      <c r="Z147" s="1237"/>
      <c r="AA147" s="1237"/>
      <c r="AB147" s="1237"/>
      <c r="AC147" s="1237"/>
      <c r="AD147" s="1237"/>
      <c r="AE147" s="1237"/>
      <c r="AF147" s="1237"/>
      <c r="AG147" s="1237"/>
      <c r="AH147" s="1207"/>
    </row>
    <row r="148" spans="1:34" ht="13.5" thickBot="1" x14ac:dyDescent="0.25">
      <c r="A148" s="1250"/>
      <c r="B148" s="1251"/>
      <c r="C148" s="1237"/>
      <c r="D148" s="1237"/>
      <c r="E148" s="1237"/>
      <c r="F148" s="1237"/>
      <c r="G148" s="1237"/>
      <c r="H148" s="1237"/>
      <c r="I148" s="1237"/>
      <c r="J148" s="1237"/>
      <c r="K148" s="1237"/>
      <c r="L148" s="1237"/>
      <c r="M148" s="1237"/>
      <c r="N148" s="1237"/>
      <c r="O148" s="1237"/>
      <c r="P148" s="1241"/>
      <c r="Q148" s="1237"/>
      <c r="R148" s="1237"/>
      <c r="S148" s="1237"/>
      <c r="T148" s="1237"/>
      <c r="U148" s="1237"/>
      <c r="V148" s="1237"/>
      <c r="W148" s="1237"/>
      <c r="X148" s="1237"/>
      <c r="Y148" s="1237"/>
      <c r="Z148" s="1237"/>
      <c r="AA148" s="1237"/>
      <c r="AB148" s="1237"/>
      <c r="AC148" s="1237"/>
      <c r="AD148" s="1237"/>
      <c r="AE148" s="1237"/>
      <c r="AF148" s="1237"/>
      <c r="AG148" s="1237"/>
      <c r="AH148" s="1207"/>
    </row>
    <row r="149" spans="1:34" x14ac:dyDescent="0.2">
      <c r="A149" s="1233"/>
      <c r="B149" s="1253"/>
      <c r="C149" s="1237"/>
      <c r="D149" s="1237"/>
      <c r="E149" s="1237"/>
      <c r="F149" s="1237"/>
      <c r="G149" s="1237"/>
      <c r="H149" s="1237"/>
      <c r="I149" s="1237"/>
      <c r="J149" s="1237"/>
      <c r="K149" s="1237"/>
      <c r="L149" s="1237"/>
      <c r="M149" s="1237"/>
      <c r="N149" s="1237"/>
      <c r="O149" s="1237"/>
      <c r="P149" s="1241"/>
      <c r="Q149" s="1237"/>
      <c r="R149" s="1237"/>
      <c r="S149" s="1237"/>
      <c r="T149" s="1237"/>
      <c r="U149" s="1237"/>
      <c r="V149" s="1237"/>
      <c r="W149" s="1237"/>
      <c r="X149" s="1237"/>
      <c r="Y149" s="1237"/>
      <c r="Z149" s="1237"/>
      <c r="AA149" s="1237"/>
      <c r="AB149" s="1237"/>
      <c r="AC149" s="1237"/>
      <c r="AD149" s="1237"/>
      <c r="AE149" s="1237"/>
      <c r="AF149" s="1237"/>
      <c r="AG149" s="1237"/>
      <c r="AH149" s="1207"/>
    </row>
    <row r="150" spans="1:34" x14ac:dyDescent="0.2">
      <c r="A150" s="1236" t="s">
        <v>4</v>
      </c>
      <c r="B150" s="1249">
        <f>B141+B144</f>
        <v>-82432.214000000007</v>
      </c>
      <c r="C150" s="1237"/>
      <c r="D150" s="1237"/>
      <c r="E150" s="1237"/>
      <c r="F150" s="1237"/>
      <c r="G150" s="1237"/>
      <c r="H150" s="1237"/>
      <c r="I150" s="1237"/>
      <c r="J150" s="1237"/>
      <c r="K150" s="1237"/>
      <c r="L150" s="1237"/>
      <c r="M150" s="1237"/>
      <c r="N150" s="1237"/>
      <c r="O150" s="1237"/>
      <c r="P150" s="1241"/>
      <c r="Q150" s="1237"/>
      <c r="R150" s="1237"/>
      <c r="S150" s="1237"/>
      <c r="T150" s="1237"/>
      <c r="U150" s="1237"/>
      <c r="V150" s="1237"/>
      <c r="W150" s="1237"/>
      <c r="X150" s="1237"/>
      <c r="Y150" s="1237"/>
      <c r="Z150" s="1237"/>
      <c r="AA150" s="1237"/>
      <c r="AB150" s="1237"/>
      <c r="AC150" s="1237"/>
      <c r="AD150" s="1237"/>
      <c r="AE150" s="1237"/>
      <c r="AF150" s="1237"/>
      <c r="AG150" s="1237"/>
      <c r="AH150" s="1207"/>
    </row>
    <row r="151" spans="1:34" ht="13.5" thickBot="1" x14ac:dyDescent="0.25">
      <c r="A151" s="1250"/>
      <c r="B151" s="1251"/>
      <c r="C151" s="1237"/>
      <c r="D151" s="1237"/>
      <c r="E151" s="1237"/>
      <c r="F151" s="1237"/>
      <c r="G151" s="1237"/>
      <c r="H151" s="1237"/>
      <c r="I151" s="1237"/>
      <c r="J151" s="1237"/>
      <c r="K151" s="1237"/>
      <c r="L151" s="1237"/>
      <c r="M151" s="1237"/>
      <c r="N151" s="1237"/>
      <c r="O151" s="1237"/>
      <c r="P151" s="1241"/>
      <c r="Q151" s="1237"/>
      <c r="R151" s="1237"/>
      <c r="S151" s="1237"/>
      <c r="T151" s="1237"/>
      <c r="U151" s="1237"/>
      <c r="V151" s="1237"/>
      <c r="W151" s="1237"/>
      <c r="X151" s="1237"/>
      <c r="Y151" s="1237"/>
      <c r="Z151" s="1237"/>
      <c r="AA151" s="1237"/>
      <c r="AB151" s="1237"/>
      <c r="AC151" s="1237"/>
      <c r="AD151" s="1237"/>
      <c r="AE151" s="1237"/>
      <c r="AF151" s="1237"/>
      <c r="AG151" s="1237"/>
      <c r="AH151" s="1207"/>
    </row>
    <row r="152" spans="1:34" x14ac:dyDescent="0.2">
      <c r="A152" s="1233"/>
      <c r="B152" s="1253"/>
      <c r="C152" s="1237"/>
      <c r="D152" s="1237"/>
      <c r="E152" s="1237"/>
      <c r="F152" s="1237"/>
      <c r="G152" s="1237"/>
      <c r="H152" s="1237"/>
      <c r="I152" s="1237"/>
      <c r="J152" s="1237"/>
      <c r="K152" s="1237"/>
      <c r="L152" s="1237"/>
      <c r="M152" s="1237"/>
      <c r="N152" s="1237"/>
      <c r="O152" s="1237"/>
      <c r="P152" s="1241"/>
      <c r="Q152" s="1237"/>
      <c r="R152" s="1237"/>
      <c r="S152" s="1237"/>
      <c r="T152" s="1237"/>
      <c r="U152" s="1237"/>
      <c r="V152" s="1237"/>
      <c r="W152" s="1237"/>
      <c r="X152" s="1237"/>
      <c r="Y152" s="1237"/>
      <c r="Z152" s="1237"/>
      <c r="AA152" s="1237"/>
      <c r="AB152" s="1237"/>
      <c r="AC152" s="1237"/>
      <c r="AD152" s="1237"/>
      <c r="AE152" s="1237"/>
      <c r="AF152" s="1237"/>
      <c r="AG152" s="1237"/>
      <c r="AH152" s="1207"/>
    </row>
    <row r="153" spans="1:34" ht="20.25" x14ac:dyDescent="0.3">
      <c r="A153" s="1236" t="s">
        <v>17</v>
      </c>
      <c r="B153" s="1249"/>
      <c r="C153" s="1237"/>
      <c r="D153" s="1237"/>
      <c r="E153" s="1237"/>
      <c r="F153" s="1237"/>
      <c r="G153" s="1237"/>
      <c r="H153" s="1237"/>
      <c r="I153" s="1749"/>
      <c r="J153" s="1749"/>
      <c r="K153" s="1749"/>
      <c r="L153" s="1749"/>
      <c r="M153" s="1748"/>
      <c r="N153" s="1748"/>
      <c r="O153" s="1748"/>
      <c r="P153" s="1748"/>
      <c r="Q153" s="1748"/>
      <c r="R153" s="1748"/>
      <c r="S153" s="1748"/>
      <c r="T153" s="1748"/>
      <c r="U153" s="1748"/>
      <c r="V153" s="1752"/>
      <c r="W153" s="1752"/>
      <c r="X153" s="1752"/>
      <c r="Y153" s="1237"/>
      <c r="Z153" s="1237"/>
      <c r="AA153" s="1237"/>
      <c r="AB153" s="1237"/>
      <c r="AC153" s="1237"/>
      <c r="AD153" s="1237"/>
      <c r="AE153" s="1237"/>
      <c r="AF153" s="1237"/>
      <c r="AG153" s="1237"/>
      <c r="AH153" s="1207"/>
    </row>
    <row r="154" spans="1:34" ht="13.5" thickBot="1" x14ac:dyDescent="0.25">
      <c r="A154" s="1250"/>
      <c r="B154" s="1251"/>
      <c r="C154" s="1237"/>
      <c r="D154" s="1237"/>
      <c r="E154" s="1237"/>
      <c r="F154" s="1237"/>
      <c r="G154" s="1237"/>
      <c r="H154" s="1237"/>
      <c r="I154" s="1237"/>
      <c r="J154" s="1237"/>
      <c r="K154" s="1237"/>
      <c r="L154" s="1628"/>
      <c r="M154" s="1237"/>
      <c r="N154" s="1237"/>
      <c r="O154" s="1237"/>
      <c r="P154" s="1241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07"/>
    </row>
    <row r="155" spans="1:34" x14ac:dyDescent="0.2">
      <c r="A155" s="1233"/>
      <c r="B155" s="1253"/>
      <c r="C155" s="1237"/>
      <c r="D155" s="1369"/>
      <c r="E155" s="1237"/>
      <c r="F155" s="1237"/>
      <c r="G155" s="1237"/>
      <c r="H155" s="1237"/>
      <c r="I155" s="1237"/>
      <c r="J155" s="1237"/>
      <c r="K155" s="1237"/>
      <c r="L155" s="1241"/>
      <c r="M155" s="1237"/>
      <c r="N155" s="1237"/>
      <c r="O155" s="1237"/>
      <c r="P155" s="1241"/>
      <c r="Q155" s="1237"/>
      <c r="R155" s="1237"/>
      <c r="S155" s="1237"/>
      <c r="T155" s="1237"/>
      <c r="U155" s="1625"/>
      <c r="V155" s="1237"/>
      <c r="W155" s="1237"/>
      <c r="X155" s="1237"/>
      <c r="Y155" s="1237"/>
      <c r="Z155" s="1625"/>
      <c r="AA155" s="1237"/>
      <c r="AB155" s="1237"/>
      <c r="AC155" s="1369"/>
      <c r="AD155" s="1237"/>
      <c r="AF155" s="1237"/>
      <c r="AG155" s="1237"/>
      <c r="AH155" s="1207"/>
    </row>
    <row r="156" spans="1:34" x14ac:dyDescent="0.2">
      <c r="A156" s="1236" t="s">
        <v>5</v>
      </c>
      <c r="B156" s="1249">
        <f>B150-B153</f>
        <v>-82432.214000000007</v>
      </c>
      <c r="C156" s="1625"/>
      <c r="D156" s="1625"/>
      <c r="E156" s="1370"/>
      <c r="F156" s="1625"/>
      <c r="G156" s="1256"/>
      <c r="H156" s="1625"/>
      <c r="I156" s="1625"/>
      <c r="J156" s="1237"/>
      <c r="K156" s="1626" t="s">
        <v>192</v>
      </c>
      <c r="L156" s="1212" t="s">
        <v>1152</v>
      </c>
      <c r="M156" s="1626" t="s">
        <v>605</v>
      </c>
      <c r="N156" s="1237"/>
      <c r="O156" s="1625"/>
      <c r="P156" s="1212"/>
      <c r="Q156" s="1625"/>
      <c r="R156" s="1625"/>
      <c r="S156" s="1625"/>
      <c r="T156" s="1256"/>
      <c r="U156" s="1625"/>
      <c r="V156" s="1625"/>
      <c r="W156" s="1625"/>
      <c r="X156" s="1625"/>
      <c r="Y156" s="1626" t="s">
        <v>192</v>
      </c>
      <c r="Z156" s="1625"/>
      <c r="AA156" s="1625"/>
      <c r="AB156" s="1625"/>
      <c r="AC156" s="1371"/>
      <c r="AD156" s="1712" t="s">
        <v>1154</v>
      </c>
      <c r="AE156" s="1370" t="s">
        <v>831</v>
      </c>
      <c r="AF156" s="1721" t="s">
        <v>1490</v>
      </c>
      <c r="AG156" s="1625"/>
      <c r="AH156" s="1207"/>
    </row>
    <row r="157" spans="1:34" ht="13.5" thickBot="1" x14ac:dyDescent="0.25">
      <c r="A157" s="1250"/>
      <c r="B157" s="1251"/>
      <c r="C157" s="1237"/>
      <c r="D157" s="1237"/>
      <c r="E157" s="1237"/>
      <c r="F157" s="1237"/>
      <c r="G157" s="1237"/>
      <c r="H157" s="1237"/>
      <c r="I157" s="1237"/>
      <c r="J157" s="1237"/>
      <c r="K157" s="1237"/>
      <c r="L157" s="1241"/>
      <c r="M157" s="1237"/>
      <c r="N157" s="1237"/>
      <c r="O157" s="1237"/>
      <c r="P157" s="1212"/>
      <c r="Q157" s="1625"/>
      <c r="R157" s="1625"/>
      <c r="S157" s="1625"/>
      <c r="T157" s="1625"/>
      <c r="U157" s="1625"/>
      <c r="V157" s="1625"/>
      <c r="W157" s="1625"/>
      <c r="X157" s="1625"/>
      <c r="Y157" s="1625"/>
      <c r="Z157" s="1625"/>
      <c r="AA157" s="1625"/>
      <c r="AB157" s="1625"/>
      <c r="AC157" s="1625"/>
      <c r="AD157" s="1625"/>
      <c r="AE157" s="1625"/>
      <c r="AF157" s="1625"/>
      <c r="AG157" s="1625"/>
      <c r="AH157" s="1207"/>
    </row>
    <row r="158" spans="1:34" x14ac:dyDescent="0.2">
      <c r="A158" s="1269"/>
      <c r="B158" s="1237"/>
      <c r="C158" s="1270"/>
      <c r="D158" s="1272"/>
      <c r="E158" s="1272"/>
      <c r="F158" s="1271"/>
      <c r="G158" s="1271"/>
      <c r="H158" s="1271"/>
      <c r="I158" s="1271"/>
      <c r="J158" s="1271"/>
      <c r="K158" s="1271"/>
      <c r="L158" s="1273"/>
      <c r="M158" s="1271"/>
      <c r="N158" s="1271"/>
      <c r="O158" s="1271"/>
      <c r="P158" s="1273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07"/>
    </row>
    <row r="159" spans="1:34" ht="13.5" thickBot="1" x14ac:dyDescent="0.25">
      <c r="A159" s="1274" t="s">
        <v>7</v>
      </c>
      <c r="B159" s="1237"/>
      <c r="C159" s="1275">
        <f t="shared" ref="C159:AG159" si="17">C160+C161+C162+C166+C165+C163+C164</f>
        <v>0</v>
      </c>
      <c r="D159" s="1275">
        <f t="shared" si="17"/>
        <v>0</v>
      </c>
      <c r="E159" s="1275">
        <f t="shared" si="17"/>
        <v>0</v>
      </c>
      <c r="F159" s="1275">
        <f t="shared" si="17"/>
        <v>0</v>
      </c>
      <c r="G159" s="1275">
        <f t="shared" si="17"/>
        <v>0</v>
      </c>
      <c r="H159" s="1275">
        <f t="shared" si="17"/>
        <v>0</v>
      </c>
      <c r="I159" s="1275">
        <f t="shared" si="17"/>
        <v>0</v>
      </c>
      <c r="J159" s="1275">
        <f t="shared" si="17"/>
        <v>0</v>
      </c>
      <c r="K159" s="1275">
        <f t="shared" si="17"/>
        <v>0</v>
      </c>
      <c r="L159" s="1276">
        <f t="shared" si="17"/>
        <v>0</v>
      </c>
      <c r="M159" s="1275">
        <f t="shared" si="17"/>
        <v>0</v>
      </c>
      <c r="N159" s="1275">
        <f t="shared" si="17"/>
        <v>0</v>
      </c>
      <c r="O159" s="1275">
        <f t="shared" si="17"/>
        <v>0</v>
      </c>
      <c r="P159" s="1276">
        <f t="shared" si="17"/>
        <v>0</v>
      </c>
      <c r="Q159" s="1275">
        <f t="shared" si="17"/>
        <v>0</v>
      </c>
      <c r="R159" s="1275">
        <f t="shared" si="17"/>
        <v>0</v>
      </c>
      <c r="S159" s="1275">
        <f t="shared" si="17"/>
        <v>0</v>
      </c>
      <c r="T159" s="1275">
        <f t="shared" si="17"/>
        <v>0</v>
      </c>
      <c r="U159" s="1275">
        <f t="shared" si="17"/>
        <v>0</v>
      </c>
      <c r="V159" s="1275">
        <f t="shared" si="17"/>
        <v>0</v>
      </c>
      <c r="W159" s="1275">
        <f t="shared" si="17"/>
        <v>0</v>
      </c>
      <c r="X159" s="1275">
        <f t="shared" si="17"/>
        <v>0</v>
      </c>
      <c r="Y159" s="1275">
        <f t="shared" si="17"/>
        <v>0</v>
      </c>
      <c r="Z159" s="1275">
        <f t="shared" si="17"/>
        <v>0</v>
      </c>
      <c r="AA159" s="1275">
        <f t="shared" si="17"/>
        <v>0</v>
      </c>
      <c r="AB159" s="1275">
        <f t="shared" si="17"/>
        <v>0</v>
      </c>
      <c r="AC159" s="1275">
        <f t="shared" si="17"/>
        <v>0</v>
      </c>
      <c r="AD159" s="1275">
        <f t="shared" si="17"/>
        <v>0</v>
      </c>
      <c r="AE159" s="1275">
        <f t="shared" si="17"/>
        <v>0</v>
      </c>
      <c r="AF159" s="1275">
        <f t="shared" si="17"/>
        <v>0</v>
      </c>
      <c r="AG159" s="1275">
        <f t="shared" si="17"/>
        <v>0</v>
      </c>
      <c r="AH159" s="1227">
        <f t="shared" ref="AH159:AH167" si="18">SUM(C159:AG159)</f>
        <v>0</v>
      </c>
    </row>
    <row r="160" spans="1:34" x14ac:dyDescent="0.2">
      <c r="A160" s="1274" t="s">
        <v>8</v>
      </c>
      <c r="B160" s="1237"/>
      <c r="C160" s="1302"/>
      <c r="D160" s="1302"/>
      <c r="E160" s="1302"/>
      <c r="F160" s="1303"/>
      <c r="G160" s="1303"/>
      <c r="H160" s="1303"/>
      <c r="I160" s="1303"/>
      <c r="J160" s="1303"/>
      <c r="K160" s="1303"/>
      <c r="L160" s="1304"/>
      <c r="M160" s="1303"/>
      <c r="N160" s="1303"/>
      <c r="O160" s="1303"/>
      <c r="P160" s="1304"/>
      <c r="Q160" s="1303"/>
      <c r="R160" s="1303"/>
      <c r="S160" s="1303"/>
      <c r="T160" s="1303"/>
      <c r="U160" s="1303"/>
      <c r="V160" s="1303"/>
      <c r="W160" s="1303"/>
      <c r="X160" s="1303"/>
      <c r="Y160" s="1303"/>
      <c r="Z160" s="1303"/>
      <c r="AA160" s="1303"/>
      <c r="AB160" s="1303"/>
      <c r="AC160" s="1303"/>
      <c r="AD160" s="1303"/>
      <c r="AE160" s="1303"/>
      <c r="AF160" s="1303"/>
      <c r="AG160" s="1303"/>
      <c r="AH160" s="1227">
        <f t="shared" si="18"/>
        <v>0</v>
      </c>
    </row>
    <row r="161" spans="1:35" x14ac:dyDescent="0.2">
      <c r="A161" s="1274" t="s">
        <v>9</v>
      </c>
      <c r="B161" s="1237"/>
      <c r="C161" s="1302"/>
      <c r="D161" s="1302"/>
      <c r="E161" s="1302"/>
      <c r="F161" s="1303"/>
      <c r="G161" s="1303"/>
      <c r="H161" s="1303"/>
      <c r="I161" s="1303"/>
      <c r="J161" s="1303"/>
      <c r="K161" s="1303"/>
      <c r="L161" s="1304"/>
      <c r="M161" s="1303"/>
      <c r="N161" s="1303"/>
      <c r="O161" s="1303"/>
      <c r="P161" s="1304"/>
      <c r="Q161" s="1303"/>
      <c r="R161" s="1303"/>
      <c r="S161" s="1303"/>
      <c r="T161" s="1303"/>
      <c r="U161" s="1303"/>
      <c r="V161" s="1303"/>
      <c r="W161" s="1303"/>
      <c r="X161" s="1303"/>
      <c r="Y161" s="1303"/>
      <c r="Z161" s="1303"/>
      <c r="AA161" s="1303"/>
      <c r="AB161" s="1303"/>
      <c r="AC161" s="1303"/>
      <c r="AD161" s="1303"/>
      <c r="AE161" s="1303"/>
      <c r="AF161" s="1303"/>
      <c r="AG161" s="1303"/>
      <c r="AH161" s="1227">
        <f t="shared" si="18"/>
        <v>0</v>
      </c>
    </row>
    <row r="162" spans="1:35" s="1289" customFormat="1" x14ac:dyDescent="0.2">
      <c r="A162" s="1285" t="s">
        <v>10</v>
      </c>
      <c r="B162" s="1372"/>
      <c r="C162" s="1292"/>
      <c r="D162" s="1292"/>
      <c r="E162" s="1374"/>
      <c r="F162" s="1375"/>
      <c r="G162" s="1376"/>
      <c r="H162" s="1375"/>
      <c r="I162" s="1375"/>
      <c r="J162" s="1375"/>
      <c r="K162" s="1375">
        <v>-25796</v>
      </c>
      <c r="L162" s="1375"/>
      <c r="M162" s="1375"/>
      <c r="N162" s="1375"/>
      <c r="O162" s="1375"/>
      <c r="P162" s="1375"/>
      <c r="Q162" s="1375"/>
      <c r="R162" s="1375"/>
      <c r="S162" s="1375"/>
      <c r="T162" s="1376"/>
      <c r="U162" s="1375"/>
      <c r="V162" s="1375"/>
      <c r="W162" s="1375"/>
      <c r="X162" s="1375"/>
      <c r="Y162" s="1375"/>
      <c r="Z162" s="1375"/>
      <c r="AA162" s="1375"/>
      <c r="AB162" s="1375"/>
      <c r="AC162" s="1375"/>
      <c r="AD162" s="1375"/>
      <c r="AE162" s="1378"/>
      <c r="AF162" s="1375"/>
      <c r="AG162" s="1375"/>
      <c r="AH162" s="1231">
        <f t="shared" si="18"/>
        <v>-25796</v>
      </c>
    </row>
    <row r="163" spans="1:35" s="1289" customFormat="1" x14ac:dyDescent="0.2">
      <c r="A163" s="1285" t="s">
        <v>356</v>
      </c>
      <c r="B163" s="1372"/>
      <c r="C163" s="1493"/>
      <c r="D163" s="1493"/>
      <c r="E163" s="1493"/>
      <c r="F163" s="1493"/>
      <c r="G163" s="1493"/>
      <c r="H163" s="1493"/>
      <c r="I163" s="1493"/>
      <c r="J163" s="1493"/>
      <c r="K163" s="1493">
        <v>25796</v>
      </c>
      <c r="L163" s="1493"/>
      <c r="M163" s="1493"/>
      <c r="N163" s="1493"/>
      <c r="O163" s="1493"/>
      <c r="P163" s="1493"/>
      <c r="Q163" s="1493"/>
      <c r="R163" s="1493"/>
      <c r="S163" s="1493"/>
      <c r="T163" s="1493"/>
      <c r="U163" s="1493"/>
      <c r="V163" s="1493"/>
      <c r="W163" s="1493"/>
      <c r="X163" s="1493"/>
      <c r="Y163" s="1493">
        <v>36900</v>
      </c>
      <c r="Z163" s="1493"/>
      <c r="AA163" s="1493"/>
      <c r="AB163" s="1493"/>
      <c r="AC163" s="1493"/>
      <c r="AD163" s="1493"/>
      <c r="AE163" s="1493"/>
      <c r="AF163" s="1493"/>
      <c r="AG163" s="1493"/>
      <c r="AH163" s="1231">
        <f t="shared" si="18"/>
        <v>62696</v>
      </c>
    </row>
    <row r="164" spans="1:35" x14ac:dyDescent="0.2">
      <c r="A164" s="1274" t="s">
        <v>357</v>
      </c>
      <c r="B164" s="1237"/>
      <c r="C164" s="1306"/>
      <c r="D164" s="1302"/>
      <c r="E164" s="1306"/>
      <c r="F164" s="1303"/>
      <c r="G164" s="1303"/>
      <c r="H164" s="1304"/>
      <c r="I164" s="1304"/>
      <c r="J164" s="1304"/>
      <c r="K164" s="1304"/>
      <c r="L164" s="1304"/>
      <c r="M164" s="1304"/>
      <c r="N164" s="1304"/>
      <c r="O164" s="1304"/>
      <c r="P164" s="1304"/>
      <c r="Q164" s="1304"/>
      <c r="R164" s="1304"/>
      <c r="S164" s="1304"/>
      <c r="T164" s="1304"/>
      <c r="U164" s="1304"/>
      <c r="V164" s="1304"/>
      <c r="W164" s="1304"/>
      <c r="X164" s="1304"/>
      <c r="Y164" s="1304">
        <v>-36900</v>
      </c>
      <c r="Z164" s="1304"/>
      <c r="AA164" s="1304"/>
      <c r="AB164" s="1304"/>
      <c r="AC164" s="1304"/>
      <c r="AD164" s="1304"/>
      <c r="AE164" s="1304"/>
      <c r="AF164" s="1304"/>
      <c r="AG164" s="1304"/>
      <c r="AH164" s="1227">
        <f t="shared" si="18"/>
        <v>-36900</v>
      </c>
    </row>
    <row r="165" spans="1:35" x14ac:dyDescent="0.2">
      <c r="A165" s="1274" t="s">
        <v>41</v>
      </c>
      <c r="B165" s="1237"/>
      <c r="C165" s="1306"/>
      <c r="D165" s="1302"/>
      <c r="E165" s="1306"/>
      <c r="F165" s="1303"/>
      <c r="G165" s="1303"/>
      <c r="H165" s="1304"/>
      <c r="I165" s="1304"/>
      <c r="J165" s="1304"/>
      <c r="K165" s="1304"/>
      <c r="L165" s="1304"/>
      <c r="M165" s="1304"/>
      <c r="N165" s="1304"/>
      <c r="O165" s="1304"/>
      <c r="P165" s="1304"/>
      <c r="Q165" s="1304"/>
      <c r="R165" s="1304"/>
      <c r="S165" s="1304"/>
      <c r="T165" s="1304"/>
      <c r="U165" s="1304"/>
      <c r="V165" s="1304"/>
      <c r="W165" s="1304"/>
      <c r="X165" s="1304"/>
      <c r="Y165" s="1304"/>
      <c r="Z165" s="1304"/>
      <c r="AA165" s="1304"/>
      <c r="AB165" s="1304"/>
      <c r="AC165" s="1304"/>
      <c r="AD165" s="1304"/>
      <c r="AE165" s="1304"/>
      <c r="AF165" s="1304"/>
      <c r="AG165" s="1304"/>
      <c r="AH165" s="1227">
        <f t="shared" si="18"/>
        <v>0</v>
      </c>
    </row>
    <row r="166" spans="1:35" x14ac:dyDescent="0.2">
      <c r="A166" s="1274" t="s">
        <v>11</v>
      </c>
      <c r="B166" s="1237"/>
      <c r="C166" s="1302"/>
      <c r="D166" s="1306"/>
      <c r="E166" s="1306"/>
      <c r="F166" s="1304"/>
      <c r="G166" s="1304"/>
      <c r="H166" s="1304"/>
      <c r="I166" s="1304"/>
      <c r="J166" s="1304"/>
      <c r="K166" s="1304"/>
      <c r="L166" s="1574"/>
      <c r="M166" s="1304"/>
      <c r="N166" s="1304"/>
      <c r="O166" s="1304"/>
      <c r="P166" s="1304"/>
      <c r="Q166" s="1304"/>
      <c r="R166" s="1304"/>
      <c r="S166" s="1304"/>
      <c r="T166" s="1304"/>
      <c r="U166" s="1304"/>
      <c r="V166" s="1304"/>
      <c r="W166" s="1304"/>
      <c r="X166" s="1304"/>
      <c r="Y166" s="1304"/>
      <c r="Z166" s="1304"/>
      <c r="AA166" s="1304"/>
      <c r="AB166" s="1318"/>
      <c r="AC166" s="1304"/>
      <c r="AD166" s="1304"/>
      <c r="AE166" s="1304"/>
      <c r="AF166" s="1304"/>
      <c r="AG166" s="1304"/>
      <c r="AH166" s="1227">
        <f t="shared" si="18"/>
        <v>0</v>
      </c>
    </row>
    <row r="167" spans="1:35" ht="13.5" thickBot="1" x14ac:dyDescent="0.25">
      <c r="A167" s="1294"/>
      <c r="B167" s="1237"/>
      <c r="C167" s="1302"/>
      <c r="D167" s="1302"/>
      <c r="E167" s="1302"/>
      <c r="F167" s="1303"/>
      <c r="G167" s="1303"/>
      <c r="H167" s="1303"/>
      <c r="I167" s="1303"/>
      <c r="J167" s="1303"/>
      <c r="K167" s="1303"/>
      <c r="L167" s="1304"/>
      <c r="M167" s="1303"/>
      <c r="N167" s="1303"/>
      <c r="O167" s="1303"/>
      <c r="P167" s="1304"/>
      <c r="Q167" s="1303"/>
      <c r="R167" s="1303"/>
      <c r="S167" s="1303"/>
      <c r="T167" s="1303"/>
      <c r="U167" s="1303"/>
      <c r="V167" s="1303"/>
      <c r="W167" s="1303"/>
      <c r="X167" s="1303"/>
      <c r="Y167" s="1303"/>
      <c r="Z167" s="1303"/>
      <c r="AA167" s="1303"/>
      <c r="AB167" s="1303"/>
      <c r="AC167" s="1303"/>
      <c r="AD167" s="1303"/>
      <c r="AE167" s="1303"/>
      <c r="AF167" s="1303"/>
      <c r="AG167" s="1303"/>
      <c r="AH167" s="1227">
        <f t="shared" si="18"/>
        <v>0</v>
      </c>
    </row>
    <row r="168" spans="1:35" x14ac:dyDescent="0.2">
      <c r="A168" s="1269"/>
      <c r="B168" s="1237"/>
      <c r="C168" s="1296"/>
      <c r="D168" s="1297"/>
      <c r="E168" s="1297"/>
      <c r="F168" s="1298"/>
      <c r="G168" s="1298"/>
      <c r="H168" s="1298"/>
      <c r="I168" s="1298"/>
      <c r="J168" s="1298"/>
      <c r="K168" s="1298"/>
      <c r="L168" s="1298"/>
      <c r="M168" s="1298"/>
      <c r="N168" s="1298"/>
      <c r="O168" s="1298"/>
      <c r="P168" s="1299"/>
      <c r="Q168" s="1298"/>
      <c r="R168" s="1298"/>
      <c r="S168" s="1298"/>
      <c r="T168" s="1298"/>
      <c r="U168" s="1298"/>
      <c r="V168" s="1298"/>
      <c r="W168" s="1298"/>
      <c r="X168" s="1298"/>
      <c r="Y168" s="1298"/>
      <c r="Z168" s="1298"/>
      <c r="AA168" s="1298"/>
      <c r="AB168" s="1298"/>
      <c r="AC168" s="1298"/>
      <c r="AD168" s="1298"/>
      <c r="AE168" s="1298"/>
      <c r="AF168" s="1298"/>
      <c r="AG168" s="1298"/>
      <c r="AH168" s="1207"/>
    </row>
    <row r="169" spans="1:35" ht="13.5" thickBot="1" x14ac:dyDescent="0.25">
      <c r="A169" s="1274" t="s">
        <v>12</v>
      </c>
      <c r="B169" s="1237"/>
      <c r="C169" s="1275">
        <f t="shared" ref="C169:AG169" si="19">C170</f>
        <v>0</v>
      </c>
      <c r="D169" s="1275">
        <f t="shared" si="19"/>
        <v>0</v>
      </c>
      <c r="E169" s="1275">
        <f t="shared" si="19"/>
        <v>0</v>
      </c>
      <c r="F169" s="1275">
        <f t="shared" si="19"/>
        <v>0</v>
      </c>
      <c r="G169" s="1275">
        <f t="shared" si="19"/>
        <v>0</v>
      </c>
      <c r="H169" s="1275">
        <f t="shared" si="19"/>
        <v>0</v>
      </c>
      <c r="I169" s="1275">
        <f t="shared" si="19"/>
        <v>0</v>
      </c>
      <c r="J169" s="1275">
        <f t="shared" si="19"/>
        <v>0</v>
      </c>
      <c r="K169" s="1275">
        <f t="shared" si="19"/>
        <v>0</v>
      </c>
      <c r="L169" s="1275">
        <f t="shared" si="19"/>
        <v>0</v>
      </c>
      <c r="M169" s="1275">
        <f t="shared" si="19"/>
        <v>0</v>
      </c>
      <c r="N169" s="1275">
        <f t="shared" si="19"/>
        <v>0</v>
      </c>
      <c r="O169" s="1275">
        <f t="shared" si="19"/>
        <v>0</v>
      </c>
      <c r="P169" s="1276">
        <f t="shared" si="19"/>
        <v>0</v>
      </c>
      <c r="Q169" s="1275">
        <f t="shared" si="19"/>
        <v>0</v>
      </c>
      <c r="R169" s="1275">
        <f t="shared" si="19"/>
        <v>0</v>
      </c>
      <c r="S169" s="1275">
        <f t="shared" si="19"/>
        <v>0</v>
      </c>
      <c r="T169" s="1275">
        <f t="shared" si="19"/>
        <v>0</v>
      </c>
      <c r="U169" s="1275">
        <f t="shared" si="19"/>
        <v>0</v>
      </c>
      <c r="V169" s="1275">
        <f t="shared" si="19"/>
        <v>0</v>
      </c>
      <c r="W169" s="1275">
        <f t="shared" si="19"/>
        <v>0</v>
      </c>
      <c r="X169" s="1275">
        <f t="shared" si="19"/>
        <v>0</v>
      </c>
      <c r="Y169" s="1275">
        <f t="shared" si="19"/>
        <v>0</v>
      </c>
      <c r="Z169" s="1275">
        <f t="shared" si="19"/>
        <v>0</v>
      </c>
      <c r="AA169" s="1275">
        <f t="shared" si="19"/>
        <v>0</v>
      </c>
      <c r="AB169" s="1275">
        <f t="shared" si="19"/>
        <v>0</v>
      </c>
      <c r="AC169" s="1275">
        <f t="shared" si="19"/>
        <v>0</v>
      </c>
      <c r="AD169" s="1275">
        <f t="shared" si="19"/>
        <v>0</v>
      </c>
      <c r="AE169" s="1275">
        <f t="shared" si="19"/>
        <v>0</v>
      </c>
      <c r="AF169" s="1275">
        <f t="shared" si="19"/>
        <v>0</v>
      </c>
      <c r="AG169" s="1275">
        <f t="shared" si="19"/>
        <v>0</v>
      </c>
      <c r="AH169" s="1207"/>
    </row>
    <row r="170" spans="1:35" x14ac:dyDescent="0.2">
      <c r="A170" s="1274" t="s">
        <v>8</v>
      </c>
      <c r="B170" s="1237"/>
      <c r="C170" s="1302"/>
      <c r="D170" s="1302"/>
      <c r="E170" s="1302"/>
      <c r="F170" s="1303"/>
      <c r="G170" s="1303"/>
      <c r="H170" s="1303"/>
      <c r="I170" s="1303"/>
      <c r="J170" s="1303"/>
      <c r="K170" s="1303"/>
      <c r="L170" s="1303"/>
      <c r="M170" s="1303"/>
      <c r="N170" s="1303"/>
      <c r="O170" s="1303"/>
      <c r="P170" s="1304"/>
      <c r="Q170" s="1303"/>
      <c r="R170" s="1303"/>
      <c r="S170" s="1303"/>
      <c r="T170" s="1303"/>
      <c r="U170" s="1303"/>
      <c r="V170" s="1303"/>
      <c r="W170" s="1303"/>
      <c r="X170" s="1303"/>
      <c r="Y170" s="1303"/>
      <c r="Z170" s="1303"/>
      <c r="AA170" s="1303"/>
      <c r="AB170" s="1303"/>
      <c r="AC170" s="1303"/>
      <c r="AD170" s="1303"/>
      <c r="AE170" s="1303"/>
      <c r="AF170" s="1303"/>
      <c r="AG170" s="1303"/>
      <c r="AH170" s="1207"/>
    </row>
    <row r="171" spans="1:35" x14ac:dyDescent="0.2">
      <c r="A171" s="1274" t="s">
        <v>775</v>
      </c>
      <c r="B171" s="1237"/>
      <c r="C171" s="1293">
        <v>1000</v>
      </c>
      <c r="D171" s="1293"/>
      <c r="E171" s="1293"/>
      <c r="F171" s="1293">
        <v>1000</v>
      </c>
      <c r="G171" s="1293"/>
      <c r="H171" s="1293"/>
      <c r="I171" s="1293">
        <v>728.98900000000003</v>
      </c>
      <c r="J171" s="1293">
        <v>1000</v>
      </c>
      <c r="K171" s="1293"/>
      <c r="L171" s="1293">
        <v>2500</v>
      </c>
      <c r="M171" s="1293">
        <v>1000</v>
      </c>
      <c r="N171" s="1293"/>
      <c r="O171" s="1293"/>
      <c r="P171" s="1293"/>
      <c r="Q171" s="1293">
        <v>2696.3110000000001</v>
      </c>
      <c r="R171" s="1293">
        <v>859.24199999999996</v>
      </c>
      <c r="S171" s="1293"/>
      <c r="T171" s="1293">
        <v>1000</v>
      </c>
      <c r="U171" s="1293"/>
      <c r="V171" s="1293">
        <v>917</v>
      </c>
      <c r="W171" s="1293"/>
      <c r="X171" s="1293"/>
      <c r="Y171" s="1293">
        <v>1890.932</v>
      </c>
      <c r="Z171" s="1293"/>
      <c r="AA171" s="1293">
        <v>3017</v>
      </c>
      <c r="AB171" s="1293">
        <v>1564.075</v>
      </c>
      <c r="AC171" s="1293"/>
      <c r="AD171" s="1293">
        <v>852</v>
      </c>
      <c r="AE171" s="1293">
        <v>1000</v>
      </c>
      <c r="AF171" s="1293">
        <v>2545.86</v>
      </c>
      <c r="AG171" s="1293">
        <v>21785.444</v>
      </c>
      <c r="AH171" s="1227"/>
    </row>
    <row r="172" spans="1:35" ht="13.5" thickBot="1" x14ac:dyDescent="0.25">
      <c r="A172" s="1294"/>
      <c r="B172" s="1237"/>
      <c r="C172" s="1302"/>
      <c r="D172" s="1302"/>
      <c r="E172" s="1302"/>
      <c r="F172" s="1303"/>
      <c r="G172" s="1303"/>
      <c r="H172" s="1303"/>
      <c r="I172" s="1303"/>
      <c r="J172" s="1303"/>
      <c r="K172" s="1303"/>
      <c r="L172" s="1303"/>
      <c r="M172" s="1303"/>
      <c r="N172" s="1303"/>
      <c r="O172" s="1303"/>
      <c r="P172" s="1304"/>
      <c r="Q172" s="1303"/>
      <c r="R172" s="1303"/>
      <c r="S172" s="1303"/>
      <c r="T172" s="1303"/>
      <c r="U172" s="1303"/>
      <c r="V172" s="1303"/>
      <c r="W172" s="1303"/>
      <c r="X172" s="1303"/>
      <c r="Y172" s="1303"/>
      <c r="Z172" s="1303"/>
      <c r="AA172" s="1303"/>
      <c r="AB172" s="1303"/>
      <c r="AC172" s="1303"/>
      <c r="AD172" s="1303"/>
      <c r="AE172" s="1303"/>
      <c r="AF172" s="1303"/>
      <c r="AG172" s="1303"/>
      <c r="AH172" s="1207"/>
    </row>
    <row r="173" spans="1:35" x14ac:dyDescent="0.2">
      <c r="A173" s="1269"/>
      <c r="B173" s="1237"/>
      <c r="C173" s="1296"/>
      <c r="D173" s="1297"/>
      <c r="E173" s="1297"/>
      <c r="F173" s="1298"/>
      <c r="G173" s="1298"/>
      <c r="H173" s="1298"/>
      <c r="I173" s="1298"/>
      <c r="J173" s="1298"/>
      <c r="K173" s="1298"/>
      <c r="L173" s="1298"/>
      <c r="M173" s="1298"/>
      <c r="N173" s="1298"/>
      <c r="O173" s="1298"/>
      <c r="P173" s="1299"/>
      <c r="Q173" s="1298"/>
      <c r="R173" s="1298"/>
      <c r="S173" s="1298"/>
      <c r="T173" s="1298"/>
      <c r="U173" s="1298"/>
      <c r="V173" s="1298"/>
      <c r="W173" s="1298"/>
      <c r="X173" s="1298"/>
      <c r="Y173" s="1298"/>
      <c r="Z173" s="1298"/>
      <c r="AA173" s="1298"/>
      <c r="AB173" s="1298"/>
      <c r="AC173" s="1298"/>
      <c r="AD173" s="1298"/>
      <c r="AE173" s="1298"/>
      <c r="AF173" s="1298"/>
      <c r="AG173" s="1298"/>
      <c r="AH173" s="1207"/>
    </row>
    <row r="174" spans="1:35" x14ac:dyDescent="0.2">
      <c r="A174" s="1274" t="s">
        <v>13</v>
      </c>
      <c r="B174" s="1237"/>
      <c r="C174" s="1300">
        <f t="shared" ref="C174:AG174" si="20">C169-C159</f>
        <v>0</v>
      </c>
      <c r="D174" s="1300">
        <f t="shared" si="20"/>
        <v>0</v>
      </c>
      <c r="E174" s="1300">
        <f t="shared" si="20"/>
        <v>0</v>
      </c>
      <c r="F174" s="1300">
        <f t="shared" si="20"/>
        <v>0</v>
      </c>
      <c r="G174" s="1300">
        <f t="shared" si="20"/>
        <v>0</v>
      </c>
      <c r="H174" s="1300">
        <f t="shared" si="20"/>
        <v>0</v>
      </c>
      <c r="I174" s="1300">
        <f t="shared" si="20"/>
        <v>0</v>
      </c>
      <c r="J174" s="1300">
        <f t="shared" si="20"/>
        <v>0</v>
      </c>
      <c r="K174" s="1300">
        <f t="shared" si="20"/>
        <v>0</v>
      </c>
      <c r="L174" s="1300">
        <f t="shared" si="20"/>
        <v>0</v>
      </c>
      <c r="M174" s="1300">
        <f t="shared" si="20"/>
        <v>0</v>
      </c>
      <c r="N174" s="1300">
        <f t="shared" si="20"/>
        <v>0</v>
      </c>
      <c r="O174" s="1300">
        <f t="shared" si="20"/>
        <v>0</v>
      </c>
      <c r="P174" s="1301">
        <f t="shared" si="20"/>
        <v>0</v>
      </c>
      <c r="Q174" s="1300">
        <f t="shared" si="20"/>
        <v>0</v>
      </c>
      <c r="R174" s="1300">
        <f t="shared" si="20"/>
        <v>0</v>
      </c>
      <c r="S174" s="1300">
        <f t="shared" si="20"/>
        <v>0</v>
      </c>
      <c r="T174" s="1300">
        <f t="shared" si="20"/>
        <v>0</v>
      </c>
      <c r="U174" s="1300">
        <f t="shared" si="20"/>
        <v>0</v>
      </c>
      <c r="V174" s="1300">
        <f t="shared" si="20"/>
        <v>0</v>
      </c>
      <c r="W174" s="1300">
        <f t="shared" si="20"/>
        <v>0</v>
      </c>
      <c r="X174" s="1300">
        <f t="shared" si="20"/>
        <v>0</v>
      </c>
      <c r="Y174" s="1300">
        <f t="shared" si="20"/>
        <v>0</v>
      </c>
      <c r="Z174" s="1300">
        <f t="shared" si="20"/>
        <v>0</v>
      </c>
      <c r="AA174" s="1300">
        <f t="shared" si="20"/>
        <v>0</v>
      </c>
      <c r="AB174" s="1300">
        <f t="shared" si="20"/>
        <v>0</v>
      </c>
      <c r="AC174" s="1300">
        <f t="shared" si="20"/>
        <v>0</v>
      </c>
      <c r="AD174" s="1300">
        <f t="shared" si="20"/>
        <v>0</v>
      </c>
      <c r="AE174" s="1300">
        <f t="shared" si="20"/>
        <v>0</v>
      </c>
      <c r="AF174" s="1300">
        <f t="shared" si="20"/>
        <v>0</v>
      </c>
      <c r="AG174" s="1300">
        <f t="shared" si="20"/>
        <v>0</v>
      </c>
      <c r="AH174" s="1207"/>
    </row>
    <row r="175" spans="1:35" ht="13.5" thickBot="1" x14ac:dyDescent="0.25">
      <c r="A175" s="1274"/>
      <c r="B175" s="1237"/>
      <c r="C175" s="1300"/>
      <c r="D175" s="1302"/>
      <c r="E175" s="1302"/>
      <c r="F175" s="1303"/>
      <c r="G175" s="1303"/>
      <c r="H175" s="1303"/>
      <c r="I175" s="1303"/>
      <c r="J175" s="1303"/>
      <c r="K175" s="1303"/>
      <c r="L175" s="1303"/>
      <c r="M175" s="1303"/>
      <c r="N175" s="1303"/>
      <c r="O175" s="1303"/>
      <c r="P175" s="1304"/>
      <c r="Q175" s="1303"/>
      <c r="R175" s="1303"/>
      <c r="S175" s="1303"/>
      <c r="T175" s="1303"/>
      <c r="U175" s="1303"/>
      <c r="V175" s="1303"/>
      <c r="W175" s="1303"/>
      <c r="X175" s="1303"/>
      <c r="Y175" s="1303"/>
      <c r="Z175" s="1303"/>
      <c r="AA175" s="1303"/>
      <c r="AB175" s="1303"/>
      <c r="AC175" s="1303"/>
      <c r="AD175" s="1303"/>
      <c r="AE175" s="1303"/>
      <c r="AF175" s="1303"/>
      <c r="AG175" s="1303"/>
      <c r="AH175" s="1207"/>
      <c r="AI175" s="1209" t="s">
        <v>813</v>
      </c>
    </row>
    <row r="176" spans="1:35" x14ac:dyDescent="0.2">
      <c r="A176" s="1233"/>
      <c r="B176" s="1234"/>
      <c r="C176" s="1305"/>
      <c r="D176" s="1297"/>
      <c r="E176" s="1297"/>
      <c r="F176" s="1298"/>
      <c r="G176" s="1298"/>
      <c r="H176" s="1298"/>
      <c r="I176" s="1298"/>
      <c r="J176" s="1298"/>
      <c r="K176" s="1298"/>
      <c r="L176" s="1298"/>
      <c r="M176" s="1298"/>
      <c r="N176" s="1298"/>
      <c r="O176" s="1298"/>
      <c r="P176" s="1299"/>
      <c r="Q176" s="1298"/>
      <c r="R176" s="1298"/>
      <c r="S176" s="1298"/>
      <c r="T176" s="1298"/>
      <c r="U176" s="1298"/>
      <c r="V176" s="1298"/>
      <c r="W176" s="1298"/>
      <c r="X176" s="1298"/>
      <c r="Y176" s="1298"/>
      <c r="Z176" s="1298"/>
      <c r="AA176" s="1298"/>
      <c r="AB176" s="1298"/>
      <c r="AC176" s="1298"/>
      <c r="AD176" s="1298"/>
      <c r="AE176" s="1298"/>
      <c r="AF176" s="1298"/>
      <c r="AG176" s="1298"/>
      <c r="AH176" s="1207"/>
    </row>
    <row r="177" spans="1:34" x14ac:dyDescent="0.2">
      <c r="A177" s="1236" t="s">
        <v>15</v>
      </c>
      <c r="B177" s="1237"/>
      <c r="C177" s="1302">
        <f>B156+C174</f>
        <v>-82432.214000000007</v>
      </c>
      <c r="D177" s="1302">
        <f t="shared" ref="D177:AG177" si="21">C184+D174</f>
        <v>-82432.214000000007</v>
      </c>
      <c r="E177" s="1302">
        <f t="shared" si="21"/>
        <v>-82432.214000000007</v>
      </c>
      <c r="F177" s="1302">
        <f t="shared" si="21"/>
        <v>-82432.214000000007</v>
      </c>
      <c r="G177" s="1302">
        <f t="shared" si="21"/>
        <v>-82432.214000000007</v>
      </c>
      <c r="H177" s="1302">
        <f t="shared" si="21"/>
        <v>-82432.214000000007</v>
      </c>
      <c r="I177" s="1302">
        <f t="shared" si="21"/>
        <v>-82432.214000000007</v>
      </c>
      <c r="J177" s="1302">
        <f t="shared" si="21"/>
        <v>-82432.214000000007</v>
      </c>
      <c r="K177" s="1302">
        <f t="shared" si="21"/>
        <v>-82432.214000000007</v>
      </c>
      <c r="L177" s="1302">
        <f t="shared" si="21"/>
        <v>-82432.214000000007</v>
      </c>
      <c r="M177" s="1302">
        <f t="shared" si="21"/>
        <v>-82432.214000000007</v>
      </c>
      <c r="N177" s="1302">
        <f t="shared" si="21"/>
        <v>-82432.214000000007</v>
      </c>
      <c r="O177" s="1302">
        <f t="shared" si="21"/>
        <v>-82432.214000000007</v>
      </c>
      <c r="P177" s="1306">
        <f t="shared" si="21"/>
        <v>-82432.214000000007</v>
      </c>
      <c r="Q177" s="1302">
        <f t="shared" si="21"/>
        <v>-82432.214000000007</v>
      </c>
      <c r="R177" s="1302">
        <f t="shared" si="21"/>
        <v>-82432.214000000007</v>
      </c>
      <c r="S177" s="1302">
        <f t="shared" si="21"/>
        <v>-82432.214000000007</v>
      </c>
      <c r="T177" s="1302">
        <f t="shared" si="21"/>
        <v>-82432.214000000007</v>
      </c>
      <c r="U177" s="1302">
        <f t="shared" si="21"/>
        <v>-82432.214000000007</v>
      </c>
      <c r="V177" s="1302">
        <f t="shared" si="21"/>
        <v>-82432.214000000007</v>
      </c>
      <c r="W177" s="1302">
        <f t="shared" si="21"/>
        <v>-82432.214000000007</v>
      </c>
      <c r="X177" s="1302">
        <f t="shared" si="21"/>
        <v>-82432.214000000007</v>
      </c>
      <c r="Y177" s="1302">
        <f t="shared" si="21"/>
        <v>-82432.214000000007</v>
      </c>
      <c r="Z177" s="1302">
        <f t="shared" si="21"/>
        <v>-82432.214000000007</v>
      </c>
      <c r="AA177" s="1302">
        <f t="shared" si="21"/>
        <v>-82432.214000000007</v>
      </c>
      <c r="AB177" s="1302">
        <f t="shared" si="21"/>
        <v>-82432.214000000007</v>
      </c>
      <c r="AC177" s="1302">
        <f t="shared" si="21"/>
        <v>-82432.214000000007</v>
      </c>
      <c r="AD177" s="1302">
        <f t="shared" si="21"/>
        <v>-82432.214000000007</v>
      </c>
      <c r="AE177" s="1302">
        <f t="shared" si="21"/>
        <v>-82432.214000000007</v>
      </c>
      <c r="AF177" s="1302">
        <f t="shared" si="21"/>
        <v>-79972.247000000003</v>
      </c>
      <c r="AG177" s="1302">
        <f t="shared" si="21"/>
        <v>-79972.247000000003</v>
      </c>
      <c r="AH177" s="1207"/>
    </row>
    <row r="178" spans="1:34" ht="13.5" thickBot="1" x14ac:dyDescent="0.25">
      <c r="A178" s="1250"/>
      <c r="B178" s="1307"/>
      <c r="C178" s="1308"/>
      <c r="D178" s="1308"/>
      <c r="E178" s="1308"/>
      <c r="F178" s="1309"/>
      <c r="G178" s="1309"/>
      <c r="H178" s="1309"/>
      <c r="I178" s="1309"/>
      <c r="J178" s="1309"/>
      <c r="K178" s="1309"/>
      <c r="L178" s="1309"/>
      <c r="M178" s="1309"/>
      <c r="N178" s="1309"/>
      <c r="O178" s="1309"/>
      <c r="P178" s="1310"/>
      <c r="Q178" s="1309"/>
      <c r="R178" s="1309"/>
      <c r="S178" s="1309"/>
      <c r="T178" s="1309"/>
      <c r="U178" s="1309"/>
      <c r="V178" s="1309"/>
      <c r="W178" s="1309"/>
      <c r="X178" s="1309"/>
      <c r="Y178" s="1309"/>
      <c r="Z178" s="1309"/>
      <c r="AA178" s="1309"/>
      <c r="AB178" s="1309"/>
      <c r="AC178" s="1309"/>
      <c r="AD178" s="1309"/>
      <c r="AE178" s="1309"/>
      <c r="AF178" s="1309"/>
      <c r="AG178" s="1309"/>
      <c r="AH178" s="1207"/>
    </row>
    <row r="179" spans="1:34" x14ac:dyDescent="0.2">
      <c r="A179" s="1233"/>
      <c r="B179" s="1234"/>
      <c r="C179" s="1297"/>
      <c r="D179" s="1297"/>
      <c r="E179" s="1297"/>
      <c r="F179" s="1298"/>
      <c r="G179" s="1298"/>
      <c r="H179" s="1298"/>
      <c r="I179" s="1298"/>
      <c r="J179" s="1298"/>
      <c r="K179" s="1298"/>
      <c r="L179" s="1298"/>
      <c r="M179" s="1298"/>
      <c r="N179" s="1298"/>
      <c r="O179" s="1298"/>
      <c r="P179" s="1299"/>
      <c r="Q179" s="1298"/>
      <c r="R179" s="1298"/>
      <c r="S179" s="1298"/>
      <c r="T179" s="1298"/>
      <c r="U179" s="1298"/>
      <c r="V179" s="1298"/>
      <c r="W179" s="1298"/>
      <c r="X179" s="1298"/>
      <c r="Y179" s="1298"/>
      <c r="Z179" s="1298"/>
      <c r="AA179" s="1298"/>
      <c r="AB179" s="1298"/>
      <c r="AC179" s="1298"/>
      <c r="AD179" s="1298"/>
      <c r="AE179" s="1298"/>
      <c r="AF179" s="1298"/>
      <c r="AG179" s="1298"/>
      <c r="AH179" s="1207"/>
    </row>
    <row r="180" spans="1:34" x14ac:dyDescent="0.2">
      <c r="A180" s="1236" t="s">
        <v>82</v>
      </c>
      <c r="B180" s="1237"/>
      <c r="C180" s="1302">
        <f t="shared" ref="C180:AG181" si="22">C188</f>
        <v>0</v>
      </c>
      <c r="D180" s="1302">
        <f t="shared" si="22"/>
        <v>0</v>
      </c>
      <c r="E180" s="1302">
        <f t="shared" si="22"/>
        <v>0</v>
      </c>
      <c r="F180" s="1302">
        <f t="shared" si="22"/>
        <v>0</v>
      </c>
      <c r="G180" s="1302">
        <f t="shared" si="22"/>
        <v>0</v>
      </c>
      <c r="H180" s="1302">
        <f t="shared" si="22"/>
        <v>0</v>
      </c>
      <c r="I180" s="1302">
        <f t="shared" si="22"/>
        <v>0</v>
      </c>
      <c r="J180" s="1302">
        <f t="shared" si="22"/>
        <v>0</v>
      </c>
      <c r="K180" s="1302">
        <f t="shared" si="22"/>
        <v>0</v>
      </c>
      <c r="L180" s="1302">
        <f t="shared" si="22"/>
        <v>0</v>
      </c>
      <c r="M180" s="1302">
        <f t="shared" si="22"/>
        <v>0</v>
      </c>
      <c r="N180" s="1302">
        <f t="shared" si="22"/>
        <v>0</v>
      </c>
      <c r="O180" s="1302">
        <f t="shared" si="22"/>
        <v>0</v>
      </c>
      <c r="P180" s="1306">
        <f t="shared" si="22"/>
        <v>0</v>
      </c>
      <c r="Q180" s="1302">
        <f t="shared" si="22"/>
        <v>0</v>
      </c>
      <c r="R180" s="1302">
        <f t="shared" si="22"/>
        <v>0</v>
      </c>
      <c r="S180" s="1302">
        <f t="shared" si="22"/>
        <v>0</v>
      </c>
      <c r="T180" s="1302">
        <f t="shared" si="22"/>
        <v>0</v>
      </c>
      <c r="U180" s="1302">
        <f t="shared" si="22"/>
        <v>0</v>
      </c>
      <c r="V180" s="1302">
        <f t="shared" si="22"/>
        <v>0</v>
      </c>
      <c r="W180" s="1302">
        <f t="shared" si="22"/>
        <v>0</v>
      </c>
      <c r="X180" s="1302">
        <f t="shared" si="22"/>
        <v>0</v>
      </c>
      <c r="Y180" s="1302">
        <f t="shared" si="22"/>
        <v>0</v>
      </c>
      <c r="Z180" s="1302">
        <f t="shared" si="22"/>
        <v>0</v>
      </c>
      <c r="AA180" s="1302">
        <f t="shared" si="22"/>
        <v>0</v>
      </c>
      <c r="AB180" s="1302">
        <f t="shared" si="22"/>
        <v>0</v>
      </c>
      <c r="AC180" s="1302">
        <f t="shared" si="22"/>
        <v>0</v>
      </c>
      <c r="AD180" s="1302">
        <f t="shared" si="22"/>
        <v>0</v>
      </c>
      <c r="AE180" s="1302">
        <f t="shared" si="22"/>
        <v>2459.967000000001</v>
      </c>
      <c r="AF180" s="1302">
        <f t="shared" si="22"/>
        <v>0</v>
      </c>
      <c r="AG180" s="1302">
        <f t="shared" si="22"/>
        <v>0</v>
      </c>
      <c r="AH180" s="1207"/>
    </row>
    <row r="181" spans="1:34" x14ac:dyDescent="0.2">
      <c r="A181" s="1236" t="s">
        <v>83</v>
      </c>
      <c r="B181" s="1237"/>
      <c r="C181" s="1306">
        <f t="shared" si="22"/>
        <v>0</v>
      </c>
      <c r="D181" s="1306">
        <f t="shared" si="22"/>
        <v>0</v>
      </c>
      <c r="E181" s="1306">
        <f t="shared" si="22"/>
        <v>0</v>
      </c>
      <c r="F181" s="1306">
        <f t="shared" si="22"/>
        <v>0</v>
      </c>
      <c r="G181" s="1306">
        <f t="shared" si="22"/>
        <v>0</v>
      </c>
      <c r="H181" s="1306">
        <f t="shared" si="22"/>
        <v>0</v>
      </c>
      <c r="I181" s="1306">
        <f t="shared" si="22"/>
        <v>0</v>
      </c>
      <c r="J181" s="1306">
        <f t="shared" si="22"/>
        <v>0</v>
      </c>
      <c r="K181" s="1306">
        <f t="shared" si="22"/>
        <v>0</v>
      </c>
      <c r="L181" s="1306">
        <f t="shared" si="22"/>
        <v>0</v>
      </c>
      <c r="M181" s="1306">
        <f t="shared" si="22"/>
        <v>0</v>
      </c>
      <c r="N181" s="1306">
        <f t="shared" si="22"/>
        <v>0</v>
      </c>
      <c r="O181" s="1306">
        <f t="shared" si="22"/>
        <v>0</v>
      </c>
      <c r="P181" s="1306">
        <f t="shared" si="22"/>
        <v>0</v>
      </c>
      <c r="Q181" s="1306">
        <f t="shared" si="22"/>
        <v>0</v>
      </c>
      <c r="R181" s="1306">
        <f t="shared" si="22"/>
        <v>0</v>
      </c>
      <c r="S181" s="1306">
        <f t="shared" si="22"/>
        <v>0</v>
      </c>
      <c r="T181" s="1306">
        <f t="shared" si="22"/>
        <v>0</v>
      </c>
      <c r="U181" s="1306">
        <f t="shared" si="22"/>
        <v>0</v>
      </c>
      <c r="V181" s="1306">
        <f t="shared" si="22"/>
        <v>0</v>
      </c>
      <c r="W181" s="1306">
        <f t="shared" si="22"/>
        <v>0</v>
      </c>
      <c r="X181" s="1306">
        <f t="shared" si="22"/>
        <v>0</v>
      </c>
      <c r="Y181" s="1306">
        <f t="shared" si="22"/>
        <v>0</v>
      </c>
      <c r="Z181" s="1306">
        <f t="shared" si="22"/>
        <v>0</v>
      </c>
      <c r="AA181" s="1306">
        <f t="shared" si="22"/>
        <v>0</v>
      </c>
      <c r="AB181" s="1306">
        <f t="shared" si="22"/>
        <v>0</v>
      </c>
      <c r="AC181" s="1306">
        <f t="shared" si="22"/>
        <v>0</v>
      </c>
      <c r="AD181" s="1306">
        <f t="shared" si="22"/>
        <v>0</v>
      </c>
      <c r="AE181" s="1306">
        <f t="shared" si="22"/>
        <v>0</v>
      </c>
      <c r="AF181" s="1306">
        <f t="shared" si="22"/>
        <v>0</v>
      </c>
      <c r="AG181" s="1306">
        <f t="shared" si="22"/>
        <v>0</v>
      </c>
      <c r="AH181" s="1207"/>
    </row>
    <row r="182" spans="1:34" ht="13.5" thickBot="1" x14ac:dyDescent="0.25">
      <c r="A182" s="1250"/>
      <c r="B182" s="1307"/>
      <c r="C182" s="1308"/>
      <c r="D182" s="1308"/>
      <c r="E182" s="1308"/>
      <c r="F182" s="1309"/>
      <c r="G182" s="1309"/>
      <c r="H182" s="1309"/>
      <c r="I182" s="1309"/>
      <c r="J182" s="1309"/>
      <c r="K182" s="1309"/>
      <c r="L182" s="1309"/>
      <c r="M182" s="1309"/>
      <c r="N182" s="1309"/>
      <c r="O182" s="1309"/>
      <c r="P182" s="1310"/>
      <c r="Q182" s="1309"/>
      <c r="R182" s="1309"/>
      <c r="S182" s="1309"/>
      <c r="T182" s="1309"/>
      <c r="U182" s="1309"/>
      <c r="V182" s="1309"/>
      <c r="W182" s="1309"/>
      <c r="X182" s="1309"/>
      <c r="Y182" s="1309"/>
      <c r="Z182" s="1309"/>
      <c r="AA182" s="1309"/>
      <c r="AB182" s="1309"/>
      <c r="AC182" s="1309"/>
      <c r="AD182" s="1309"/>
      <c r="AE182" s="1309"/>
      <c r="AF182" s="1309"/>
      <c r="AG182" s="1309"/>
      <c r="AH182" s="1207"/>
    </row>
    <row r="183" spans="1:34" x14ac:dyDescent="0.2">
      <c r="A183" s="1236"/>
      <c r="B183" s="1237"/>
      <c r="C183" s="1302"/>
      <c r="D183" s="1302"/>
      <c r="E183" s="1302"/>
      <c r="F183" s="1303"/>
      <c r="G183" s="1303"/>
      <c r="H183" s="1303"/>
      <c r="I183" s="1303"/>
      <c r="J183" s="1303"/>
      <c r="K183" s="1303"/>
      <c r="L183" s="1303"/>
      <c r="M183" s="1303"/>
      <c r="N183" s="1303"/>
      <c r="O183" s="1303"/>
      <c r="P183" s="1304"/>
      <c r="Q183" s="1303"/>
      <c r="R183" s="1303"/>
      <c r="S183" s="1303"/>
      <c r="T183" s="1303"/>
      <c r="U183" s="1303"/>
      <c r="V183" s="1303"/>
      <c r="W183" s="1303"/>
      <c r="X183" s="1303"/>
      <c r="Y183" s="1303"/>
      <c r="Z183" s="1303"/>
      <c r="AA183" s="1303"/>
      <c r="AB183" s="1303"/>
      <c r="AC183" s="1303"/>
      <c r="AD183" s="1303"/>
      <c r="AE183" s="1303"/>
      <c r="AF183" s="1303"/>
      <c r="AG183" s="1303"/>
      <c r="AH183" s="1208"/>
    </row>
    <row r="184" spans="1:34" x14ac:dyDescent="0.2">
      <c r="A184" s="1236" t="s">
        <v>14</v>
      </c>
      <c r="B184" s="1237"/>
      <c r="C184" s="1302">
        <f t="shared" ref="C184:AG184" si="23">C177+C180+C181</f>
        <v>-82432.214000000007</v>
      </c>
      <c r="D184" s="1302">
        <f t="shared" si="23"/>
        <v>-82432.214000000007</v>
      </c>
      <c r="E184" s="1302">
        <f t="shared" si="23"/>
        <v>-82432.214000000007</v>
      </c>
      <c r="F184" s="1302">
        <f t="shared" si="23"/>
        <v>-82432.214000000007</v>
      </c>
      <c r="G184" s="1302">
        <f t="shared" si="23"/>
        <v>-82432.214000000007</v>
      </c>
      <c r="H184" s="1302">
        <f t="shared" si="23"/>
        <v>-82432.214000000007</v>
      </c>
      <c r="I184" s="1302">
        <f t="shared" si="23"/>
        <v>-82432.214000000007</v>
      </c>
      <c r="J184" s="1302">
        <f t="shared" si="23"/>
        <v>-82432.214000000007</v>
      </c>
      <c r="K184" s="1302">
        <f t="shared" si="23"/>
        <v>-82432.214000000007</v>
      </c>
      <c r="L184" s="1302">
        <f t="shared" si="23"/>
        <v>-82432.214000000007</v>
      </c>
      <c r="M184" s="1302">
        <f t="shared" si="23"/>
        <v>-82432.214000000007</v>
      </c>
      <c r="N184" s="1302">
        <f t="shared" si="23"/>
        <v>-82432.214000000007</v>
      </c>
      <c r="O184" s="1302">
        <f t="shared" si="23"/>
        <v>-82432.214000000007</v>
      </c>
      <c r="P184" s="1306">
        <f t="shared" si="23"/>
        <v>-82432.214000000007</v>
      </c>
      <c r="Q184" s="1302">
        <f t="shared" si="23"/>
        <v>-82432.214000000007</v>
      </c>
      <c r="R184" s="1302">
        <f t="shared" si="23"/>
        <v>-82432.214000000007</v>
      </c>
      <c r="S184" s="1302">
        <f t="shared" si="23"/>
        <v>-82432.214000000007</v>
      </c>
      <c r="T184" s="1302">
        <f t="shared" si="23"/>
        <v>-82432.214000000007</v>
      </c>
      <c r="U184" s="1302">
        <f t="shared" si="23"/>
        <v>-82432.214000000007</v>
      </c>
      <c r="V184" s="1302">
        <f t="shared" si="23"/>
        <v>-82432.214000000007</v>
      </c>
      <c r="W184" s="1302">
        <f t="shared" si="23"/>
        <v>-82432.214000000007</v>
      </c>
      <c r="X184" s="1302">
        <f t="shared" si="23"/>
        <v>-82432.214000000007</v>
      </c>
      <c r="Y184" s="1302">
        <f t="shared" si="23"/>
        <v>-82432.214000000007</v>
      </c>
      <c r="Z184" s="1302">
        <f t="shared" si="23"/>
        <v>-82432.214000000007</v>
      </c>
      <c r="AA184" s="1302">
        <f t="shared" si="23"/>
        <v>-82432.214000000007</v>
      </c>
      <c r="AB184" s="1302">
        <f t="shared" si="23"/>
        <v>-82432.214000000007</v>
      </c>
      <c r="AC184" s="1302">
        <f t="shared" si="23"/>
        <v>-82432.214000000007</v>
      </c>
      <c r="AD184" s="1302">
        <f t="shared" si="23"/>
        <v>-82432.214000000007</v>
      </c>
      <c r="AE184" s="1302">
        <f t="shared" si="23"/>
        <v>-79972.247000000003</v>
      </c>
      <c r="AF184" s="1302">
        <f t="shared" si="23"/>
        <v>-79972.247000000003</v>
      </c>
      <c r="AG184" s="1302">
        <f t="shared" si="23"/>
        <v>-79972.247000000003</v>
      </c>
      <c r="AH184" s="1229"/>
    </row>
    <row r="185" spans="1:34" x14ac:dyDescent="0.2">
      <c r="A185" s="1236"/>
      <c r="B185" s="1237"/>
      <c r="C185" s="1302"/>
      <c r="D185" s="1302"/>
      <c r="E185" s="1302"/>
      <c r="F185" s="1303"/>
      <c r="G185" s="1303"/>
      <c r="H185" s="1303"/>
      <c r="I185" s="1303"/>
      <c r="J185" s="1303"/>
      <c r="K185" s="1303"/>
      <c r="L185" s="1303"/>
      <c r="M185" s="1303"/>
      <c r="N185" s="1303"/>
      <c r="O185" s="1303"/>
      <c r="P185" s="1304"/>
      <c r="Q185" s="1303"/>
      <c r="R185" s="1303"/>
      <c r="S185" s="1303"/>
      <c r="T185" s="1303"/>
      <c r="U185" s="1303"/>
      <c r="V185" s="1303"/>
      <c r="W185" s="1303"/>
      <c r="X185" s="1303"/>
      <c r="Y185" s="1303"/>
      <c r="Z185" s="1303"/>
      <c r="AA185" s="1303"/>
      <c r="AB185" s="1303"/>
      <c r="AC185" s="1303"/>
      <c r="AD185" s="1303"/>
      <c r="AE185" s="1303"/>
      <c r="AF185" s="1303"/>
      <c r="AG185" s="1303"/>
      <c r="AH185" s="1208"/>
    </row>
    <row r="186" spans="1:34" ht="13.5" thickBot="1" x14ac:dyDescent="0.25">
      <c r="A186" s="1250"/>
      <c r="B186" s="1307"/>
      <c r="C186" s="1312"/>
      <c r="D186" s="1312"/>
      <c r="E186" s="1312"/>
      <c r="F186" s="1313"/>
      <c r="G186" s="1313"/>
      <c r="H186" s="1313"/>
      <c r="I186" s="1313"/>
      <c r="J186" s="1313"/>
      <c r="K186" s="1313"/>
      <c r="L186" s="1313"/>
      <c r="M186" s="1313"/>
      <c r="N186" s="1313"/>
      <c r="O186" s="1313"/>
      <c r="P186" s="1314"/>
      <c r="Q186" s="1313"/>
      <c r="R186" s="1313"/>
      <c r="S186" s="1313"/>
      <c r="T186" s="1313"/>
      <c r="U186" s="1313"/>
      <c r="V186" s="1313"/>
      <c r="W186" s="1313"/>
      <c r="X186" s="1313"/>
      <c r="Y186" s="1313"/>
      <c r="Z186" s="1313"/>
      <c r="AA186" s="1313"/>
      <c r="AB186" s="1313"/>
      <c r="AC186" s="1313"/>
      <c r="AD186" s="1313"/>
      <c r="AE186" s="1313"/>
      <c r="AF186" s="1313"/>
      <c r="AG186" s="1313"/>
      <c r="AH186" s="1208"/>
    </row>
    <row r="187" spans="1:34" x14ac:dyDescent="0.2">
      <c r="A187" s="1316"/>
      <c r="B187" s="1207"/>
      <c r="C187" s="1227"/>
      <c r="D187" s="1227"/>
      <c r="E187" s="1227"/>
      <c r="F187" s="1227"/>
      <c r="G187" s="1227"/>
      <c r="H187" s="1227"/>
      <c r="I187" s="1227"/>
      <c r="J187" s="1227"/>
      <c r="K187" s="1227"/>
      <c r="L187" s="1227"/>
      <c r="M187" s="1227"/>
      <c r="N187" s="1227"/>
      <c r="O187" s="1227"/>
      <c r="P187" s="1229"/>
      <c r="Q187" s="1227"/>
      <c r="R187" s="1227"/>
      <c r="S187" s="1227"/>
      <c r="T187" s="1227"/>
      <c r="U187" s="1227"/>
      <c r="V187" s="1227"/>
      <c r="W187" s="1227"/>
      <c r="X187" s="1227"/>
      <c r="Y187" s="1227"/>
      <c r="Z187" s="1227"/>
      <c r="AA187" s="1227"/>
      <c r="AB187" s="1227"/>
      <c r="AC187" s="1227"/>
      <c r="AD187" s="1227"/>
      <c r="AE187" s="1227"/>
      <c r="AF187" s="1227"/>
      <c r="AG187" s="1227"/>
      <c r="AH187" s="1208"/>
    </row>
    <row r="188" spans="1:34" x14ac:dyDescent="0.2">
      <c r="A188" s="1344"/>
      <c r="B188" s="1383"/>
      <c r="C188" s="1219"/>
      <c r="D188" s="1219"/>
      <c r="E188" s="1219"/>
      <c r="F188" s="1219"/>
      <c r="G188" s="1219"/>
      <c r="H188" s="1219"/>
      <c r="I188" s="1219"/>
      <c r="J188" s="1219"/>
      <c r="K188" s="1219"/>
      <c r="L188" s="1219"/>
      <c r="M188" s="1219">
        <f>13124.304-993.389-1274.039-590-948.629-2400-6918.247</f>
        <v>0</v>
      </c>
      <c r="N188" s="1219"/>
      <c r="O188" s="1221"/>
      <c r="P188" s="1221"/>
      <c r="Q188" s="1219"/>
      <c r="R188" s="1219"/>
      <c r="S188" s="1219"/>
      <c r="T188" s="1219"/>
      <c r="U188" s="1219"/>
      <c r="V188" s="1219"/>
      <c r="W188" s="1219"/>
      <c r="X188" s="1219"/>
      <c r="Y188" s="1219"/>
      <c r="Z188" s="1219"/>
      <c r="AA188" s="1384"/>
      <c r="AB188" s="1219"/>
      <c r="AC188" s="1219"/>
      <c r="AD188" s="1219">
        <f>7631.132-2000-1000-966.274-2664.858-1000</f>
        <v>0</v>
      </c>
      <c r="AE188" s="1219">
        <f>9045.858-1567.834-1166.722-1608.941-2242.394</f>
        <v>2459.967000000001</v>
      </c>
      <c r="AF188" s="1219"/>
      <c r="AG188" s="1219"/>
      <c r="AH188" s="1229"/>
    </row>
    <row r="189" spans="1:34" x14ac:dyDescent="0.2">
      <c r="A189" s="1316"/>
      <c r="B189" s="1207"/>
      <c r="C189" s="1219"/>
      <c r="D189" s="1219"/>
      <c r="E189" s="1219"/>
      <c r="F189" s="1219"/>
      <c r="G189" s="1219"/>
      <c r="H189" s="1219"/>
      <c r="I189" s="1219"/>
      <c r="J189" s="1219"/>
      <c r="K189" s="1219"/>
      <c r="L189" s="1219"/>
      <c r="M189" s="1219"/>
      <c r="N189" s="1219"/>
      <c r="O189" s="1219"/>
      <c r="P189" s="1221"/>
      <c r="Q189" s="1219"/>
      <c r="R189" s="1219"/>
      <c r="S189" s="1219"/>
      <c r="T189" s="1219"/>
      <c r="U189" s="1219"/>
      <c r="V189" s="1219"/>
      <c r="W189" s="1219"/>
      <c r="X189" s="1219"/>
      <c r="Y189" s="1219"/>
      <c r="Z189" s="1219"/>
      <c r="AA189" s="1219"/>
      <c r="AB189" s="1219"/>
      <c r="AC189" s="1219"/>
      <c r="AD189" s="1219"/>
      <c r="AE189" s="1219"/>
      <c r="AF189" s="1219"/>
      <c r="AG189" s="1219"/>
      <c r="AH189" s="1229"/>
    </row>
    <row r="190" spans="1:34" x14ac:dyDescent="0.2">
      <c r="A190" s="1210" t="s">
        <v>415</v>
      </c>
      <c r="B190" s="1215">
        <f>SUM(B191:B194)</f>
        <v>375000</v>
      </c>
      <c r="C190" s="1207"/>
      <c r="D190" s="1207"/>
      <c r="E190" s="1207"/>
      <c r="F190" s="1207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8"/>
      <c r="Q190" s="1207"/>
      <c r="R190" s="1207"/>
      <c r="S190" s="1207"/>
      <c r="T190" s="1385"/>
      <c r="U190" s="1345"/>
      <c r="V190" s="1207"/>
      <c r="W190" s="1207"/>
      <c r="X190" s="1207"/>
      <c r="Y190" s="1207"/>
      <c r="Z190" s="1207"/>
      <c r="AA190" s="1384"/>
      <c r="AB190" s="1207"/>
      <c r="AC190" s="1207"/>
      <c r="AD190" s="1207"/>
      <c r="AE190" s="1207"/>
      <c r="AF190" s="1207"/>
      <c r="AG190" s="1207"/>
      <c r="AH190" s="1207"/>
    </row>
    <row r="191" spans="1:34" x14ac:dyDescent="0.2">
      <c r="A191" s="1365" t="s">
        <v>414</v>
      </c>
      <c r="B191" s="1219">
        <v>25000</v>
      </c>
      <c r="C191" s="1207"/>
      <c r="D191" s="1229"/>
      <c r="E191" s="1207"/>
      <c r="F191" s="1207"/>
      <c r="G191" s="1207"/>
      <c r="H191" s="1207"/>
      <c r="I191" s="1207"/>
      <c r="J191" s="1207"/>
      <c r="K191" s="1207"/>
      <c r="L191" s="1207"/>
      <c r="M191" s="1207"/>
      <c r="N191" s="1207"/>
      <c r="O191" s="1207"/>
      <c r="P191" s="1208"/>
      <c r="Q191" s="1207"/>
      <c r="R191" s="1207"/>
      <c r="S191" s="1219"/>
      <c r="T191" s="1350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</row>
    <row r="192" spans="1:34" x14ac:dyDescent="0.2">
      <c r="A192" s="1365" t="s">
        <v>287</v>
      </c>
      <c r="B192" s="1219">
        <v>200000</v>
      </c>
      <c r="C192" s="1207"/>
      <c r="D192" s="1207"/>
      <c r="E192" s="1207"/>
      <c r="F192" s="1207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8"/>
      <c r="Q192" s="1207"/>
      <c r="R192" s="1207"/>
      <c r="S192" s="1219"/>
      <c r="T192" s="1350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</row>
    <row r="193" spans="1:34" x14ac:dyDescent="0.2">
      <c r="A193" s="1316" t="s">
        <v>413</v>
      </c>
      <c r="B193" s="1386">
        <v>75000</v>
      </c>
      <c r="C193" s="1207"/>
      <c r="D193" s="1207"/>
      <c r="E193" s="1207"/>
      <c r="F193" s="1207"/>
      <c r="G193" s="1207"/>
      <c r="H193" s="1207"/>
      <c r="I193" s="1207"/>
      <c r="J193" s="1207"/>
      <c r="K193" s="1207"/>
      <c r="L193" s="1227"/>
      <c r="M193" s="1207"/>
      <c r="N193" s="1207"/>
      <c r="O193" s="1207"/>
      <c r="P193" s="1208"/>
      <c r="Q193" s="1207"/>
      <c r="R193" s="1207"/>
      <c r="S193" s="1219"/>
      <c r="T193" s="1350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</row>
    <row r="194" spans="1:34" x14ac:dyDescent="0.2">
      <c r="A194" s="1316" t="s">
        <v>441</v>
      </c>
      <c r="B194" s="1219">
        <v>75000</v>
      </c>
      <c r="C194" s="1207"/>
      <c r="D194" s="1207"/>
      <c r="E194" s="1207"/>
      <c r="F194" s="1207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8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</row>
    <row r="195" spans="1:34" x14ac:dyDescent="0.2">
      <c r="A195" s="1207"/>
      <c r="B195" s="1207"/>
      <c r="C195" s="1207"/>
      <c r="D195" s="1207"/>
      <c r="E195" s="1207"/>
      <c r="F195" s="1207"/>
      <c r="G195" s="1207"/>
      <c r="H195" s="1207"/>
      <c r="I195" s="1207"/>
      <c r="J195" s="1207"/>
      <c r="K195" s="1207"/>
      <c r="L195" s="1207"/>
      <c r="M195" s="1207"/>
      <c r="N195" s="1207"/>
      <c r="O195" s="1207"/>
      <c r="P195" s="1208"/>
      <c r="Q195" s="1207"/>
      <c r="R195" s="1207"/>
      <c r="S195" s="1207"/>
      <c r="T195" s="1207"/>
      <c r="U195" s="1207"/>
      <c r="V195" s="1207"/>
      <c r="W195" s="1207"/>
      <c r="X195" s="1207"/>
      <c r="Y195" s="1207"/>
      <c r="Z195" s="1207"/>
      <c r="AA195" s="1207"/>
      <c r="AB195" s="1207"/>
      <c r="AC195" s="1207"/>
      <c r="AD195" s="1207"/>
      <c r="AE195" s="1207"/>
      <c r="AF195" s="1207"/>
      <c r="AG195" s="1207"/>
      <c r="AH195" s="1207"/>
    </row>
    <row r="196" spans="1:34" ht="13.5" thickBot="1" x14ac:dyDescent="0.25">
      <c r="A196" s="1207"/>
      <c r="B196" s="1207"/>
      <c r="C196" s="1207"/>
      <c r="D196" s="1207"/>
      <c r="E196" s="1207"/>
      <c r="F196" s="1207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8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07"/>
      <c r="AA196" s="1207"/>
      <c r="AB196" s="1207"/>
      <c r="AC196" s="1207"/>
      <c r="AD196" s="1207"/>
      <c r="AE196" s="1207"/>
      <c r="AF196" s="1207"/>
      <c r="AG196" s="1207"/>
      <c r="AH196" s="1207"/>
    </row>
    <row r="197" spans="1:34" x14ac:dyDescent="0.2">
      <c r="A197" s="1233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34"/>
      <c r="O197" s="1234"/>
      <c r="P197" s="1235"/>
      <c r="Q197" s="1234"/>
      <c r="R197" s="1234"/>
      <c r="S197" s="1234"/>
      <c r="T197" s="1234"/>
      <c r="U197" s="1234"/>
      <c r="V197" s="1234"/>
      <c r="W197" s="1234"/>
      <c r="X197" s="1234"/>
      <c r="Y197" s="1234"/>
      <c r="Z197" s="1234"/>
      <c r="AA197" s="1234"/>
      <c r="AB197" s="1234"/>
      <c r="AC197" s="1234"/>
      <c r="AD197" s="1234"/>
      <c r="AE197" s="1234"/>
      <c r="AF197" s="1234"/>
      <c r="AG197" s="1234"/>
      <c r="AH197" s="1207"/>
    </row>
    <row r="198" spans="1:34" x14ac:dyDescent="0.2">
      <c r="A198" s="1236"/>
      <c r="B198" s="1237" t="s">
        <v>37</v>
      </c>
      <c r="C198" s="1237"/>
      <c r="D198" s="1237"/>
      <c r="E198" s="1238" t="s">
        <v>837</v>
      </c>
      <c r="F198" s="1239" t="s">
        <v>96</v>
      </c>
      <c r="G198" s="1625"/>
      <c r="H198" s="1239"/>
      <c r="I198" s="1239"/>
      <c r="J198" s="1239"/>
      <c r="K198" s="1239"/>
      <c r="L198" s="1239"/>
      <c r="M198" s="1239"/>
      <c r="N198" s="1239"/>
      <c r="O198" s="1239"/>
      <c r="P198" s="1240"/>
      <c r="Q198" s="1239"/>
      <c r="R198" s="1239"/>
      <c r="S198" s="1239"/>
      <c r="T198" s="1239"/>
      <c r="U198" s="1239"/>
      <c r="V198" s="1239"/>
      <c r="W198" s="1239"/>
      <c r="X198" s="1239"/>
      <c r="Y198" s="1239"/>
      <c r="Z198" s="1239"/>
      <c r="AA198" s="1239"/>
      <c r="AB198" s="1239"/>
      <c r="AC198" s="1239"/>
      <c r="AD198" s="1239"/>
      <c r="AE198" s="1239"/>
      <c r="AF198" s="1239"/>
      <c r="AG198" s="1239"/>
      <c r="AH198" s="1207"/>
    </row>
    <row r="199" spans="1:34" x14ac:dyDescent="0.2">
      <c r="A199" s="1236"/>
      <c r="B199" s="1237"/>
      <c r="C199" s="1237"/>
      <c r="D199" s="1239"/>
      <c r="E199" s="1237"/>
      <c r="F199" s="1237"/>
      <c r="G199" s="1237"/>
      <c r="H199" s="1237"/>
      <c r="I199" s="1237"/>
      <c r="J199" s="1237"/>
      <c r="K199" s="1237"/>
      <c r="L199" s="1237"/>
      <c r="M199" s="1237"/>
      <c r="N199" s="1237"/>
      <c r="O199" s="1237"/>
      <c r="P199" s="1241"/>
      <c r="Q199" s="1237"/>
      <c r="R199" s="1237"/>
      <c r="S199" s="1237"/>
      <c r="T199" s="1237"/>
      <c r="U199" s="1237"/>
      <c r="V199" s="1237"/>
      <c r="W199" s="1237"/>
      <c r="X199" s="1237"/>
      <c r="Y199" s="1237"/>
      <c r="Z199" s="1237"/>
      <c r="AA199" s="1237"/>
      <c r="AB199" s="1237"/>
      <c r="AC199" s="1237"/>
      <c r="AD199" s="1237"/>
      <c r="AE199" s="1237"/>
      <c r="AF199" s="1237"/>
      <c r="AG199" s="1237"/>
      <c r="AH199" s="1207"/>
    </row>
    <row r="200" spans="1:34" x14ac:dyDescent="0.2">
      <c r="A200" s="1236"/>
      <c r="B200" s="1237"/>
      <c r="C200" s="1239"/>
      <c r="D200" s="1239">
        <v>42619</v>
      </c>
      <c r="E200" s="1237"/>
      <c r="F200" s="1237"/>
      <c r="G200" s="1237"/>
      <c r="H200" s="1237"/>
      <c r="I200" s="1237"/>
      <c r="J200" s="1237"/>
      <c r="K200" s="1237"/>
      <c r="L200" s="1237"/>
      <c r="M200" s="1237"/>
      <c r="N200" s="1237"/>
      <c r="O200" s="1237"/>
      <c r="P200" s="1241"/>
      <c r="Q200" s="1237"/>
      <c r="R200" s="1237"/>
      <c r="S200" s="1237"/>
      <c r="T200" s="1237"/>
      <c r="U200" s="1237"/>
      <c r="V200" s="1237"/>
      <c r="W200" s="1237"/>
      <c r="X200" s="1237"/>
      <c r="Y200" s="1237"/>
      <c r="Z200" s="1237"/>
      <c r="AA200" s="1237"/>
      <c r="AB200" s="1237"/>
      <c r="AC200" s="1237"/>
      <c r="AD200" s="1237"/>
      <c r="AE200" s="1237"/>
      <c r="AF200" s="1237"/>
      <c r="AG200" s="1237"/>
      <c r="AH200" s="1207"/>
    </row>
    <row r="201" spans="1:34" x14ac:dyDescent="0.2">
      <c r="A201" s="1236"/>
      <c r="B201" s="1237"/>
      <c r="C201" s="1239"/>
      <c r="D201" s="1239"/>
      <c r="E201" s="1237"/>
      <c r="F201" s="1237"/>
      <c r="G201" s="1237"/>
      <c r="H201" s="1237"/>
      <c r="I201" s="1237"/>
      <c r="J201" s="1237"/>
      <c r="K201" s="1237"/>
      <c r="L201" s="1237"/>
      <c r="M201" s="1237"/>
      <c r="N201" s="1237"/>
      <c r="O201" s="1237"/>
      <c r="P201" s="1241"/>
      <c r="Q201" s="1237"/>
      <c r="R201" s="1237"/>
      <c r="S201" s="1237"/>
      <c r="T201" s="1237"/>
      <c r="U201" s="1237"/>
      <c r="V201" s="1237"/>
      <c r="W201" s="1237"/>
      <c r="X201" s="1237"/>
      <c r="Y201" s="1237"/>
      <c r="Z201" s="1237"/>
      <c r="AA201" s="1237"/>
      <c r="AB201" s="1237"/>
      <c r="AC201" s="1237"/>
      <c r="AD201" s="1237"/>
      <c r="AE201" s="1237"/>
      <c r="AF201" s="1237"/>
      <c r="AG201" s="1237"/>
      <c r="AH201" s="1207"/>
    </row>
    <row r="202" spans="1:34" ht="13.5" thickBot="1" x14ac:dyDescent="0.25">
      <c r="A202" s="1236"/>
      <c r="B202" s="1237"/>
      <c r="C202" s="1237"/>
      <c r="D202" s="1237"/>
      <c r="E202" s="1237"/>
      <c r="F202" s="1237"/>
      <c r="G202" s="1237"/>
      <c r="H202" s="1237"/>
      <c r="I202" s="1237"/>
      <c r="J202" s="1237"/>
      <c r="K202" s="1237"/>
      <c r="L202" s="1237"/>
      <c r="M202" s="1237"/>
      <c r="N202" s="1237"/>
      <c r="O202" s="1237"/>
      <c r="P202" s="1241"/>
      <c r="Q202" s="1237"/>
      <c r="R202" s="1237"/>
      <c r="S202" s="1237"/>
      <c r="T202" s="1237"/>
      <c r="U202" s="1237"/>
      <c r="V202" s="1237"/>
      <c r="W202" s="1237"/>
      <c r="X202" s="1237"/>
      <c r="Y202" s="1237"/>
      <c r="Z202" s="1237"/>
      <c r="AA202" s="1237"/>
      <c r="AB202" s="1237"/>
      <c r="AC202" s="1237"/>
      <c r="AD202" s="1237"/>
      <c r="AE202" s="1237"/>
      <c r="AF202" s="1237"/>
      <c r="AG202" s="1237"/>
      <c r="AH202" s="1207"/>
    </row>
    <row r="203" spans="1:34" ht="13.5" thickBot="1" x14ac:dyDescent="0.25">
      <c r="A203" s="1236"/>
      <c r="B203" s="1237"/>
      <c r="C203" s="1243"/>
      <c r="D203" s="1244" t="s">
        <v>16</v>
      </c>
      <c r="E203" s="1244"/>
      <c r="F203" s="1244"/>
      <c r="G203" s="1244"/>
      <c r="H203" s="1244"/>
      <c r="I203" s="1244"/>
      <c r="J203" s="1244"/>
      <c r="K203" s="1244"/>
      <c r="L203" s="1244"/>
      <c r="M203" s="1244"/>
      <c r="N203" s="1244"/>
      <c r="O203" s="1244"/>
      <c r="P203" s="1245"/>
      <c r="Q203" s="1244"/>
      <c r="R203" s="1244"/>
      <c r="S203" s="1244"/>
      <c r="T203" s="1244"/>
      <c r="U203" s="1244"/>
      <c r="V203" s="1244"/>
      <c r="W203" s="1244"/>
      <c r="X203" s="1244"/>
      <c r="Y203" s="1244"/>
      <c r="Z203" s="1244"/>
      <c r="AA203" s="1244"/>
      <c r="AB203" s="1244"/>
      <c r="AC203" s="1244"/>
      <c r="AD203" s="1244"/>
      <c r="AE203" s="1244"/>
      <c r="AF203" s="1244"/>
      <c r="AG203" s="1244"/>
      <c r="AH203" s="1207"/>
    </row>
    <row r="204" spans="1:34" ht="13.5" thickBot="1" x14ac:dyDescent="0.25">
      <c r="A204" s="1236"/>
      <c r="B204" s="1237"/>
      <c r="C204" s="1246" t="s">
        <v>452</v>
      </c>
      <c r="D204" s="1246" t="s">
        <v>453</v>
      </c>
      <c r="E204" s="1246" t="s">
        <v>434</v>
      </c>
      <c r="F204" s="1246" t="s">
        <v>390</v>
      </c>
      <c r="G204" s="1246" t="s">
        <v>454</v>
      </c>
      <c r="H204" s="1246" t="s">
        <v>455</v>
      </c>
      <c r="I204" s="1246" t="s">
        <v>456</v>
      </c>
      <c r="J204" s="1246" t="s">
        <v>457</v>
      </c>
      <c r="K204" s="1246" t="s">
        <v>458</v>
      </c>
      <c r="L204" s="1246" t="s">
        <v>216</v>
      </c>
      <c r="M204" s="1246" t="s">
        <v>459</v>
      </c>
      <c r="N204" s="1246" t="s">
        <v>297</v>
      </c>
      <c r="O204" s="1246" t="s">
        <v>211</v>
      </c>
      <c r="P204" s="1247" t="s">
        <v>270</v>
      </c>
      <c r="Q204" s="1246">
        <v>15</v>
      </c>
      <c r="R204" s="1246">
        <v>16</v>
      </c>
      <c r="S204" s="1246" t="s">
        <v>461</v>
      </c>
      <c r="T204" s="1246" t="s">
        <v>442</v>
      </c>
      <c r="U204" s="1246" t="s">
        <v>462</v>
      </c>
      <c r="V204" s="1246" t="s">
        <v>470</v>
      </c>
      <c r="W204" s="1246" t="s">
        <v>471</v>
      </c>
      <c r="X204" s="1246" t="s">
        <v>472</v>
      </c>
      <c r="Y204" s="1246" t="s">
        <v>463</v>
      </c>
      <c r="Z204" s="1246" t="s">
        <v>465</v>
      </c>
      <c r="AA204" s="1246" t="s">
        <v>466</v>
      </c>
      <c r="AB204" s="1246" t="s">
        <v>435</v>
      </c>
      <c r="AC204" s="1246" t="s">
        <v>467</v>
      </c>
      <c r="AD204" s="1246" t="s">
        <v>464</v>
      </c>
      <c r="AE204" s="1246" t="s">
        <v>429</v>
      </c>
      <c r="AF204" s="1246" t="s">
        <v>149</v>
      </c>
      <c r="AG204" s="1246" t="s">
        <v>210</v>
      </c>
      <c r="AH204" s="1207"/>
    </row>
    <row r="205" spans="1:34" x14ac:dyDescent="0.2">
      <c r="A205" s="1233"/>
      <c r="B205" s="1248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37"/>
      <c r="O205" s="1237"/>
      <c r="P205" s="1241"/>
      <c r="Q205" s="1237"/>
      <c r="R205" s="1237"/>
      <c r="S205" s="1237"/>
      <c r="T205" s="1237"/>
      <c r="U205" s="1237"/>
      <c r="V205" s="1237"/>
      <c r="W205" s="1237"/>
      <c r="X205" s="1237"/>
      <c r="Y205" s="1237"/>
      <c r="Z205" s="1237"/>
      <c r="AA205" s="1237"/>
      <c r="AB205" s="1237"/>
      <c r="AC205" s="1237"/>
      <c r="AD205" s="1237"/>
      <c r="AE205" s="1237"/>
      <c r="AF205" s="1237"/>
      <c r="AG205" s="1237"/>
      <c r="AH205" s="1207"/>
    </row>
    <row r="206" spans="1:34" x14ac:dyDescent="0.2">
      <c r="A206" s="1236" t="s">
        <v>0</v>
      </c>
      <c r="B206" s="1249">
        <v>139501.23300000001</v>
      </c>
      <c r="C206" s="1237"/>
      <c r="D206" s="1237"/>
      <c r="E206" s="1237"/>
      <c r="F206" s="1237"/>
      <c r="G206" s="1237"/>
      <c r="H206" s="1237"/>
      <c r="I206" s="1237"/>
      <c r="J206" s="1237"/>
      <c r="K206" s="1237"/>
      <c r="L206" s="1237"/>
      <c r="M206" s="1237"/>
      <c r="N206" s="1237"/>
      <c r="O206" s="1237"/>
      <c r="P206" s="1241"/>
      <c r="Q206" s="1237"/>
      <c r="R206" s="1237"/>
      <c r="S206" s="1237"/>
      <c r="T206" s="1237"/>
      <c r="U206" s="1237"/>
      <c r="V206" s="1237"/>
      <c r="W206" s="1237"/>
      <c r="X206" s="1237"/>
      <c r="Y206" s="1237"/>
      <c r="Z206" s="1237"/>
      <c r="AA206" s="1237"/>
      <c r="AB206" s="1237"/>
      <c r="AC206" s="1237"/>
      <c r="AD206" s="1237"/>
      <c r="AE206" s="1237"/>
      <c r="AF206" s="1237"/>
      <c r="AG206" s="1237"/>
      <c r="AH206" s="1207"/>
    </row>
    <row r="207" spans="1:34" ht="13.5" thickBot="1" x14ac:dyDescent="0.25">
      <c r="A207" s="1250"/>
      <c r="B207" s="1251"/>
      <c r="C207" s="1237"/>
      <c r="D207" s="1237"/>
      <c r="E207" s="1237"/>
      <c r="F207" s="1237"/>
      <c r="G207" s="1237"/>
      <c r="H207" s="1237"/>
      <c r="I207" s="1237"/>
      <c r="J207" s="1237"/>
      <c r="K207" s="1237"/>
      <c r="L207" s="1237"/>
      <c r="M207" s="1237"/>
      <c r="N207" s="1237"/>
      <c r="O207" s="1237"/>
      <c r="P207" s="1241"/>
      <c r="Q207" s="1237"/>
      <c r="R207" s="1237"/>
      <c r="S207" s="1237"/>
      <c r="T207" s="1237"/>
      <c r="U207" s="1237"/>
      <c r="V207" s="1237"/>
      <c r="W207" s="1237"/>
      <c r="X207" s="1237"/>
      <c r="Y207" s="1237"/>
      <c r="Z207" s="1237"/>
      <c r="AA207" s="1237"/>
      <c r="AB207" s="1237"/>
      <c r="AC207" s="1237"/>
      <c r="AD207" s="1237"/>
      <c r="AE207" s="1237"/>
      <c r="AF207" s="1237"/>
      <c r="AG207" s="1237"/>
      <c r="AH207" s="1207"/>
    </row>
    <row r="208" spans="1:34" x14ac:dyDescent="0.2">
      <c r="A208" s="1233"/>
      <c r="B208" s="1253"/>
      <c r="C208" s="1237"/>
      <c r="D208" s="1237"/>
      <c r="E208" s="1237"/>
      <c r="F208" s="1237"/>
      <c r="G208" s="1237"/>
      <c r="H208" s="1237"/>
      <c r="I208" s="1237"/>
      <c r="J208" s="1237"/>
      <c r="K208" s="1237"/>
      <c r="L208" s="1237"/>
      <c r="M208" s="1237"/>
      <c r="N208" s="1237"/>
      <c r="O208" s="1237"/>
      <c r="P208" s="1241"/>
      <c r="Q208" s="1237"/>
      <c r="R208" s="1237"/>
      <c r="S208" s="1237"/>
      <c r="T208" s="1237"/>
      <c r="U208" s="1237"/>
      <c r="V208" s="1237"/>
      <c r="W208" s="1237"/>
      <c r="X208" s="1237"/>
      <c r="Y208" s="1237"/>
      <c r="Z208" s="1237"/>
      <c r="AA208" s="1237"/>
      <c r="AB208" s="1237"/>
      <c r="AC208" s="1237"/>
      <c r="AD208" s="1237"/>
      <c r="AE208" s="1237"/>
      <c r="AF208" s="1237"/>
      <c r="AG208" s="1237"/>
      <c r="AH208" s="1207"/>
    </row>
    <row r="209" spans="1:34" x14ac:dyDescent="0.2">
      <c r="A209" s="1236" t="s">
        <v>1</v>
      </c>
      <c r="B209" s="1249">
        <f>B210+B211+B212</f>
        <v>0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7"/>
      <c r="O209" s="1237"/>
      <c r="P209" s="1241"/>
      <c r="Q209" s="1237"/>
      <c r="R209" s="1237"/>
      <c r="S209" s="1237"/>
      <c r="T209" s="1237"/>
      <c r="U209" s="1237"/>
      <c r="V209" s="1237"/>
      <c r="W209" s="1237"/>
      <c r="X209" s="1237"/>
      <c r="Y209" s="1237"/>
      <c r="Z209" s="1237"/>
      <c r="AA209" s="1237"/>
      <c r="AB209" s="1237"/>
      <c r="AC209" s="1237"/>
      <c r="AD209" s="1237"/>
      <c r="AE209" s="1237"/>
      <c r="AF209" s="1237"/>
      <c r="AG209" s="1237"/>
      <c r="AH209" s="1207"/>
    </row>
    <row r="210" spans="1:34" x14ac:dyDescent="0.2">
      <c r="A210" s="1236" t="s">
        <v>38</v>
      </c>
      <c r="B210" s="1249">
        <f>C258</f>
        <v>0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7"/>
      <c r="O210" s="1237"/>
      <c r="P210" s="1241"/>
      <c r="Q210" s="1237"/>
      <c r="R210" s="1237"/>
      <c r="S210" s="1237"/>
      <c r="T210" s="1237"/>
      <c r="U210" s="1237"/>
      <c r="V210" s="1237"/>
      <c r="W210" s="1237"/>
      <c r="X210" s="1237"/>
      <c r="Y210" s="1237"/>
      <c r="Z210" s="1237"/>
      <c r="AA210" s="1237"/>
      <c r="AB210" s="1237"/>
      <c r="AC210" s="1237"/>
      <c r="AD210" s="1237"/>
      <c r="AE210" s="1237"/>
      <c r="AF210" s="1237"/>
      <c r="AG210" s="1237"/>
      <c r="AH210" s="1207"/>
    </row>
    <row r="211" spans="1:34" x14ac:dyDescent="0.2">
      <c r="A211" s="1236" t="s">
        <v>39</v>
      </c>
      <c r="B211" s="1249">
        <f>C280</f>
        <v>0</v>
      </c>
      <c r="C211" s="1237"/>
      <c r="D211" s="1237"/>
      <c r="E211" s="1237"/>
      <c r="F211" s="1237"/>
      <c r="G211" s="1237"/>
      <c r="H211" s="1237"/>
      <c r="I211" s="1237"/>
      <c r="J211" s="1237"/>
      <c r="K211" s="1237"/>
      <c r="L211" s="1237"/>
      <c r="M211" s="1237"/>
      <c r="N211" s="1237"/>
      <c r="O211" s="1237"/>
      <c r="P211" s="1241"/>
      <c r="Q211" s="1237"/>
      <c r="R211" s="1237"/>
      <c r="S211" s="1237"/>
      <c r="T211" s="1237"/>
      <c r="U211" s="1237"/>
      <c r="V211" s="1237"/>
      <c r="W211" s="1237"/>
      <c r="X211" s="1237"/>
      <c r="Y211" s="1237"/>
      <c r="Z211" s="1237"/>
      <c r="AA211" s="1237"/>
      <c r="AB211" s="1237"/>
      <c r="AC211" s="1237"/>
      <c r="AD211" s="1237"/>
      <c r="AE211" s="1237"/>
      <c r="AF211" s="1237"/>
      <c r="AG211" s="1237"/>
      <c r="AH211" s="1207"/>
    </row>
    <row r="212" spans="1:34" x14ac:dyDescent="0.2">
      <c r="A212" s="1236" t="s">
        <v>3</v>
      </c>
      <c r="B212" s="1249"/>
      <c r="C212" s="1237"/>
      <c r="D212" s="1237"/>
      <c r="E212" s="1237"/>
      <c r="F212" s="1237"/>
      <c r="G212" s="1237"/>
      <c r="H212" s="1237"/>
      <c r="I212" s="1237"/>
      <c r="J212" s="1237"/>
      <c r="K212" s="1237"/>
      <c r="L212" s="1237"/>
      <c r="M212" s="1237"/>
      <c r="N212" s="1237"/>
      <c r="O212" s="1237"/>
      <c r="P212" s="1241"/>
      <c r="Q212" s="1237"/>
      <c r="R212" s="1237"/>
      <c r="S212" s="1237"/>
      <c r="T212" s="1237"/>
      <c r="U212" s="1237"/>
      <c r="V212" s="1237"/>
      <c r="W212" s="1237"/>
      <c r="X212" s="1237"/>
      <c r="Y212" s="1237"/>
      <c r="Z212" s="1237"/>
      <c r="AA212" s="1237"/>
      <c r="AB212" s="1237"/>
      <c r="AC212" s="1237"/>
      <c r="AD212" s="1237"/>
      <c r="AE212" s="1237"/>
      <c r="AF212" s="1237"/>
      <c r="AG212" s="1237"/>
      <c r="AH212" s="1207"/>
    </row>
    <row r="213" spans="1:34" ht="13.5" thickBot="1" x14ac:dyDescent="0.25">
      <c r="A213" s="1250"/>
      <c r="B213" s="1251"/>
      <c r="C213" s="1237"/>
      <c r="D213" s="1237"/>
      <c r="E213" s="1237"/>
      <c r="F213" s="1237"/>
      <c r="G213" s="1237"/>
      <c r="H213" s="1237"/>
      <c r="I213" s="1237"/>
      <c r="J213" s="1237"/>
      <c r="K213" s="1237"/>
      <c r="L213" s="1237"/>
      <c r="M213" s="1237"/>
      <c r="N213" s="1237"/>
      <c r="O213" s="1237"/>
      <c r="P213" s="1241"/>
      <c r="Q213" s="1237"/>
      <c r="R213" s="1237"/>
      <c r="S213" s="1237"/>
      <c r="T213" s="1237"/>
      <c r="U213" s="1237"/>
      <c r="V213" s="1237"/>
      <c r="W213" s="1237"/>
      <c r="X213" s="1237"/>
      <c r="Y213" s="1237"/>
      <c r="Z213" s="1237"/>
      <c r="AA213" s="1237"/>
      <c r="AB213" s="1237"/>
      <c r="AC213" s="1237"/>
      <c r="AD213" s="1237"/>
      <c r="AE213" s="1237"/>
      <c r="AF213" s="1237"/>
      <c r="AG213" s="1237"/>
      <c r="AH213" s="1207"/>
    </row>
    <row r="214" spans="1:34" x14ac:dyDescent="0.2">
      <c r="A214" s="1233"/>
      <c r="B214" s="1253"/>
      <c r="C214" s="1237"/>
      <c r="D214" s="1237"/>
      <c r="E214" s="1237"/>
      <c r="F214" s="1237"/>
      <c r="G214" s="1237"/>
      <c r="H214" s="1237"/>
      <c r="I214" s="1237"/>
      <c r="J214" s="1237"/>
      <c r="K214" s="1237"/>
      <c r="L214" s="1237"/>
      <c r="M214" s="1237"/>
      <c r="N214" s="1237"/>
      <c r="O214" s="1237"/>
      <c r="P214" s="1241"/>
      <c r="Q214" s="1237"/>
      <c r="R214" s="1237"/>
      <c r="S214" s="1237"/>
      <c r="T214" s="1237"/>
      <c r="U214" s="1237"/>
      <c r="V214" s="1237"/>
      <c r="W214" s="1237"/>
      <c r="X214" s="1237"/>
      <c r="Y214" s="1237"/>
      <c r="Z214" s="1237"/>
      <c r="AA214" s="1237"/>
      <c r="AB214" s="1237"/>
      <c r="AC214" s="1237"/>
      <c r="AD214" s="1237"/>
      <c r="AE214" s="1237"/>
      <c r="AF214" s="1237"/>
      <c r="AG214" s="1237"/>
      <c r="AH214" s="1207"/>
    </row>
    <row r="215" spans="1:34" x14ac:dyDescent="0.2">
      <c r="A215" s="1236" t="s">
        <v>4</v>
      </c>
      <c r="B215" s="1249">
        <f>B206-B209</f>
        <v>139501.23300000001</v>
      </c>
      <c r="C215" s="1237"/>
      <c r="D215" s="1237"/>
      <c r="E215" s="1237"/>
      <c r="F215" s="1237"/>
      <c r="G215" s="1237"/>
      <c r="H215" s="1237"/>
      <c r="I215" s="1237"/>
      <c r="J215" s="1237"/>
      <c r="K215" s="1237"/>
      <c r="L215" s="1237"/>
      <c r="M215" s="1237"/>
      <c r="N215" s="1237"/>
      <c r="O215" s="1237"/>
      <c r="P215" s="1241"/>
      <c r="Q215" s="1237"/>
      <c r="R215" s="1237"/>
      <c r="S215" s="1237"/>
      <c r="T215" s="1237"/>
      <c r="U215" s="1237"/>
      <c r="V215" s="1237"/>
      <c r="W215" s="1237"/>
      <c r="X215" s="1237"/>
      <c r="Y215" s="1237"/>
      <c r="Z215" s="1237"/>
      <c r="AA215" s="1237"/>
      <c r="AB215" s="1237"/>
      <c r="AC215" s="1237"/>
      <c r="AD215" s="1237"/>
      <c r="AE215" s="1237"/>
      <c r="AF215" s="1237"/>
      <c r="AG215" s="1237"/>
      <c r="AH215" s="1207"/>
    </row>
    <row r="216" spans="1:34" ht="13.5" thickBot="1" x14ac:dyDescent="0.25">
      <c r="A216" s="1250"/>
      <c r="B216" s="1251"/>
      <c r="C216" s="1237"/>
      <c r="D216" s="1237"/>
      <c r="E216" s="1237"/>
      <c r="F216" s="1237"/>
      <c r="G216" s="1237"/>
      <c r="H216" s="1237"/>
      <c r="I216" s="1237"/>
      <c r="J216" s="1237"/>
      <c r="K216" s="1237"/>
      <c r="L216" s="1237"/>
      <c r="M216" s="1237"/>
      <c r="N216" s="1237"/>
      <c r="O216" s="1237"/>
      <c r="P216" s="1241"/>
      <c r="Q216" s="1237"/>
      <c r="R216" s="1237"/>
      <c r="S216" s="1237"/>
      <c r="T216" s="1237"/>
      <c r="U216" s="1237"/>
      <c r="V216" s="1237"/>
      <c r="W216" s="1237"/>
      <c r="X216" s="1237"/>
      <c r="Y216" s="1237"/>
      <c r="Z216" s="1237"/>
      <c r="AA216" s="1237"/>
      <c r="AB216" s="1237"/>
      <c r="AC216" s="1237"/>
      <c r="AD216" s="1237"/>
      <c r="AE216" s="1237"/>
      <c r="AF216" s="1237"/>
      <c r="AG216" s="1237"/>
      <c r="AH216" s="1207"/>
    </row>
    <row r="217" spans="1:34" x14ac:dyDescent="0.2">
      <c r="A217" s="1233"/>
      <c r="B217" s="1253"/>
      <c r="C217" s="1237"/>
      <c r="D217" s="1237"/>
      <c r="E217" s="1237"/>
      <c r="F217" s="1237"/>
      <c r="G217" s="1237"/>
      <c r="H217" s="1237"/>
      <c r="I217" s="1237"/>
      <c r="J217" s="1237"/>
      <c r="K217" s="1237"/>
      <c r="L217" s="1237"/>
      <c r="M217" s="1237"/>
      <c r="N217" s="1237"/>
      <c r="O217" s="1237"/>
      <c r="P217" s="1241"/>
      <c r="Q217" s="1237"/>
      <c r="R217" s="1237"/>
      <c r="S217" s="1237"/>
      <c r="T217" s="1237"/>
      <c r="U217" s="1237"/>
      <c r="V217" s="1237"/>
      <c r="W217" s="1237"/>
      <c r="X217" s="1237"/>
      <c r="Y217" s="1237"/>
      <c r="Z217" s="1237"/>
      <c r="AA217" s="1237"/>
      <c r="AB217" s="1237"/>
      <c r="AC217" s="1237"/>
      <c r="AD217" s="1237"/>
      <c r="AE217" s="1237"/>
      <c r="AF217" s="1237"/>
      <c r="AG217" s="1237"/>
      <c r="AH217" s="1207"/>
    </row>
    <row r="218" spans="1:34" x14ac:dyDescent="0.2">
      <c r="A218" s="1236" t="s">
        <v>17</v>
      </c>
      <c r="B218" s="1249"/>
      <c r="C218" s="1237"/>
      <c r="D218" s="1237"/>
      <c r="E218" s="1237"/>
      <c r="F218" s="1237"/>
      <c r="G218" s="1237"/>
      <c r="H218" s="1237"/>
      <c r="I218" s="1237"/>
      <c r="J218" s="1237"/>
      <c r="K218" s="1237"/>
      <c r="L218" s="1237"/>
      <c r="M218" s="1237"/>
      <c r="N218" s="1237"/>
      <c r="O218" s="1237"/>
      <c r="P218" s="1241"/>
      <c r="Q218" s="1237"/>
      <c r="R218" s="1237"/>
      <c r="S218" s="1237"/>
      <c r="T218" s="1237"/>
      <c r="U218" s="1237"/>
      <c r="V218" s="1237"/>
      <c r="W218" s="1237"/>
      <c r="X218" s="1237"/>
      <c r="Y218" s="1237"/>
      <c r="Z218" s="1237"/>
      <c r="AA218" s="1237"/>
      <c r="AB218" s="1237"/>
      <c r="AC218" s="1237"/>
      <c r="AD218" s="1237"/>
      <c r="AE218" s="1237"/>
      <c r="AF218" s="1237"/>
      <c r="AG218" s="1237"/>
      <c r="AH218" s="1207"/>
    </row>
    <row r="219" spans="1:34" ht="13.5" thickBot="1" x14ac:dyDescent="0.25">
      <c r="A219" s="1250"/>
      <c r="B219" s="1251"/>
      <c r="C219" s="1237"/>
      <c r="D219" s="1237"/>
      <c r="E219" s="1237"/>
      <c r="F219" s="1237"/>
      <c r="G219" s="1237"/>
      <c r="H219" s="1237"/>
      <c r="I219" s="1237"/>
      <c r="J219" s="1237"/>
      <c r="K219" s="1237"/>
      <c r="L219" s="1237"/>
      <c r="M219" s="1237"/>
      <c r="N219" s="1237"/>
      <c r="O219" s="1237"/>
      <c r="P219" s="1241"/>
      <c r="Q219" s="1237"/>
      <c r="R219" s="1237"/>
      <c r="S219" s="1237"/>
      <c r="T219" s="1237"/>
      <c r="U219" s="1237"/>
      <c r="V219" s="1237"/>
      <c r="W219" s="1237"/>
      <c r="X219" s="1258"/>
      <c r="Y219" s="1237"/>
      <c r="Z219" s="1237"/>
      <c r="AA219" s="1237"/>
      <c r="AB219" s="1237"/>
      <c r="AC219" s="1237"/>
      <c r="AD219" s="1237"/>
      <c r="AE219" s="1237"/>
      <c r="AF219" s="1237"/>
      <c r="AG219" s="1237"/>
      <c r="AH219" s="1207"/>
    </row>
    <row r="220" spans="1:34" x14ac:dyDescent="0.2">
      <c r="A220" s="1233"/>
      <c r="B220" s="1253"/>
      <c r="C220" s="1212"/>
      <c r="D220" s="1625"/>
      <c r="E220" s="1625"/>
      <c r="F220" s="1237"/>
      <c r="G220" s="1624"/>
      <c r="H220" s="1625"/>
      <c r="I220" s="1625"/>
      <c r="J220" s="1625"/>
      <c r="K220" s="1625"/>
      <c r="L220" s="1753"/>
      <c r="M220" s="1753"/>
      <c r="N220" s="1237"/>
      <c r="O220" s="1237"/>
      <c r="P220" s="1212"/>
      <c r="Q220" s="1212"/>
      <c r="R220" s="1237"/>
      <c r="S220" s="1237"/>
      <c r="T220" s="1237"/>
      <c r="U220" s="1237"/>
      <c r="V220" s="1237"/>
      <c r="W220" s="1237"/>
      <c r="X220" s="1237"/>
      <c r="Y220" s="1237"/>
      <c r="Z220" s="1237"/>
      <c r="AA220" s="1237"/>
      <c r="AB220" s="1237"/>
      <c r="AC220" s="1256"/>
      <c r="AD220" s="1369"/>
      <c r="AE220" s="1625"/>
      <c r="AF220" s="1625"/>
      <c r="AH220" s="1207"/>
    </row>
    <row r="221" spans="1:34" x14ac:dyDescent="0.2">
      <c r="A221" s="1236" t="s">
        <v>5</v>
      </c>
      <c r="B221" s="1249">
        <f>B215-B218</f>
        <v>139501.23300000001</v>
      </c>
      <c r="C221" s="1212"/>
      <c r="D221" s="1625"/>
      <c r="E221" s="1392"/>
      <c r="F221" s="1625"/>
      <c r="G221" s="1624"/>
      <c r="H221" s="1625"/>
      <c r="I221" s="1675" t="s">
        <v>1378</v>
      </c>
      <c r="J221" s="1652"/>
      <c r="L221" s="1625"/>
      <c r="M221" s="1625"/>
      <c r="N221" s="1625"/>
      <c r="O221" s="1212"/>
      <c r="P221" s="1212"/>
      <c r="Q221" s="1212"/>
      <c r="R221" s="1565"/>
      <c r="S221" s="1625"/>
      <c r="T221" s="1651" t="s">
        <v>319</v>
      </c>
      <c r="U221" s="1720" t="s">
        <v>1491</v>
      </c>
      <c r="V221" s="1625"/>
      <c r="W221" s="1237"/>
      <c r="X221" s="1258" t="s">
        <v>1497</v>
      </c>
      <c r="Y221" s="1564" t="s">
        <v>1498</v>
      </c>
      <c r="Z221" s="1237"/>
      <c r="AA221" s="1625"/>
      <c r="AB221" s="1625"/>
      <c r="AC221" s="1625"/>
      <c r="AD221" s="1369"/>
      <c r="AE221" s="1256" t="s">
        <v>1216</v>
      </c>
      <c r="AF221" s="1625"/>
      <c r="AG221" s="1370"/>
      <c r="AH221" s="1207"/>
    </row>
    <row r="222" spans="1:34" ht="13.5" thickBot="1" x14ac:dyDescent="0.25">
      <c r="A222" s="1250"/>
      <c r="B222" s="1251"/>
      <c r="D222" s="1237"/>
      <c r="E222" s="1237"/>
      <c r="F222" s="1237"/>
      <c r="G222" s="1237"/>
      <c r="H222" s="1625"/>
      <c r="I222" s="1237"/>
      <c r="J222" s="1625"/>
      <c r="K222" s="1237"/>
      <c r="L222" s="1237"/>
      <c r="M222" s="1237"/>
      <c r="N222" s="1237"/>
      <c r="O222" s="1237"/>
      <c r="P222" s="1241"/>
      <c r="Q222" s="1237"/>
      <c r="R222" s="1237"/>
      <c r="S222" s="1237"/>
      <c r="T222" s="1237"/>
      <c r="U222" s="1625"/>
      <c r="V222" s="1237"/>
      <c r="W222" s="1237"/>
      <c r="X222" s="1237"/>
      <c r="Y222" s="1237"/>
      <c r="Z222" s="1237"/>
      <c r="AA222" s="1237"/>
      <c r="AB222" s="1237"/>
      <c r="AC222" s="1237"/>
      <c r="AD222" s="1237"/>
      <c r="AE222" s="1237"/>
      <c r="AF222" s="1237"/>
      <c r="AG222" s="1237"/>
      <c r="AH222" s="1207"/>
    </row>
    <row r="223" spans="1:34" x14ac:dyDescent="0.2">
      <c r="A223" s="1269"/>
      <c r="B223" s="1237"/>
      <c r="C223" s="1270"/>
      <c r="D223" s="1272"/>
      <c r="E223" s="1271"/>
      <c r="F223" s="1271"/>
      <c r="G223" s="1271"/>
      <c r="H223" s="1271"/>
      <c r="I223" s="1271"/>
      <c r="J223" s="1271"/>
      <c r="K223" s="1271"/>
      <c r="L223" s="1271"/>
      <c r="M223" s="1271"/>
      <c r="N223" s="1271"/>
      <c r="O223" s="1271"/>
      <c r="P223" s="1273"/>
      <c r="Q223" s="1271"/>
      <c r="R223" s="1271"/>
      <c r="S223" s="1271"/>
      <c r="T223" s="1271"/>
      <c r="U223" s="1271"/>
      <c r="V223" s="1271"/>
      <c r="W223" s="1271"/>
      <c r="X223" s="1271"/>
      <c r="Y223" s="1271"/>
      <c r="Z223" s="1271"/>
      <c r="AA223" s="1271"/>
      <c r="AB223" s="1271"/>
      <c r="AC223" s="1271"/>
      <c r="AD223" s="1271"/>
      <c r="AE223" s="1271"/>
      <c r="AF223" s="1271"/>
      <c r="AG223" s="1271"/>
      <c r="AH223" s="1207"/>
    </row>
    <row r="224" spans="1:34" ht="13.5" thickBot="1" x14ac:dyDescent="0.25">
      <c r="A224" s="1274" t="s">
        <v>7</v>
      </c>
      <c r="B224" s="1237"/>
      <c r="C224" s="1275">
        <f t="shared" ref="C224:AG224" si="24">C225+C226+C227+C229+C228</f>
        <v>0</v>
      </c>
      <c r="D224" s="1275">
        <f t="shared" si="24"/>
        <v>0</v>
      </c>
      <c r="E224" s="1275">
        <f t="shared" si="24"/>
        <v>0</v>
      </c>
      <c r="F224" s="1275">
        <f t="shared" si="24"/>
        <v>0</v>
      </c>
      <c r="G224" s="1275">
        <f t="shared" si="24"/>
        <v>0</v>
      </c>
      <c r="H224" s="1275">
        <f t="shared" si="24"/>
        <v>0</v>
      </c>
      <c r="I224" s="1275">
        <f t="shared" si="24"/>
        <v>0</v>
      </c>
      <c r="J224" s="1275">
        <f t="shared" si="24"/>
        <v>0</v>
      </c>
      <c r="K224" s="1275">
        <f t="shared" si="24"/>
        <v>0</v>
      </c>
      <c r="L224" s="1275">
        <f t="shared" si="24"/>
        <v>0</v>
      </c>
      <c r="M224" s="1275">
        <f t="shared" si="24"/>
        <v>0</v>
      </c>
      <c r="N224" s="1275">
        <f t="shared" si="24"/>
        <v>0</v>
      </c>
      <c r="O224" s="1275">
        <f t="shared" si="24"/>
        <v>0</v>
      </c>
      <c r="P224" s="1276">
        <f t="shared" si="24"/>
        <v>0</v>
      </c>
      <c r="Q224" s="1275">
        <f t="shared" si="24"/>
        <v>0</v>
      </c>
      <c r="R224" s="1275">
        <f t="shared" si="24"/>
        <v>0</v>
      </c>
      <c r="S224" s="1275">
        <f t="shared" si="24"/>
        <v>0</v>
      </c>
      <c r="T224" s="1275">
        <f t="shared" si="24"/>
        <v>0</v>
      </c>
      <c r="U224" s="1275">
        <f t="shared" si="24"/>
        <v>0</v>
      </c>
      <c r="V224" s="1275">
        <f t="shared" si="24"/>
        <v>0</v>
      </c>
      <c r="W224" s="1275">
        <f>W225+W226+W227+W229+W228</f>
        <v>0</v>
      </c>
      <c r="X224" s="1275">
        <f t="shared" si="24"/>
        <v>0</v>
      </c>
      <c r="Y224" s="1275">
        <f t="shared" si="24"/>
        <v>0</v>
      </c>
      <c r="Z224" s="1275">
        <f t="shared" si="24"/>
        <v>0</v>
      </c>
      <c r="AA224" s="1275">
        <f t="shared" si="24"/>
        <v>0</v>
      </c>
      <c r="AB224" s="1275">
        <f t="shared" si="24"/>
        <v>0</v>
      </c>
      <c r="AC224" s="1275">
        <f t="shared" si="24"/>
        <v>0</v>
      </c>
      <c r="AD224" s="1275">
        <f t="shared" si="24"/>
        <v>0</v>
      </c>
      <c r="AE224" s="1275">
        <f t="shared" si="24"/>
        <v>0</v>
      </c>
      <c r="AF224" s="1275">
        <f t="shared" si="24"/>
        <v>0</v>
      </c>
      <c r="AG224" s="1275">
        <f t="shared" si="24"/>
        <v>0</v>
      </c>
      <c r="AH224" s="1227">
        <f>SUM(C224:AG224)</f>
        <v>0</v>
      </c>
    </row>
    <row r="225" spans="1:34" x14ac:dyDescent="0.2">
      <c r="A225" s="1274" t="s">
        <v>8</v>
      </c>
      <c r="B225" s="1389"/>
      <c r="C225" s="1302"/>
      <c r="D225" s="1302"/>
      <c r="E225" s="1303"/>
      <c r="F225" s="1303"/>
      <c r="G225" s="1303"/>
      <c r="H225" s="1303"/>
      <c r="I225" s="1303"/>
      <c r="J225" s="1303"/>
      <c r="K225" s="1303"/>
      <c r="L225" s="1303"/>
      <c r="M225" s="1303"/>
      <c r="N225" s="1303"/>
      <c r="O225" s="1303"/>
      <c r="P225" s="1304"/>
      <c r="Q225" s="1303"/>
      <c r="R225" s="1303"/>
      <c r="S225" s="1303"/>
      <c r="T225" s="1303"/>
      <c r="U225" s="1303"/>
      <c r="V225" s="1303"/>
      <c r="W225" s="1303"/>
      <c r="X225" s="1303"/>
      <c r="Y225" s="1303"/>
      <c r="Z225" s="1303"/>
      <c r="AA225" s="1303"/>
      <c r="AB225" s="1303"/>
      <c r="AC225" s="1303"/>
      <c r="AD225" s="1303"/>
      <c r="AE225" s="1303"/>
      <c r="AF225" s="1303"/>
      <c r="AG225" s="1303"/>
      <c r="AH225" s="1227">
        <f>SUM(C225:AG225)</f>
        <v>0</v>
      </c>
    </row>
    <row r="226" spans="1:34" x14ac:dyDescent="0.2">
      <c r="A226" s="1274" t="s">
        <v>9</v>
      </c>
      <c r="B226" s="1389"/>
      <c r="C226" s="1302"/>
      <c r="D226" s="1302"/>
      <c r="E226" s="1303"/>
      <c r="F226" s="1303"/>
      <c r="G226" s="1303"/>
      <c r="H226" s="1303"/>
      <c r="I226" s="1303"/>
      <c r="J226" s="1303"/>
      <c r="K226" s="1303"/>
      <c r="L226" s="1303"/>
      <c r="M226" s="1319"/>
      <c r="N226" s="1303"/>
      <c r="O226" s="1303"/>
      <c r="P226" s="1304"/>
      <c r="Q226" s="1303"/>
      <c r="R226" s="1303"/>
      <c r="S226" s="1303"/>
      <c r="T226" s="1303"/>
      <c r="U226" s="1303"/>
      <c r="V226" s="1454"/>
      <c r="W226" s="1443"/>
      <c r="X226" s="1303"/>
      <c r="Y226" s="1303"/>
      <c r="Z226" s="1303"/>
      <c r="AA226" s="1303"/>
      <c r="AB226" s="1303"/>
      <c r="AC226" s="1303"/>
      <c r="AD226" s="1303"/>
      <c r="AE226" s="1303"/>
      <c r="AF226" s="1303"/>
      <c r="AG226" s="1303"/>
      <c r="AH226" s="1227">
        <f>SUM(C226:AG226)</f>
        <v>0</v>
      </c>
    </row>
    <row r="227" spans="1:34" s="1289" customFormat="1" x14ac:dyDescent="0.2">
      <c r="A227" s="1285" t="s">
        <v>10</v>
      </c>
      <c r="B227" s="1372"/>
      <c r="C227" s="1374"/>
      <c r="D227" s="1374"/>
      <c r="E227" s="1375"/>
      <c r="F227" s="1375"/>
      <c r="G227" s="1375"/>
      <c r="H227" s="1375"/>
      <c r="I227" s="1390"/>
      <c r="J227" s="1375"/>
      <c r="K227" s="1375"/>
      <c r="L227" s="1391"/>
      <c r="M227" s="1375"/>
      <c r="N227" s="1375"/>
      <c r="O227" s="1375"/>
      <c r="P227" s="1375"/>
      <c r="Q227" s="1375"/>
      <c r="R227" s="1375"/>
      <c r="S227" s="1375"/>
      <c r="T227" s="1375">
        <v>35000</v>
      </c>
      <c r="U227" s="1375"/>
      <c r="V227" s="1375"/>
      <c r="W227" s="1375"/>
      <c r="X227" s="1375"/>
      <c r="Y227" s="1375"/>
      <c r="Z227" s="1375"/>
      <c r="AA227" s="1375"/>
      <c r="AB227" s="1375"/>
      <c r="AC227" s="1375"/>
      <c r="AD227" s="1378"/>
      <c r="AE227" s="1375"/>
      <c r="AF227" s="1375"/>
      <c r="AG227" s="1375"/>
      <c r="AH227" s="1231">
        <f>SUM(C227:AG227)</f>
        <v>35000</v>
      </c>
    </row>
    <row r="228" spans="1:34" s="1289" customFormat="1" x14ac:dyDescent="0.2">
      <c r="A228" s="1285" t="s">
        <v>356</v>
      </c>
      <c r="B228" s="1372"/>
      <c r="C228" s="1375"/>
      <c r="D228" s="1375"/>
      <c r="E228" s="1391"/>
      <c r="F228" s="1375"/>
      <c r="G228" s="1375"/>
      <c r="H228" s="1375"/>
      <c r="I228" s="1375"/>
      <c r="J228" s="1375"/>
      <c r="K228" s="1375"/>
      <c r="L228" s="1375"/>
      <c r="M228" s="1375"/>
      <c r="N228" s="1375"/>
      <c r="O228" s="1375"/>
      <c r="P228" s="1391"/>
      <c r="Q228" s="1375"/>
      <c r="R228" s="1375"/>
      <c r="S228" s="1375"/>
      <c r="T228" s="1375"/>
      <c r="U228" s="1375"/>
      <c r="V228" s="1375"/>
      <c r="W228" s="1375"/>
      <c r="X228" s="1375"/>
      <c r="Y228" s="1375"/>
      <c r="Z228" s="1375"/>
      <c r="AA228" s="1375"/>
      <c r="AB228" s="1375"/>
      <c r="AC228" s="1375"/>
      <c r="AD228" s="1375"/>
      <c r="AE228" s="1375"/>
      <c r="AF228" s="1375"/>
      <c r="AG228" s="1292"/>
      <c r="AH228" s="1456">
        <f>SUM(C228:AG228)</f>
        <v>0</v>
      </c>
    </row>
    <row r="229" spans="1:34" x14ac:dyDescent="0.2">
      <c r="A229" s="1274" t="s">
        <v>11</v>
      </c>
      <c r="B229" s="1237"/>
      <c r="C229" s="1302"/>
      <c r="D229" s="1306"/>
      <c r="E229" s="1306"/>
      <c r="F229" s="1304"/>
      <c r="G229" s="1304"/>
      <c r="H229" s="1304"/>
      <c r="I229" s="1304"/>
      <c r="J229" s="1304"/>
      <c r="K229" s="1304"/>
      <c r="L229" s="1304"/>
      <c r="M229" s="1574"/>
      <c r="N229" s="1304"/>
      <c r="O229" s="1304"/>
      <c r="P229" s="1304"/>
      <c r="Q229" s="1304"/>
      <c r="R229" s="1304"/>
      <c r="S229" s="1304"/>
      <c r="T229" s="1304">
        <v>-35000</v>
      </c>
      <c r="U229" s="1304"/>
      <c r="V229" s="1304"/>
      <c r="W229" s="1304"/>
      <c r="X229" s="1304"/>
      <c r="Y229" s="1304"/>
      <c r="Z229" s="1304"/>
      <c r="AA229" s="1304"/>
      <c r="AB229" s="1304"/>
      <c r="AC229" s="1304"/>
      <c r="AD229" s="1304"/>
      <c r="AE229" s="1304"/>
      <c r="AF229" s="1473"/>
      <c r="AG229" s="1454"/>
      <c r="AH229" s="1207"/>
    </row>
    <row r="230" spans="1:34" ht="13.5" thickBot="1" x14ac:dyDescent="0.25">
      <c r="A230" s="1294"/>
      <c r="B230" s="1237"/>
      <c r="C230" s="1302"/>
      <c r="D230" s="1302"/>
      <c r="E230" s="1302"/>
      <c r="F230" s="1303"/>
      <c r="G230" s="1303"/>
      <c r="H230" s="1303"/>
      <c r="I230" s="1303"/>
      <c r="J230" s="1303"/>
      <c r="K230" s="1303"/>
      <c r="L230" s="1303"/>
      <c r="M230" s="1303"/>
      <c r="N230" s="1303"/>
      <c r="O230" s="1303"/>
      <c r="P230" s="1304"/>
      <c r="Q230" s="1303"/>
      <c r="R230" s="1303"/>
      <c r="S230" s="1303"/>
      <c r="T230" s="1303"/>
      <c r="U230" s="1303"/>
      <c r="V230" s="1303"/>
      <c r="W230" s="1303"/>
      <c r="X230" s="1303"/>
      <c r="Y230" s="1303"/>
      <c r="Z230" s="1303"/>
      <c r="AA230" s="1303"/>
      <c r="AB230" s="1303"/>
      <c r="AC230" s="1303"/>
      <c r="AD230" s="1303"/>
      <c r="AE230" s="1303"/>
      <c r="AF230" s="1303"/>
      <c r="AG230" s="1303"/>
      <c r="AH230" s="1207"/>
    </row>
    <row r="231" spans="1:34" x14ac:dyDescent="0.2">
      <c r="A231" s="1269"/>
      <c r="B231" s="1237"/>
      <c r="C231" s="1296"/>
      <c r="D231" s="1297"/>
      <c r="E231" s="1297"/>
      <c r="F231" s="1298"/>
      <c r="G231" s="1298"/>
      <c r="H231" s="1298"/>
      <c r="I231" s="1298"/>
      <c r="J231" s="1298"/>
      <c r="K231" s="1298"/>
      <c r="L231" s="1298"/>
      <c r="M231" s="1298"/>
      <c r="N231" s="1298"/>
      <c r="O231" s="1298"/>
      <c r="P231" s="1299"/>
      <c r="Q231" s="1298"/>
      <c r="R231" s="1298"/>
      <c r="S231" s="1298"/>
      <c r="T231" s="1298"/>
      <c r="U231" s="1298"/>
      <c r="V231" s="1298"/>
      <c r="W231" s="1298"/>
      <c r="X231" s="1298"/>
      <c r="Y231" s="1298"/>
      <c r="Z231" s="1298"/>
      <c r="AA231" s="1298"/>
      <c r="AB231" s="1298"/>
      <c r="AC231" s="1298"/>
      <c r="AD231" s="1298"/>
      <c r="AE231" s="1298"/>
      <c r="AF231" s="1298"/>
      <c r="AG231" s="1298"/>
      <c r="AH231" s="1207"/>
    </row>
    <row r="232" spans="1:34" ht="13.5" thickBot="1" x14ac:dyDescent="0.25">
      <c r="A232" s="1274" t="s">
        <v>12</v>
      </c>
      <c r="B232" s="1237"/>
      <c r="C232" s="1275">
        <f t="shared" ref="C232:AG232" si="25">C233</f>
        <v>0</v>
      </c>
      <c r="D232" s="1275">
        <f t="shared" si="25"/>
        <v>0</v>
      </c>
      <c r="E232" s="1275">
        <f t="shared" si="25"/>
        <v>0</v>
      </c>
      <c r="F232" s="1275">
        <f t="shared" si="25"/>
        <v>0</v>
      </c>
      <c r="G232" s="1275">
        <f t="shared" si="25"/>
        <v>0</v>
      </c>
      <c r="H232" s="1275">
        <f t="shared" si="25"/>
        <v>0</v>
      </c>
      <c r="I232" s="1275">
        <f t="shared" si="25"/>
        <v>0</v>
      </c>
      <c r="J232" s="1275">
        <f t="shared" si="25"/>
        <v>0</v>
      </c>
      <c r="K232" s="1275">
        <f t="shared" si="25"/>
        <v>0</v>
      </c>
      <c r="L232" s="1275">
        <f t="shared" si="25"/>
        <v>0</v>
      </c>
      <c r="M232" s="1275">
        <f t="shared" si="25"/>
        <v>0</v>
      </c>
      <c r="N232" s="1275">
        <f t="shared" si="25"/>
        <v>0</v>
      </c>
      <c r="O232" s="1275">
        <f t="shared" si="25"/>
        <v>0</v>
      </c>
      <c r="P232" s="1276">
        <f t="shared" si="25"/>
        <v>0</v>
      </c>
      <c r="Q232" s="1275">
        <f t="shared" si="25"/>
        <v>0</v>
      </c>
      <c r="R232" s="1275">
        <f t="shared" si="25"/>
        <v>0</v>
      </c>
      <c r="S232" s="1275">
        <f t="shared" si="25"/>
        <v>0</v>
      </c>
      <c r="T232" s="1275">
        <f t="shared" si="25"/>
        <v>0</v>
      </c>
      <c r="U232" s="1275">
        <f t="shared" si="25"/>
        <v>0</v>
      </c>
      <c r="V232" s="1275">
        <f t="shared" si="25"/>
        <v>0</v>
      </c>
      <c r="W232" s="1275">
        <f t="shared" si="25"/>
        <v>0</v>
      </c>
      <c r="X232" s="1275">
        <f t="shared" si="25"/>
        <v>0</v>
      </c>
      <c r="Y232" s="1275">
        <f t="shared" si="25"/>
        <v>0</v>
      </c>
      <c r="Z232" s="1275">
        <f t="shared" si="25"/>
        <v>0</v>
      </c>
      <c r="AA232" s="1275">
        <f t="shared" si="25"/>
        <v>0</v>
      </c>
      <c r="AB232" s="1275">
        <f t="shared" si="25"/>
        <v>0</v>
      </c>
      <c r="AC232" s="1275">
        <f t="shared" si="25"/>
        <v>0</v>
      </c>
      <c r="AD232" s="1275">
        <f t="shared" si="25"/>
        <v>0</v>
      </c>
      <c r="AE232" s="1275">
        <f t="shared" si="25"/>
        <v>0</v>
      </c>
      <c r="AF232" s="1275">
        <f t="shared" si="25"/>
        <v>0</v>
      </c>
      <c r="AG232" s="1275">
        <f t="shared" si="25"/>
        <v>0</v>
      </c>
      <c r="AH232" s="1207"/>
    </row>
    <row r="233" spans="1:34" x14ac:dyDescent="0.2">
      <c r="A233" s="1274" t="s">
        <v>8</v>
      </c>
      <c r="B233" s="1237"/>
      <c r="C233" s="1302"/>
      <c r="D233" s="1302"/>
      <c r="E233" s="1302"/>
      <c r="F233" s="1303"/>
      <c r="G233" s="1303"/>
      <c r="H233" s="1303"/>
      <c r="I233" s="1303"/>
      <c r="J233" s="1303"/>
      <c r="K233" s="1303"/>
      <c r="L233" s="1303"/>
      <c r="M233" s="1303"/>
      <c r="N233" s="1303"/>
      <c r="O233" s="1303"/>
      <c r="P233" s="1304"/>
      <c r="Q233" s="1303"/>
      <c r="R233" s="1303"/>
      <c r="S233" s="1303"/>
      <c r="T233" s="1303"/>
      <c r="U233" s="1303"/>
      <c r="V233" s="1303"/>
      <c r="W233" s="1303"/>
      <c r="X233" s="1303"/>
      <c r="Y233" s="1303"/>
      <c r="Z233" s="1303"/>
      <c r="AA233" s="1303"/>
      <c r="AB233" s="1303"/>
      <c r="AC233" s="1303"/>
      <c r="AD233" s="1303"/>
      <c r="AE233" s="1303"/>
      <c r="AF233" s="1303"/>
      <c r="AG233" s="1303"/>
      <c r="AH233" s="1207"/>
    </row>
    <row r="234" spans="1:34" x14ac:dyDescent="0.2">
      <c r="A234" s="1274" t="s">
        <v>775</v>
      </c>
      <c r="B234" s="1237"/>
      <c r="C234" s="1293">
        <v>3750.732</v>
      </c>
      <c r="D234" s="1293"/>
      <c r="E234" s="1293"/>
      <c r="F234" s="1293"/>
      <c r="G234" s="1293">
        <v>4127.2280000000001</v>
      </c>
      <c r="H234" s="1293"/>
      <c r="I234" s="1293"/>
      <c r="J234" s="1293">
        <v>3750.732</v>
      </c>
      <c r="K234" s="1293">
        <v>2879.9549999999999</v>
      </c>
      <c r="L234" s="1293">
        <v>6255.918999999999</v>
      </c>
      <c r="M234" s="1293"/>
      <c r="N234" s="1293"/>
      <c r="O234" s="1293"/>
      <c r="P234" s="1293"/>
      <c r="Q234" s="1293">
        <v>5409.2209999999995</v>
      </c>
      <c r="R234" s="1293"/>
      <c r="S234" s="1293"/>
      <c r="T234" s="1293"/>
      <c r="U234" s="1293"/>
      <c r="V234" s="1293">
        <v>790.89099999999996</v>
      </c>
      <c r="W234" s="1293"/>
      <c r="X234" s="1293">
        <v>1000</v>
      </c>
      <c r="Y234" s="1293">
        <v>4082.4929999999999</v>
      </c>
      <c r="Z234" s="1293">
        <v>3070.527</v>
      </c>
      <c r="AA234" s="1293">
        <v>4508.4660000000003</v>
      </c>
      <c r="AB234" s="1293"/>
      <c r="AC234" s="1293"/>
      <c r="AD234" s="1293"/>
      <c r="AE234" s="1293">
        <v>2246.9079999999999</v>
      </c>
      <c r="AF234" s="1293">
        <v>7269.6790000000001</v>
      </c>
      <c r="AG234" s="1293">
        <v>8187.7279999999992</v>
      </c>
      <c r="AH234" s="1455">
        <f>SUM(C234:AG234)</f>
        <v>57330.479000000007</v>
      </c>
    </row>
    <row r="235" spans="1:34" ht="13.5" thickBot="1" x14ac:dyDescent="0.25">
      <c r="A235" s="1294"/>
      <c r="B235" s="1237"/>
      <c r="C235" s="1302"/>
      <c r="D235" s="1302"/>
      <c r="E235" s="1302"/>
      <c r="F235" s="1303"/>
      <c r="G235" s="1303"/>
      <c r="H235" s="1303"/>
      <c r="I235" s="1303"/>
      <c r="J235" s="1303"/>
      <c r="K235" s="1303"/>
      <c r="L235" s="1303"/>
      <c r="M235" s="1303"/>
      <c r="N235" s="1303"/>
      <c r="O235" s="1303"/>
      <c r="P235" s="1304"/>
      <c r="Q235" s="1303"/>
      <c r="R235" s="1303"/>
      <c r="S235" s="1303"/>
      <c r="T235" s="1303"/>
      <c r="U235" s="1303"/>
      <c r="V235" s="1303"/>
      <c r="W235" s="1303"/>
      <c r="X235" s="1303"/>
      <c r="Y235" s="1303"/>
      <c r="Z235" s="1303"/>
      <c r="AA235" s="1303"/>
      <c r="AB235" s="1303"/>
      <c r="AC235" s="1303"/>
      <c r="AD235" s="1303"/>
      <c r="AE235" s="1303"/>
      <c r="AF235" s="1303"/>
      <c r="AG235" s="1303"/>
      <c r="AH235" s="1207"/>
    </row>
    <row r="236" spans="1:34" x14ac:dyDescent="0.2">
      <c r="A236" s="1269"/>
      <c r="B236" s="1237"/>
      <c r="C236" s="1296"/>
      <c r="D236" s="1297"/>
      <c r="E236" s="1297"/>
      <c r="F236" s="1298"/>
      <c r="G236" s="1298"/>
      <c r="H236" s="1298"/>
      <c r="I236" s="1298"/>
      <c r="J236" s="1298"/>
      <c r="K236" s="1298"/>
      <c r="L236" s="1298"/>
      <c r="M236" s="1298"/>
      <c r="N236" s="1298"/>
      <c r="O236" s="1298"/>
      <c r="P236" s="1299"/>
      <c r="Q236" s="1298"/>
      <c r="R236" s="1298"/>
      <c r="S236" s="1298"/>
      <c r="T236" s="1298"/>
      <c r="U236" s="1298"/>
      <c r="V236" s="1298"/>
      <c r="W236" s="1298"/>
      <c r="X236" s="1298"/>
      <c r="Y236" s="1298"/>
      <c r="Z236" s="1298"/>
      <c r="AA236" s="1298"/>
      <c r="AB236" s="1298"/>
      <c r="AC236" s="1298"/>
      <c r="AD236" s="1298"/>
      <c r="AE236" s="1298"/>
      <c r="AF236" s="1298"/>
      <c r="AG236" s="1298"/>
      <c r="AH236" s="1207"/>
    </row>
    <row r="237" spans="1:34" x14ac:dyDescent="0.2">
      <c r="A237" s="1274" t="s">
        <v>13</v>
      </c>
      <c r="B237" s="1237"/>
      <c r="C237" s="1300">
        <f t="shared" ref="C237:AG237" si="26">C232-C224</f>
        <v>0</v>
      </c>
      <c r="D237" s="1300">
        <f t="shared" si="26"/>
        <v>0</v>
      </c>
      <c r="E237" s="1300">
        <f t="shared" si="26"/>
        <v>0</v>
      </c>
      <c r="F237" s="1300">
        <f t="shared" si="26"/>
        <v>0</v>
      </c>
      <c r="G237" s="1300">
        <f t="shared" si="26"/>
        <v>0</v>
      </c>
      <c r="H237" s="1300">
        <f t="shared" si="26"/>
        <v>0</v>
      </c>
      <c r="I237" s="1300">
        <f t="shared" si="26"/>
        <v>0</v>
      </c>
      <c r="J237" s="1300">
        <f t="shared" si="26"/>
        <v>0</v>
      </c>
      <c r="K237" s="1300">
        <f t="shared" si="26"/>
        <v>0</v>
      </c>
      <c r="L237" s="1300">
        <f t="shared" si="26"/>
        <v>0</v>
      </c>
      <c r="M237" s="1300">
        <f t="shared" si="26"/>
        <v>0</v>
      </c>
      <c r="N237" s="1300">
        <f t="shared" si="26"/>
        <v>0</v>
      </c>
      <c r="O237" s="1300">
        <f t="shared" si="26"/>
        <v>0</v>
      </c>
      <c r="P237" s="1301">
        <f t="shared" si="26"/>
        <v>0</v>
      </c>
      <c r="Q237" s="1300">
        <f t="shared" si="26"/>
        <v>0</v>
      </c>
      <c r="R237" s="1300">
        <f t="shared" si="26"/>
        <v>0</v>
      </c>
      <c r="S237" s="1300">
        <f t="shared" si="26"/>
        <v>0</v>
      </c>
      <c r="T237" s="1300">
        <f t="shared" si="26"/>
        <v>0</v>
      </c>
      <c r="U237" s="1300">
        <f t="shared" si="26"/>
        <v>0</v>
      </c>
      <c r="V237" s="1300">
        <f t="shared" si="26"/>
        <v>0</v>
      </c>
      <c r="W237" s="1300">
        <f t="shared" si="26"/>
        <v>0</v>
      </c>
      <c r="X237" s="1300">
        <f t="shared" si="26"/>
        <v>0</v>
      </c>
      <c r="Y237" s="1300">
        <f t="shared" si="26"/>
        <v>0</v>
      </c>
      <c r="Z237" s="1300">
        <f t="shared" si="26"/>
        <v>0</v>
      </c>
      <c r="AA237" s="1300">
        <f t="shared" si="26"/>
        <v>0</v>
      </c>
      <c r="AB237" s="1300">
        <f t="shared" si="26"/>
        <v>0</v>
      </c>
      <c r="AC237" s="1300">
        <f t="shared" si="26"/>
        <v>0</v>
      </c>
      <c r="AD237" s="1300">
        <f t="shared" si="26"/>
        <v>0</v>
      </c>
      <c r="AE237" s="1300">
        <f t="shared" si="26"/>
        <v>0</v>
      </c>
      <c r="AF237" s="1300">
        <f t="shared" si="26"/>
        <v>0</v>
      </c>
      <c r="AG237" s="1300">
        <f t="shared" si="26"/>
        <v>0</v>
      </c>
      <c r="AH237" s="1207"/>
    </row>
    <row r="238" spans="1:34" ht="13.5" thickBot="1" x14ac:dyDescent="0.25">
      <c r="A238" s="1274"/>
      <c r="B238" s="1237"/>
      <c r="C238" s="1300"/>
      <c r="D238" s="1302"/>
      <c r="E238" s="1302"/>
      <c r="F238" s="1303"/>
      <c r="G238" s="1303"/>
      <c r="H238" s="1303"/>
      <c r="I238" s="1303"/>
      <c r="J238" s="1303"/>
      <c r="K238" s="1303"/>
      <c r="L238" s="1303"/>
      <c r="M238" s="1303"/>
      <c r="N238" s="1303"/>
      <c r="O238" s="1303"/>
      <c r="P238" s="1304"/>
      <c r="Q238" s="1303"/>
      <c r="R238" s="1303"/>
      <c r="S238" s="1303"/>
      <c r="T238" s="1303"/>
      <c r="U238" s="1303"/>
      <c r="V238" s="1303"/>
      <c r="W238" s="1303"/>
      <c r="X238" s="1303"/>
      <c r="Y238" s="1303"/>
      <c r="Z238" s="1303"/>
      <c r="AA238" s="1303"/>
      <c r="AB238" s="1303"/>
      <c r="AC238" s="1303"/>
      <c r="AD238" s="1303"/>
      <c r="AE238" s="1303"/>
      <c r="AF238" s="1303"/>
      <c r="AG238" s="1303"/>
      <c r="AH238" s="1207"/>
    </row>
    <row r="239" spans="1:34" x14ac:dyDescent="0.2">
      <c r="A239" s="1233"/>
      <c r="B239" s="1234"/>
      <c r="C239" s="1305"/>
      <c r="D239" s="1297"/>
      <c r="E239" s="1297"/>
      <c r="F239" s="1298"/>
      <c r="G239" s="1298"/>
      <c r="H239" s="1298"/>
      <c r="I239" s="1298"/>
      <c r="J239" s="1298"/>
      <c r="K239" s="1298"/>
      <c r="L239" s="1298"/>
      <c r="M239" s="1298"/>
      <c r="N239" s="1298"/>
      <c r="O239" s="1298"/>
      <c r="P239" s="1299"/>
      <c r="Q239" s="1298"/>
      <c r="R239" s="1298"/>
      <c r="S239" s="1298"/>
      <c r="T239" s="1298"/>
      <c r="U239" s="1298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07"/>
    </row>
    <row r="240" spans="1:34" x14ac:dyDescent="0.2">
      <c r="A240" s="1236" t="s">
        <v>15</v>
      </c>
      <c r="B240" s="1237"/>
      <c r="C240" s="1302">
        <f>B221+C237</f>
        <v>139501.23300000001</v>
      </c>
      <c r="D240" s="1302">
        <f t="shared" ref="D240:AG240" si="27">C247+D237</f>
        <v>139501.23300000001</v>
      </c>
      <c r="E240" s="1302">
        <f t="shared" si="27"/>
        <v>139501.23300000001</v>
      </c>
      <c r="F240" s="1302">
        <f t="shared" si="27"/>
        <v>139501.23300000001</v>
      </c>
      <c r="G240" s="1302">
        <f t="shared" si="27"/>
        <v>139501.23300000001</v>
      </c>
      <c r="H240" s="1302">
        <f t="shared" si="27"/>
        <v>139501.23300000001</v>
      </c>
      <c r="I240" s="1302">
        <f t="shared" si="27"/>
        <v>139501.23300000001</v>
      </c>
      <c r="J240" s="1302">
        <f t="shared" si="27"/>
        <v>139501.23300000001</v>
      </c>
      <c r="K240" s="1302">
        <f t="shared" si="27"/>
        <v>139501.23300000001</v>
      </c>
      <c r="L240" s="1302">
        <f t="shared" si="27"/>
        <v>139501.23300000001</v>
      </c>
      <c r="M240" s="1302">
        <f t="shared" si="27"/>
        <v>139501.23300000001</v>
      </c>
      <c r="N240" s="1302">
        <f t="shared" si="27"/>
        <v>139501.23300000001</v>
      </c>
      <c r="O240" s="1302">
        <f t="shared" si="27"/>
        <v>139501.23300000001</v>
      </c>
      <c r="P240" s="1306">
        <f t="shared" si="27"/>
        <v>139501.23300000001</v>
      </c>
      <c r="Q240" s="1302">
        <f t="shared" si="27"/>
        <v>139501.23300000001</v>
      </c>
      <c r="R240" s="1302">
        <f t="shared" si="27"/>
        <v>139501.23300000001</v>
      </c>
      <c r="S240" s="1302">
        <f t="shared" si="27"/>
        <v>139501.23300000001</v>
      </c>
      <c r="T240" s="1302">
        <f t="shared" si="27"/>
        <v>139501.23300000001</v>
      </c>
      <c r="U240" s="1302">
        <f t="shared" si="27"/>
        <v>139501.23300000001</v>
      </c>
      <c r="V240" s="1302">
        <f t="shared" si="27"/>
        <v>139501.23300000001</v>
      </c>
      <c r="W240" s="1302">
        <f t="shared" si="27"/>
        <v>139501.23300000001</v>
      </c>
      <c r="X240" s="1302">
        <f t="shared" si="27"/>
        <v>139501.23300000001</v>
      </c>
      <c r="Y240" s="1302">
        <f t="shared" si="27"/>
        <v>139501.23300000001</v>
      </c>
      <c r="Z240" s="1302">
        <f t="shared" si="27"/>
        <v>139501.23300000001</v>
      </c>
      <c r="AA240" s="1302">
        <f t="shared" si="27"/>
        <v>139501.23300000001</v>
      </c>
      <c r="AB240" s="1302">
        <f t="shared" si="27"/>
        <v>139501.23300000001</v>
      </c>
      <c r="AC240" s="1302">
        <f t="shared" si="27"/>
        <v>139501.23300000001</v>
      </c>
      <c r="AD240" s="1302">
        <f t="shared" si="27"/>
        <v>139501.23300000001</v>
      </c>
      <c r="AE240" s="1302">
        <f t="shared" si="27"/>
        <v>139501.23300000001</v>
      </c>
      <c r="AF240" s="1302">
        <f t="shared" si="27"/>
        <v>139501.23300000001</v>
      </c>
      <c r="AG240" s="1302">
        <f t="shared" si="27"/>
        <v>139501.23300000001</v>
      </c>
      <c r="AH240" s="1207"/>
    </row>
    <row r="241" spans="1:34" ht="13.5" thickBot="1" x14ac:dyDescent="0.25">
      <c r="A241" s="1250"/>
      <c r="B241" s="1307"/>
      <c r="C241" s="1308"/>
      <c r="D241" s="1308"/>
      <c r="E241" s="1308"/>
      <c r="F241" s="1309"/>
      <c r="G241" s="1309"/>
      <c r="H241" s="1309"/>
      <c r="I241" s="1309"/>
      <c r="J241" s="1309"/>
      <c r="K241" s="1309"/>
      <c r="L241" s="1309"/>
      <c r="M241" s="1309"/>
      <c r="N241" s="1309"/>
      <c r="O241" s="1309"/>
      <c r="P241" s="1310"/>
      <c r="Q241" s="1309"/>
      <c r="R241" s="1309"/>
      <c r="S241" s="1309"/>
      <c r="T241" s="1309"/>
      <c r="U241" s="1309"/>
      <c r="V241" s="1309"/>
      <c r="W241" s="1309"/>
      <c r="X241" s="1309"/>
      <c r="Y241" s="1309"/>
      <c r="Z241" s="1309"/>
      <c r="AA241" s="1309"/>
      <c r="AB241" s="1309"/>
      <c r="AC241" s="1309"/>
      <c r="AD241" s="1309"/>
      <c r="AE241" s="1309"/>
      <c r="AF241" s="1309"/>
      <c r="AG241" s="1309"/>
      <c r="AH241" s="1207"/>
    </row>
    <row r="242" spans="1:34" x14ac:dyDescent="0.2">
      <c r="A242" s="1233"/>
      <c r="B242" s="1234"/>
      <c r="C242" s="1297"/>
      <c r="D242" s="1297"/>
      <c r="E242" s="1297"/>
      <c r="F242" s="1298"/>
      <c r="G242" s="1298"/>
      <c r="H242" s="1298"/>
      <c r="I242" s="1298"/>
      <c r="J242" s="1298"/>
      <c r="K242" s="1298"/>
      <c r="L242" s="1298"/>
      <c r="M242" s="1298"/>
      <c r="N242" s="1298"/>
      <c r="O242" s="1298"/>
      <c r="P242" s="1299"/>
      <c r="Q242" s="1298"/>
      <c r="R242" s="1298"/>
      <c r="S242" s="1298"/>
      <c r="T242" s="1298"/>
      <c r="U242" s="1298"/>
      <c r="V242" s="1298"/>
      <c r="W242" s="1298"/>
      <c r="X242" s="1298"/>
      <c r="Y242" s="1298"/>
      <c r="Z242" s="1298"/>
      <c r="AA242" s="1298"/>
      <c r="AB242" s="1298"/>
      <c r="AC242" s="1298"/>
      <c r="AD242" s="1298"/>
      <c r="AE242" s="1298"/>
      <c r="AF242" s="1298"/>
      <c r="AG242" s="1298"/>
      <c r="AH242" s="1207"/>
    </row>
    <row r="243" spans="1:34" x14ac:dyDescent="0.2">
      <c r="A243" s="1236" t="s">
        <v>82</v>
      </c>
      <c r="B243" s="1237"/>
      <c r="C243" s="1302">
        <f t="shared" ref="C243:AG244" si="28">C251</f>
        <v>0</v>
      </c>
      <c r="D243" s="1302">
        <f t="shared" si="28"/>
        <v>0</v>
      </c>
      <c r="E243" s="1302">
        <f t="shared" si="28"/>
        <v>0</v>
      </c>
      <c r="F243" s="1302">
        <f t="shared" si="28"/>
        <v>0</v>
      </c>
      <c r="G243" s="1302">
        <f t="shared" si="28"/>
        <v>0</v>
      </c>
      <c r="H243" s="1302">
        <f t="shared" si="28"/>
        <v>0</v>
      </c>
      <c r="I243" s="1302">
        <f t="shared" si="28"/>
        <v>0</v>
      </c>
      <c r="J243" s="1302">
        <f t="shared" si="28"/>
        <v>0</v>
      </c>
      <c r="K243" s="1302">
        <f t="shared" si="28"/>
        <v>0</v>
      </c>
      <c r="L243" s="1302">
        <f t="shared" si="28"/>
        <v>0</v>
      </c>
      <c r="M243" s="1302">
        <f t="shared" si="28"/>
        <v>0</v>
      </c>
      <c r="N243" s="1302">
        <f t="shared" si="28"/>
        <v>0</v>
      </c>
      <c r="O243" s="1302">
        <f t="shared" si="28"/>
        <v>0</v>
      </c>
      <c r="P243" s="1306">
        <f t="shared" si="28"/>
        <v>0</v>
      </c>
      <c r="Q243" s="1302">
        <f t="shared" si="28"/>
        <v>0</v>
      </c>
      <c r="R243" s="1302">
        <f t="shared" si="28"/>
        <v>0</v>
      </c>
      <c r="S243" s="1302">
        <f t="shared" si="28"/>
        <v>0</v>
      </c>
      <c r="T243" s="1302">
        <f t="shared" si="28"/>
        <v>0</v>
      </c>
      <c r="U243" s="1302">
        <f t="shared" si="28"/>
        <v>0</v>
      </c>
      <c r="V243" s="1302">
        <f t="shared" si="28"/>
        <v>0</v>
      </c>
      <c r="W243" s="1302">
        <f t="shared" si="28"/>
        <v>0</v>
      </c>
      <c r="X243" s="1302">
        <f t="shared" si="28"/>
        <v>0</v>
      </c>
      <c r="Y243" s="1302">
        <f t="shared" si="28"/>
        <v>0</v>
      </c>
      <c r="Z243" s="1302">
        <f t="shared" si="28"/>
        <v>0</v>
      </c>
      <c r="AA243" s="1302">
        <f t="shared" si="28"/>
        <v>0</v>
      </c>
      <c r="AB243" s="1302">
        <f t="shared" si="28"/>
        <v>0</v>
      </c>
      <c r="AC243" s="1302">
        <f t="shared" si="28"/>
        <v>0</v>
      </c>
      <c r="AD243" s="1302">
        <f t="shared" si="28"/>
        <v>0</v>
      </c>
      <c r="AE243" s="1302">
        <f t="shared" si="28"/>
        <v>0</v>
      </c>
      <c r="AF243" s="1302">
        <f t="shared" si="28"/>
        <v>0</v>
      </c>
      <c r="AG243" s="1302">
        <f t="shared" si="28"/>
        <v>0</v>
      </c>
      <c r="AH243" s="1207"/>
    </row>
    <row r="244" spans="1:34" x14ac:dyDescent="0.2">
      <c r="A244" s="1236" t="s">
        <v>83</v>
      </c>
      <c r="B244" s="1237"/>
      <c r="C244" s="1306">
        <f t="shared" si="28"/>
        <v>0</v>
      </c>
      <c r="D244" s="1306">
        <f t="shared" si="28"/>
        <v>0</v>
      </c>
      <c r="E244" s="1306">
        <f t="shared" si="28"/>
        <v>0</v>
      </c>
      <c r="F244" s="1306">
        <f t="shared" si="28"/>
        <v>0</v>
      </c>
      <c r="G244" s="1306">
        <f t="shared" si="28"/>
        <v>0</v>
      </c>
      <c r="H244" s="1306">
        <f t="shared" si="28"/>
        <v>0</v>
      </c>
      <c r="I244" s="1306">
        <f t="shared" si="28"/>
        <v>0</v>
      </c>
      <c r="J244" s="1306">
        <f t="shared" si="28"/>
        <v>0</v>
      </c>
      <c r="K244" s="1306">
        <f t="shared" si="28"/>
        <v>0</v>
      </c>
      <c r="L244" s="1306">
        <f t="shared" si="28"/>
        <v>0</v>
      </c>
      <c r="M244" s="1306">
        <f t="shared" si="28"/>
        <v>0</v>
      </c>
      <c r="N244" s="1306">
        <f t="shared" si="28"/>
        <v>0</v>
      </c>
      <c r="O244" s="1306">
        <f t="shared" si="28"/>
        <v>0</v>
      </c>
      <c r="P244" s="1306">
        <f t="shared" si="28"/>
        <v>0</v>
      </c>
      <c r="Q244" s="1306">
        <f t="shared" si="28"/>
        <v>0</v>
      </c>
      <c r="R244" s="1306">
        <f t="shared" si="28"/>
        <v>0</v>
      </c>
      <c r="S244" s="1306">
        <f t="shared" si="28"/>
        <v>0</v>
      </c>
      <c r="T244" s="1306">
        <f t="shared" si="28"/>
        <v>0</v>
      </c>
      <c r="U244" s="1306">
        <f t="shared" si="28"/>
        <v>0</v>
      </c>
      <c r="V244" s="1306">
        <f t="shared" si="28"/>
        <v>0</v>
      </c>
      <c r="W244" s="1306">
        <f t="shared" si="28"/>
        <v>0</v>
      </c>
      <c r="X244" s="1306">
        <f t="shared" si="28"/>
        <v>0</v>
      </c>
      <c r="Y244" s="1306">
        <f t="shared" si="28"/>
        <v>0</v>
      </c>
      <c r="Z244" s="1306">
        <f t="shared" si="28"/>
        <v>0</v>
      </c>
      <c r="AA244" s="1306">
        <f t="shared" si="28"/>
        <v>0</v>
      </c>
      <c r="AB244" s="1306">
        <f t="shared" si="28"/>
        <v>0</v>
      </c>
      <c r="AC244" s="1306">
        <f t="shared" si="28"/>
        <v>0</v>
      </c>
      <c r="AD244" s="1306">
        <f t="shared" si="28"/>
        <v>0</v>
      </c>
      <c r="AE244" s="1306">
        <f t="shared" si="28"/>
        <v>0</v>
      </c>
      <c r="AF244" s="1306">
        <f t="shared" si="28"/>
        <v>0</v>
      </c>
      <c r="AG244" s="1306">
        <f t="shared" si="28"/>
        <v>0</v>
      </c>
      <c r="AH244" s="1207"/>
    </row>
    <row r="245" spans="1:34" ht="13.5" thickBot="1" x14ac:dyDescent="0.25">
      <c r="A245" s="1250"/>
      <c r="B245" s="1307"/>
      <c r="C245" s="1308"/>
      <c r="D245" s="1308"/>
      <c r="E245" s="1308"/>
      <c r="F245" s="1309"/>
      <c r="G245" s="1309"/>
      <c r="H245" s="1309"/>
      <c r="I245" s="1309"/>
      <c r="J245" s="1309"/>
      <c r="K245" s="1309"/>
      <c r="L245" s="1309"/>
      <c r="M245" s="1309"/>
      <c r="N245" s="1309"/>
      <c r="O245" s="1309"/>
      <c r="P245" s="1310"/>
      <c r="Q245" s="1309"/>
      <c r="R245" s="1309"/>
      <c r="S245" s="1309"/>
      <c r="T245" s="1309"/>
      <c r="U245" s="1309"/>
      <c r="V245" s="1309"/>
      <c r="W245" s="1309"/>
      <c r="X245" s="1309"/>
      <c r="Y245" s="1309"/>
      <c r="Z245" s="1309"/>
      <c r="AA245" s="1309"/>
      <c r="AB245" s="1309"/>
      <c r="AC245" s="1309"/>
      <c r="AD245" s="1309"/>
      <c r="AE245" s="1309"/>
      <c r="AF245" s="1309"/>
      <c r="AG245" s="1309"/>
      <c r="AH245" s="1207"/>
    </row>
    <row r="246" spans="1:34" x14ac:dyDescent="0.2">
      <c r="A246" s="1236"/>
      <c r="B246" s="1237"/>
      <c r="C246" s="1302"/>
      <c r="D246" s="1302"/>
      <c r="E246" s="1302"/>
      <c r="F246" s="1303"/>
      <c r="G246" s="1303"/>
      <c r="H246" s="1303"/>
      <c r="I246" s="1303"/>
      <c r="J246" s="1303"/>
      <c r="K246" s="1303"/>
      <c r="L246" s="1303"/>
      <c r="M246" s="1303"/>
      <c r="N246" s="1303"/>
      <c r="O246" s="1303"/>
      <c r="P246" s="1304"/>
      <c r="Q246" s="1303"/>
      <c r="R246" s="1303"/>
      <c r="S246" s="1303"/>
      <c r="T246" s="1303"/>
      <c r="U246" s="1303"/>
      <c r="V246" s="1303"/>
      <c r="W246" s="1303"/>
      <c r="X246" s="1303"/>
      <c r="Y246" s="1303"/>
      <c r="Z246" s="1303"/>
      <c r="AA246" s="1303"/>
      <c r="AB246" s="1303"/>
      <c r="AC246" s="1303"/>
      <c r="AD246" s="1303"/>
      <c r="AE246" s="1303"/>
      <c r="AF246" s="1303"/>
      <c r="AG246" s="1303"/>
      <c r="AH246" s="1207"/>
    </row>
    <row r="247" spans="1:34" x14ac:dyDescent="0.2">
      <c r="A247" s="1236" t="s">
        <v>14</v>
      </c>
      <c r="B247" s="1237"/>
      <c r="C247" s="1302">
        <f t="shared" ref="C247:AG247" si="29">C240+C243+C244</f>
        <v>139501.23300000001</v>
      </c>
      <c r="D247" s="1302">
        <f t="shared" si="29"/>
        <v>139501.23300000001</v>
      </c>
      <c r="E247" s="1302">
        <f t="shared" si="29"/>
        <v>139501.23300000001</v>
      </c>
      <c r="F247" s="1302">
        <f t="shared" si="29"/>
        <v>139501.23300000001</v>
      </c>
      <c r="G247" s="1302">
        <f t="shared" si="29"/>
        <v>139501.23300000001</v>
      </c>
      <c r="H247" s="1302">
        <f t="shared" si="29"/>
        <v>139501.23300000001</v>
      </c>
      <c r="I247" s="1302">
        <f t="shared" si="29"/>
        <v>139501.23300000001</v>
      </c>
      <c r="J247" s="1302">
        <f t="shared" si="29"/>
        <v>139501.23300000001</v>
      </c>
      <c r="K247" s="1302">
        <f t="shared" si="29"/>
        <v>139501.23300000001</v>
      </c>
      <c r="L247" s="1302">
        <f t="shared" si="29"/>
        <v>139501.23300000001</v>
      </c>
      <c r="M247" s="1302">
        <f t="shared" si="29"/>
        <v>139501.23300000001</v>
      </c>
      <c r="N247" s="1302">
        <f t="shared" si="29"/>
        <v>139501.23300000001</v>
      </c>
      <c r="O247" s="1302">
        <f t="shared" si="29"/>
        <v>139501.23300000001</v>
      </c>
      <c r="P247" s="1306">
        <f t="shared" si="29"/>
        <v>139501.23300000001</v>
      </c>
      <c r="Q247" s="1302">
        <f t="shared" si="29"/>
        <v>139501.23300000001</v>
      </c>
      <c r="R247" s="1302">
        <f t="shared" si="29"/>
        <v>139501.23300000001</v>
      </c>
      <c r="S247" s="1302">
        <f t="shared" si="29"/>
        <v>139501.23300000001</v>
      </c>
      <c r="T247" s="1302">
        <f t="shared" si="29"/>
        <v>139501.23300000001</v>
      </c>
      <c r="U247" s="1302">
        <f t="shared" si="29"/>
        <v>139501.23300000001</v>
      </c>
      <c r="V247" s="1302">
        <f t="shared" si="29"/>
        <v>139501.23300000001</v>
      </c>
      <c r="W247" s="1302">
        <f t="shared" si="29"/>
        <v>139501.23300000001</v>
      </c>
      <c r="X247" s="1302">
        <f t="shared" si="29"/>
        <v>139501.23300000001</v>
      </c>
      <c r="Y247" s="1302">
        <f t="shared" si="29"/>
        <v>139501.23300000001</v>
      </c>
      <c r="Z247" s="1302">
        <f t="shared" si="29"/>
        <v>139501.23300000001</v>
      </c>
      <c r="AA247" s="1302">
        <f t="shared" si="29"/>
        <v>139501.23300000001</v>
      </c>
      <c r="AB247" s="1302">
        <f t="shared" si="29"/>
        <v>139501.23300000001</v>
      </c>
      <c r="AC247" s="1302">
        <f t="shared" si="29"/>
        <v>139501.23300000001</v>
      </c>
      <c r="AD247" s="1302">
        <f t="shared" si="29"/>
        <v>139501.23300000001</v>
      </c>
      <c r="AE247" s="1302">
        <f t="shared" si="29"/>
        <v>139501.23300000001</v>
      </c>
      <c r="AF247" s="1302">
        <f t="shared" si="29"/>
        <v>139501.23300000001</v>
      </c>
      <c r="AG247" s="1302">
        <f t="shared" si="29"/>
        <v>139501.23300000001</v>
      </c>
      <c r="AH247" s="1207"/>
    </row>
    <row r="248" spans="1:34" x14ac:dyDescent="0.2">
      <c r="A248" s="1236"/>
      <c r="B248" s="1237"/>
      <c r="C248" s="1302"/>
      <c r="D248" s="1302"/>
      <c r="E248" s="1302"/>
      <c r="F248" s="1303"/>
      <c r="G248" s="1303"/>
      <c r="H248" s="1303"/>
      <c r="I248" s="1303"/>
      <c r="J248" s="1303"/>
      <c r="K248" s="1303"/>
      <c r="L248" s="1303"/>
      <c r="M248" s="1303"/>
      <c r="N248" s="1303"/>
      <c r="O248" s="1303"/>
      <c r="P248" s="1304"/>
      <c r="Q248" s="1303"/>
      <c r="R248" s="1303"/>
      <c r="S248" s="1303"/>
      <c r="T248" s="1303"/>
      <c r="U248" s="1303"/>
      <c r="V248" s="1303"/>
      <c r="W248" s="1303"/>
      <c r="X248" s="1303"/>
      <c r="Y248" s="1303"/>
      <c r="Z248" s="1303"/>
      <c r="AA248" s="1303"/>
      <c r="AB248" s="1303"/>
      <c r="AC248" s="1303"/>
      <c r="AD248" s="1303"/>
      <c r="AE248" s="1303"/>
      <c r="AF248" s="1303"/>
      <c r="AG248" s="1303"/>
      <c r="AH248" s="1207"/>
    </row>
    <row r="249" spans="1:34" ht="13.5" thickBot="1" x14ac:dyDescent="0.25">
      <c r="A249" s="1250"/>
      <c r="B249" s="1307"/>
      <c r="C249" s="1312"/>
      <c r="D249" s="1312"/>
      <c r="E249" s="1312"/>
      <c r="F249" s="1313"/>
      <c r="G249" s="1313"/>
      <c r="H249" s="1313"/>
      <c r="I249" s="1313"/>
      <c r="J249" s="1313"/>
      <c r="K249" s="1313"/>
      <c r="L249" s="1313"/>
      <c r="M249" s="1313"/>
      <c r="N249" s="1313"/>
      <c r="O249" s="1313"/>
      <c r="P249" s="1314"/>
      <c r="Q249" s="1313"/>
      <c r="R249" s="1313"/>
      <c r="S249" s="1313"/>
      <c r="T249" s="1313"/>
      <c r="U249" s="1313"/>
      <c r="V249" s="1313"/>
      <c r="W249" s="1313"/>
      <c r="X249" s="1313"/>
      <c r="Y249" s="1313"/>
      <c r="Z249" s="1313"/>
      <c r="AA249" s="1313"/>
      <c r="AB249" s="1313"/>
      <c r="AC249" s="1313"/>
      <c r="AD249" s="1313"/>
      <c r="AE249" s="1313"/>
      <c r="AF249" s="1313"/>
      <c r="AG249" s="1313"/>
      <c r="AH249" s="1207"/>
    </row>
    <row r="250" spans="1:34" x14ac:dyDescent="0.2">
      <c r="A250" s="1316"/>
      <c r="B250" s="1207"/>
      <c r="C250" s="1227"/>
      <c r="D250" s="1227"/>
      <c r="E250" s="1227"/>
      <c r="F250" s="1227"/>
      <c r="G250" s="1227"/>
      <c r="H250" s="1227"/>
      <c r="I250" s="1227"/>
      <c r="J250" s="1227"/>
      <c r="K250" s="1227"/>
      <c r="L250" s="1227"/>
      <c r="M250" s="1227"/>
      <c r="N250" s="1227"/>
      <c r="O250" s="1227"/>
      <c r="P250" s="1229"/>
      <c r="Q250" s="1227"/>
      <c r="R250" s="1227"/>
      <c r="S250" s="1227"/>
      <c r="T250" s="1227"/>
      <c r="U250" s="1227"/>
      <c r="V250" s="1227"/>
      <c r="W250" s="1227"/>
      <c r="X250" s="1227"/>
      <c r="Y250" s="1227"/>
      <c r="Z250" s="1227"/>
      <c r="AA250" s="1227"/>
      <c r="AB250" s="1227"/>
      <c r="AC250" s="1227"/>
      <c r="AD250" s="1227"/>
      <c r="AE250" s="1227"/>
      <c r="AF250" s="1227"/>
      <c r="AG250" s="1227"/>
      <c r="AH250" s="1227">
        <f>SUM(C250:AG250)</f>
        <v>0</v>
      </c>
    </row>
    <row r="251" spans="1:34" x14ac:dyDescent="0.2">
      <c r="A251" s="1316"/>
      <c r="B251" s="1207"/>
      <c r="C251" s="1219"/>
      <c r="D251" s="1219"/>
      <c r="E251" s="1219"/>
      <c r="F251" s="1219"/>
      <c r="G251" s="1220"/>
      <c r="H251" s="1219"/>
      <c r="I251" s="1219"/>
      <c r="J251" s="1219"/>
      <c r="K251" s="1219"/>
      <c r="L251" s="1220"/>
      <c r="M251" s="1220"/>
      <c r="N251" s="1221"/>
      <c r="O251" s="1220"/>
      <c r="P251" s="1221"/>
      <c r="Q251" s="1219"/>
      <c r="R251" s="1219"/>
      <c r="S251" s="1219"/>
      <c r="T251" s="1219"/>
      <c r="U251" s="1219"/>
      <c r="V251" s="1221"/>
      <c r="W251" s="1219"/>
      <c r="X251" s="1219"/>
      <c r="Y251" s="1219"/>
      <c r="Z251" s="1219"/>
      <c r="AA251" s="1384"/>
      <c r="AB251" s="1219"/>
      <c r="AC251" s="1219"/>
      <c r="AD251" s="1220"/>
      <c r="AE251" s="1219">
        <f>20263.383+9862.155-9862.155-20263.383</f>
        <v>0</v>
      </c>
      <c r="AF251" s="1221"/>
      <c r="AG251" s="1219"/>
      <c r="AH251" s="1345"/>
    </row>
    <row r="252" spans="1:34" x14ac:dyDescent="0.2">
      <c r="A252" s="1207"/>
      <c r="B252" s="1207"/>
      <c r="C252" s="1207"/>
      <c r="D252" s="1219"/>
      <c r="E252" s="1347"/>
      <c r="F252" s="1207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8"/>
      <c r="Q252" s="1227"/>
      <c r="R252" s="1207"/>
      <c r="S252" s="1345"/>
      <c r="T252" s="1207"/>
      <c r="U252" s="1207"/>
      <c r="V252" s="1207"/>
      <c r="W252" s="1207"/>
      <c r="X252" s="1207"/>
      <c r="Y252" s="1345"/>
      <c r="Z252" s="1345"/>
      <c r="AA252" s="1345"/>
      <c r="AB252" s="1345"/>
      <c r="AC252" s="1345"/>
      <c r="AD252" s="1345"/>
      <c r="AE252" s="1345"/>
      <c r="AF252" s="1345"/>
      <c r="AG252" s="1345"/>
      <c r="AH252" s="1227">
        <f>SUM(C252:AG252)</f>
        <v>0</v>
      </c>
    </row>
    <row r="253" spans="1:34" x14ac:dyDescent="0.2">
      <c r="A253" s="1210" t="s">
        <v>415</v>
      </c>
      <c r="B253" s="1215">
        <f>B254+B255+B257</f>
        <v>425000</v>
      </c>
      <c r="C253" s="1207"/>
      <c r="D253" s="1207"/>
      <c r="E253" s="1207"/>
      <c r="F253" s="1207"/>
      <c r="G253" s="1207"/>
      <c r="H253" s="1207"/>
      <c r="I253" s="1207"/>
      <c r="J253" s="1207"/>
      <c r="K253" s="1392"/>
      <c r="L253" s="1207"/>
      <c r="M253" s="1207"/>
      <c r="N253" s="1207"/>
      <c r="O253" s="1207"/>
      <c r="P253" s="1208"/>
      <c r="Q253" s="1207"/>
      <c r="R253" s="1207"/>
      <c r="S253" s="1207"/>
      <c r="T253" s="1207"/>
      <c r="U253" s="1207"/>
      <c r="V253" s="1207"/>
      <c r="W253" s="1207"/>
      <c r="X253" s="1207"/>
      <c r="Y253" s="1207"/>
      <c r="Z253" s="1207"/>
      <c r="AA253" s="1384"/>
      <c r="AB253" s="1207"/>
      <c r="AC253" s="1207"/>
      <c r="AD253" s="1207"/>
      <c r="AE253" s="1207"/>
      <c r="AF253" s="1207"/>
      <c r="AG253" s="1207"/>
      <c r="AH253" s="1207"/>
    </row>
    <row r="254" spans="1:34" x14ac:dyDescent="0.2">
      <c r="A254" s="1365" t="s">
        <v>414</v>
      </c>
      <c r="B254" s="1219">
        <v>25000</v>
      </c>
      <c r="C254" s="1207"/>
      <c r="D254" s="1207"/>
      <c r="E254" s="1227"/>
      <c r="F254" s="1227"/>
      <c r="G254" s="1227"/>
      <c r="H254" s="1207"/>
      <c r="I254" s="1207"/>
      <c r="J254" s="1207"/>
      <c r="K254" s="1207"/>
      <c r="L254" s="1207"/>
      <c r="M254" s="1207"/>
      <c r="N254" s="1207"/>
      <c r="O254" s="1207"/>
      <c r="P254" s="1208"/>
      <c r="Q254" s="1207"/>
      <c r="R254" s="1207"/>
      <c r="S254" s="1207"/>
      <c r="T254" s="1207"/>
      <c r="U254" s="1227"/>
      <c r="V254" s="1207"/>
      <c r="W254" s="1207"/>
      <c r="X254" s="1207"/>
      <c r="Y254" s="1207"/>
      <c r="Z254" s="1207"/>
      <c r="AA254" s="1354"/>
      <c r="AB254" s="1207"/>
      <c r="AC254" s="1207"/>
      <c r="AD254" s="1207"/>
      <c r="AE254" s="1207"/>
      <c r="AF254" s="1207"/>
      <c r="AG254" s="1227"/>
      <c r="AH254" s="1207"/>
    </row>
    <row r="255" spans="1:34" x14ac:dyDescent="0.2">
      <c r="A255" s="1365" t="s">
        <v>287</v>
      </c>
      <c r="B255" s="1219">
        <v>300000</v>
      </c>
      <c r="C255" s="1207"/>
      <c r="D255" s="1207"/>
      <c r="E255" s="1207"/>
      <c r="F255" s="1207"/>
      <c r="G255" s="1207"/>
      <c r="H255" s="1207"/>
      <c r="I255" s="1207"/>
      <c r="J255" s="1207"/>
      <c r="K255" s="1207"/>
      <c r="L255" s="1207"/>
      <c r="M255" s="1207"/>
      <c r="N255" s="1207"/>
      <c r="O255" s="1207"/>
      <c r="P255" s="1208"/>
      <c r="Q255" s="1207"/>
      <c r="R255" s="1207"/>
      <c r="S255" s="1207"/>
      <c r="T255" s="1207"/>
      <c r="U255" s="1227"/>
      <c r="V255" s="1207"/>
      <c r="W255" s="1207"/>
      <c r="X255" s="1207"/>
      <c r="Y255" s="1207"/>
      <c r="Z255" s="1207"/>
      <c r="AA255" s="1207"/>
      <c r="AB255" s="1207"/>
      <c r="AC255" s="1207"/>
      <c r="AD255" s="1207"/>
      <c r="AE255" s="1207"/>
      <c r="AF255" s="1392"/>
      <c r="AG255" s="1207"/>
      <c r="AH255" s="1207"/>
    </row>
    <row r="256" spans="1:34" x14ac:dyDescent="0.2">
      <c r="A256" s="1316" t="s">
        <v>413</v>
      </c>
      <c r="B256" s="1219"/>
      <c r="C256" s="1207"/>
      <c r="D256" s="1207"/>
      <c r="E256" s="1207"/>
      <c r="F256" s="1207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8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07"/>
      <c r="AA256" s="1207"/>
      <c r="AB256" s="1207"/>
      <c r="AC256" s="1207"/>
      <c r="AD256" s="1207"/>
      <c r="AE256" s="1207"/>
      <c r="AF256" s="1207"/>
      <c r="AG256" s="1207"/>
      <c r="AH256" s="1207"/>
    </row>
    <row r="257" spans="1:34" x14ac:dyDescent="0.2">
      <c r="A257" s="1316" t="s">
        <v>441</v>
      </c>
      <c r="B257" s="1219">
        <v>100000</v>
      </c>
      <c r="C257" s="1207"/>
      <c r="D257" s="1207"/>
      <c r="E257" s="1207"/>
      <c r="F257" s="1207"/>
      <c r="G257" s="1207"/>
      <c r="H257" s="1207"/>
      <c r="I257" s="1207"/>
      <c r="J257" s="1207"/>
      <c r="K257" s="1207"/>
      <c r="L257" s="1207"/>
      <c r="M257" s="1207"/>
      <c r="N257" s="1207"/>
      <c r="O257" s="1207"/>
      <c r="P257" s="1208"/>
      <c r="Q257" s="1207"/>
      <c r="R257" s="1207"/>
      <c r="S257" s="1207"/>
      <c r="T257" s="1207"/>
      <c r="U257" s="1207"/>
      <c r="V257" s="1207"/>
      <c r="W257" s="1207"/>
      <c r="X257" s="1207"/>
      <c r="Y257" s="1207"/>
      <c r="Z257" s="1207"/>
      <c r="AA257" s="1207"/>
      <c r="AB257" s="1207"/>
      <c r="AC257" s="1207"/>
      <c r="AD257" s="1207"/>
      <c r="AE257" s="1207"/>
      <c r="AF257" s="1207"/>
      <c r="AG257" s="1207"/>
      <c r="AH257" s="1207"/>
    </row>
    <row r="258" spans="1:34" x14ac:dyDescent="0.2">
      <c r="A258" s="1207"/>
      <c r="B258" s="1207"/>
      <c r="C258" s="1207"/>
      <c r="D258" s="1207"/>
      <c r="E258" s="1207"/>
      <c r="F258" s="1207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8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07"/>
      <c r="AA258" s="1207"/>
      <c r="AB258" s="1207"/>
      <c r="AC258" s="1207"/>
      <c r="AD258" s="1207"/>
      <c r="AE258" s="1207"/>
      <c r="AF258" s="1207"/>
      <c r="AG258" s="1207"/>
      <c r="AH258" s="1207"/>
    </row>
    <row r="259" spans="1:34" x14ac:dyDescent="0.2">
      <c r="A259" s="1207"/>
      <c r="B259" s="1207"/>
      <c r="C259" s="1207"/>
      <c r="D259" s="1207"/>
      <c r="E259" s="1207"/>
      <c r="F259" s="1207"/>
      <c r="G259" s="1207"/>
      <c r="H259" s="1207"/>
      <c r="I259" s="1207"/>
      <c r="J259" s="1207"/>
      <c r="K259" s="1207"/>
      <c r="L259" s="1207"/>
      <c r="M259" s="1207"/>
      <c r="N259" s="1207"/>
      <c r="O259" s="1207"/>
      <c r="P259" s="1208"/>
      <c r="Q259" s="1207"/>
      <c r="R259" s="1207"/>
      <c r="S259" s="1207"/>
      <c r="T259" s="1207"/>
      <c r="U259" s="1207"/>
      <c r="V259" s="1207"/>
      <c r="W259" s="1207"/>
      <c r="X259" s="1207"/>
      <c r="Y259" s="1207"/>
      <c r="Z259" s="1207"/>
      <c r="AA259" s="1207"/>
      <c r="AB259" s="1207"/>
      <c r="AC259" s="1207"/>
      <c r="AD259" s="1207"/>
      <c r="AE259" s="1207"/>
      <c r="AF259" s="1207"/>
      <c r="AG259" s="1207"/>
      <c r="AH259" s="1207"/>
    </row>
    <row r="260" spans="1:34" ht="13.5" thickBot="1" x14ac:dyDescent="0.25">
      <c r="A260" s="1207"/>
      <c r="B260" s="1207"/>
      <c r="C260" s="1207"/>
      <c r="D260" s="1207"/>
      <c r="E260" s="1207"/>
      <c r="F260" s="1207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8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1207"/>
      <c r="AD260" s="1207"/>
      <c r="AE260" s="1207"/>
      <c r="AF260" s="1207"/>
      <c r="AG260" s="1207"/>
      <c r="AH260" s="1207"/>
    </row>
    <row r="261" spans="1:34" x14ac:dyDescent="0.2">
      <c r="A261" s="1233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34"/>
      <c r="O261" s="1234"/>
      <c r="P261" s="1235"/>
      <c r="Q261" s="1234"/>
      <c r="R261" s="1234"/>
      <c r="S261" s="1234"/>
      <c r="T261" s="1234"/>
      <c r="U261" s="1234"/>
      <c r="V261" s="1234"/>
      <c r="W261" s="1234"/>
      <c r="X261" s="1234"/>
      <c r="Y261" s="1234"/>
      <c r="Z261" s="1234"/>
      <c r="AA261" s="1234"/>
      <c r="AB261" s="1234"/>
      <c r="AC261" s="1234"/>
      <c r="AD261" s="1234"/>
      <c r="AE261" s="1234"/>
      <c r="AF261" s="1234"/>
      <c r="AG261" s="1234"/>
      <c r="AH261" s="1207"/>
    </row>
    <row r="262" spans="1:34" x14ac:dyDescent="0.2">
      <c r="A262" s="1236"/>
      <c r="B262" s="1237" t="s">
        <v>37</v>
      </c>
      <c r="C262" s="1237"/>
      <c r="D262" s="1237"/>
      <c r="E262" s="1238" t="s">
        <v>837</v>
      </c>
      <c r="F262" s="1239" t="s">
        <v>340</v>
      </c>
      <c r="G262" s="1625"/>
      <c r="H262" s="1239"/>
      <c r="I262" s="1239"/>
      <c r="J262" s="1239"/>
      <c r="K262" s="1239"/>
      <c r="L262" s="1239"/>
      <c r="M262" s="1239"/>
      <c r="N262" s="1239"/>
      <c r="O262" s="1239"/>
      <c r="P262" s="1240"/>
      <c r="Q262" s="1239"/>
      <c r="R262" s="1239"/>
      <c r="S262" s="1239"/>
      <c r="T262" s="1239"/>
      <c r="U262" s="1239"/>
      <c r="V262" s="1239"/>
      <c r="W262" s="1239"/>
      <c r="X262" s="1239"/>
      <c r="Y262" s="1239"/>
      <c r="Z262" s="1239"/>
      <c r="AA262" s="1239"/>
      <c r="AB262" s="1239"/>
      <c r="AC262" s="1239"/>
      <c r="AD262" s="1239"/>
      <c r="AE262" s="1239"/>
      <c r="AF262" s="1239"/>
      <c r="AG262" s="1239"/>
      <c r="AH262" s="1207"/>
    </row>
    <row r="263" spans="1:34" x14ac:dyDescent="0.2">
      <c r="A263" s="1236"/>
      <c r="B263" s="1237"/>
      <c r="C263" s="1237"/>
      <c r="D263" s="1237"/>
      <c r="E263" s="1237"/>
      <c r="F263" s="1237"/>
      <c r="G263" s="1237"/>
      <c r="H263" s="1237"/>
      <c r="I263" s="1237"/>
      <c r="J263" s="1237"/>
      <c r="K263" s="1237"/>
      <c r="L263" s="1237"/>
      <c r="M263" s="1237"/>
      <c r="N263" s="1237"/>
      <c r="O263" s="1237"/>
      <c r="P263" s="1241"/>
      <c r="Q263" s="1237"/>
      <c r="R263" s="1237"/>
      <c r="S263" s="1237"/>
      <c r="T263" s="1237"/>
      <c r="U263" s="1237"/>
      <c r="V263" s="1237"/>
      <c r="W263" s="1237"/>
      <c r="X263" s="1237"/>
      <c r="Y263" s="1237"/>
      <c r="Z263" s="1237"/>
      <c r="AA263" s="1237"/>
      <c r="AB263" s="1237"/>
      <c r="AC263" s="1237"/>
      <c r="AD263" s="1237"/>
      <c r="AE263" s="1237"/>
      <c r="AF263" s="1237"/>
      <c r="AG263" s="1237"/>
      <c r="AH263" s="1207"/>
    </row>
    <row r="264" spans="1:34" x14ac:dyDescent="0.2">
      <c r="A264" s="1236"/>
      <c r="B264" s="1237"/>
      <c r="C264" s="1239"/>
      <c r="D264" s="1239">
        <v>42618</v>
      </c>
      <c r="E264" s="1237"/>
      <c r="F264" s="1237"/>
      <c r="G264" s="1237"/>
      <c r="H264" s="1237"/>
      <c r="I264" s="1237"/>
      <c r="J264" s="1237"/>
      <c r="K264" s="1237"/>
      <c r="L264" s="1237"/>
      <c r="M264" s="1237"/>
      <c r="N264" s="1237"/>
      <c r="O264" s="1237"/>
      <c r="P264" s="1241"/>
      <c r="Q264" s="1237"/>
      <c r="R264" s="1237"/>
      <c r="S264" s="1237"/>
      <c r="T264" s="1237"/>
      <c r="U264" s="1237"/>
      <c r="V264" s="1237"/>
      <c r="W264" s="1237"/>
      <c r="X264" s="1237"/>
      <c r="Y264" s="1237"/>
      <c r="Z264" s="1237"/>
      <c r="AA264" s="1237"/>
      <c r="AB264" s="1237"/>
      <c r="AC264" s="1237"/>
      <c r="AD264" s="1237"/>
      <c r="AE264" s="1237"/>
      <c r="AF264" s="1237"/>
      <c r="AG264" s="1237"/>
      <c r="AH264" s="1207"/>
    </row>
    <row r="265" spans="1:34" x14ac:dyDescent="0.2">
      <c r="A265" s="1236"/>
      <c r="B265" s="1237"/>
      <c r="C265" s="1239"/>
      <c r="D265" s="1239"/>
      <c r="E265" s="1237"/>
      <c r="F265" s="1237"/>
      <c r="G265" s="1237"/>
      <c r="H265" s="1237"/>
      <c r="I265" s="1237"/>
      <c r="J265" s="1237"/>
      <c r="K265" s="1237"/>
      <c r="L265" s="1237"/>
      <c r="M265" s="1237"/>
      <c r="N265" s="1237"/>
      <c r="O265" s="1237"/>
      <c r="P265" s="1241"/>
      <c r="Q265" s="1237"/>
      <c r="R265" s="1237"/>
      <c r="S265" s="1237"/>
      <c r="T265" s="1237"/>
      <c r="U265" s="1237"/>
      <c r="V265" s="1237"/>
      <c r="W265" s="1237"/>
      <c r="X265" s="1237"/>
      <c r="Y265" s="1237"/>
      <c r="Z265" s="1237"/>
      <c r="AA265" s="1237"/>
      <c r="AB265" s="1237"/>
      <c r="AC265" s="1237"/>
      <c r="AD265" s="1237"/>
      <c r="AE265" s="1237"/>
      <c r="AF265" s="1237"/>
      <c r="AG265" s="1237"/>
      <c r="AH265" s="1207"/>
    </row>
    <row r="266" spans="1:34" ht="13.5" thickBot="1" x14ac:dyDescent="0.25">
      <c r="A266" s="1236"/>
      <c r="B266" s="1237"/>
      <c r="C266" s="1237"/>
      <c r="D266" s="1237"/>
      <c r="E266" s="1237"/>
      <c r="F266" s="1237"/>
      <c r="G266" s="1237"/>
      <c r="H266" s="1237"/>
      <c r="I266" s="1237"/>
      <c r="J266" s="1237"/>
      <c r="K266" s="1237"/>
      <c r="L266" s="1237"/>
      <c r="M266" s="1237"/>
      <c r="N266" s="1237"/>
      <c r="O266" s="1237"/>
      <c r="P266" s="1241"/>
      <c r="Q266" s="1237"/>
      <c r="R266" s="1237"/>
      <c r="S266" s="1237"/>
      <c r="T266" s="1237"/>
      <c r="U266" s="1237"/>
      <c r="V266" s="1237"/>
      <c r="W266" s="1237"/>
      <c r="X266" s="1237"/>
      <c r="Y266" s="1237"/>
      <c r="Z266" s="1237"/>
      <c r="AA266" s="1237"/>
      <c r="AB266" s="1237"/>
      <c r="AC266" s="1237"/>
      <c r="AD266" s="1237"/>
      <c r="AE266" s="1237"/>
      <c r="AF266" s="1237"/>
      <c r="AG266" s="1237"/>
      <c r="AH266" s="1207"/>
    </row>
    <row r="267" spans="1:34" ht="13.5" thickBot="1" x14ac:dyDescent="0.25">
      <c r="A267" s="1236"/>
      <c r="B267" s="1237"/>
      <c r="C267" s="1243"/>
      <c r="D267" s="1244" t="s">
        <v>16</v>
      </c>
      <c r="E267" s="1244"/>
      <c r="F267" s="1244"/>
      <c r="G267" s="1244"/>
      <c r="H267" s="1244"/>
      <c r="I267" s="1244"/>
      <c r="J267" s="1244"/>
      <c r="K267" s="1244"/>
      <c r="L267" s="1244"/>
      <c r="M267" s="1244"/>
      <c r="N267" s="1244"/>
      <c r="O267" s="1244"/>
      <c r="P267" s="1245"/>
      <c r="Q267" s="1244"/>
      <c r="R267" s="1244"/>
      <c r="S267" s="1244"/>
      <c r="T267" s="1244"/>
      <c r="U267" s="1244"/>
      <c r="V267" s="1244"/>
      <c r="W267" s="1244"/>
      <c r="X267" s="1244"/>
      <c r="Y267" s="1244"/>
      <c r="Z267" s="1244"/>
      <c r="AA267" s="1244"/>
      <c r="AB267" s="1244"/>
      <c r="AC267" s="1244"/>
      <c r="AD267" s="1244"/>
      <c r="AE267" s="1244"/>
      <c r="AF267" s="1244"/>
      <c r="AG267" s="1244"/>
      <c r="AH267" s="1207"/>
    </row>
    <row r="268" spans="1:34" ht="13.5" thickBot="1" x14ac:dyDescent="0.25">
      <c r="A268" s="1236"/>
      <c r="B268" s="1237"/>
      <c r="C268" s="1246" t="s">
        <v>452</v>
      </c>
      <c r="D268" s="1246" t="s">
        <v>453</v>
      </c>
      <c r="E268" s="1246" t="s">
        <v>434</v>
      </c>
      <c r="F268" s="1246" t="s">
        <v>390</v>
      </c>
      <c r="G268" s="1246" t="s">
        <v>454</v>
      </c>
      <c r="H268" s="1246" t="s">
        <v>455</v>
      </c>
      <c r="I268" s="1246" t="s">
        <v>456</v>
      </c>
      <c r="J268" s="1246" t="s">
        <v>457</v>
      </c>
      <c r="K268" s="1246" t="s">
        <v>458</v>
      </c>
      <c r="L268" s="1246" t="s">
        <v>216</v>
      </c>
      <c r="M268" s="1246" t="s">
        <v>459</v>
      </c>
      <c r="N268" s="1246" t="s">
        <v>297</v>
      </c>
      <c r="O268" s="1246" t="s">
        <v>211</v>
      </c>
      <c r="P268" s="1247" t="s">
        <v>270</v>
      </c>
      <c r="Q268" s="1246">
        <v>15</v>
      </c>
      <c r="R268" s="1246">
        <v>16</v>
      </c>
      <c r="S268" s="1246" t="s">
        <v>461</v>
      </c>
      <c r="T268" s="1246" t="s">
        <v>442</v>
      </c>
      <c r="U268" s="1246" t="s">
        <v>462</v>
      </c>
      <c r="V268" s="1246" t="s">
        <v>470</v>
      </c>
      <c r="W268" s="1246" t="s">
        <v>471</v>
      </c>
      <c r="X268" s="1246" t="s">
        <v>472</v>
      </c>
      <c r="Y268" s="1246" t="s">
        <v>463</v>
      </c>
      <c r="Z268" s="1246" t="s">
        <v>465</v>
      </c>
      <c r="AA268" s="1246" t="s">
        <v>466</v>
      </c>
      <c r="AB268" s="1246" t="s">
        <v>435</v>
      </c>
      <c r="AC268" s="1246" t="s">
        <v>467</v>
      </c>
      <c r="AD268" s="1246" t="s">
        <v>464</v>
      </c>
      <c r="AE268" s="1246" t="s">
        <v>429</v>
      </c>
      <c r="AF268" s="1246" t="s">
        <v>149</v>
      </c>
      <c r="AG268" s="1246" t="s">
        <v>210</v>
      </c>
      <c r="AH268" s="1207"/>
    </row>
    <row r="269" spans="1:34" x14ac:dyDescent="0.2">
      <c r="A269" s="1233"/>
      <c r="B269" s="1248"/>
      <c r="C269" s="1237"/>
      <c r="D269" s="1237"/>
      <c r="E269" s="1237"/>
      <c r="F269" s="1237"/>
      <c r="G269" s="1237"/>
      <c r="H269" s="1237"/>
      <c r="I269" s="1237"/>
      <c r="J269" s="1237"/>
      <c r="K269" s="1237"/>
      <c r="L269" s="1237"/>
      <c r="M269" s="1237"/>
      <c r="N269" s="1237"/>
      <c r="O269" s="1237"/>
      <c r="P269" s="1241"/>
      <c r="Q269" s="1237"/>
      <c r="R269" s="1237"/>
      <c r="S269" s="1237"/>
      <c r="T269" s="1237"/>
      <c r="U269" s="1237"/>
      <c r="V269" s="1237"/>
      <c r="W269" s="1237"/>
      <c r="X269" s="1237"/>
      <c r="Y269" s="1237"/>
      <c r="Z269" s="1237"/>
      <c r="AA269" s="1237"/>
      <c r="AB269" s="1237"/>
      <c r="AC269" s="1237"/>
      <c r="AD269" s="1237"/>
      <c r="AE269" s="1237"/>
      <c r="AF269" s="1237"/>
      <c r="AG269" s="1237"/>
      <c r="AH269" s="1207"/>
    </row>
    <row r="270" spans="1:34" x14ac:dyDescent="0.2">
      <c r="A270" s="1236" t="s">
        <v>0</v>
      </c>
      <c r="B270" s="1249">
        <v>12054.7</v>
      </c>
      <c r="C270" s="1237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41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07"/>
    </row>
    <row r="271" spans="1:34" ht="13.5" thickBot="1" x14ac:dyDescent="0.25">
      <c r="A271" s="1250"/>
      <c r="B271" s="1251"/>
      <c r="C271" s="1237"/>
      <c r="D271" s="1237"/>
      <c r="E271" s="1237"/>
      <c r="F271" s="1237"/>
      <c r="G271" s="1237"/>
      <c r="H271" s="1237"/>
      <c r="I271" s="1237"/>
      <c r="J271" s="1237"/>
      <c r="K271" s="1237"/>
      <c r="L271" s="1237"/>
      <c r="M271" s="1237"/>
      <c r="N271" s="1237"/>
      <c r="O271" s="1237"/>
      <c r="P271" s="1241"/>
      <c r="Q271" s="1237"/>
      <c r="R271" s="1237"/>
      <c r="S271" s="1237"/>
      <c r="T271" s="1237"/>
      <c r="U271" s="1237"/>
      <c r="V271" s="1237"/>
      <c r="W271" s="1237"/>
      <c r="X271" s="1237"/>
      <c r="Y271" s="1237"/>
      <c r="Z271" s="1237"/>
      <c r="AA271" s="1237"/>
      <c r="AB271" s="1237"/>
      <c r="AC271" s="1237"/>
      <c r="AD271" s="1237"/>
      <c r="AE271" s="1237"/>
      <c r="AF271" s="1237"/>
      <c r="AG271" s="1237"/>
      <c r="AH271" s="1207"/>
    </row>
    <row r="272" spans="1:34" x14ac:dyDescent="0.2">
      <c r="A272" s="1233"/>
      <c r="B272" s="1253"/>
      <c r="C272" s="1237"/>
      <c r="D272" s="1237"/>
      <c r="E272" s="1237"/>
      <c r="F272" s="1237"/>
      <c r="G272" s="1237"/>
      <c r="H272" s="1237"/>
      <c r="I272" s="1237"/>
      <c r="J272" s="1237"/>
      <c r="K272" s="1237"/>
      <c r="L272" s="1237"/>
      <c r="M272" s="1237"/>
      <c r="N272" s="1237"/>
      <c r="O272" s="1237"/>
      <c r="P272" s="1241"/>
      <c r="Q272" s="1237"/>
      <c r="R272" s="1237"/>
      <c r="S272" s="1237"/>
      <c r="T272" s="1237"/>
      <c r="U272" s="1237"/>
      <c r="V272" s="1237"/>
      <c r="W272" s="1237"/>
      <c r="X272" s="1237"/>
      <c r="Y272" s="1237"/>
      <c r="Z272" s="1237"/>
      <c r="AA272" s="1237"/>
      <c r="AB272" s="1237"/>
      <c r="AC272" s="1237"/>
      <c r="AD272" s="1237"/>
      <c r="AE272" s="1237"/>
      <c r="AF272" s="1237"/>
      <c r="AG272" s="1237"/>
      <c r="AH272" s="1207"/>
    </row>
    <row r="273" spans="1:34" x14ac:dyDescent="0.2">
      <c r="A273" s="1236" t="s">
        <v>1</v>
      </c>
      <c r="B273" s="1249">
        <f>B274+B275+B276</f>
        <v>0</v>
      </c>
      <c r="C273" s="1237"/>
      <c r="D273" s="1237"/>
      <c r="E273" s="1237"/>
      <c r="F273" s="1237"/>
      <c r="G273" s="1237"/>
      <c r="H273" s="1237"/>
      <c r="I273" s="1237"/>
      <c r="J273" s="1237"/>
      <c r="K273" s="1237"/>
      <c r="L273" s="1237"/>
      <c r="M273" s="1237"/>
      <c r="N273" s="1237"/>
      <c r="O273" s="1237"/>
      <c r="P273" s="1241"/>
      <c r="Q273" s="1237"/>
      <c r="R273" s="1237"/>
      <c r="S273" s="1237"/>
      <c r="T273" s="1237"/>
      <c r="U273" s="1237"/>
      <c r="V273" s="1237"/>
      <c r="W273" s="1237"/>
      <c r="X273" s="1237"/>
      <c r="Y273" s="1237"/>
      <c r="Z273" s="1237"/>
      <c r="AA273" s="1237"/>
      <c r="AB273" s="1237"/>
      <c r="AC273" s="1237"/>
      <c r="AD273" s="1237"/>
      <c r="AE273" s="1237"/>
      <c r="AF273" s="1237"/>
      <c r="AG273" s="1237"/>
      <c r="AH273" s="1207"/>
    </row>
    <row r="274" spans="1:34" x14ac:dyDescent="0.2">
      <c r="A274" s="1236" t="s">
        <v>38</v>
      </c>
      <c r="B274" s="1249">
        <f>C322</f>
        <v>0</v>
      </c>
      <c r="C274" s="1237"/>
      <c r="D274" s="1237"/>
      <c r="E274" s="1237"/>
      <c r="F274" s="1237"/>
      <c r="G274" s="1237"/>
      <c r="H274" s="1237"/>
      <c r="I274" s="1237"/>
      <c r="J274" s="1237"/>
      <c r="K274" s="1237"/>
      <c r="L274" s="1237"/>
      <c r="M274" s="1237"/>
      <c r="N274" s="1237"/>
      <c r="O274" s="1237"/>
      <c r="P274" s="1241"/>
      <c r="Q274" s="1237"/>
      <c r="R274" s="1237"/>
      <c r="S274" s="1237"/>
      <c r="T274" s="1237"/>
      <c r="U274" s="1237"/>
      <c r="V274" s="1237"/>
      <c r="W274" s="1237"/>
      <c r="X274" s="1237"/>
      <c r="Y274" s="1237"/>
      <c r="Z274" s="1237"/>
      <c r="AA274" s="1237"/>
      <c r="AB274" s="1237"/>
      <c r="AC274" s="1237"/>
      <c r="AD274" s="1237"/>
      <c r="AE274" s="1237"/>
      <c r="AF274" s="1237"/>
      <c r="AG274" s="1237"/>
      <c r="AH274" s="1207"/>
    </row>
    <row r="275" spans="1:34" x14ac:dyDescent="0.2">
      <c r="A275" s="1236" t="s">
        <v>39</v>
      </c>
      <c r="B275" s="1249">
        <f>C345</f>
        <v>0</v>
      </c>
      <c r="C275" s="1237"/>
      <c r="D275" s="1237"/>
      <c r="E275" s="1237"/>
      <c r="F275" s="1237"/>
      <c r="G275" s="1237"/>
      <c r="H275" s="1237"/>
      <c r="I275" s="1237"/>
      <c r="J275" s="1237"/>
      <c r="K275" s="1237"/>
      <c r="L275" s="1237"/>
      <c r="M275" s="1237"/>
      <c r="N275" s="1237"/>
      <c r="O275" s="1237"/>
      <c r="P275" s="1241"/>
      <c r="Q275" s="1237"/>
      <c r="R275" s="1237"/>
      <c r="S275" s="1237"/>
      <c r="T275" s="1237"/>
      <c r="U275" s="1237"/>
      <c r="V275" s="1237"/>
      <c r="W275" s="1237"/>
      <c r="X275" s="1237"/>
      <c r="Y275" s="1237"/>
      <c r="Z275" s="1237"/>
      <c r="AA275" s="1237"/>
      <c r="AB275" s="1237"/>
      <c r="AC275" s="1237"/>
      <c r="AD275" s="1237"/>
      <c r="AE275" s="1237"/>
      <c r="AF275" s="1237"/>
      <c r="AG275" s="1237"/>
      <c r="AH275" s="1207"/>
    </row>
    <row r="276" spans="1:34" x14ac:dyDescent="0.2">
      <c r="A276" s="1236" t="s">
        <v>3</v>
      </c>
      <c r="B276" s="1249"/>
      <c r="C276" s="1237"/>
      <c r="D276" s="1237"/>
      <c r="E276" s="1237"/>
      <c r="F276" s="1237"/>
      <c r="G276" s="1237"/>
      <c r="H276" s="1237"/>
      <c r="I276" s="1237"/>
      <c r="J276" s="1237"/>
      <c r="K276" s="1237"/>
      <c r="L276" s="1237"/>
      <c r="M276" s="1237"/>
      <c r="N276" s="1237"/>
      <c r="O276" s="1237"/>
      <c r="P276" s="1241"/>
      <c r="Q276" s="1237"/>
      <c r="R276" s="1237"/>
      <c r="S276" s="1237"/>
      <c r="T276" s="1237"/>
      <c r="U276" s="1237"/>
      <c r="V276" s="1237"/>
      <c r="W276" s="1237"/>
      <c r="X276" s="1237"/>
      <c r="Y276" s="1237"/>
      <c r="Z276" s="1237"/>
      <c r="AA276" s="1237"/>
      <c r="AB276" s="1237"/>
      <c r="AC276" s="1237"/>
      <c r="AD276" s="1237"/>
      <c r="AE276" s="1237"/>
      <c r="AF276" s="1237"/>
      <c r="AG276" s="1237"/>
      <c r="AH276" s="1207"/>
    </row>
    <row r="277" spans="1:34" ht="13.5" thickBot="1" x14ac:dyDescent="0.25">
      <c r="A277" s="1250"/>
      <c r="B277" s="1251"/>
      <c r="C277" s="1237"/>
      <c r="D277" s="1237"/>
      <c r="E277" s="1237"/>
      <c r="F277" s="1237"/>
      <c r="G277" s="1237"/>
      <c r="H277" s="1237"/>
      <c r="I277" s="1237"/>
      <c r="J277" s="1237"/>
      <c r="K277" s="1237"/>
      <c r="L277" s="1237"/>
      <c r="M277" s="1237"/>
      <c r="N277" s="1237"/>
      <c r="O277" s="1237"/>
      <c r="P277" s="1241"/>
      <c r="Q277" s="1237"/>
      <c r="R277" s="1237"/>
      <c r="S277" s="1237"/>
      <c r="T277" s="1237"/>
      <c r="U277" s="1237"/>
      <c r="V277" s="1237"/>
      <c r="W277" s="1237"/>
      <c r="X277" s="1237"/>
      <c r="Y277" s="1237"/>
      <c r="Z277" s="1237"/>
      <c r="AA277" s="1237"/>
      <c r="AB277" s="1237"/>
      <c r="AC277" s="1237"/>
      <c r="AD277" s="1237"/>
      <c r="AE277" s="1237"/>
      <c r="AF277" s="1237"/>
      <c r="AG277" s="1237"/>
      <c r="AH277" s="1207"/>
    </row>
    <row r="278" spans="1:34" x14ac:dyDescent="0.2">
      <c r="A278" s="1233"/>
      <c r="B278" s="1253"/>
      <c r="C278" s="1237"/>
      <c r="D278" s="1237"/>
      <c r="E278" s="1237"/>
      <c r="F278" s="1237"/>
      <c r="G278" s="1237"/>
      <c r="H278" s="1237"/>
      <c r="I278" s="1237"/>
      <c r="J278" s="1237"/>
      <c r="K278" s="1237"/>
      <c r="L278" s="1237"/>
      <c r="M278" s="1237"/>
      <c r="N278" s="1237"/>
      <c r="O278" s="1237"/>
      <c r="P278" s="1241"/>
      <c r="Q278" s="1237"/>
      <c r="R278" s="1237"/>
      <c r="S278" s="1237"/>
      <c r="T278" s="1237"/>
      <c r="U278" s="1237"/>
      <c r="V278" s="1237"/>
      <c r="W278" s="1237"/>
      <c r="X278" s="1237"/>
      <c r="Y278" s="1237"/>
      <c r="Z278" s="1237"/>
      <c r="AA278" s="1237"/>
      <c r="AB278" s="1237"/>
      <c r="AC278" s="1237"/>
      <c r="AD278" s="1237"/>
      <c r="AE278" s="1237"/>
      <c r="AF278" s="1237"/>
      <c r="AG278" s="1237"/>
      <c r="AH278" s="1207"/>
    </row>
    <row r="279" spans="1:34" x14ac:dyDescent="0.2">
      <c r="A279" s="1236" t="s">
        <v>4</v>
      </c>
      <c r="B279" s="1249">
        <f>B270-B273</f>
        <v>12054.7</v>
      </c>
      <c r="C279" s="1237"/>
      <c r="D279" s="1237"/>
      <c r="E279" s="1237"/>
      <c r="F279" s="1237"/>
      <c r="G279" s="1237"/>
      <c r="H279" s="1237"/>
      <c r="I279" s="1237"/>
      <c r="J279" s="1237"/>
      <c r="K279" s="1237"/>
      <c r="L279" s="1237"/>
      <c r="M279" s="1237"/>
      <c r="N279" s="1237"/>
      <c r="O279" s="1237"/>
      <c r="P279" s="1241"/>
      <c r="Q279" s="1237"/>
      <c r="R279" s="1237"/>
      <c r="S279" s="1237"/>
      <c r="T279" s="1237"/>
      <c r="U279" s="1237"/>
      <c r="V279" s="1237"/>
      <c r="W279" s="1237"/>
      <c r="X279" s="1237"/>
      <c r="Y279" s="1237"/>
      <c r="Z279" s="1237"/>
      <c r="AA279" s="1237"/>
      <c r="AB279" s="1237"/>
      <c r="AC279" s="1237"/>
      <c r="AD279" s="1237"/>
      <c r="AE279" s="1237"/>
      <c r="AF279" s="1237"/>
      <c r="AG279" s="1237"/>
      <c r="AH279" s="1207"/>
    </row>
    <row r="280" spans="1:34" ht="21" thickBot="1" x14ac:dyDescent="0.35">
      <c r="A280" s="1250"/>
      <c r="B280" s="1251"/>
      <c r="C280" s="1237"/>
      <c r="D280" s="1237"/>
      <c r="E280" s="1237"/>
      <c r="F280" s="1393"/>
      <c r="G280" s="1237"/>
      <c r="H280" s="1237"/>
      <c r="I280" s="1237"/>
      <c r="J280" s="1237"/>
      <c r="K280" s="1237"/>
      <c r="L280" s="1237"/>
      <c r="M280" s="1237"/>
      <c r="N280" s="1237"/>
      <c r="O280" s="1237"/>
      <c r="P280" s="1241"/>
      <c r="Q280" s="1237"/>
      <c r="R280" s="1237"/>
      <c r="S280" s="1237"/>
      <c r="T280" s="1237"/>
      <c r="U280" s="1237"/>
      <c r="V280" s="1237"/>
      <c r="W280" s="1237"/>
      <c r="X280" s="1237"/>
      <c r="Y280" s="1237"/>
      <c r="Z280" s="1237"/>
      <c r="AA280" s="1237"/>
      <c r="AB280" s="1237"/>
      <c r="AC280" s="1237"/>
      <c r="AD280" s="1237"/>
      <c r="AE280" s="1237"/>
      <c r="AF280" s="1237"/>
      <c r="AG280" s="1237"/>
      <c r="AH280" s="1207"/>
    </row>
    <row r="281" spans="1:34" x14ac:dyDescent="0.2">
      <c r="A281" s="1233"/>
      <c r="B281" s="1253"/>
      <c r="C281" s="1237"/>
      <c r="D281" s="1237"/>
      <c r="E281" s="1237"/>
      <c r="F281" s="1237"/>
      <c r="G281" s="1237"/>
      <c r="H281" s="1237"/>
      <c r="I281" s="1237"/>
      <c r="J281" s="1237"/>
      <c r="K281" s="1237"/>
      <c r="L281" s="1237"/>
      <c r="M281" s="1237"/>
      <c r="N281" s="1237"/>
      <c r="O281" s="1237"/>
      <c r="P281" s="1241"/>
      <c r="Q281" s="1237"/>
      <c r="R281" s="1237"/>
      <c r="S281" s="1237"/>
      <c r="T281" s="1237"/>
      <c r="U281" s="1237"/>
      <c r="V281" s="1237"/>
      <c r="W281" s="1237"/>
      <c r="X281" s="1237"/>
      <c r="Y281" s="1237"/>
      <c r="Z281" s="1237"/>
      <c r="AA281" s="1237"/>
      <c r="AB281" s="1237"/>
      <c r="AC281" s="1237"/>
      <c r="AD281" s="1237"/>
      <c r="AE281" s="1237"/>
      <c r="AF281" s="1237"/>
      <c r="AG281" s="1237"/>
      <c r="AH281" s="1207"/>
    </row>
    <row r="282" spans="1:34" x14ac:dyDescent="0.2">
      <c r="A282" s="1236" t="s">
        <v>17</v>
      </c>
      <c r="B282" s="1249"/>
      <c r="C282" s="1237"/>
      <c r="D282" s="1241"/>
      <c r="E282" s="1237"/>
      <c r="F282" s="1237"/>
      <c r="G282" s="1237"/>
      <c r="H282" s="1237"/>
      <c r="I282" s="1237"/>
      <c r="J282" s="1237"/>
      <c r="K282" s="1237"/>
      <c r="L282" s="1237"/>
      <c r="M282" s="1237"/>
      <c r="N282" s="1237"/>
      <c r="O282" s="1237"/>
      <c r="P282" s="1241"/>
      <c r="Q282" s="1237"/>
      <c r="R282" s="1237"/>
      <c r="S282" s="1237"/>
      <c r="T282" s="1237"/>
      <c r="U282" s="1237"/>
      <c r="V282" s="1237"/>
      <c r="W282" s="1237"/>
      <c r="X282" s="1237"/>
      <c r="Y282" s="1237"/>
      <c r="Z282" s="1237"/>
      <c r="AA282" s="1237"/>
      <c r="AB282" s="1237"/>
      <c r="AC282" s="1237"/>
      <c r="AD282" s="1237"/>
      <c r="AE282" s="1237"/>
      <c r="AF282" s="1237"/>
      <c r="AG282" s="1237"/>
      <c r="AH282" s="1207"/>
    </row>
    <row r="283" spans="1:34" ht="13.5" thickBot="1" x14ac:dyDescent="0.25">
      <c r="A283" s="1250"/>
      <c r="B283" s="1251"/>
      <c r="C283" s="1237"/>
      <c r="D283" s="1241"/>
      <c r="E283" s="1237"/>
      <c r="F283" s="1241"/>
      <c r="G283" s="1237"/>
      <c r="H283" s="1580"/>
      <c r="I283" s="1237"/>
      <c r="J283" s="1237"/>
      <c r="K283" s="1237"/>
      <c r="L283" s="1237"/>
      <c r="M283" s="1237"/>
      <c r="N283" s="1237"/>
      <c r="O283" s="1237"/>
      <c r="P283" s="1241"/>
      <c r="Q283" s="1237"/>
      <c r="R283" s="1237"/>
      <c r="S283" s="1237"/>
      <c r="T283" s="1237"/>
      <c r="U283" s="1237"/>
      <c r="V283" s="1237"/>
      <c r="W283" s="1237"/>
      <c r="X283" s="1258"/>
      <c r="Y283" s="1237"/>
      <c r="Z283" s="1237"/>
      <c r="AA283" s="1237"/>
      <c r="AB283" s="1237"/>
      <c r="AC283" s="1237"/>
      <c r="AD283" s="1237"/>
      <c r="AE283" s="1237"/>
      <c r="AF283" s="1625"/>
      <c r="AG283" s="1237"/>
      <c r="AH283" s="1207"/>
    </row>
    <row r="284" spans="1:34" ht="23.25" customHeight="1" x14ac:dyDescent="0.3">
      <c r="A284" s="1233"/>
      <c r="B284" s="1253"/>
      <c r="D284" s="1579"/>
      <c r="E284" s="1564"/>
      <c r="F284" s="1580"/>
      <c r="G284" s="1564"/>
      <c r="H284" s="1625"/>
      <c r="I284" s="1370"/>
      <c r="J284" s="1237"/>
      <c r="K284" s="1394"/>
      <c r="L284" s="1237"/>
      <c r="M284" s="1749"/>
      <c r="N284" s="1749"/>
      <c r="O284" s="1749"/>
      <c r="P284" s="1749"/>
      <c r="Q284" s="1749"/>
      <c r="R284" s="1749"/>
      <c r="S284" s="1534"/>
      <c r="T284" s="1534"/>
      <c r="U284" s="1534"/>
      <c r="V284" s="1534"/>
      <c r="W284" s="1534"/>
      <c r="X284" s="1534"/>
      <c r="Y284" s="1625"/>
      <c r="Z284" s="1625"/>
      <c r="AA284" s="1625"/>
      <c r="AB284" s="1237"/>
      <c r="AC284" s="1237"/>
      <c r="AD284" s="1237"/>
      <c r="AE284" s="1237"/>
      <c r="AF284" s="1625"/>
      <c r="AH284" s="1207"/>
    </row>
    <row r="285" spans="1:34" x14ac:dyDescent="0.2">
      <c r="A285" s="1236" t="s">
        <v>5</v>
      </c>
      <c r="B285" s="1249">
        <f>B279-B282</f>
        <v>12054.7</v>
      </c>
      <c r="C285" s="1392"/>
      <c r="D285" s="1212" t="s">
        <v>1465</v>
      </c>
      <c r="F285" s="1212" t="s">
        <v>1382</v>
      </c>
      <c r="G285" s="1371"/>
      <c r="H285" s="1212" t="s">
        <v>1414</v>
      </c>
      <c r="I285" s="1625"/>
      <c r="J285" s="1626" t="s">
        <v>338</v>
      </c>
      <c r="K285" s="1625"/>
      <c r="L285" s="1625"/>
      <c r="M285" s="1625"/>
      <c r="N285" s="1625"/>
      <c r="O285" s="1625"/>
      <c r="P285" s="1212"/>
      <c r="Q285" s="1370" t="s">
        <v>1044</v>
      </c>
      <c r="R285" s="1625"/>
      <c r="S285" s="1212"/>
      <c r="T285" s="1625"/>
      <c r="U285" s="1625"/>
      <c r="V285" s="1625" t="s">
        <v>1383</v>
      </c>
      <c r="W285" s="1237"/>
      <c r="X285" s="1256"/>
      <c r="Y285" s="1625"/>
      <c r="Z285" s="1212"/>
      <c r="AA285" s="1212"/>
      <c r="AB285" s="1212"/>
      <c r="AC285" s="1395"/>
      <c r="AD285" s="1395" t="s">
        <v>921</v>
      </c>
      <c r="AE285" s="1718" t="s">
        <v>831</v>
      </c>
      <c r="AF285" s="1631" t="s">
        <v>235</v>
      </c>
      <c r="AG285" s="1392" t="s">
        <v>1472</v>
      </c>
      <c r="AH285" s="1207"/>
    </row>
    <row r="286" spans="1:34" ht="13.5" thickBot="1" x14ac:dyDescent="0.25">
      <c r="A286" s="1250"/>
      <c r="B286" s="1251"/>
      <c r="C286" s="1237"/>
      <c r="D286" s="1241"/>
      <c r="E286" s="1237"/>
      <c r="F286" s="1241"/>
      <c r="G286" s="1237"/>
      <c r="H286" s="1241"/>
      <c r="I286" s="1237"/>
      <c r="J286" s="1237"/>
      <c r="K286" s="1237"/>
      <c r="L286" s="1237"/>
      <c r="M286" s="1625"/>
      <c r="N286" s="1237"/>
      <c r="O286" s="1237"/>
      <c r="P286" s="1241"/>
      <c r="Q286" s="1237"/>
      <c r="R286" s="1237"/>
      <c r="S286" s="1237"/>
      <c r="T286" s="1237"/>
      <c r="U286" s="1237"/>
      <c r="V286" s="1237"/>
      <c r="W286" s="1237"/>
      <c r="X286" s="1237"/>
      <c r="Y286" s="1237"/>
      <c r="Z286" s="1237"/>
      <c r="AA286" s="1237"/>
      <c r="AB286" s="1237"/>
      <c r="AC286" s="1237"/>
      <c r="AD286" s="1237"/>
      <c r="AE286" s="1237"/>
      <c r="AF286" s="1237"/>
      <c r="AG286" s="1237"/>
      <c r="AH286" s="1207"/>
    </row>
    <row r="287" spans="1:34" x14ac:dyDescent="0.2">
      <c r="A287" s="1269"/>
      <c r="B287" s="1237"/>
      <c r="C287" s="1270"/>
      <c r="D287" s="1578"/>
      <c r="E287" s="1272"/>
      <c r="F287" s="1273"/>
      <c r="G287" s="1271"/>
      <c r="H287" s="1273"/>
      <c r="I287" s="1271"/>
      <c r="J287" s="1271"/>
      <c r="K287" s="1271"/>
      <c r="L287" s="1271"/>
      <c r="M287" s="1271"/>
      <c r="N287" s="1271"/>
      <c r="O287" s="1271"/>
      <c r="P287" s="1273"/>
      <c r="Q287" s="1271"/>
      <c r="R287" s="1271"/>
      <c r="S287" s="1271"/>
      <c r="T287" s="1271"/>
      <c r="U287" s="1271"/>
      <c r="V287" s="1271"/>
      <c r="W287" s="1271"/>
      <c r="X287" s="1271"/>
      <c r="Y287" s="1271"/>
      <c r="Z287" s="1271"/>
      <c r="AA287" s="1271"/>
      <c r="AB287" s="1271"/>
      <c r="AC287" s="1271"/>
      <c r="AD287" s="1271"/>
      <c r="AE287" s="1271"/>
      <c r="AF287" s="1271"/>
      <c r="AG287" s="1271"/>
      <c r="AH287" s="1207"/>
    </row>
    <row r="288" spans="1:34" ht="13.5" thickBot="1" x14ac:dyDescent="0.25">
      <c r="A288" s="1274" t="s">
        <v>7</v>
      </c>
      <c r="B288" s="1237"/>
      <c r="C288" s="1275">
        <f t="shared" ref="C288:AG288" si="30">C289+C290+C291+C293+C292</f>
        <v>0</v>
      </c>
      <c r="D288" s="1276">
        <f t="shared" si="30"/>
        <v>0</v>
      </c>
      <c r="E288" s="1275">
        <f t="shared" si="30"/>
        <v>0</v>
      </c>
      <c r="F288" s="1276">
        <f t="shared" si="30"/>
        <v>0</v>
      </c>
      <c r="G288" s="1275">
        <f t="shared" si="30"/>
        <v>0</v>
      </c>
      <c r="H288" s="1276">
        <f t="shared" si="30"/>
        <v>0</v>
      </c>
      <c r="I288" s="1275">
        <f t="shared" si="30"/>
        <v>0</v>
      </c>
      <c r="J288" s="1275">
        <f t="shared" si="30"/>
        <v>0</v>
      </c>
      <c r="K288" s="1275">
        <f t="shared" si="30"/>
        <v>0</v>
      </c>
      <c r="L288" s="1275">
        <f t="shared" si="30"/>
        <v>0</v>
      </c>
      <c r="M288" s="1275">
        <f t="shared" si="30"/>
        <v>0</v>
      </c>
      <c r="N288" s="1275">
        <f t="shared" si="30"/>
        <v>0</v>
      </c>
      <c r="O288" s="1275">
        <f t="shared" si="30"/>
        <v>0</v>
      </c>
      <c r="P288" s="1276">
        <f t="shared" si="30"/>
        <v>0</v>
      </c>
      <c r="Q288" s="1275">
        <f t="shared" si="30"/>
        <v>0</v>
      </c>
      <c r="R288" s="1275">
        <f t="shared" si="30"/>
        <v>0</v>
      </c>
      <c r="S288" s="1275">
        <f t="shared" si="30"/>
        <v>0</v>
      </c>
      <c r="T288" s="1275">
        <f t="shared" si="30"/>
        <v>0</v>
      </c>
      <c r="U288" s="1275">
        <f t="shared" si="30"/>
        <v>0</v>
      </c>
      <c r="V288" s="1275">
        <f>V289+V290+V291+V293+V292</f>
        <v>0</v>
      </c>
      <c r="W288" s="1275">
        <f t="shared" si="30"/>
        <v>0</v>
      </c>
      <c r="X288" s="1275">
        <f t="shared" si="30"/>
        <v>0</v>
      </c>
      <c r="Y288" s="1275">
        <f t="shared" si="30"/>
        <v>0</v>
      </c>
      <c r="Z288" s="1275">
        <f t="shared" si="30"/>
        <v>0</v>
      </c>
      <c r="AA288" s="1275">
        <f t="shared" si="30"/>
        <v>0</v>
      </c>
      <c r="AB288" s="1275">
        <f t="shared" si="30"/>
        <v>0</v>
      </c>
      <c r="AC288" s="1275">
        <f t="shared" si="30"/>
        <v>0</v>
      </c>
      <c r="AD288" s="1275">
        <f t="shared" si="30"/>
        <v>0</v>
      </c>
      <c r="AE288" s="1275">
        <f t="shared" si="30"/>
        <v>0</v>
      </c>
      <c r="AF288" s="1275">
        <f t="shared" si="30"/>
        <v>0</v>
      </c>
      <c r="AG288" s="1275">
        <f t="shared" si="30"/>
        <v>0</v>
      </c>
      <c r="AH288" s="1227">
        <f>SUM(C288:AG288)</f>
        <v>0</v>
      </c>
    </row>
    <row r="289" spans="1:34" x14ac:dyDescent="0.2">
      <c r="A289" s="1274" t="s">
        <v>8</v>
      </c>
      <c r="B289" s="1389"/>
      <c r="C289" s="1302"/>
      <c r="D289" s="1306"/>
      <c r="E289" s="1396"/>
      <c r="F289" s="1304"/>
      <c r="G289" s="1303"/>
      <c r="H289" s="1304"/>
      <c r="I289" s="1319"/>
      <c r="J289" s="1303"/>
      <c r="K289" s="1303"/>
      <c r="L289" s="1303"/>
      <c r="M289" s="1303"/>
      <c r="N289" s="1303"/>
      <c r="O289" s="1303"/>
      <c r="P289" s="1304"/>
      <c r="Q289" s="1303"/>
      <c r="R289" s="1303"/>
      <c r="S289" s="1303"/>
      <c r="T289" s="1303"/>
      <c r="U289" s="1303"/>
      <c r="V289" s="1282"/>
      <c r="W289" s="1303"/>
      <c r="X289" s="1303"/>
      <c r="Y289" s="1303"/>
      <c r="Z289" s="1303"/>
      <c r="AA289" s="1303"/>
      <c r="AB289" s="1303"/>
      <c r="AC289" s="1303"/>
      <c r="AD289" s="1303"/>
      <c r="AE289" s="1303"/>
      <c r="AF289" s="1303"/>
      <c r="AG289" s="1397"/>
      <c r="AH289" s="1227">
        <f>SUM(C289:AG289)</f>
        <v>0</v>
      </c>
    </row>
    <row r="290" spans="1:34" x14ac:dyDescent="0.2">
      <c r="A290" s="1274" t="s">
        <v>9</v>
      </c>
      <c r="B290" s="1389"/>
      <c r="C290" s="1293"/>
      <c r="D290" s="1293"/>
      <c r="E290" s="1293"/>
      <c r="F290" s="1293"/>
      <c r="G290" s="1293"/>
      <c r="H290" s="1293"/>
      <c r="I290" s="1293"/>
      <c r="J290" s="1293"/>
      <c r="K290" s="1293"/>
      <c r="L290" s="1293"/>
      <c r="M290" s="1293"/>
      <c r="N290" s="1293"/>
      <c r="O290" s="1293"/>
      <c r="P290" s="1293"/>
      <c r="Q290" s="1293"/>
      <c r="R290" s="1293"/>
      <c r="S290" s="1293"/>
      <c r="T290" s="1293"/>
      <c r="U290" s="1293"/>
      <c r="V290" s="1293"/>
      <c r="W290" s="1293"/>
      <c r="X290" s="1293"/>
      <c r="Y290" s="1293"/>
      <c r="Z290" s="1293"/>
      <c r="AA290" s="1293"/>
      <c r="AB290" s="1293"/>
      <c r="AC290" s="1293"/>
      <c r="AD290" s="1293"/>
      <c r="AE290" s="1293"/>
      <c r="AF290" s="1293"/>
      <c r="AG290" s="1293"/>
      <c r="AH290" s="1227">
        <f>SUM(C290:AG290)</f>
        <v>0</v>
      </c>
    </row>
    <row r="291" spans="1:34" s="1289" customFormat="1" x14ac:dyDescent="0.2">
      <c r="A291" s="1285" t="s">
        <v>10</v>
      </c>
      <c r="B291" s="1372"/>
      <c r="C291" s="1398"/>
      <c r="D291" s="1374"/>
      <c r="E291" s="1374"/>
      <c r="F291" s="1375"/>
      <c r="G291" s="1375"/>
      <c r="H291" s="1398"/>
      <c r="I291" s="1375"/>
      <c r="J291" s="1375">
        <v>-41470</v>
      </c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/>
      <c r="U291" s="1375"/>
      <c r="V291" s="1375"/>
      <c r="W291" s="1375"/>
      <c r="X291" s="1376"/>
      <c r="Y291" s="1375"/>
      <c r="Z291" s="1390"/>
      <c r="AA291" s="1399"/>
      <c r="AB291" s="1375"/>
      <c r="AC291" s="1375"/>
      <c r="AD291" s="1377"/>
      <c r="AE291" s="1375"/>
      <c r="AF291" s="1375">
        <v>-58650</v>
      </c>
      <c r="AG291" s="1375"/>
      <c r="AH291" s="1231">
        <f>SUM(C291:AG291)</f>
        <v>-100120</v>
      </c>
    </row>
    <row r="292" spans="1:34" s="1289" customFormat="1" x14ac:dyDescent="0.2">
      <c r="A292" s="1285" t="s">
        <v>356</v>
      </c>
      <c r="B292" s="1372"/>
      <c r="C292" s="1493"/>
      <c r="D292" s="1493"/>
      <c r="E292" s="1493"/>
      <c r="F292" s="1493"/>
      <c r="G292" s="1493"/>
      <c r="H292" s="1493"/>
      <c r="I292" s="1493"/>
      <c r="J292" s="1493">
        <v>41470</v>
      </c>
      <c r="K292" s="1493"/>
      <c r="L292" s="1493"/>
      <c r="M292" s="1493"/>
      <c r="N292" s="1493"/>
      <c r="O292" s="1493"/>
      <c r="P292" s="1493"/>
      <c r="Q292" s="1493"/>
      <c r="R292" s="1493"/>
      <c r="S292" s="1493"/>
      <c r="T292" s="1493"/>
      <c r="U292" s="1493"/>
      <c r="V292" s="1493"/>
      <c r="W292" s="1493"/>
      <c r="X292" s="1493"/>
      <c r="Y292" s="1493"/>
      <c r="Z292" s="1493"/>
      <c r="AA292" s="1493"/>
      <c r="AB292" s="1493"/>
      <c r="AC292" s="1493"/>
      <c r="AD292" s="1493"/>
      <c r="AE292" s="1493"/>
      <c r="AF292" s="1493">
        <v>58650</v>
      </c>
      <c r="AG292" s="1493"/>
      <c r="AH292" s="1456">
        <f>SUM(C292:AG292)</f>
        <v>100120</v>
      </c>
    </row>
    <row r="293" spans="1:34" x14ac:dyDescent="0.2">
      <c r="A293" s="1274" t="s">
        <v>11</v>
      </c>
      <c r="B293" s="1237"/>
      <c r="C293" s="1293"/>
      <c r="D293" s="1293"/>
      <c r="E293" s="1293"/>
      <c r="F293" s="1293"/>
      <c r="G293" s="1293"/>
      <c r="H293" s="1293"/>
      <c r="I293" s="1293"/>
      <c r="J293" s="1293"/>
      <c r="K293" s="1293"/>
      <c r="L293" s="1293"/>
      <c r="M293" s="1293"/>
      <c r="N293" s="1293"/>
      <c r="O293" s="1293"/>
      <c r="P293" s="1293"/>
      <c r="Q293" s="1293"/>
      <c r="R293" s="1293"/>
      <c r="S293" s="1293"/>
      <c r="T293" s="1293"/>
      <c r="U293" s="1293"/>
      <c r="V293" s="1293"/>
      <c r="W293" s="1293"/>
      <c r="X293" s="1293"/>
      <c r="Y293" s="1293"/>
      <c r="Z293" s="1293"/>
      <c r="AA293" s="1293"/>
      <c r="AB293" s="1293"/>
      <c r="AC293" s="1293"/>
      <c r="AD293" s="1293"/>
      <c r="AE293" s="1293"/>
      <c r="AF293" s="1293"/>
      <c r="AG293" s="1293"/>
      <c r="AH293" s="1207"/>
    </row>
    <row r="294" spans="1:34" ht="13.5" thickBot="1" x14ac:dyDescent="0.25">
      <c r="A294" s="1294"/>
      <c r="B294" s="1237"/>
      <c r="C294" s="1302"/>
      <c r="D294" s="1302"/>
      <c r="E294" s="1302"/>
      <c r="F294" s="1303"/>
      <c r="G294" s="1303"/>
      <c r="H294" s="1303"/>
      <c r="I294" s="1303"/>
      <c r="J294" s="1303"/>
      <c r="K294" s="1303"/>
      <c r="L294" s="1303"/>
      <c r="M294" s="1303"/>
      <c r="N294" s="1303"/>
      <c r="O294" s="1303"/>
      <c r="P294" s="1304"/>
      <c r="Q294" s="1303"/>
      <c r="R294" s="1303"/>
      <c r="S294" s="1303"/>
      <c r="T294" s="1303"/>
      <c r="U294" s="1303"/>
      <c r="V294" s="1303"/>
      <c r="W294" s="1303"/>
      <c r="X294" s="1303"/>
      <c r="Y294" s="1303"/>
      <c r="Z294" s="1303"/>
      <c r="AA294" s="1303"/>
      <c r="AB294" s="1303"/>
      <c r="AC294" s="1303"/>
      <c r="AD294" s="1303"/>
      <c r="AE294" s="1303"/>
      <c r="AF294" s="1303"/>
      <c r="AG294" s="1303"/>
      <c r="AH294" s="1207"/>
    </row>
    <row r="295" spans="1:34" x14ac:dyDescent="0.2">
      <c r="A295" s="1269"/>
      <c r="B295" s="1237"/>
      <c r="C295" s="1296"/>
      <c r="D295" s="1297"/>
      <c r="E295" s="1297"/>
      <c r="F295" s="1298"/>
      <c r="G295" s="1298"/>
      <c r="H295" s="1298"/>
      <c r="I295" s="1298"/>
      <c r="J295" s="1298"/>
      <c r="K295" s="1298"/>
      <c r="L295" s="1298"/>
      <c r="M295" s="1298"/>
      <c r="N295" s="1298"/>
      <c r="O295" s="1298"/>
      <c r="P295" s="1299"/>
      <c r="Q295" s="1298"/>
      <c r="R295" s="1298"/>
      <c r="S295" s="1298"/>
      <c r="T295" s="1298"/>
      <c r="U295" s="1298"/>
      <c r="V295" s="1298"/>
      <c r="W295" s="1298"/>
      <c r="X295" s="1298"/>
      <c r="Y295" s="1298"/>
      <c r="Z295" s="1298"/>
      <c r="AA295" s="1298"/>
      <c r="AB295" s="1298"/>
      <c r="AC295" s="1298"/>
      <c r="AD295" s="1298"/>
      <c r="AE295" s="1298"/>
      <c r="AF295" s="1298"/>
      <c r="AG295" s="1298"/>
      <c r="AH295" s="1207"/>
    </row>
    <row r="296" spans="1:34" ht="13.5" thickBot="1" x14ac:dyDescent="0.25">
      <c r="A296" s="1274" t="s">
        <v>12</v>
      </c>
      <c r="B296" s="1237"/>
      <c r="C296" s="1275">
        <f t="shared" ref="C296:AG296" si="31">C297</f>
        <v>0</v>
      </c>
      <c r="D296" s="1275">
        <f t="shared" si="31"/>
        <v>0</v>
      </c>
      <c r="E296" s="1275">
        <f t="shared" si="31"/>
        <v>0</v>
      </c>
      <c r="F296" s="1275">
        <f t="shared" si="31"/>
        <v>0</v>
      </c>
      <c r="G296" s="1275">
        <f t="shared" si="31"/>
        <v>0</v>
      </c>
      <c r="H296" s="1275">
        <f t="shared" si="31"/>
        <v>0</v>
      </c>
      <c r="I296" s="1275">
        <f t="shared" si="31"/>
        <v>0</v>
      </c>
      <c r="J296" s="1275">
        <f t="shared" si="31"/>
        <v>0</v>
      </c>
      <c r="K296" s="1275">
        <f t="shared" si="31"/>
        <v>0</v>
      </c>
      <c r="L296" s="1275">
        <f t="shared" si="31"/>
        <v>0</v>
      </c>
      <c r="M296" s="1275">
        <f t="shared" si="31"/>
        <v>0</v>
      </c>
      <c r="N296" s="1275">
        <f t="shared" si="31"/>
        <v>0</v>
      </c>
      <c r="O296" s="1275">
        <f t="shared" si="31"/>
        <v>0</v>
      </c>
      <c r="P296" s="1276">
        <f t="shared" si="31"/>
        <v>0</v>
      </c>
      <c r="Q296" s="1275">
        <f t="shared" si="31"/>
        <v>0</v>
      </c>
      <c r="R296" s="1275">
        <f t="shared" si="31"/>
        <v>0</v>
      </c>
      <c r="S296" s="1275">
        <f t="shared" si="31"/>
        <v>0</v>
      </c>
      <c r="T296" s="1275">
        <f t="shared" si="31"/>
        <v>0</v>
      </c>
      <c r="U296" s="1275">
        <f t="shared" si="31"/>
        <v>0</v>
      </c>
      <c r="V296" s="1275">
        <f t="shared" si="31"/>
        <v>0</v>
      </c>
      <c r="W296" s="1275">
        <f t="shared" si="31"/>
        <v>0</v>
      </c>
      <c r="X296" s="1275">
        <f t="shared" si="31"/>
        <v>0</v>
      </c>
      <c r="Y296" s="1275">
        <f t="shared" si="31"/>
        <v>0</v>
      </c>
      <c r="Z296" s="1275">
        <f t="shared" si="31"/>
        <v>0</v>
      </c>
      <c r="AA296" s="1275">
        <f t="shared" si="31"/>
        <v>0</v>
      </c>
      <c r="AB296" s="1275">
        <f t="shared" si="31"/>
        <v>0</v>
      </c>
      <c r="AC296" s="1275">
        <f t="shared" si="31"/>
        <v>0</v>
      </c>
      <c r="AD296" s="1275">
        <f t="shared" si="31"/>
        <v>0</v>
      </c>
      <c r="AE296" s="1275">
        <f t="shared" si="31"/>
        <v>0</v>
      </c>
      <c r="AF296" s="1275">
        <f t="shared" si="31"/>
        <v>0</v>
      </c>
      <c r="AG296" s="1275">
        <f t="shared" si="31"/>
        <v>0</v>
      </c>
      <c r="AH296" s="1207"/>
    </row>
    <row r="297" spans="1:34" x14ac:dyDescent="0.2">
      <c r="A297" s="1274" t="s">
        <v>8</v>
      </c>
      <c r="B297" s="1237"/>
      <c r="C297" s="1302"/>
      <c r="D297" s="1302"/>
      <c r="E297" s="1302"/>
      <c r="F297" s="1303"/>
      <c r="G297" s="1303"/>
      <c r="H297" s="1303"/>
      <c r="I297" s="1303"/>
      <c r="J297" s="1303"/>
      <c r="K297" s="1303"/>
      <c r="L297" s="1303"/>
      <c r="M297" s="1303"/>
      <c r="N297" s="1303"/>
      <c r="O297" s="1303"/>
      <c r="P297" s="1304"/>
      <c r="Q297" s="1303"/>
      <c r="R297" s="1303"/>
      <c r="S297" s="1303"/>
      <c r="T297" s="1303"/>
      <c r="U297" s="1303"/>
      <c r="V297" s="1303"/>
      <c r="W297" s="1303"/>
      <c r="X297" s="1303"/>
      <c r="Y297" s="1303"/>
      <c r="Z297" s="1303"/>
      <c r="AA297" s="1303"/>
      <c r="AB297" s="1303"/>
      <c r="AC297" s="1303"/>
      <c r="AD297" s="1303"/>
      <c r="AE297" s="1303"/>
      <c r="AF297" s="1303"/>
      <c r="AG297" s="1303"/>
      <c r="AH297" s="1207"/>
    </row>
    <row r="298" spans="1:34" x14ac:dyDescent="0.2">
      <c r="A298" s="1274" t="s">
        <v>775</v>
      </c>
      <c r="B298" s="1237"/>
      <c r="C298" s="1293"/>
      <c r="D298" s="1293">
        <v>1000</v>
      </c>
      <c r="E298" s="1293">
        <v>928.98299999999995</v>
      </c>
      <c r="F298" s="1293">
        <v>6158.0689999999995</v>
      </c>
      <c r="G298" s="1293">
        <v>4035.2490000000003</v>
      </c>
      <c r="H298" s="1293"/>
      <c r="I298" s="1293"/>
      <c r="J298" s="1293">
        <v>980</v>
      </c>
      <c r="K298" s="1293"/>
      <c r="L298" s="1293">
        <v>17231.012000000002</v>
      </c>
      <c r="M298" s="1293"/>
      <c r="N298" s="1293">
        <v>980</v>
      </c>
      <c r="O298" s="1293">
        <v>1300.961</v>
      </c>
      <c r="P298" s="1293"/>
      <c r="Q298" s="1293">
        <v>11759.22</v>
      </c>
      <c r="R298" s="1293">
        <v>1548.85</v>
      </c>
      <c r="S298" s="1293">
        <v>9537.8379999999997</v>
      </c>
      <c r="T298" s="1293">
        <v>2050</v>
      </c>
      <c r="U298" s="1293"/>
      <c r="V298" s="1293">
        <v>12268.195</v>
      </c>
      <c r="W298" s="1293">
        <v>1955.7959999999998</v>
      </c>
      <c r="X298" s="1293">
        <v>9772.7170000000006</v>
      </c>
      <c r="Y298" s="1293">
        <v>4029.9120000000003</v>
      </c>
      <c r="Z298" s="1293">
        <v>3185.1529999999998</v>
      </c>
      <c r="AA298" s="1293">
        <v>22882.046999999999</v>
      </c>
      <c r="AB298" s="1293">
        <v>5980</v>
      </c>
      <c r="AC298" s="1293">
        <v>1555</v>
      </c>
      <c r="AD298" s="1293"/>
      <c r="AE298" s="1293">
        <v>13340.434000000001</v>
      </c>
      <c r="AF298" s="1293">
        <v>18216.077999999998</v>
      </c>
      <c r="AG298" s="1293">
        <v>15263.879000000001</v>
      </c>
      <c r="AH298" s="1455">
        <f>SUM(C298:AG298)</f>
        <v>165959.39300000004</v>
      </c>
    </row>
    <row r="299" spans="1:34" ht="13.5" thickBot="1" x14ac:dyDescent="0.25">
      <c r="A299" s="1294"/>
      <c r="B299" s="1237"/>
      <c r="C299" s="1302"/>
      <c r="D299" s="1302"/>
      <c r="E299" s="1302"/>
      <c r="F299" s="1303"/>
      <c r="G299" s="1303"/>
      <c r="H299" s="1303"/>
      <c r="I299" s="1303"/>
      <c r="J299" s="1303"/>
      <c r="K299" s="1303"/>
      <c r="L299" s="1303"/>
      <c r="M299" s="1303"/>
      <c r="N299" s="1303"/>
      <c r="O299" s="1303"/>
      <c r="P299" s="1304"/>
      <c r="Q299" s="1303"/>
      <c r="R299" s="1303"/>
      <c r="S299" s="1303"/>
      <c r="T299" s="1303"/>
      <c r="U299" s="1303"/>
      <c r="V299" s="1303"/>
      <c r="W299" s="1303"/>
      <c r="X299" s="1303"/>
      <c r="Y299" s="1303"/>
      <c r="Z299" s="1303"/>
      <c r="AA299" s="1303"/>
      <c r="AB299" s="1303"/>
      <c r="AC299" s="1303"/>
      <c r="AD299" s="1303"/>
      <c r="AE299" s="1303"/>
      <c r="AF299" s="1303"/>
      <c r="AG299" s="1303"/>
      <c r="AH299" s="1207"/>
    </row>
    <row r="300" spans="1:34" x14ac:dyDescent="0.2">
      <c r="A300" s="1269"/>
      <c r="B300" s="1237"/>
      <c r="C300" s="1296"/>
      <c r="D300" s="1297"/>
      <c r="E300" s="1297"/>
      <c r="F300" s="1298"/>
      <c r="G300" s="1298"/>
      <c r="H300" s="1298"/>
      <c r="I300" s="1298"/>
      <c r="J300" s="1298"/>
      <c r="K300" s="1298"/>
      <c r="L300" s="1298"/>
      <c r="M300" s="1298"/>
      <c r="N300" s="1298"/>
      <c r="O300" s="1298"/>
      <c r="P300" s="1299"/>
      <c r="Q300" s="1298"/>
      <c r="R300" s="1298"/>
      <c r="S300" s="1298"/>
      <c r="T300" s="1298"/>
      <c r="U300" s="1298"/>
      <c r="V300" s="1298"/>
      <c r="W300" s="1298"/>
      <c r="X300" s="1298"/>
      <c r="Y300" s="1298"/>
      <c r="Z300" s="1298"/>
      <c r="AA300" s="1298"/>
      <c r="AB300" s="1298"/>
      <c r="AC300" s="1298"/>
      <c r="AD300" s="1298"/>
      <c r="AE300" s="1298"/>
      <c r="AF300" s="1298"/>
      <c r="AG300" s="1298"/>
      <c r="AH300" s="1207"/>
    </row>
    <row r="301" spans="1:34" x14ac:dyDescent="0.2">
      <c r="A301" s="1274" t="s">
        <v>13</v>
      </c>
      <c r="B301" s="1237"/>
      <c r="C301" s="1300">
        <f t="shared" ref="C301:AG301" si="32">C296-C288</f>
        <v>0</v>
      </c>
      <c r="D301" s="1300">
        <f t="shared" si="32"/>
        <v>0</v>
      </c>
      <c r="E301" s="1300">
        <f t="shared" si="32"/>
        <v>0</v>
      </c>
      <c r="F301" s="1300">
        <f t="shared" si="32"/>
        <v>0</v>
      </c>
      <c r="G301" s="1300">
        <f t="shared" si="32"/>
        <v>0</v>
      </c>
      <c r="H301" s="1300">
        <f t="shared" si="32"/>
        <v>0</v>
      </c>
      <c r="I301" s="1300">
        <f t="shared" si="32"/>
        <v>0</v>
      </c>
      <c r="J301" s="1300">
        <f t="shared" si="32"/>
        <v>0</v>
      </c>
      <c r="K301" s="1300">
        <f t="shared" si="32"/>
        <v>0</v>
      </c>
      <c r="L301" s="1300">
        <f t="shared" si="32"/>
        <v>0</v>
      </c>
      <c r="M301" s="1300">
        <f t="shared" si="32"/>
        <v>0</v>
      </c>
      <c r="N301" s="1300">
        <f t="shared" si="32"/>
        <v>0</v>
      </c>
      <c r="O301" s="1300">
        <f t="shared" si="32"/>
        <v>0</v>
      </c>
      <c r="P301" s="1301">
        <f t="shared" si="32"/>
        <v>0</v>
      </c>
      <c r="Q301" s="1300">
        <f t="shared" si="32"/>
        <v>0</v>
      </c>
      <c r="R301" s="1300">
        <f t="shared" si="32"/>
        <v>0</v>
      </c>
      <c r="S301" s="1300">
        <f t="shared" si="32"/>
        <v>0</v>
      </c>
      <c r="T301" s="1300">
        <f t="shared" si="32"/>
        <v>0</v>
      </c>
      <c r="U301" s="1300">
        <f t="shared" si="32"/>
        <v>0</v>
      </c>
      <c r="V301" s="1300">
        <f t="shared" si="32"/>
        <v>0</v>
      </c>
      <c r="W301" s="1300">
        <f t="shared" si="32"/>
        <v>0</v>
      </c>
      <c r="X301" s="1300">
        <f t="shared" si="32"/>
        <v>0</v>
      </c>
      <c r="Y301" s="1300">
        <f t="shared" si="32"/>
        <v>0</v>
      </c>
      <c r="Z301" s="1300">
        <f t="shared" si="32"/>
        <v>0</v>
      </c>
      <c r="AA301" s="1300">
        <f t="shared" si="32"/>
        <v>0</v>
      </c>
      <c r="AB301" s="1300">
        <f t="shared" si="32"/>
        <v>0</v>
      </c>
      <c r="AC301" s="1300">
        <f t="shared" si="32"/>
        <v>0</v>
      </c>
      <c r="AD301" s="1300">
        <f t="shared" si="32"/>
        <v>0</v>
      </c>
      <c r="AE301" s="1300">
        <f t="shared" si="32"/>
        <v>0</v>
      </c>
      <c r="AF301" s="1300">
        <f t="shared" si="32"/>
        <v>0</v>
      </c>
      <c r="AG301" s="1300">
        <f t="shared" si="32"/>
        <v>0</v>
      </c>
      <c r="AH301" s="1207"/>
    </row>
    <row r="302" spans="1:34" ht="13.5" thickBot="1" x14ac:dyDescent="0.25">
      <c r="A302" s="1274"/>
      <c r="B302" s="1237"/>
      <c r="C302" s="1300"/>
      <c r="D302" s="1302"/>
      <c r="E302" s="1302"/>
      <c r="F302" s="1303"/>
      <c r="G302" s="1303"/>
      <c r="H302" s="1303"/>
      <c r="I302" s="1303"/>
      <c r="J302" s="1303"/>
      <c r="K302" s="1303"/>
      <c r="L302" s="1303"/>
      <c r="M302" s="1303"/>
      <c r="N302" s="1303"/>
      <c r="O302" s="1303"/>
      <c r="P302" s="1304"/>
      <c r="Q302" s="1303"/>
      <c r="R302" s="1303"/>
      <c r="S302" s="1303"/>
      <c r="T302" s="1303"/>
      <c r="U302" s="1303"/>
      <c r="V302" s="1303"/>
      <c r="W302" s="1303"/>
      <c r="X302" s="1303"/>
      <c r="Y302" s="1303"/>
      <c r="Z302" s="1303"/>
      <c r="AA302" s="1303"/>
      <c r="AB302" s="1303"/>
      <c r="AC302" s="1303"/>
      <c r="AD302" s="1303"/>
      <c r="AE302" s="1303"/>
      <c r="AF302" s="1303"/>
      <c r="AG302" s="1303"/>
      <c r="AH302" s="1207"/>
    </row>
    <row r="303" spans="1:34" x14ac:dyDescent="0.2">
      <c r="A303" s="1233"/>
      <c r="B303" s="1234"/>
      <c r="C303" s="1305"/>
      <c r="D303" s="1297"/>
      <c r="E303" s="1297"/>
      <c r="F303" s="1298"/>
      <c r="G303" s="1298"/>
      <c r="H303" s="1298"/>
      <c r="I303" s="1298"/>
      <c r="J303" s="1298"/>
      <c r="K303" s="1298"/>
      <c r="L303" s="1298"/>
      <c r="M303" s="1298"/>
      <c r="N303" s="1298"/>
      <c r="O303" s="1298"/>
      <c r="P303" s="1299"/>
      <c r="Q303" s="1298"/>
      <c r="R303" s="1298"/>
      <c r="S303" s="1298"/>
      <c r="T303" s="1298"/>
      <c r="U303" s="1298"/>
      <c r="V303" s="1298"/>
      <c r="W303" s="1298"/>
      <c r="X303" s="1298"/>
      <c r="Y303" s="1298"/>
      <c r="Z303" s="1298"/>
      <c r="AA303" s="1298"/>
      <c r="AB303" s="1298"/>
      <c r="AC303" s="1298"/>
      <c r="AD303" s="1298"/>
      <c r="AE303" s="1298"/>
      <c r="AF303" s="1298"/>
      <c r="AG303" s="1298"/>
      <c r="AH303" s="1207"/>
    </row>
    <row r="304" spans="1:34" x14ac:dyDescent="0.2">
      <c r="A304" s="1236" t="s">
        <v>15</v>
      </c>
      <c r="B304" s="1237"/>
      <c r="C304" s="1302">
        <f>B285+C301</f>
        <v>12054.7</v>
      </c>
      <c r="D304" s="1302">
        <f t="shared" ref="D304:AG304" si="33">C311+D301</f>
        <v>12054.7</v>
      </c>
      <c r="E304" s="1302">
        <f t="shared" si="33"/>
        <v>12054.7</v>
      </c>
      <c r="F304" s="1302">
        <f t="shared" si="33"/>
        <v>12054.7</v>
      </c>
      <c r="G304" s="1302">
        <f t="shared" si="33"/>
        <v>12054.7</v>
      </c>
      <c r="H304" s="1302">
        <f t="shared" si="33"/>
        <v>12054.7</v>
      </c>
      <c r="I304" s="1302">
        <f t="shared" si="33"/>
        <v>12054.7</v>
      </c>
      <c r="J304" s="1302">
        <f t="shared" si="33"/>
        <v>12054.7</v>
      </c>
      <c r="K304" s="1302">
        <f t="shared" si="33"/>
        <v>12054.7</v>
      </c>
      <c r="L304" s="1302">
        <f t="shared" si="33"/>
        <v>12054.7</v>
      </c>
      <c r="M304" s="1302">
        <f t="shared" si="33"/>
        <v>12054.7</v>
      </c>
      <c r="N304" s="1302">
        <f t="shared" si="33"/>
        <v>12054.7</v>
      </c>
      <c r="O304" s="1302">
        <f t="shared" si="33"/>
        <v>12054.7</v>
      </c>
      <c r="P304" s="1306">
        <f t="shared" si="33"/>
        <v>12054.7</v>
      </c>
      <c r="Q304" s="1302">
        <f t="shared" si="33"/>
        <v>12054.7</v>
      </c>
      <c r="R304" s="1302">
        <f t="shared" si="33"/>
        <v>12054.7</v>
      </c>
      <c r="S304" s="1302">
        <f t="shared" si="33"/>
        <v>12054.7</v>
      </c>
      <c r="T304" s="1302">
        <f t="shared" si="33"/>
        <v>12054.7</v>
      </c>
      <c r="U304" s="1302">
        <f t="shared" si="33"/>
        <v>12054.7</v>
      </c>
      <c r="V304" s="1302">
        <f t="shared" si="33"/>
        <v>12054.7</v>
      </c>
      <c r="W304" s="1302">
        <f t="shared" si="33"/>
        <v>12054.7</v>
      </c>
      <c r="X304" s="1302">
        <f t="shared" si="33"/>
        <v>12054.7</v>
      </c>
      <c r="Y304" s="1302">
        <f t="shared" si="33"/>
        <v>12054.7</v>
      </c>
      <c r="Z304" s="1302">
        <f t="shared" si="33"/>
        <v>12054.7</v>
      </c>
      <c r="AA304" s="1302">
        <f t="shared" si="33"/>
        <v>12054.7</v>
      </c>
      <c r="AB304" s="1302">
        <f t="shared" si="33"/>
        <v>12054.7</v>
      </c>
      <c r="AC304" s="1302">
        <f t="shared" si="33"/>
        <v>12054.7</v>
      </c>
      <c r="AD304" s="1302">
        <f t="shared" si="33"/>
        <v>12054.7</v>
      </c>
      <c r="AE304" s="1302">
        <f t="shared" si="33"/>
        <v>12054.7</v>
      </c>
      <c r="AF304" s="1302">
        <f t="shared" si="33"/>
        <v>12054.7</v>
      </c>
      <c r="AG304" s="1302">
        <f t="shared" si="33"/>
        <v>12054.7</v>
      </c>
      <c r="AH304" s="1207"/>
    </row>
    <row r="305" spans="1:34" ht="13.5" thickBot="1" x14ac:dyDescent="0.25">
      <c r="A305" s="1250"/>
      <c r="B305" s="1307"/>
      <c r="C305" s="1308"/>
      <c r="D305" s="1308"/>
      <c r="E305" s="1308"/>
      <c r="F305" s="1309"/>
      <c r="G305" s="1309"/>
      <c r="H305" s="1309"/>
      <c r="I305" s="1309"/>
      <c r="J305" s="1309"/>
      <c r="K305" s="1309"/>
      <c r="L305" s="1309"/>
      <c r="M305" s="1309"/>
      <c r="N305" s="1309"/>
      <c r="O305" s="1309"/>
      <c r="P305" s="1310"/>
      <c r="Q305" s="1309"/>
      <c r="R305" s="1309"/>
      <c r="S305" s="1309"/>
      <c r="T305" s="1309"/>
      <c r="U305" s="1309"/>
      <c r="V305" s="1309"/>
      <c r="W305" s="1309"/>
      <c r="X305" s="1309"/>
      <c r="Y305" s="1309"/>
      <c r="Z305" s="1309"/>
      <c r="AA305" s="1309"/>
      <c r="AB305" s="1309"/>
      <c r="AC305" s="1309"/>
      <c r="AD305" s="1309"/>
      <c r="AE305" s="1309"/>
      <c r="AF305" s="1309"/>
      <c r="AG305" s="1309"/>
      <c r="AH305" s="1207"/>
    </row>
    <row r="306" spans="1:34" x14ac:dyDescent="0.2">
      <c r="A306" s="1233"/>
      <c r="B306" s="1234"/>
      <c r="C306" s="1297"/>
      <c r="D306" s="1297"/>
      <c r="E306" s="1297"/>
      <c r="F306" s="1298"/>
      <c r="G306" s="1298"/>
      <c r="H306" s="1298"/>
      <c r="I306" s="1298"/>
      <c r="J306" s="1298"/>
      <c r="K306" s="1298"/>
      <c r="L306" s="1298"/>
      <c r="M306" s="1298"/>
      <c r="N306" s="1298"/>
      <c r="O306" s="1298"/>
      <c r="P306" s="1299"/>
      <c r="Q306" s="1298"/>
      <c r="R306" s="1298"/>
      <c r="S306" s="1298"/>
      <c r="T306" s="1298"/>
      <c r="U306" s="1298"/>
      <c r="V306" s="1298"/>
      <c r="W306" s="1298"/>
      <c r="X306" s="1298"/>
      <c r="Y306" s="1298"/>
      <c r="Z306" s="1298"/>
      <c r="AA306" s="1298"/>
      <c r="AB306" s="1298"/>
      <c r="AC306" s="1298"/>
      <c r="AD306" s="1298"/>
      <c r="AE306" s="1298"/>
      <c r="AF306" s="1298"/>
      <c r="AG306" s="1298"/>
      <c r="AH306" s="1207"/>
    </row>
    <row r="307" spans="1:34" x14ac:dyDescent="0.2">
      <c r="A307" s="1236" t="s">
        <v>82</v>
      </c>
      <c r="B307" s="1237"/>
      <c r="C307" s="1302">
        <f t="shared" ref="C307:AG308" si="34">C315</f>
        <v>0</v>
      </c>
      <c r="D307" s="1302">
        <f t="shared" si="34"/>
        <v>0</v>
      </c>
      <c r="E307" s="1302">
        <f t="shared" si="34"/>
        <v>0</v>
      </c>
      <c r="F307" s="1302">
        <f t="shared" si="34"/>
        <v>0</v>
      </c>
      <c r="G307" s="1302">
        <f t="shared" si="34"/>
        <v>0</v>
      </c>
      <c r="H307" s="1302">
        <f t="shared" si="34"/>
        <v>0</v>
      </c>
      <c r="I307" s="1302">
        <f t="shared" si="34"/>
        <v>0</v>
      </c>
      <c r="J307" s="1302">
        <f t="shared" si="34"/>
        <v>0</v>
      </c>
      <c r="K307" s="1302">
        <f t="shared" si="34"/>
        <v>0</v>
      </c>
      <c r="L307" s="1302">
        <f t="shared" si="34"/>
        <v>0</v>
      </c>
      <c r="M307" s="1302">
        <f t="shared" si="34"/>
        <v>0</v>
      </c>
      <c r="N307" s="1302">
        <f t="shared" si="34"/>
        <v>0</v>
      </c>
      <c r="O307" s="1302">
        <f t="shared" si="34"/>
        <v>0</v>
      </c>
      <c r="P307" s="1306">
        <f t="shared" si="34"/>
        <v>0</v>
      </c>
      <c r="Q307" s="1302">
        <f t="shared" si="34"/>
        <v>0</v>
      </c>
      <c r="R307" s="1302">
        <f t="shared" si="34"/>
        <v>0</v>
      </c>
      <c r="S307" s="1302">
        <f t="shared" si="34"/>
        <v>0</v>
      </c>
      <c r="T307" s="1302">
        <f t="shared" si="34"/>
        <v>0</v>
      </c>
      <c r="U307" s="1302">
        <f t="shared" si="34"/>
        <v>0</v>
      </c>
      <c r="V307" s="1302">
        <f t="shared" si="34"/>
        <v>0</v>
      </c>
      <c r="W307" s="1302">
        <f t="shared" si="34"/>
        <v>0</v>
      </c>
      <c r="X307" s="1302">
        <f t="shared" si="34"/>
        <v>0</v>
      </c>
      <c r="Y307" s="1302">
        <f t="shared" si="34"/>
        <v>0</v>
      </c>
      <c r="Z307" s="1302">
        <f t="shared" si="34"/>
        <v>0</v>
      </c>
      <c r="AA307" s="1302">
        <f t="shared" si="34"/>
        <v>0</v>
      </c>
      <c r="AB307" s="1302">
        <f t="shared" si="34"/>
        <v>0</v>
      </c>
      <c r="AC307" s="1302">
        <f t="shared" si="34"/>
        <v>0</v>
      </c>
      <c r="AD307" s="1302">
        <f t="shared" si="34"/>
        <v>0</v>
      </c>
      <c r="AE307" s="1302">
        <f t="shared" si="34"/>
        <v>0</v>
      </c>
      <c r="AF307" s="1302">
        <f t="shared" si="34"/>
        <v>0</v>
      </c>
      <c r="AG307" s="1302">
        <f t="shared" si="34"/>
        <v>0</v>
      </c>
      <c r="AH307" s="1207"/>
    </row>
    <row r="308" spans="1:34" x14ac:dyDescent="0.2">
      <c r="A308" s="1236" t="s">
        <v>83</v>
      </c>
      <c r="B308" s="1237"/>
      <c r="C308" s="1306">
        <f t="shared" si="34"/>
        <v>0</v>
      </c>
      <c r="D308" s="1306">
        <f t="shared" si="34"/>
        <v>0</v>
      </c>
      <c r="E308" s="1306">
        <f t="shared" si="34"/>
        <v>0</v>
      </c>
      <c r="F308" s="1306">
        <f t="shared" si="34"/>
        <v>0</v>
      </c>
      <c r="G308" s="1306">
        <f t="shared" si="34"/>
        <v>0</v>
      </c>
      <c r="H308" s="1306">
        <f t="shared" si="34"/>
        <v>0</v>
      </c>
      <c r="I308" s="1306">
        <f t="shared" si="34"/>
        <v>0</v>
      </c>
      <c r="J308" s="1306">
        <f t="shared" si="34"/>
        <v>0</v>
      </c>
      <c r="K308" s="1306">
        <f t="shared" si="34"/>
        <v>0</v>
      </c>
      <c r="L308" s="1306">
        <f t="shared" si="34"/>
        <v>0</v>
      </c>
      <c r="M308" s="1306">
        <f t="shared" si="34"/>
        <v>0</v>
      </c>
      <c r="N308" s="1306">
        <f t="shared" si="34"/>
        <v>0</v>
      </c>
      <c r="O308" s="1306">
        <f t="shared" si="34"/>
        <v>0</v>
      </c>
      <c r="P308" s="1306">
        <f t="shared" si="34"/>
        <v>0</v>
      </c>
      <c r="Q308" s="1306">
        <f t="shared" si="34"/>
        <v>0</v>
      </c>
      <c r="R308" s="1306">
        <f t="shared" si="34"/>
        <v>0</v>
      </c>
      <c r="S308" s="1306">
        <f t="shared" si="34"/>
        <v>0</v>
      </c>
      <c r="T308" s="1306">
        <f t="shared" si="34"/>
        <v>0</v>
      </c>
      <c r="U308" s="1306">
        <f t="shared" si="34"/>
        <v>0</v>
      </c>
      <c r="V308" s="1306">
        <f t="shared" si="34"/>
        <v>0</v>
      </c>
      <c r="W308" s="1306">
        <f t="shared" si="34"/>
        <v>0</v>
      </c>
      <c r="X308" s="1306">
        <f t="shared" si="34"/>
        <v>0</v>
      </c>
      <c r="Y308" s="1306">
        <f t="shared" si="34"/>
        <v>0</v>
      </c>
      <c r="Z308" s="1306">
        <f t="shared" si="34"/>
        <v>0</v>
      </c>
      <c r="AA308" s="1306">
        <f t="shared" si="34"/>
        <v>0</v>
      </c>
      <c r="AB308" s="1306">
        <f t="shared" si="34"/>
        <v>0</v>
      </c>
      <c r="AC308" s="1306">
        <f t="shared" si="34"/>
        <v>0</v>
      </c>
      <c r="AD308" s="1306">
        <f t="shared" si="34"/>
        <v>0</v>
      </c>
      <c r="AE308" s="1306">
        <f t="shared" si="34"/>
        <v>0</v>
      </c>
      <c r="AF308" s="1306">
        <f t="shared" si="34"/>
        <v>0</v>
      </c>
      <c r="AG308" s="1306">
        <f t="shared" si="34"/>
        <v>0</v>
      </c>
      <c r="AH308" s="1207"/>
    </row>
    <row r="309" spans="1:34" ht="13.5" thickBot="1" x14ac:dyDescent="0.25">
      <c r="A309" s="1250"/>
      <c r="B309" s="1307"/>
      <c r="C309" s="1308"/>
      <c r="D309" s="1308"/>
      <c r="E309" s="1308"/>
      <c r="F309" s="1309"/>
      <c r="G309" s="1309"/>
      <c r="H309" s="1309"/>
      <c r="I309" s="1309"/>
      <c r="J309" s="1309"/>
      <c r="K309" s="1309"/>
      <c r="L309" s="1309"/>
      <c r="M309" s="1309"/>
      <c r="N309" s="1309"/>
      <c r="O309" s="1309"/>
      <c r="P309" s="1310"/>
      <c r="Q309" s="1309"/>
      <c r="R309" s="1309"/>
      <c r="S309" s="1309"/>
      <c r="T309" s="1309"/>
      <c r="U309" s="1309"/>
      <c r="V309" s="1309"/>
      <c r="W309" s="1309"/>
      <c r="X309" s="1309"/>
      <c r="Y309" s="1309"/>
      <c r="Z309" s="1309"/>
      <c r="AA309" s="1309"/>
      <c r="AB309" s="1309"/>
      <c r="AC309" s="1309"/>
      <c r="AD309" s="1309"/>
      <c r="AE309" s="1309"/>
      <c r="AF309" s="1309"/>
      <c r="AG309" s="1309"/>
      <c r="AH309" s="1207"/>
    </row>
    <row r="310" spans="1:34" x14ac:dyDescent="0.2">
      <c r="A310" s="1236"/>
      <c r="B310" s="1237"/>
      <c r="C310" s="1302"/>
      <c r="D310" s="1302"/>
      <c r="E310" s="1302"/>
      <c r="F310" s="1303"/>
      <c r="G310" s="1303"/>
      <c r="H310" s="1303"/>
      <c r="I310" s="1303"/>
      <c r="J310" s="1303"/>
      <c r="K310" s="1303"/>
      <c r="L310" s="1303"/>
      <c r="M310" s="1303"/>
      <c r="N310" s="1303"/>
      <c r="O310" s="1303"/>
      <c r="P310" s="1304"/>
      <c r="Q310" s="1303"/>
      <c r="R310" s="1303"/>
      <c r="S310" s="1303"/>
      <c r="T310" s="1303"/>
      <c r="U310" s="1303"/>
      <c r="V310" s="1303"/>
      <c r="W310" s="1303"/>
      <c r="X310" s="1303"/>
      <c r="Y310" s="1303"/>
      <c r="Z310" s="1303"/>
      <c r="AA310" s="1303"/>
      <c r="AB310" s="1303"/>
      <c r="AC310" s="1303"/>
      <c r="AD310" s="1303"/>
      <c r="AE310" s="1303"/>
      <c r="AF310" s="1303"/>
      <c r="AG310" s="1303"/>
      <c r="AH310" s="1207"/>
    </row>
    <row r="311" spans="1:34" x14ac:dyDescent="0.2">
      <c r="A311" s="1236" t="s">
        <v>14</v>
      </c>
      <c r="B311" s="1237"/>
      <c r="C311" s="1302">
        <f t="shared" ref="C311:AG311" si="35">C304+C307+C308</f>
        <v>12054.7</v>
      </c>
      <c r="D311" s="1302">
        <f t="shared" si="35"/>
        <v>12054.7</v>
      </c>
      <c r="E311" s="1302">
        <f t="shared" si="35"/>
        <v>12054.7</v>
      </c>
      <c r="F311" s="1302">
        <f t="shared" si="35"/>
        <v>12054.7</v>
      </c>
      <c r="G311" s="1302">
        <f t="shared" si="35"/>
        <v>12054.7</v>
      </c>
      <c r="H311" s="1302">
        <f t="shared" si="35"/>
        <v>12054.7</v>
      </c>
      <c r="I311" s="1302">
        <f t="shared" si="35"/>
        <v>12054.7</v>
      </c>
      <c r="J311" s="1302">
        <f t="shared" si="35"/>
        <v>12054.7</v>
      </c>
      <c r="K311" s="1302">
        <f t="shared" si="35"/>
        <v>12054.7</v>
      </c>
      <c r="L311" s="1302">
        <f t="shared" si="35"/>
        <v>12054.7</v>
      </c>
      <c r="M311" s="1302">
        <f t="shared" si="35"/>
        <v>12054.7</v>
      </c>
      <c r="N311" s="1302">
        <f t="shared" si="35"/>
        <v>12054.7</v>
      </c>
      <c r="O311" s="1302">
        <f t="shared" si="35"/>
        <v>12054.7</v>
      </c>
      <c r="P311" s="1306">
        <f t="shared" si="35"/>
        <v>12054.7</v>
      </c>
      <c r="Q311" s="1302">
        <f t="shared" si="35"/>
        <v>12054.7</v>
      </c>
      <c r="R311" s="1302">
        <f t="shared" si="35"/>
        <v>12054.7</v>
      </c>
      <c r="S311" s="1302">
        <f t="shared" si="35"/>
        <v>12054.7</v>
      </c>
      <c r="T311" s="1302">
        <f t="shared" si="35"/>
        <v>12054.7</v>
      </c>
      <c r="U311" s="1302">
        <f t="shared" si="35"/>
        <v>12054.7</v>
      </c>
      <c r="V311" s="1302">
        <f t="shared" si="35"/>
        <v>12054.7</v>
      </c>
      <c r="W311" s="1302">
        <f t="shared" si="35"/>
        <v>12054.7</v>
      </c>
      <c r="X311" s="1302">
        <f t="shared" si="35"/>
        <v>12054.7</v>
      </c>
      <c r="Y311" s="1302">
        <f t="shared" si="35"/>
        <v>12054.7</v>
      </c>
      <c r="Z311" s="1302">
        <f t="shared" si="35"/>
        <v>12054.7</v>
      </c>
      <c r="AA311" s="1302">
        <f t="shared" si="35"/>
        <v>12054.7</v>
      </c>
      <c r="AB311" s="1302">
        <f t="shared" si="35"/>
        <v>12054.7</v>
      </c>
      <c r="AC311" s="1302">
        <f t="shared" si="35"/>
        <v>12054.7</v>
      </c>
      <c r="AD311" s="1302">
        <f t="shared" si="35"/>
        <v>12054.7</v>
      </c>
      <c r="AE311" s="1302">
        <f t="shared" si="35"/>
        <v>12054.7</v>
      </c>
      <c r="AF311" s="1302">
        <f t="shared" si="35"/>
        <v>12054.7</v>
      </c>
      <c r="AG311" s="1302">
        <f t="shared" si="35"/>
        <v>12054.7</v>
      </c>
      <c r="AH311" s="1207"/>
    </row>
    <row r="312" spans="1:34" x14ac:dyDescent="0.2">
      <c r="A312" s="1236"/>
      <c r="B312" s="1237"/>
      <c r="C312" s="1302"/>
      <c r="D312" s="1302"/>
      <c r="E312" s="1302"/>
      <c r="F312" s="1303"/>
      <c r="G312" s="1303"/>
      <c r="H312" s="1303"/>
      <c r="I312" s="1303"/>
      <c r="J312" s="1303"/>
      <c r="K312" s="1303"/>
      <c r="L312" s="1303"/>
      <c r="M312" s="1303"/>
      <c r="N312" s="1303"/>
      <c r="O312" s="1303"/>
      <c r="P312" s="1304"/>
      <c r="Q312" s="1303"/>
      <c r="R312" s="1303"/>
      <c r="S312" s="1303"/>
      <c r="T312" s="1303"/>
      <c r="U312" s="1303"/>
      <c r="V312" s="1303"/>
      <c r="W312" s="1303"/>
      <c r="X312" s="1303"/>
      <c r="Y312" s="1303"/>
      <c r="Z312" s="1303"/>
      <c r="AA312" s="1303"/>
      <c r="AB312" s="1303"/>
      <c r="AC312" s="1303"/>
      <c r="AD312" s="1303"/>
      <c r="AE312" s="1303"/>
      <c r="AF312" s="1303"/>
      <c r="AG312" s="1303"/>
      <c r="AH312" s="1207"/>
    </row>
    <row r="313" spans="1:34" ht="13.5" thickBot="1" x14ac:dyDescent="0.25">
      <c r="A313" s="1250"/>
      <c r="B313" s="1307"/>
      <c r="C313" s="1312"/>
      <c r="D313" s="1312"/>
      <c r="E313" s="1312"/>
      <c r="F313" s="1313"/>
      <c r="G313" s="1313"/>
      <c r="H313" s="1313"/>
      <c r="I313" s="1313"/>
      <c r="J313" s="1313"/>
      <c r="K313" s="1313"/>
      <c r="L313" s="1313"/>
      <c r="M313" s="1313"/>
      <c r="N313" s="1313"/>
      <c r="O313" s="1313"/>
      <c r="P313" s="1314"/>
      <c r="Q313" s="1313"/>
      <c r="R313" s="1313"/>
      <c r="S313" s="1313"/>
      <c r="T313" s="1313"/>
      <c r="U313" s="1313"/>
      <c r="V313" s="1313"/>
      <c r="W313" s="1313"/>
      <c r="X313" s="1313"/>
      <c r="Y313" s="1313"/>
      <c r="Z313" s="1313"/>
      <c r="AA313" s="1313"/>
      <c r="AB313" s="1313"/>
      <c r="AC313" s="1313"/>
      <c r="AD313" s="1313"/>
      <c r="AE313" s="1313"/>
      <c r="AF313" s="1313"/>
      <c r="AG313" s="1313"/>
      <c r="AH313" s="1207"/>
    </row>
    <row r="314" spans="1:34" x14ac:dyDescent="0.2">
      <c r="A314" s="1316"/>
      <c r="B314" s="1207"/>
      <c r="C314" s="1227"/>
      <c r="D314" s="1227"/>
      <c r="E314" s="1227"/>
      <c r="F314" s="1227"/>
      <c r="G314" s="1227"/>
      <c r="H314" s="1227"/>
      <c r="I314" s="1227"/>
      <c r="J314" s="1227"/>
      <c r="K314" s="1227"/>
      <c r="L314" s="1227"/>
      <c r="M314" s="1227"/>
      <c r="N314" s="1227"/>
      <c r="O314" s="1227"/>
      <c r="P314" s="1229"/>
      <c r="Q314" s="1227"/>
      <c r="R314" s="1227"/>
      <c r="S314" s="1227"/>
      <c r="T314" s="1227"/>
      <c r="U314" s="1227"/>
      <c r="V314" s="1227"/>
      <c r="W314" s="1227"/>
      <c r="X314" s="1227"/>
      <c r="Y314" s="1227"/>
      <c r="Z314" s="1227"/>
      <c r="AA314" s="1227"/>
      <c r="AB314" s="1227"/>
      <c r="AC314" s="1227"/>
      <c r="AD314" s="1227"/>
      <c r="AE314" s="1227"/>
      <c r="AF314" s="1227"/>
      <c r="AG314" s="1227"/>
      <c r="AH314" s="1227">
        <f>SUM(C314:AG314)</f>
        <v>0</v>
      </c>
    </row>
    <row r="315" spans="1:34" x14ac:dyDescent="0.2">
      <c r="A315" s="1344"/>
      <c r="B315" s="1383"/>
      <c r="C315" s="1219"/>
      <c r="D315" s="1221">
        <f>27123.731-13189.779-8731.861-5202.091</f>
        <v>0</v>
      </c>
      <c r="E315" s="1356"/>
      <c r="F315" s="1219">
        <f>19516.756-16414.557-3102.199</f>
        <v>0</v>
      </c>
      <c r="G315" s="1219"/>
      <c r="H315" s="1220"/>
      <c r="I315" s="1219"/>
      <c r="J315" s="1219"/>
      <c r="K315" s="1219"/>
      <c r="L315" s="1219"/>
      <c r="M315" s="1220"/>
      <c r="N315" s="1220"/>
      <c r="O315" s="1220">
        <f>10913.984-7466.84-3447.144</f>
        <v>0</v>
      </c>
      <c r="P315" s="1221"/>
      <c r="Q315" s="1219"/>
      <c r="R315" s="1219"/>
      <c r="S315" s="1219"/>
      <c r="T315" s="1219"/>
      <c r="U315" s="1219"/>
      <c r="V315" s="1219"/>
      <c r="W315" s="1220"/>
      <c r="X315" s="1220"/>
      <c r="Y315" s="1220"/>
      <c r="Z315" s="1220"/>
      <c r="AA315" s="1220"/>
      <c r="AB315" s="1220"/>
      <c r="AC315" s="1220"/>
      <c r="AD315" s="1221"/>
      <c r="AE315" s="1219"/>
      <c r="AF315" s="1219"/>
      <c r="AG315" s="1219"/>
      <c r="AH315" s="1227"/>
    </row>
    <row r="316" spans="1:34" x14ac:dyDescent="0.2">
      <c r="A316" s="1207"/>
      <c r="B316" s="1207"/>
      <c r="C316" s="1207"/>
      <c r="D316" s="1207"/>
      <c r="E316" s="134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1208"/>
      <c r="Q316" s="1207"/>
      <c r="R316" s="1207"/>
      <c r="S316" s="1207"/>
      <c r="T316" s="1207"/>
      <c r="U316" s="1207"/>
      <c r="V316" s="1207"/>
      <c r="W316" s="1207"/>
      <c r="X316" s="1207"/>
      <c r="Y316" s="1207"/>
      <c r="Z316" s="1207"/>
      <c r="AA316" s="1207"/>
      <c r="AB316" s="1207"/>
      <c r="AC316" s="1207"/>
      <c r="AD316" s="1207"/>
      <c r="AE316" s="1207"/>
      <c r="AF316" s="1207"/>
      <c r="AG316" s="1207"/>
      <c r="AH316" s="1227"/>
    </row>
    <row r="317" spans="1:34" x14ac:dyDescent="0.2">
      <c r="A317" s="1210" t="s">
        <v>415</v>
      </c>
      <c r="B317" s="1215">
        <f>B318+B319+B321+B320</f>
        <v>1020000</v>
      </c>
      <c r="C317" s="1367"/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1208"/>
      <c r="Q317" s="1207"/>
      <c r="R317" s="1207"/>
      <c r="S317" s="1207"/>
      <c r="T317" s="1207"/>
      <c r="U317" s="1401"/>
      <c r="V317" s="1220"/>
      <c r="W317" s="1227"/>
      <c r="X317" s="1207"/>
      <c r="Y317" s="1207"/>
      <c r="Z317" s="1207"/>
      <c r="AA317" s="1384"/>
      <c r="AB317" s="1207"/>
      <c r="AC317" s="1207"/>
      <c r="AD317" s="1207"/>
      <c r="AE317" s="1207"/>
      <c r="AF317" s="1207"/>
      <c r="AG317" s="1207"/>
      <c r="AH317" s="1207"/>
    </row>
    <row r="318" spans="1:34" x14ac:dyDescent="0.2">
      <c r="A318" s="1365" t="s">
        <v>414</v>
      </c>
      <c r="B318" s="1219">
        <v>20000</v>
      </c>
      <c r="C318" s="1207"/>
      <c r="D318" s="1207"/>
      <c r="E318" s="122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8"/>
      <c r="Q318" s="1207"/>
      <c r="R318" s="1207"/>
      <c r="S318" s="1207"/>
      <c r="T318" s="1207"/>
      <c r="U318" s="1230"/>
      <c r="V318" s="1230"/>
      <c r="W318" s="1207"/>
      <c r="X318" s="1207"/>
      <c r="Y318" s="1207"/>
      <c r="Z318" s="1207"/>
      <c r="AA318" s="1207"/>
      <c r="AB318" s="1207"/>
      <c r="AC318" s="1227"/>
      <c r="AD318" s="1227"/>
      <c r="AE318" s="1207"/>
      <c r="AF318" s="1207"/>
      <c r="AG318" s="1207"/>
      <c r="AH318" s="1207"/>
    </row>
    <row r="319" spans="1:34" x14ac:dyDescent="0.2">
      <c r="A319" s="1365" t="s">
        <v>287</v>
      </c>
      <c r="B319" s="1219">
        <v>600000</v>
      </c>
      <c r="C319" s="1207"/>
      <c r="D319" s="1207"/>
      <c r="E319" s="1207"/>
      <c r="F319" s="1207"/>
      <c r="G319" s="1207"/>
      <c r="H319" s="1207"/>
      <c r="I319" s="1207"/>
      <c r="J319" s="1207"/>
      <c r="K319" s="1227"/>
      <c r="L319" s="1207"/>
      <c r="M319" s="1207"/>
      <c r="N319" s="1207"/>
      <c r="O319" s="1207"/>
      <c r="P319" s="1208"/>
      <c r="Q319" s="1207"/>
      <c r="R319" s="1207"/>
      <c r="S319" s="1207"/>
      <c r="T319" s="1207"/>
      <c r="U319" s="1402"/>
      <c r="V319" s="1230"/>
      <c r="W319" s="1207"/>
      <c r="X319" s="1227"/>
      <c r="Y319" s="1207"/>
      <c r="Z319" s="1207"/>
      <c r="AA319" s="1207"/>
      <c r="AB319" s="1207"/>
      <c r="AC319" s="1207"/>
      <c r="AD319" s="1207"/>
      <c r="AE319" s="1207"/>
      <c r="AF319" s="1207"/>
      <c r="AG319" s="1207"/>
    </row>
    <row r="320" spans="1:34" x14ac:dyDescent="0.2">
      <c r="A320" s="1316" t="s">
        <v>413</v>
      </c>
      <c r="B320" s="1219">
        <v>200000</v>
      </c>
      <c r="C320" s="1207"/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8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07"/>
      <c r="AA320" s="1207"/>
      <c r="AB320" s="1207"/>
      <c r="AC320" s="1207"/>
      <c r="AD320" s="1207"/>
      <c r="AE320" s="1207"/>
      <c r="AF320" s="1207"/>
      <c r="AG320" s="1207"/>
    </row>
    <row r="321" spans="1:33" x14ac:dyDescent="0.2">
      <c r="A321" s="1316" t="s">
        <v>441</v>
      </c>
      <c r="B321" s="1219">
        <v>200000</v>
      </c>
      <c r="C321" s="1207"/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1208"/>
      <c r="Q321" s="1207"/>
      <c r="R321" s="1207"/>
      <c r="S321" s="1207"/>
      <c r="T321" s="1207"/>
      <c r="U321" s="1207"/>
      <c r="V321" s="1207"/>
      <c r="W321" s="1207"/>
      <c r="X321" s="1207"/>
      <c r="Y321" s="1207"/>
      <c r="Z321" s="1207"/>
      <c r="AA321" s="1207"/>
      <c r="AB321" s="1207"/>
      <c r="AC321" s="1207"/>
      <c r="AD321" s="1207"/>
      <c r="AE321" s="1207"/>
      <c r="AF321" s="1207"/>
      <c r="AG321" s="1207"/>
    </row>
    <row r="322" spans="1:33" x14ac:dyDescent="0.2">
      <c r="A322" s="1207"/>
      <c r="B322" s="1207"/>
      <c r="C322" s="1207"/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8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07"/>
      <c r="AA322" s="1207"/>
      <c r="AB322" s="1207"/>
      <c r="AC322" s="1207"/>
      <c r="AD322" s="1207"/>
      <c r="AE322" s="1207"/>
      <c r="AF322" s="1207"/>
      <c r="AG322" s="1207"/>
    </row>
    <row r="323" spans="1:33" x14ac:dyDescent="0.2">
      <c r="A323" s="1223" t="s">
        <v>449</v>
      </c>
      <c r="B323" s="1280"/>
      <c r="K323" s="1223"/>
      <c r="L323" s="1207"/>
    </row>
    <row r="324" spans="1:33" x14ac:dyDescent="0.2">
      <c r="AB324" s="1283"/>
      <c r="AC324" s="1283"/>
      <c r="AD324" s="1283"/>
      <c r="AE324" s="1283"/>
    </row>
    <row r="331" spans="1:33" ht="15" x14ac:dyDescent="0.2">
      <c r="A331" s="1403"/>
      <c r="B331" s="1404"/>
    </row>
    <row r="332" spans="1:33" ht="15" x14ac:dyDescent="0.2">
      <c r="A332" s="1403"/>
      <c r="B332" s="1404"/>
    </row>
    <row r="333" spans="1:33" ht="15" x14ac:dyDescent="0.2">
      <c r="A333" s="1403"/>
      <c r="B333" s="1404"/>
    </row>
    <row r="338" spans="1:2" s="1209" customFormat="1" ht="18" x14ac:dyDescent="0.25">
      <c r="A338" s="1751"/>
      <c r="B338" s="1751"/>
    </row>
    <row r="339" spans="1:2" s="1209" customFormat="1" x14ac:dyDescent="0.2">
      <c r="A339" s="1206"/>
      <c r="B339" s="1206"/>
    </row>
    <row r="341" spans="1:2" s="1209" customFormat="1" x14ac:dyDescent="0.2">
      <c r="A341" s="1223"/>
      <c r="B341" s="1280"/>
    </row>
    <row r="342" spans="1:2" s="1209" customFormat="1" x14ac:dyDescent="0.2">
      <c r="A342" s="1223"/>
      <c r="B342" s="1280"/>
    </row>
    <row r="343" spans="1:2" s="1209" customFormat="1" x14ac:dyDescent="0.2">
      <c r="A343" s="1223"/>
      <c r="B343" s="1280"/>
    </row>
    <row r="344" spans="1:2" s="1209" customFormat="1" x14ac:dyDescent="0.2">
      <c r="A344" s="1223"/>
      <c r="B344" s="1280"/>
    </row>
    <row r="345" spans="1:2" s="1209" customFormat="1" x14ac:dyDescent="0.2">
      <c r="A345" s="1223"/>
      <c r="B345" s="1280"/>
    </row>
    <row r="346" spans="1:2" s="1209" customFormat="1" x14ac:dyDescent="0.2">
      <c r="A346" s="1223"/>
      <c r="B346" s="1280"/>
    </row>
    <row r="347" spans="1:2" s="1209" customFormat="1" x14ac:dyDescent="0.2">
      <c r="A347" s="1223"/>
      <c r="B347" s="1280"/>
    </row>
    <row r="348" spans="1:2" s="1209" customFormat="1" x14ac:dyDescent="0.2">
      <c r="A348" s="1223"/>
      <c r="B348" s="1280"/>
    </row>
    <row r="349" spans="1:2" s="1209" customFormat="1" x14ac:dyDescent="0.2">
      <c r="A349" s="1223"/>
      <c r="B349" s="1280"/>
    </row>
    <row r="350" spans="1:2" s="1209" customFormat="1" x14ac:dyDescent="0.2">
      <c r="A350" s="1223"/>
      <c r="B350" s="1280"/>
    </row>
    <row r="351" spans="1:2" s="1209" customFormat="1" x14ac:dyDescent="0.2">
      <c r="A351" s="1223"/>
      <c r="B351" s="1280"/>
    </row>
    <row r="354" spans="2:2" s="1209" customFormat="1" x14ac:dyDescent="0.2">
      <c r="B354" s="1280"/>
    </row>
    <row r="355" spans="2:2" s="1209" customFormat="1" x14ac:dyDescent="0.2">
      <c r="B355" s="1280"/>
    </row>
    <row r="356" spans="2:2" s="1209" customFormat="1" x14ac:dyDescent="0.2">
      <c r="B356" s="1280"/>
    </row>
    <row r="358" spans="2:2" s="1209" customFormat="1" x14ac:dyDescent="0.2">
      <c r="B358" s="1405"/>
    </row>
  </sheetData>
  <mergeCells count="7">
    <mergeCell ref="A338:B338"/>
    <mergeCell ref="AC37:AD37"/>
    <mergeCell ref="I153:L153"/>
    <mergeCell ref="M153:U153"/>
    <mergeCell ref="V153:X153"/>
    <mergeCell ref="L220:M220"/>
    <mergeCell ref="M284:R284"/>
  </mergeCells>
  <pageMargins left="0.78740157480314965" right="0.78740157480314965" top="0.98425196850393704" bottom="0.98425196850393704" header="0.51181102362204722" footer="0.51181102362204722"/>
  <pageSetup paperSize="9" scale="34" fitToHeight="2" orientation="landscape" horizontalDpi="300" verticalDpi="300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358"/>
  <sheetViews>
    <sheetView topLeftCell="A19" workbookViewId="0">
      <pane ySplit="2355" topLeftCell="A304" activePane="bottomLeft"/>
      <selection activeCell="AF20" sqref="AF20"/>
      <selection pane="bottomLeft" activeCell="D40" sqref="D40"/>
    </sheetView>
  </sheetViews>
  <sheetFormatPr defaultColWidth="11.42578125" defaultRowHeight="12.75" x14ac:dyDescent="0.2"/>
  <cols>
    <col min="1" max="1" width="37.42578125" style="1209" customWidth="1"/>
    <col min="2" max="2" width="13.7109375" style="1209" customWidth="1"/>
    <col min="3" max="3" width="14" style="1209" customWidth="1"/>
    <col min="4" max="4" width="14.28515625" style="1209" customWidth="1"/>
    <col min="5" max="5" width="14.42578125" style="1209" bestFit="1" customWidth="1"/>
    <col min="6" max="6" width="12.7109375" style="1209" customWidth="1"/>
    <col min="7" max="7" width="13.85546875" style="1209" customWidth="1"/>
    <col min="8" max="8" width="13" style="1209" customWidth="1"/>
    <col min="9" max="9" width="11.7109375" style="1209" customWidth="1"/>
    <col min="10" max="11" width="10.85546875" style="1209" customWidth="1"/>
    <col min="12" max="12" width="11.85546875" style="1209" customWidth="1"/>
    <col min="13" max="13" width="10.85546875" style="1209" customWidth="1"/>
    <col min="14" max="14" width="10.28515625" style="1209" customWidth="1"/>
    <col min="15" max="15" width="10.85546875" style="1209" customWidth="1"/>
    <col min="16" max="16" width="10.85546875" style="1320" customWidth="1"/>
    <col min="17" max="17" width="12.28515625" style="1209" customWidth="1"/>
    <col min="18" max="18" width="11.85546875" style="1209" customWidth="1"/>
    <col min="19" max="19" width="11.42578125" style="1209"/>
    <col min="20" max="20" width="14" style="1209" customWidth="1"/>
    <col min="21" max="21" width="14.140625" style="1209" customWidth="1"/>
    <col min="22" max="22" width="11.85546875" style="1209" bestFit="1" customWidth="1"/>
    <col min="23" max="26" width="11.85546875" style="1209" customWidth="1"/>
    <col min="27" max="27" width="13.7109375" style="1209" customWidth="1"/>
    <col min="28" max="31" width="12.42578125" style="1209" customWidth="1"/>
    <col min="32" max="32" width="12" style="1209" customWidth="1"/>
    <col min="33" max="33" width="13.5703125" style="1209" customWidth="1"/>
    <col min="34" max="34" width="13.85546875" style="1209" bestFit="1" customWidth="1"/>
    <col min="35" max="35" width="11.85546875" style="1209" bestFit="1" customWidth="1"/>
    <col min="36" max="39" width="11.42578125" style="1209"/>
    <col min="40" max="40" width="13.85546875" style="1209" bestFit="1" customWidth="1"/>
    <col min="41" max="41" width="11.42578125" style="1209"/>
    <col min="42" max="42" width="13.85546875" style="1209" bestFit="1" customWidth="1"/>
    <col min="43" max="16384" width="11.42578125" style="1209"/>
  </cols>
  <sheetData>
    <row r="1" spans="1:36" x14ac:dyDescent="0.2">
      <c r="A1" s="1206" t="s">
        <v>693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8"/>
      <c r="Q1" s="1207"/>
      <c r="R1" s="1207"/>
      <c r="S1" s="1207"/>
      <c r="T1" s="1207"/>
      <c r="U1" s="1207"/>
      <c r="V1" s="1207"/>
      <c r="W1" s="1207"/>
      <c r="X1" s="1207"/>
      <c r="Y1" s="1207"/>
      <c r="Z1" s="1207"/>
      <c r="AA1" s="1207"/>
      <c r="AB1" s="1207"/>
      <c r="AC1" s="1207"/>
      <c r="AD1" s="1207"/>
      <c r="AE1" s="1207"/>
      <c r="AF1" s="1207"/>
      <c r="AG1" s="1207"/>
      <c r="AH1" s="1207"/>
    </row>
    <row r="2" spans="1:36" x14ac:dyDescent="0.2">
      <c r="A2" s="1210" t="s">
        <v>694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8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</row>
    <row r="3" spans="1:36" x14ac:dyDescent="0.2">
      <c r="A3" s="1210" t="s">
        <v>680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</row>
    <row r="4" spans="1:36" x14ac:dyDescent="0.2">
      <c r="A4" s="1207"/>
      <c r="B4" s="1207"/>
      <c r="C4" s="1563"/>
      <c r="D4" s="1563"/>
      <c r="E4" s="1563"/>
      <c r="F4" s="1563"/>
      <c r="G4" s="1563"/>
      <c r="H4" s="1563"/>
      <c r="I4" s="1563"/>
      <c r="J4" s="1563"/>
      <c r="K4" s="1563"/>
      <c r="L4" s="1563"/>
      <c r="M4" s="1563"/>
      <c r="N4" s="1563"/>
      <c r="O4" s="1563"/>
      <c r="P4" s="1212"/>
      <c r="Q4" s="1563"/>
      <c r="R4" s="1563"/>
      <c r="S4" s="1563"/>
      <c r="T4" s="1563"/>
      <c r="U4" s="1563"/>
      <c r="V4" s="1563"/>
      <c r="W4" s="1563"/>
      <c r="X4" s="1563"/>
      <c r="Y4" s="1563"/>
      <c r="Z4" s="1563"/>
      <c r="AA4" s="1563"/>
      <c r="AB4" s="1563"/>
      <c r="AC4" s="1563"/>
      <c r="AD4" s="1563"/>
      <c r="AE4" s="1563"/>
      <c r="AF4" s="1563"/>
      <c r="AG4" s="1563"/>
      <c r="AH4" s="1207"/>
    </row>
    <row r="5" spans="1:36" x14ac:dyDescent="0.2">
      <c r="A5" s="1213" t="s">
        <v>689</v>
      </c>
      <c r="B5" s="1214" t="s">
        <v>132</v>
      </c>
      <c r="C5" s="1215">
        <f t="shared" ref="C5:AG5" si="0">C6+C7+C8+C9</f>
        <v>-638041.55000000005</v>
      </c>
      <c r="D5" s="1215">
        <f t="shared" si="0"/>
        <v>-638041.55000000005</v>
      </c>
      <c r="E5" s="1215">
        <f t="shared" si="0"/>
        <v>-638041.55000000005</v>
      </c>
      <c r="F5" s="1215">
        <f t="shared" si="0"/>
        <v>-638041.55000000005</v>
      </c>
      <c r="G5" s="1215">
        <f t="shared" si="0"/>
        <v>-644177.50200000009</v>
      </c>
      <c r="H5" s="1215">
        <f t="shared" si="0"/>
        <v>-644177.50200000009</v>
      </c>
      <c r="I5" s="1215">
        <f t="shared" si="0"/>
        <v>-644177.50200000009</v>
      </c>
      <c r="J5" s="1216">
        <f t="shared" si="0"/>
        <v>-644177.52200000011</v>
      </c>
      <c r="K5" s="1216">
        <f t="shared" si="0"/>
        <v>-644177.52200000011</v>
      </c>
      <c r="L5" s="1215">
        <f t="shared" si="0"/>
        <v>-649687.75900000008</v>
      </c>
      <c r="M5" s="1215">
        <f t="shared" si="0"/>
        <v>-649688.11700000009</v>
      </c>
      <c r="N5" s="1215">
        <f t="shared" si="0"/>
        <v>-649688.11700000009</v>
      </c>
      <c r="O5" s="1215">
        <f t="shared" si="0"/>
        <v>-649688.11700000009</v>
      </c>
      <c r="P5" s="1217">
        <f t="shared" si="0"/>
        <v>-649688.11700000009</v>
      </c>
      <c r="Q5" s="1215">
        <f t="shared" si="0"/>
        <v>-650041.86700000009</v>
      </c>
      <c r="R5" s="1215">
        <f t="shared" si="0"/>
        <v>-650041.86700000009</v>
      </c>
      <c r="S5" s="1215">
        <f t="shared" si="0"/>
        <v>-650041.86700000009</v>
      </c>
      <c r="T5" s="1215">
        <f t="shared" si="0"/>
        <v>-655541.86700000009</v>
      </c>
      <c r="U5" s="1215">
        <f t="shared" si="0"/>
        <v>-655541.86700000009</v>
      </c>
      <c r="V5" s="1215">
        <f t="shared" si="0"/>
        <v>-655541.86700000009</v>
      </c>
      <c r="W5" s="1215">
        <f t="shared" si="0"/>
        <v>-655541.86700000009</v>
      </c>
      <c r="X5" s="1215">
        <f t="shared" si="0"/>
        <v>-655541.86700000009</v>
      </c>
      <c r="Y5" s="1215">
        <f t="shared" si="0"/>
        <v>-655541.86700000009</v>
      </c>
      <c r="Z5" s="1215">
        <f t="shared" si="0"/>
        <v>-655541.86700000009</v>
      </c>
      <c r="AA5" s="1215">
        <f t="shared" si="0"/>
        <v>-655541.86700000009</v>
      </c>
      <c r="AB5" s="1215">
        <f t="shared" si="0"/>
        <v>-655541.86700000009</v>
      </c>
      <c r="AC5" s="1215">
        <f t="shared" si="0"/>
        <v>-655542.04300000006</v>
      </c>
      <c r="AD5" s="1215">
        <f t="shared" si="0"/>
        <v>-655542.04300000006</v>
      </c>
      <c r="AE5" s="1215">
        <f t="shared" si="0"/>
        <v>-655542.04300000006</v>
      </c>
      <c r="AF5" s="1215">
        <f t="shared" si="0"/>
        <v>-655542.04300000006</v>
      </c>
      <c r="AG5" s="1215">
        <f t="shared" si="0"/>
        <v>-655542.03500000003</v>
      </c>
      <c r="AH5" s="1207"/>
    </row>
    <row r="6" spans="1:36" x14ac:dyDescent="0.2">
      <c r="A6" s="1218">
        <v>100000</v>
      </c>
      <c r="B6" s="1207" t="s">
        <v>690</v>
      </c>
      <c r="C6" s="1219">
        <f t="shared" ref="C6:AF6" si="1">C70</f>
        <v>-561499.98600000003</v>
      </c>
      <c r="D6" s="1219">
        <f t="shared" si="1"/>
        <v>-561499.98600000003</v>
      </c>
      <c r="E6" s="1219">
        <f t="shared" si="1"/>
        <v>-561499.98600000003</v>
      </c>
      <c r="F6" s="1219">
        <f t="shared" si="1"/>
        <v>-561499.98600000003</v>
      </c>
      <c r="G6" s="1219">
        <f t="shared" si="1"/>
        <v>-567635.93800000008</v>
      </c>
      <c r="H6" s="1219">
        <f t="shared" si="1"/>
        <v>-567635.93800000008</v>
      </c>
      <c r="I6" s="1219">
        <f t="shared" si="1"/>
        <v>-567635.93800000008</v>
      </c>
      <c r="J6" s="1220">
        <f t="shared" si="1"/>
        <v>-567635.9580000001</v>
      </c>
      <c r="K6" s="1220">
        <f t="shared" si="1"/>
        <v>-567635.9580000001</v>
      </c>
      <c r="L6" s="1219">
        <f t="shared" si="1"/>
        <v>-573146.19500000007</v>
      </c>
      <c r="M6" s="1219">
        <f t="shared" si="1"/>
        <v>-573146.55300000007</v>
      </c>
      <c r="N6" s="1219">
        <f t="shared" si="1"/>
        <v>-573146.55300000007</v>
      </c>
      <c r="O6" s="1219">
        <f t="shared" si="1"/>
        <v>-573146.55300000007</v>
      </c>
      <c r="P6" s="1221">
        <f t="shared" si="1"/>
        <v>-573146.55300000007</v>
      </c>
      <c r="Q6" s="1219">
        <f t="shared" si="1"/>
        <v>-573500.30300000007</v>
      </c>
      <c r="R6" s="1219">
        <f t="shared" si="1"/>
        <v>-573500.30300000007</v>
      </c>
      <c r="S6" s="1219">
        <f t="shared" si="1"/>
        <v>-573500.30300000007</v>
      </c>
      <c r="T6" s="1219">
        <f t="shared" si="1"/>
        <v>-579000.30300000007</v>
      </c>
      <c r="U6" s="1219">
        <f t="shared" si="1"/>
        <v>-579000.30300000007</v>
      </c>
      <c r="V6" s="1219">
        <f t="shared" si="1"/>
        <v>-579000.30300000007</v>
      </c>
      <c r="W6" s="1219">
        <f t="shared" si="1"/>
        <v>-579000.30300000007</v>
      </c>
      <c r="X6" s="1219">
        <f t="shared" si="1"/>
        <v>-579000.30300000007</v>
      </c>
      <c r="Y6" s="1219">
        <f t="shared" si="1"/>
        <v>-579000.30300000007</v>
      </c>
      <c r="Z6" s="1219">
        <f t="shared" si="1"/>
        <v>-579000.30300000007</v>
      </c>
      <c r="AA6" s="1219">
        <f t="shared" si="1"/>
        <v>-579000.30300000007</v>
      </c>
      <c r="AB6" s="1219">
        <f t="shared" si="1"/>
        <v>-579000.30300000007</v>
      </c>
      <c r="AC6" s="1219">
        <f t="shared" si="1"/>
        <v>-579000.30300000007</v>
      </c>
      <c r="AD6" s="1219">
        <f t="shared" si="1"/>
        <v>-579000.30300000007</v>
      </c>
      <c r="AE6" s="1219">
        <f t="shared" si="1"/>
        <v>-579000.30300000007</v>
      </c>
      <c r="AF6" s="1219">
        <f t="shared" si="1"/>
        <v>-579000.30300000007</v>
      </c>
      <c r="AG6" s="1219">
        <f>AG70</f>
        <v>-579000.29500000004</v>
      </c>
      <c r="AH6" s="1207"/>
    </row>
    <row r="7" spans="1:36" x14ac:dyDescent="0.2">
      <c r="A7" s="1218">
        <v>25000</v>
      </c>
      <c r="B7" s="1207" t="s">
        <v>666</v>
      </c>
      <c r="C7" s="1219">
        <f t="shared" ref="C7:AG7" si="2">C184</f>
        <v>-25551.156999999999</v>
      </c>
      <c r="D7" s="1219">
        <f t="shared" si="2"/>
        <v>-25551.156999999999</v>
      </c>
      <c r="E7" s="1219">
        <f t="shared" si="2"/>
        <v>-25551.156999999999</v>
      </c>
      <c r="F7" s="1219">
        <f t="shared" si="2"/>
        <v>-25551.156999999999</v>
      </c>
      <c r="G7" s="1219">
        <f t="shared" si="2"/>
        <v>-25551.156999999999</v>
      </c>
      <c r="H7" s="1219">
        <f t="shared" si="2"/>
        <v>-25551.156999999999</v>
      </c>
      <c r="I7" s="1219">
        <f t="shared" si="2"/>
        <v>-25551.156999999999</v>
      </c>
      <c r="J7" s="1220">
        <f t="shared" si="2"/>
        <v>-25551.156999999999</v>
      </c>
      <c r="K7" s="1220">
        <f t="shared" si="2"/>
        <v>-25551.156999999999</v>
      </c>
      <c r="L7" s="1219">
        <f t="shared" si="2"/>
        <v>-25551.156999999999</v>
      </c>
      <c r="M7" s="1219">
        <f t="shared" si="2"/>
        <v>-25551.156999999999</v>
      </c>
      <c r="N7" s="1219">
        <f t="shared" si="2"/>
        <v>-25551.156999999999</v>
      </c>
      <c r="O7" s="1219">
        <f t="shared" si="2"/>
        <v>-25551.156999999999</v>
      </c>
      <c r="P7" s="1221">
        <f t="shared" si="2"/>
        <v>-25551.156999999999</v>
      </c>
      <c r="Q7" s="1219">
        <f t="shared" si="2"/>
        <v>-25551.156999999999</v>
      </c>
      <c r="R7" s="1219">
        <f t="shared" si="2"/>
        <v>-25551.156999999999</v>
      </c>
      <c r="S7" s="1222">
        <f t="shared" si="2"/>
        <v>-25551.156999999999</v>
      </c>
      <c r="T7" s="1219">
        <f t="shared" si="2"/>
        <v>-25551.156999999999</v>
      </c>
      <c r="U7" s="1219">
        <f t="shared" si="2"/>
        <v>-25551.156999999999</v>
      </c>
      <c r="V7" s="1219">
        <f t="shared" si="2"/>
        <v>-25551.156999999999</v>
      </c>
      <c r="W7" s="1219">
        <f t="shared" si="2"/>
        <v>-25551.156999999999</v>
      </c>
      <c r="X7" s="1219">
        <f t="shared" si="2"/>
        <v>-25551.156999999999</v>
      </c>
      <c r="Y7" s="1219">
        <f t="shared" si="2"/>
        <v>-25551.156999999999</v>
      </c>
      <c r="Z7" s="1219">
        <f t="shared" si="2"/>
        <v>-25551.156999999999</v>
      </c>
      <c r="AA7" s="1219">
        <f t="shared" si="2"/>
        <v>-25551.156999999999</v>
      </c>
      <c r="AB7" s="1219">
        <f t="shared" si="2"/>
        <v>-25551.156999999999</v>
      </c>
      <c r="AC7" s="1219">
        <f t="shared" si="2"/>
        <v>-25551.156999999999</v>
      </c>
      <c r="AD7" s="1219">
        <f t="shared" si="2"/>
        <v>-25551.156999999999</v>
      </c>
      <c r="AE7" s="1219">
        <f t="shared" si="2"/>
        <v>-25551.156999999999</v>
      </c>
      <c r="AF7" s="1219">
        <f t="shared" si="2"/>
        <v>-25551.156999999999</v>
      </c>
      <c r="AG7" s="1219">
        <f t="shared" si="2"/>
        <v>-25551.156999999999</v>
      </c>
      <c r="AH7" s="1207"/>
    </row>
    <row r="8" spans="1:36" x14ac:dyDescent="0.2">
      <c r="A8" s="1218">
        <v>25000</v>
      </c>
      <c r="B8" s="1207" t="s">
        <v>667</v>
      </c>
      <c r="C8" s="1219">
        <f t="shared" ref="C8:AG8" si="3">C247</f>
        <v>-21648.97</v>
      </c>
      <c r="D8" s="1219">
        <f t="shared" si="3"/>
        <v>-21648.97</v>
      </c>
      <c r="E8" s="1219">
        <f t="shared" si="3"/>
        <v>-21648.97</v>
      </c>
      <c r="F8" s="1219">
        <f t="shared" si="3"/>
        <v>-21648.97</v>
      </c>
      <c r="G8" s="1219">
        <f t="shared" si="3"/>
        <v>-21648.97</v>
      </c>
      <c r="H8" s="1219">
        <f t="shared" si="3"/>
        <v>-21648.97</v>
      </c>
      <c r="I8" s="1222">
        <f t="shared" si="3"/>
        <v>-21648.97</v>
      </c>
      <c r="J8" s="1220">
        <f t="shared" si="3"/>
        <v>-21648.97</v>
      </c>
      <c r="K8" s="1220">
        <f t="shared" si="3"/>
        <v>-21648.97</v>
      </c>
      <c r="L8" s="1219">
        <f t="shared" si="3"/>
        <v>-21648.97</v>
      </c>
      <c r="M8" s="1219">
        <f t="shared" si="3"/>
        <v>-21648.97</v>
      </c>
      <c r="N8" s="1219">
        <f t="shared" si="3"/>
        <v>-21648.97</v>
      </c>
      <c r="O8" s="1219">
        <f t="shared" si="3"/>
        <v>-21648.97</v>
      </c>
      <c r="P8" s="1221">
        <f t="shared" si="3"/>
        <v>-21648.97</v>
      </c>
      <c r="Q8" s="1219">
        <f t="shared" si="3"/>
        <v>-21648.97</v>
      </c>
      <c r="R8" s="1219">
        <f t="shared" si="3"/>
        <v>-21648.97</v>
      </c>
      <c r="S8" s="1219">
        <f t="shared" si="3"/>
        <v>-21648.97</v>
      </c>
      <c r="T8" s="1219">
        <f t="shared" si="3"/>
        <v>-21648.97</v>
      </c>
      <c r="U8" s="1219">
        <f t="shared" si="3"/>
        <v>-21648.97</v>
      </c>
      <c r="V8" s="1219">
        <f t="shared" si="3"/>
        <v>-21648.97</v>
      </c>
      <c r="W8" s="1219">
        <f t="shared" si="3"/>
        <v>-21648.97</v>
      </c>
      <c r="X8" s="1219">
        <f t="shared" si="3"/>
        <v>-21648.97</v>
      </c>
      <c r="Y8" s="1219">
        <f t="shared" si="3"/>
        <v>-21648.97</v>
      </c>
      <c r="Z8" s="1219">
        <f t="shared" si="3"/>
        <v>-21648.97</v>
      </c>
      <c r="AA8" s="1219">
        <f t="shared" si="3"/>
        <v>-21648.97</v>
      </c>
      <c r="AB8" s="1219">
        <f t="shared" si="3"/>
        <v>-21648.97</v>
      </c>
      <c r="AC8" s="1219">
        <f t="shared" si="3"/>
        <v>-21648.97</v>
      </c>
      <c r="AD8" s="1219">
        <f t="shared" si="3"/>
        <v>-21648.97</v>
      </c>
      <c r="AE8" s="1219">
        <f t="shared" si="3"/>
        <v>-21648.97</v>
      </c>
      <c r="AF8" s="1219">
        <f t="shared" si="3"/>
        <v>-21648.97</v>
      </c>
      <c r="AG8" s="1219">
        <f t="shared" si="3"/>
        <v>-21648.97</v>
      </c>
      <c r="AH8" s="1207"/>
      <c r="AJ8" s="1223"/>
    </row>
    <row r="9" spans="1:36" x14ac:dyDescent="0.2">
      <c r="A9" s="1218">
        <v>20000</v>
      </c>
      <c r="B9" s="1207" t="s">
        <v>691</v>
      </c>
      <c r="C9" s="1219">
        <f t="shared" ref="C9:AG9" si="4">C311</f>
        <v>-29341.437000000002</v>
      </c>
      <c r="D9" s="1219">
        <f t="shared" si="4"/>
        <v>-29341.437000000002</v>
      </c>
      <c r="E9" s="1219">
        <f t="shared" si="4"/>
        <v>-29341.437000000002</v>
      </c>
      <c r="F9" s="1219">
        <f t="shared" si="4"/>
        <v>-29341.437000000002</v>
      </c>
      <c r="G9" s="1222">
        <f t="shared" si="4"/>
        <v>-29341.437000000002</v>
      </c>
      <c r="H9" s="1219">
        <f t="shared" si="4"/>
        <v>-29341.437000000002</v>
      </c>
      <c r="I9" s="1219">
        <f t="shared" si="4"/>
        <v>-29341.437000000002</v>
      </c>
      <c r="J9" s="1220">
        <f t="shared" si="4"/>
        <v>-29341.437000000002</v>
      </c>
      <c r="K9" s="1220">
        <f t="shared" si="4"/>
        <v>-29341.437000000002</v>
      </c>
      <c r="L9" s="1219">
        <f t="shared" si="4"/>
        <v>-29341.437000000002</v>
      </c>
      <c r="M9" s="1219">
        <f t="shared" si="4"/>
        <v>-29341.437000000002</v>
      </c>
      <c r="N9" s="1219">
        <f t="shared" si="4"/>
        <v>-29341.437000000002</v>
      </c>
      <c r="O9" s="1219">
        <f t="shared" si="4"/>
        <v>-29341.437000000002</v>
      </c>
      <c r="P9" s="1221">
        <f t="shared" si="4"/>
        <v>-29341.437000000002</v>
      </c>
      <c r="Q9" s="1219">
        <f t="shared" si="4"/>
        <v>-29341.437000000002</v>
      </c>
      <c r="R9" s="1219">
        <f t="shared" si="4"/>
        <v>-29341.437000000002</v>
      </c>
      <c r="S9" s="1219">
        <f t="shared" si="4"/>
        <v>-29341.437000000002</v>
      </c>
      <c r="T9" s="1219">
        <f t="shared" si="4"/>
        <v>-29341.437000000002</v>
      </c>
      <c r="U9" s="1219">
        <f t="shared" si="4"/>
        <v>-29341.437000000002</v>
      </c>
      <c r="V9" s="1219">
        <f t="shared" si="4"/>
        <v>-29341.437000000002</v>
      </c>
      <c r="W9" s="1219">
        <f t="shared" si="4"/>
        <v>-29341.437000000002</v>
      </c>
      <c r="X9" s="1219">
        <f t="shared" si="4"/>
        <v>-29341.437000000002</v>
      </c>
      <c r="Y9" s="1219">
        <f t="shared" si="4"/>
        <v>-29341.437000000002</v>
      </c>
      <c r="Z9" s="1219">
        <f t="shared" si="4"/>
        <v>-29341.437000000002</v>
      </c>
      <c r="AA9" s="1219">
        <f t="shared" si="4"/>
        <v>-29341.437000000002</v>
      </c>
      <c r="AB9" s="1219">
        <f t="shared" si="4"/>
        <v>-29341.437000000002</v>
      </c>
      <c r="AC9" s="1219">
        <f t="shared" si="4"/>
        <v>-29341.613000000008</v>
      </c>
      <c r="AD9" s="1219">
        <f t="shared" si="4"/>
        <v>-29341.613000000008</v>
      </c>
      <c r="AE9" s="1219">
        <f t="shared" si="4"/>
        <v>-29341.613000000008</v>
      </c>
      <c r="AF9" s="1219">
        <f t="shared" si="4"/>
        <v>-29341.613000000008</v>
      </c>
      <c r="AG9" s="1219">
        <f t="shared" si="4"/>
        <v>-29341.613000000008</v>
      </c>
      <c r="AH9" s="1207"/>
    </row>
    <row r="10" spans="1:36" x14ac:dyDescent="0.2">
      <c r="A10" s="1213" t="s">
        <v>692</v>
      </c>
      <c r="B10" s="1214" t="s">
        <v>132</v>
      </c>
      <c r="C10" s="1224">
        <f t="shared" ref="C10:AG10" si="5">C11+C12+C13</f>
        <v>0</v>
      </c>
      <c r="D10" s="1224">
        <f t="shared" si="5"/>
        <v>0</v>
      </c>
      <c r="E10" s="1224">
        <f t="shared" si="5"/>
        <v>0</v>
      </c>
      <c r="F10" s="1224">
        <f t="shared" si="5"/>
        <v>7733.4180000000006</v>
      </c>
      <c r="G10" s="1224">
        <f t="shared" si="5"/>
        <v>6309.4390000000003</v>
      </c>
      <c r="H10" s="1224">
        <f t="shared" si="5"/>
        <v>2821.8110000000001</v>
      </c>
      <c r="I10" s="1224">
        <f t="shared" si="5"/>
        <v>570.56299999999999</v>
      </c>
      <c r="J10" s="1225">
        <f t="shared" si="5"/>
        <v>4159.7790000000005</v>
      </c>
      <c r="K10" s="1225">
        <f t="shared" si="5"/>
        <v>0</v>
      </c>
      <c r="L10" s="1224">
        <f t="shared" si="5"/>
        <v>13277.107</v>
      </c>
      <c r="M10" s="1224">
        <f t="shared" si="5"/>
        <v>1919.482</v>
      </c>
      <c r="N10" s="1224">
        <f t="shared" si="5"/>
        <v>723.12199999999996</v>
      </c>
      <c r="O10" s="1224">
        <f t="shared" si="5"/>
        <v>2670</v>
      </c>
      <c r="P10" s="1226">
        <f t="shared" si="5"/>
        <v>7766.41</v>
      </c>
      <c r="Q10" s="1224">
        <f t="shared" si="5"/>
        <v>24473.149999999998</v>
      </c>
      <c r="R10" s="1224">
        <f t="shared" si="5"/>
        <v>0</v>
      </c>
      <c r="S10" s="1224">
        <f t="shared" si="5"/>
        <v>1351.7</v>
      </c>
      <c r="T10" s="1224">
        <f t="shared" si="5"/>
        <v>2606.8689999999997</v>
      </c>
      <c r="U10" s="1224">
        <f t="shared" si="5"/>
        <v>2975.4250000000002</v>
      </c>
      <c r="V10" s="1224">
        <f t="shared" si="5"/>
        <v>13511.678</v>
      </c>
      <c r="W10" s="1224">
        <f t="shared" si="5"/>
        <v>1967.3690000000001</v>
      </c>
      <c r="X10" s="1224">
        <f t="shared" si="5"/>
        <v>0</v>
      </c>
      <c r="Y10" s="1224">
        <f t="shared" si="5"/>
        <v>2532.71</v>
      </c>
      <c r="Z10" s="1224">
        <f t="shared" si="5"/>
        <v>0</v>
      </c>
      <c r="AA10" s="1224">
        <f t="shared" si="5"/>
        <v>26808.039999999997</v>
      </c>
      <c r="AB10" s="1224">
        <f t="shared" si="5"/>
        <v>1359.5</v>
      </c>
      <c r="AC10" s="1224">
        <f t="shared" si="5"/>
        <v>2385.1439999999998</v>
      </c>
      <c r="AD10" s="1224">
        <f t="shared" si="5"/>
        <v>2469.6019999999999</v>
      </c>
      <c r="AE10" s="1224">
        <f t="shared" si="5"/>
        <v>6934.8540000000003</v>
      </c>
      <c r="AF10" s="1224">
        <f t="shared" si="5"/>
        <v>15070.556999999999</v>
      </c>
      <c r="AG10" s="1224">
        <f t="shared" si="5"/>
        <v>18791.739000000001</v>
      </c>
      <c r="AH10" s="1227">
        <f>SUM(C10:AG10)</f>
        <v>171189.46800000002</v>
      </c>
    </row>
    <row r="11" spans="1:36" x14ac:dyDescent="0.2">
      <c r="A11" s="1213"/>
      <c r="B11" s="1207" t="s">
        <v>666</v>
      </c>
      <c r="C11" s="1227">
        <f t="shared" ref="C11:AF11" si="6">C171</f>
        <v>0</v>
      </c>
      <c r="D11" s="1227">
        <f t="shared" si="6"/>
        <v>0</v>
      </c>
      <c r="E11" s="1227">
        <f t="shared" si="6"/>
        <v>0</v>
      </c>
      <c r="F11" s="1227">
        <f t="shared" si="6"/>
        <v>0</v>
      </c>
      <c r="G11" s="1227">
        <f t="shared" si="6"/>
        <v>0</v>
      </c>
      <c r="H11" s="1227">
        <f t="shared" si="6"/>
        <v>0</v>
      </c>
      <c r="I11" s="1227">
        <f t="shared" si="6"/>
        <v>0</v>
      </c>
      <c r="J11" s="1228">
        <f t="shared" si="6"/>
        <v>0</v>
      </c>
      <c r="K11" s="1228">
        <f t="shared" si="6"/>
        <v>0</v>
      </c>
      <c r="L11" s="1227">
        <f t="shared" si="6"/>
        <v>0</v>
      </c>
      <c r="M11" s="1227">
        <f t="shared" si="6"/>
        <v>0</v>
      </c>
      <c r="N11" s="1227">
        <f t="shared" si="6"/>
        <v>0</v>
      </c>
      <c r="O11" s="1227">
        <f t="shared" si="6"/>
        <v>1500</v>
      </c>
      <c r="P11" s="1229">
        <f t="shared" si="6"/>
        <v>0</v>
      </c>
      <c r="Q11" s="1227">
        <f t="shared" si="6"/>
        <v>3853.3639999999996</v>
      </c>
      <c r="R11" s="1227">
        <f t="shared" si="6"/>
        <v>0</v>
      </c>
      <c r="S11" s="1227">
        <f t="shared" si="6"/>
        <v>0</v>
      </c>
      <c r="T11" s="1227">
        <f t="shared" si="6"/>
        <v>1500</v>
      </c>
      <c r="U11" s="1227">
        <f t="shared" si="6"/>
        <v>0</v>
      </c>
      <c r="V11" s="1227">
        <f t="shared" si="6"/>
        <v>2994.6669999999999</v>
      </c>
      <c r="W11" s="1227">
        <f t="shared" si="6"/>
        <v>1500</v>
      </c>
      <c r="X11" s="1227">
        <f t="shared" si="6"/>
        <v>0</v>
      </c>
      <c r="Y11" s="1227">
        <f t="shared" si="6"/>
        <v>0</v>
      </c>
      <c r="Z11" s="1227">
        <f t="shared" si="6"/>
        <v>0</v>
      </c>
      <c r="AA11" s="1227">
        <f t="shared" si="6"/>
        <v>8500</v>
      </c>
      <c r="AB11" s="1227">
        <f t="shared" si="6"/>
        <v>0</v>
      </c>
      <c r="AC11" s="1227">
        <f t="shared" si="6"/>
        <v>0</v>
      </c>
      <c r="AD11" s="1227">
        <f t="shared" si="6"/>
        <v>0</v>
      </c>
      <c r="AE11" s="1227">
        <f t="shared" si="6"/>
        <v>0</v>
      </c>
      <c r="AF11" s="1227">
        <f t="shared" si="6"/>
        <v>2994.6669999999999</v>
      </c>
      <c r="AG11" s="1227">
        <f>AG171</f>
        <v>9130.2880000000005</v>
      </c>
      <c r="AH11" s="1207"/>
    </row>
    <row r="12" spans="1:36" x14ac:dyDescent="0.2">
      <c r="A12" s="1213"/>
      <c r="B12" s="1207" t="s">
        <v>667</v>
      </c>
      <c r="C12" s="1227">
        <f t="shared" ref="C12:AG12" si="7">C234</f>
        <v>0</v>
      </c>
      <c r="D12" s="1227">
        <f t="shared" si="7"/>
        <v>0</v>
      </c>
      <c r="E12" s="1227">
        <f t="shared" si="7"/>
        <v>0</v>
      </c>
      <c r="F12" s="1227">
        <f t="shared" si="7"/>
        <v>0</v>
      </c>
      <c r="G12" s="1227">
        <f t="shared" si="7"/>
        <v>1032.569</v>
      </c>
      <c r="H12" s="1227">
        <f t="shared" si="7"/>
        <v>1208.4190000000001</v>
      </c>
      <c r="I12" s="1227">
        <f t="shared" si="7"/>
        <v>0</v>
      </c>
      <c r="J12" s="1228">
        <f t="shared" si="7"/>
        <v>1170</v>
      </c>
      <c r="K12" s="1228">
        <f t="shared" si="7"/>
        <v>0</v>
      </c>
      <c r="L12" s="1227">
        <f t="shared" si="7"/>
        <v>1032.569</v>
      </c>
      <c r="M12" s="1227">
        <f t="shared" si="7"/>
        <v>1170</v>
      </c>
      <c r="N12" s="1227">
        <f t="shared" si="7"/>
        <v>0</v>
      </c>
      <c r="O12" s="1227">
        <f t="shared" si="7"/>
        <v>1170</v>
      </c>
      <c r="P12" s="1229">
        <f t="shared" si="7"/>
        <v>2867.797</v>
      </c>
      <c r="Q12" s="1227">
        <f t="shared" si="7"/>
        <v>5202.5689999999995</v>
      </c>
      <c r="R12" s="1227">
        <f t="shared" si="7"/>
        <v>0</v>
      </c>
      <c r="S12" s="1227">
        <f t="shared" si="7"/>
        <v>0</v>
      </c>
      <c r="T12" s="1227">
        <f t="shared" si="7"/>
        <v>0</v>
      </c>
      <c r="U12" s="1227">
        <f t="shared" si="7"/>
        <v>2975.4250000000002</v>
      </c>
      <c r="V12" s="1227">
        <f t="shared" si="7"/>
        <v>1032.569</v>
      </c>
      <c r="W12" s="1227">
        <f t="shared" si="7"/>
        <v>0</v>
      </c>
      <c r="X12" s="1227">
        <f t="shared" si="7"/>
        <v>0</v>
      </c>
      <c r="Y12" s="1227">
        <f t="shared" si="7"/>
        <v>0</v>
      </c>
      <c r="Z12" s="1227">
        <f t="shared" si="7"/>
        <v>0</v>
      </c>
      <c r="AA12" s="1227">
        <f t="shared" si="7"/>
        <v>4888.5119999999997</v>
      </c>
      <c r="AB12" s="1227">
        <f t="shared" si="7"/>
        <v>0</v>
      </c>
      <c r="AC12" s="1227">
        <f t="shared" si="7"/>
        <v>0</v>
      </c>
      <c r="AD12" s="1227">
        <f t="shared" si="7"/>
        <v>0</v>
      </c>
      <c r="AE12" s="1227">
        <f t="shared" si="7"/>
        <v>3750.732</v>
      </c>
      <c r="AF12" s="1227">
        <f t="shared" si="7"/>
        <v>8621.2729999999992</v>
      </c>
      <c r="AG12" s="1227">
        <f t="shared" si="7"/>
        <v>0</v>
      </c>
      <c r="AH12" s="1207"/>
    </row>
    <row r="13" spans="1:36" x14ac:dyDescent="0.2">
      <c r="A13" s="1213"/>
      <c r="B13" s="1207" t="s">
        <v>691</v>
      </c>
      <c r="C13" s="1227">
        <f t="shared" ref="C13:AG13" si="8">C298</f>
        <v>0</v>
      </c>
      <c r="D13" s="1227">
        <f t="shared" si="8"/>
        <v>0</v>
      </c>
      <c r="E13" s="1227">
        <f t="shared" si="8"/>
        <v>0</v>
      </c>
      <c r="F13" s="1227">
        <f t="shared" si="8"/>
        <v>7733.4180000000006</v>
      </c>
      <c r="G13" s="1227">
        <f t="shared" si="8"/>
        <v>5276.87</v>
      </c>
      <c r="H13" s="1227">
        <f t="shared" si="8"/>
        <v>1613.3920000000001</v>
      </c>
      <c r="I13" s="1227">
        <f t="shared" si="8"/>
        <v>570.56299999999999</v>
      </c>
      <c r="J13" s="1228">
        <f t="shared" si="8"/>
        <v>2989.779</v>
      </c>
      <c r="K13" s="1228">
        <f t="shared" si="8"/>
        <v>0</v>
      </c>
      <c r="L13" s="1227">
        <f t="shared" si="8"/>
        <v>12244.538</v>
      </c>
      <c r="M13" s="1227">
        <f t="shared" si="8"/>
        <v>749.48199999999997</v>
      </c>
      <c r="N13" s="1227">
        <f t="shared" si="8"/>
        <v>723.12199999999996</v>
      </c>
      <c r="O13" s="1227">
        <f t="shared" si="8"/>
        <v>0</v>
      </c>
      <c r="P13" s="1229">
        <f t="shared" si="8"/>
        <v>4898.6130000000003</v>
      </c>
      <c r="Q13" s="1227">
        <f t="shared" si="8"/>
        <v>15417.216999999999</v>
      </c>
      <c r="R13" s="1227">
        <f t="shared" si="8"/>
        <v>0</v>
      </c>
      <c r="S13" s="1227">
        <f t="shared" si="8"/>
        <v>1351.7</v>
      </c>
      <c r="T13" s="1227">
        <f t="shared" si="8"/>
        <v>1106.8689999999999</v>
      </c>
      <c r="U13" s="1227">
        <f t="shared" si="8"/>
        <v>0</v>
      </c>
      <c r="V13" s="1227">
        <f t="shared" si="8"/>
        <v>9484.4420000000009</v>
      </c>
      <c r="W13" s="1227">
        <f t="shared" si="8"/>
        <v>467.36900000000003</v>
      </c>
      <c r="X13" s="1227">
        <f t="shared" si="8"/>
        <v>0</v>
      </c>
      <c r="Y13" s="1227">
        <f t="shared" si="8"/>
        <v>2532.71</v>
      </c>
      <c r="Z13" s="1227">
        <f t="shared" si="8"/>
        <v>0</v>
      </c>
      <c r="AA13" s="1227">
        <f t="shared" si="8"/>
        <v>13419.527999999998</v>
      </c>
      <c r="AB13" s="1227">
        <f t="shared" si="8"/>
        <v>1359.5</v>
      </c>
      <c r="AC13" s="1227">
        <f t="shared" si="8"/>
        <v>2385.1439999999998</v>
      </c>
      <c r="AD13" s="1227">
        <f t="shared" si="8"/>
        <v>2469.6019999999999</v>
      </c>
      <c r="AE13" s="1227">
        <f t="shared" si="8"/>
        <v>3184.1220000000003</v>
      </c>
      <c r="AF13" s="1227">
        <f t="shared" si="8"/>
        <v>3454.6170000000002</v>
      </c>
      <c r="AG13" s="1227">
        <f t="shared" si="8"/>
        <v>9661.4510000000009</v>
      </c>
      <c r="AH13" s="1207"/>
    </row>
    <row r="14" spans="1:36" x14ac:dyDescent="0.2">
      <c r="A14" s="1207"/>
      <c r="B14" s="1207"/>
      <c r="C14" s="1207"/>
      <c r="D14" s="1207"/>
      <c r="E14" s="1207"/>
      <c r="F14" s="1207"/>
      <c r="G14" s="1207"/>
      <c r="H14" s="1207"/>
      <c r="I14" s="1207"/>
      <c r="J14" s="1230"/>
      <c r="K14" s="1230"/>
      <c r="L14" s="1207"/>
      <c r="M14" s="1207"/>
      <c r="N14" s="1216"/>
      <c r="O14" s="1207"/>
      <c r="P14" s="1208"/>
      <c r="Q14" s="1207"/>
      <c r="R14" s="1207"/>
      <c r="S14" s="1207"/>
      <c r="T14" s="1207"/>
      <c r="U14" s="1216"/>
      <c r="V14" s="1207"/>
      <c r="W14" s="1207"/>
      <c r="X14" s="1207"/>
      <c r="Y14" s="1207"/>
      <c r="Z14" s="1207"/>
      <c r="AA14" s="1216"/>
      <c r="AB14" s="1207"/>
      <c r="AC14" s="1207"/>
      <c r="AD14" s="1207"/>
      <c r="AE14" s="1207"/>
      <c r="AF14" s="1207"/>
      <c r="AG14" s="1216"/>
      <c r="AH14" s="1231">
        <f>AG5+AH10</f>
        <v>-484352.56700000004</v>
      </c>
    </row>
    <row r="15" spans="1:36" ht="13.5" thickBot="1" x14ac:dyDescent="0.25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8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7"/>
      <c r="AF15" s="1207"/>
      <c r="AG15" s="1207"/>
      <c r="AH15" s="1232"/>
      <c r="AI15" s="1223"/>
    </row>
    <row r="16" spans="1:36" x14ac:dyDescent="0.2">
      <c r="A16" s="1233"/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5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2"/>
      <c r="AI16" s="1223"/>
    </row>
    <row r="17" spans="1:35" x14ac:dyDescent="0.2">
      <c r="A17" s="1236"/>
      <c r="B17" s="1237" t="s">
        <v>37</v>
      </c>
      <c r="C17" s="1237"/>
      <c r="D17" s="1237"/>
      <c r="E17" s="1238" t="s">
        <v>824</v>
      </c>
      <c r="F17" s="1239" t="s">
        <v>140</v>
      </c>
      <c r="G17" s="1239"/>
      <c r="H17" s="1563" t="s">
        <v>6</v>
      </c>
      <c r="I17" s="1239"/>
      <c r="J17" s="1239"/>
      <c r="K17" s="1239"/>
      <c r="L17" s="1239"/>
      <c r="M17" s="1239"/>
      <c r="N17" s="1239"/>
      <c r="O17" s="1239"/>
      <c r="P17" s="1240"/>
      <c r="Q17" s="1239"/>
      <c r="R17" s="1239"/>
      <c r="S17" s="1239"/>
      <c r="T17" s="1239"/>
      <c r="U17" s="1239"/>
      <c r="V17" s="1239"/>
      <c r="W17" s="1239"/>
      <c r="X17" s="1239"/>
      <c r="Y17" s="1239"/>
      <c r="AA17" s="1239"/>
      <c r="AB17" s="1239"/>
      <c r="AC17" s="1239"/>
      <c r="AD17" s="1239"/>
      <c r="AE17" s="1239"/>
      <c r="AF17" s="1239"/>
      <c r="AG17" s="1239"/>
      <c r="AH17" s="1232"/>
      <c r="AI17" s="1223"/>
    </row>
    <row r="18" spans="1:35" x14ac:dyDescent="0.2">
      <c r="A18" s="1236"/>
      <c r="B18" s="1237"/>
      <c r="C18" s="1237"/>
      <c r="D18" s="1239"/>
      <c r="E18" s="1237"/>
      <c r="F18" s="1237"/>
      <c r="G18" s="1237"/>
      <c r="H18" s="1237"/>
      <c r="I18" s="1237"/>
      <c r="J18" s="1237"/>
      <c r="K18" s="1237"/>
      <c r="L18" s="1237"/>
      <c r="M18" s="1237"/>
      <c r="N18" s="1237"/>
      <c r="O18" s="1237"/>
      <c r="P18" s="1241"/>
      <c r="Q18" s="1237"/>
      <c r="R18" s="1237"/>
      <c r="S18" s="1237"/>
      <c r="T18" s="1237"/>
      <c r="U18" s="1237"/>
      <c r="V18" s="1237"/>
      <c r="W18" s="1237"/>
      <c r="X18" s="1237"/>
      <c r="Y18" s="1237"/>
      <c r="Z18" s="1237"/>
      <c r="AA18" s="1237"/>
      <c r="AB18" s="1237"/>
      <c r="AC18" s="1237"/>
      <c r="AD18" s="1237"/>
      <c r="AE18" s="1237"/>
      <c r="AF18" s="1237"/>
      <c r="AG18" s="1237"/>
      <c r="AH18" s="1229"/>
    </row>
    <row r="19" spans="1:35" x14ac:dyDescent="0.2">
      <c r="A19" s="1242"/>
      <c r="B19" s="1239"/>
      <c r="C19" s="1239"/>
      <c r="D19" s="1238">
        <v>42595</v>
      </c>
      <c r="E19" s="1237"/>
      <c r="F19" s="1237"/>
      <c r="G19" s="1237"/>
      <c r="H19" s="1237"/>
      <c r="I19" s="1237"/>
      <c r="J19" s="1237"/>
      <c r="K19" s="1237"/>
      <c r="L19" s="1237"/>
      <c r="M19" s="1237"/>
      <c r="N19" s="1237"/>
      <c r="O19" s="1237"/>
      <c r="P19" s="1241"/>
      <c r="Q19" s="1237"/>
      <c r="R19" s="1237"/>
      <c r="S19" s="1237"/>
      <c r="T19" s="1237"/>
      <c r="U19" s="1237"/>
      <c r="V19" s="1237"/>
      <c r="W19" s="1237"/>
      <c r="X19" s="1237"/>
      <c r="Y19" s="1237"/>
      <c r="Z19" s="1237"/>
      <c r="AA19" s="1237"/>
      <c r="AB19" s="1237"/>
      <c r="AC19" s="1237"/>
      <c r="AD19" s="1237"/>
      <c r="AE19" s="1237"/>
      <c r="AF19" s="1237"/>
      <c r="AG19" s="1237"/>
      <c r="AH19" s="1207"/>
    </row>
    <row r="20" spans="1:35" x14ac:dyDescent="0.2">
      <c r="A20" s="1242"/>
      <c r="B20" s="1237"/>
      <c r="C20" s="1237"/>
      <c r="D20" s="1239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41"/>
      <c r="Q20" s="1237"/>
      <c r="R20" s="1237"/>
      <c r="S20" s="1237"/>
      <c r="T20" s="1237"/>
      <c r="U20" s="1237"/>
      <c r="V20" s="1237"/>
      <c r="W20" s="1237"/>
      <c r="X20" s="1237"/>
      <c r="Y20" s="1237"/>
      <c r="Z20" s="1237"/>
      <c r="AA20" s="1237"/>
      <c r="AB20" s="1237"/>
      <c r="AC20" s="1237"/>
      <c r="AD20" s="1237"/>
      <c r="AE20" s="1237"/>
      <c r="AF20" s="1237"/>
      <c r="AG20" s="1237"/>
      <c r="AH20" s="1207"/>
    </row>
    <row r="21" spans="1:35" ht="13.5" thickBot="1" x14ac:dyDescent="0.25">
      <c r="A21" s="1236"/>
      <c r="B21" s="1237"/>
      <c r="C21" s="1237"/>
      <c r="D21" s="1237"/>
      <c r="E21" s="1237"/>
      <c r="F21" s="1237"/>
      <c r="G21" s="1237"/>
      <c r="H21" s="1237"/>
      <c r="I21" s="1237"/>
      <c r="J21" s="1237"/>
      <c r="K21" s="1237"/>
      <c r="L21" s="1237"/>
      <c r="M21" s="1237"/>
      <c r="N21" s="1237"/>
      <c r="O21" s="1237"/>
      <c r="P21" s="1241"/>
      <c r="Q21" s="1237"/>
      <c r="R21" s="1237"/>
      <c r="S21" s="1237"/>
      <c r="T21" s="1237"/>
      <c r="U21" s="1237"/>
      <c r="V21" s="1237"/>
      <c r="W21" s="1237"/>
      <c r="X21" s="1237"/>
      <c r="Y21" s="1237"/>
      <c r="Z21" s="1237"/>
      <c r="AA21" s="1237"/>
      <c r="AB21" s="1237"/>
      <c r="AC21" s="1237"/>
      <c r="AD21" s="1237"/>
      <c r="AE21" s="1237"/>
      <c r="AF21" s="1237"/>
      <c r="AG21" s="1237"/>
      <c r="AH21" s="1207"/>
    </row>
    <row r="22" spans="1:35" ht="13.5" thickBot="1" x14ac:dyDescent="0.25">
      <c r="A22" s="1236"/>
      <c r="B22" s="1237"/>
      <c r="C22" s="1243"/>
      <c r="D22" s="1244" t="s">
        <v>16</v>
      </c>
      <c r="E22" s="1244"/>
      <c r="F22" s="1244"/>
      <c r="G22" s="1244"/>
      <c r="H22" s="1244"/>
      <c r="I22" s="1244"/>
      <c r="J22" s="1244"/>
      <c r="K22" s="1244"/>
      <c r="L22" s="1244"/>
      <c r="M22" s="1244"/>
      <c r="N22" s="1244"/>
      <c r="O22" s="1244"/>
      <c r="P22" s="1245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244"/>
      <c r="AE22" s="1244"/>
      <c r="AF22" s="1244"/>
      <c r="AG22" s="1244"/>
      <c r="AH22" s="1207"/>
    </row>
    <row r="23" spans="1:35" ht="13.5" thickBot="1" x14ac:dyDescent="0.25">
      <c r="A23" s="1236"/>
      <c r="B23" s="1237"/>
      <c r="C23" s="1246" t="s">
        <v>452</v>
      </c>
      <c r="D23" s="1246" t="s">
        <v>453</v>
      </c>
      <c r="E23" s="1246" t="s">
        <v>434</v>
      </c>
      <c r="F23" s="1246" t="s">
        <v>390</v>
      </c>
      <c r="G23" s="1246" t="s">
        <v>454</v>
      </c>
      <c r="H23" s="1246" t="s">
        <v>455</v>
      </c>
      <c r="I23" s="1246" t="s">
        <v>456</v>
      </c>
      <c r="J23" s="1246" t="s">
        <v>457</v>
      </c>
      <c r="K23" s="1246" t="s">
        <v>458</v>
      </c>
      <c r="L23" s="1246" t="s">
        <v>216</v>
      </c>
      <c r="M23" s="1246" t="s">
        <v>459</v>
      </c>
      <c r="N23" s="1246" t="s">
        <v>297</v>
      </c>
      <c r="O23" s="1246" t="s">
        <v>211</v>
      </c>
      <c r="P23" s="1247" t="s">
        <v>270</v>
      </c>
      <c r="Q23" s="1246" t="s">
        <v>490</v>
      </c>
      <c r="R23" s="1246" t="s">
        <v>460</v>
      </c>
      <c r="S23" s="1246" t="s">
        <v>461</v>
      </c>
      <c r="T23" s="1246" t="s">
        <v>442</v>
      </c>
      <c r="U23" s="1246" t="s">
        <v>462</v>
      </c>
      <c r="V23" s="1246" t="s">
        <v>470</v>
      </c>
      <c r="W23" s="1246" t="s">
        <v>471</v>
      </c>
      <c r="X23" s="1246" t="s">
        <v>472</v>
      </c>
      <c r="Y23" s="1246" t="s">
        <v>463</v>
      </c>
      <c r="Z23" s="1246" t="s">
        <v>465</v>
      </c>
      <c r="AA23" s="1246" t="s">
        <v>466</v>
      </c>
      <c r="AB23" s="1246" t="s">
        <v>435</v>
      </c>
      <c r="AC23" s="1246" t="s">
        <v>467</v>
      </c>
      <c r="AD23" s="1246" t="s">
        <v>464</v>
      </c>
      <c r="AE23" s="1246" t="s">
        <v>429</v>
      </c>
      <c r="AF23" s="1246" t="s">
        <v>149</v>
      </c>
      <c r="AG23" s="1246" t="s">
        <v>210</v>
      </c>
      <c r="AH23" s="1207"/>
    </row>
    <row r="24" spans="1:35" x14ac:dyDescent="0.2">
      <c r="A24" s="1233"/>
      <c r="B24" s="1248"/>
      <c r="C24" s="1237"/>
      <c r="D24" s="1237"/>
      <c r="E24" s="1237"/>
      <c r="F24" s="1237"/>
      <c r="G24" s="1237"/>
      <c r="H24" s="1237"/>
      <c r="I24" s="1237"/>
      <c r="J24" s="1237"/>
      <c r="K24" s="1237"/>
      <c r="L24" s="1237"/>
      <c r="M24" s="1237"/>
      <c r="N24" s="1237"/>
      <c r="O24" s="1237"/>
      <c r="P24" s="1241"/>
      <c r="Q24" s="1237"/>
      <c r="R24" s="1237"/>
      <c r="S24" s="1237"/>
      <c r="T24" s="1237"/>
      <c r="U24" s="1237"/>
      <c r="V24" s="1237"/>
      <c r="W24" s="1237"/>
      <c r="X24" s="1237"/>
      <c r="Y24" s="1237"/>
      <c r="Z24" s="1237"/>
      <c r="AA24" s="1237"/>
      <c r="AB24" s="1237"/>
      <c r="AC24" s="1237"/>
      <c r="AD24" s="1237"/>
      <c r="AE24" s="1237"/>
      <c r="AF24" s="1237"/>
      <c r="AG24" s="1237"/>
      <c r="AH24" s="1207"/>
    </row>
    <row r="25" spans="1:35" x14ac:dyDescent="0.2">
      <c r="A25" s="1236" t="s">
        <v>0</v>
      </c>
      <c r="B25" s="1249">
        <v>-561167.65500000003</v>
      </c>
      <c r="C25" s="1237"/>
      <c r="D25" s="1237"/>
      <c r="E25" s="1237"/>
      <c r="F25" s="1237"/>
      <c r="G25" s="1237"/>
      <c r="H25" s="1237"/>
      <c r="I25" s="1237"/>
      <c r="J25" s="1237"/>
      <c r="K25" s="1237"/>
      <c r="L25" s="1237"/>
      <c r="M25" s="1237"/>
      <c r="N25" s="1237"/>
      <c r="O25" s="1237"/>
      <c r="P25" s="1241"/>
      <c r="Q25" s="1237"/>
      <c r="R25" s="1237"/>
      <c r="S25" s="1237"/>
      <c r="T25" s="1237"/>
      <c r="U25" s="1237"/>
      <c r="V25" s="1237"/>
      <c r="W25" s="1237"/>
      <c r="X25" s="1237"/>
      <c r="Y25" s="1237"/>
      <c r="Z25" s="1237"/>
      <c r="AA25" s="1237"/>
      <c r="AB25" s="1237"/>
      <c r="AC25" s="1237"/>
      <c r="AD25" s="1237"/>
      <c r="AE25" s="1237"/>
      <c r="AF25" s="1237"/>
      <c r="AG25" s="1237"/>
      <c r="AH25" s="1207"/>
    </row>
    <row r="26" spans="1:35" ht="13.5" thickBot="1" x14ac:dyDescent="0.25">
      <c r="A26" s="1250"/>
      <c r="B26" s="1251"/>
      <c r="C26" s="1237"/>
      <c r="D26" s="1237"/>
      <c r="E26" s="1237"/>
      <c r="F26" s="1237"/>
      <c r="G26" s="1252"/>
      <c r="H26" s="1237"/>
      <c r="I26" s="1237"/>
      <c r="J26" s="1237"/>
      <c r="K26" s="1237"/>
      <c r="L26" s="1237"/>
      <c r="M26" s="1237"/>
      <c r="N26" s="1237"/>
      <c r="O26" s="1237"/>
      <c r="P26" s="1241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07"/>
    </row>
    <row r="27" spans="1:35" x14ac:dyDescent="0.2">
      <c r="A27" s="1233"/>
      <c r="B27" s="1253"/>
      <c r="C27" s="1237"/>
      <c r="D27" s="1237"/>
      <c r="E27" s="1237"/>
      <c r="F27" s="1237"/>
      <c r="G27" s="1237"/>
      <c r="H27" s="1237"/>
      <c r="I27" s="1237"/>
      <c r="J27" s="1237"/>
      <c r="K27" s="1237"/>
      <c r="L27" s="1237"/>
      <c r="M27" s="1237"/>
      <c r="N27" s="1237"/>
      <c r="O27" s="1237"/>
      <c r="P27" s="1241"/>
      <c r="Q27" s="1237"/>
      <c r="R27" s="1237"/>
      <c r="S27" s="1237"/>
      <c r="T27" s="1237"/>
      <c r="U27" s="1237"/>
      <c r="V27" s="1237"/>
      <c r="W27" s="1237"/>
      <c r="X27" s="1237"/>
      <c r="Y27" s="1237"/>
      <c r="Z27" s="1237"/>
      <c r="AA27" s="1237"/>
      <c r="AB27" s="1237"/>
      <c r="AC27" s="1237"/>
      <c r="AD27" s="1237"/>
      <c r="AE27" s="1237"/>
      <c r="AF27" s="1237"/>
      <c r="AG27" s="1237"/>
      <c r="AH27" s="1207"/>
    </row>
    <row r="28" spans="1:35" x14ac:dyDescent="0.2">
      <c r="A28" s="1236" t="s">
        <v>1</v>
      </c>
      <c r="B28" s="1249">
        <f>B29+B30+B31</f>
        <v>1979.6689999999976</v>
      </c>
      <c r="C28" s="1237"/>
      <c r="D28" s="1237"/>
      <c r="E28" s="1237"/>
      <c r="F28" s="1237"/>
      <c r="G28" s="1237"/>
      <c r="H28" s="1237"/>
      <c r="I28" s="1237"/>
      <c r="J28" s="1237"/>
      <c r="K28" s="1237"/>
      <c r="L28" s="1237"/>
      <c r="M28" s="1237"/>
      <c r="N28" s="1237"/>
      <c r="O28" s="1237"/>
      <c r="P28" s="1241"/>
      <c r="Q28" s="1237"/>
      <c r="R28" s="1237"/>
      <c r="S28" s="1237"/>
      <c r="T28" s="1237"/>
      <c r="U28" s="1237"/>
      <c r="V28" s="1237"/>
      <c r="W28" s="1237"/>
      <c r="X28" s="1237"/>
      <c r="Y28" s="1237"/>
      <c r="Z28" s="1237"/>
      <c r="AA28" s="1237"/>
      <c r="AB28" s="1237"/>
      <c r="AC28" s="1237"/>
      <c r="AD28" s="1237"/>
      <c r="AE28" s="1237"/>
      <c r="AF28" s="1237"/>
      <c r="AG28" s="1237"/>
      <c r="AH28" s="1207"/>
    </row>
    <row r="29" spans="1:35" x14ac:dyDescent="0.2">
      <c r="A29" s="1236" t="s">
        <v>38</v>
      </c>
      <c r="B29" s="1249">
        <f>C82</f>
        <v>1979.6689999999976</v>
      </c>
      <c r="C29" s="1237"/>
      <c r="D29" s="1237"/>
      <c r="E29" s="1237"/>
      <c r="F29" s="1237"/>
      <c r="G29" s="1237"/>
      <c r="H29" s="1237"/>
      <c r="I29" s="1237"/>
      <c r="J29" s="1237"/>
      <c r="K29" s="1237"/>
      <c r="L29" s="1237"/>
      <c r="M29" s="1237"/>
      <c r="N29" s="1237"/>
      <c r="O29" s="1237"/>
      <c r="P29" s="1241"/>
      <c r="Q29" s="1237"/>
      <c r="R29" s="1237"/>
      <c r="S29" s="1237"/>
      <c r="T29" s="1237"/>
      <c r="U29" s="1237"/>
      <c r="V29" s="1237"/>
      <c r="W29" s="1237"/>
      <c r="X29" s="1237"/>
      <c r="Y29" s="1237"/>
      <c r="Z29" s="1237"/>
      <c r="AA29" s="1237"/>
      <c r="AB29" s="1237"/>
      <c r="AC29" s="1237"/>
      <c r="AD29" s="1237"/>
      <c r="AE29" s="1237"/>
      <c r="AF29" s="1237"/>
      <c r="AG29" s="1237"/>
      <c r="AH29" s="1207"/>
    </row>
    <row r="30" spans="1:35" x14ac:dyDescent="0.2">
      <c r="A30" s="1236" t="s">
        <v>39</v>
      </c>
      <c r="B30" s="1249"/>
      <c r="C30" s="1237"/>
      <c r="D30" s="1237"/>
      <c r="E30" s="1237"/>
      <c r="F30" s="1237"/>
      <c r="G30" s="1237"/>
      <c r="H30" s="1237"/>
      <c r="I30" s="1237"/>
      <c r="J30" s="1237"/>
      <c r="K30" s="1237"/>
      <c r="L30" s="1237"/>
      <c r="M30" s="1237"/>
      <c r="N30" s="1237"/>
      <c r="O30" s="1237"/>
      <c r="P30" s="1241"/>
      <c r="Q30" s="1237"/>
      <c r="R30" s="1237"/>
      <c r="S30" s="1237"/>
      <c r="T30" s="1237"/>
      <c r="U30" s="1237"/>
      <c r="V30" s="1237"/>
      <c r="W30" s="1237"/>
      <c r="X30" s="1237"/>
      <c r="Y30" s="1237"/>
      <c r="Z30" s="1237"/>
      <c r="AA30" s="1237"/>
      <c r="AB30" s="1237"/>
      <c r="AC30" s="1237"/>
      <c r="AD30" s="1237"/>
      <c r="AE30" s="1237"/>
      <c r="AF30" s="1237"/>
      <c r="AG30" s="1237"/>
      <c r="AH30" s="1207"/>
    </row>
    <row r="31" spans="1:35" x14ac:dyDescent="0.2">
      <c r="A31" s="1236" t="s">
        <v>3</v>
      </c>
      <c r="B31" s="1249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41"/>
      <c r="Q31" s="1237"/>
      <c r="R31" s="1237"/>
      <c r="S31" s="1237"/>
      <c r="T31" s="1237"/>
      <c r="U31" s="1237"/>
      <c r="V31" s="1237"/>
      <c r="W31" s="1237"/>
      <c r="X31" s="1237"/>
      <c r="Y31" s="1237"/>
      <c r="Z31" s="1237"/>
      <c r="AA31" s="1237"/>
      <c r="AB31" s="1237"/>
      <c r="AC31" s="1237"/>
      <c r="AD31" s="1237"/>
      <c r="AE31" s="1237"/>
      <c r="AF31" s="1237"/>
      <c r="AG31" s="1237"/>
      <c r="AH31" s="1207"/>
    </row>
    <row r="32" spans="1:35" ht="13.5" thickBot="1" x14ac:dyDescent="0.25">
      <c r="A32" s="1250"/>
      <c r="B32" s="1251"/>
      <c r="C32" s="1237"/>
      <c r="D32" s="1237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41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37"/>
      <c r="AE32" s="1237"/>
      <c r="AF32" s="1237"/>
      <c r="AG32" s="1237"/>
      <c r="AH32" s="1207"/>
    </row>
    <row r="33" spans="1:40" ht="18" x14ac:dyDescent="0.25">
      <c r="A33" s="1233"/>
      <c r="B33" s="1253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  <c r="M33" s="1237"/>
      <c r="N33" s="1237"/>
      <c r="O33" s="1254"/>
      <c r="P33" s="1241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37"/>
      <c r="AE33" s="1237"/>
      <c r="AF33" s="1237"/>
      <c r="AG33" s="1237"/>
      <c r="AH33" s="1207"/>
    </row>
    <row r="34" spans="1:40" ht="18" x14ac:dyDescent="0.25">
      <c r="A34" s="1236" t="s">
        <v>4</v>
      </c>
      <c r="B34" s="1249">
        <f>B25+B28</f>
        <v>-559187.98600000003</v>
      </c>
      <c r="C34" s="1237"/>
      <c r="D34" s="1237"/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54"/>
      <c r="P34" s="1241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37"/>
      <c r="AE34" s="1237"/>
      <c r="AF34" s="1237"/>
      <c r="AG34" s="1237"/>
      <c r="AH34" s="1207"/>
    </row>
    <row r="35" spans="1:40" ht="18.75" thickBot="1" x14ac:dyDescent="0.3">
      <c r="A35" s="1250"/>
      <c r="B35" s="1251"/>
      <c r="C35" s="1237"/>
      <c r="D35" s="1237"/>
      <c r="E35" s="1237"/>
      <c r="F35" s="1237"/>
      <c r="G35" s="1237"/>
      <c r="H35" s="1237"/>
      <c r="I35" s="1237"/>
      <c r="K35" s="1237"/>
      <c r="L35" s="1237"/>
      <c r="M35" s="1237"/>
      <c r="N35" s="1237"/>
      <c r="O35" s="1254"/>
      <c r="P35" s="1241"/>
      <c r="Q35" s="1237"/>
      <c r="R35" s="1237"/>
      <c r="S35" s="1237"/>
      <c r="T35" s="1237"/>
      <c r="U35" s="1237"/>
      <c r="V35" s="1237"/>
      <c r="W35" s="1237"/>
      <c r="X35" s="1237"/>
      <c r="Y35" s="1237"/>
      <c r="Z35" s="1237"/>
      <c r="AA35" s="1237"/>
      <c r="AB35" s="1237"/>
      <c r="AC35" s="1237"/>
      <c r="AD35" s="1237"/>
      <c r="AE35" s="1237"/>
      <c r="AF35" s="1237"/>
      <c r="AG35" s="1237"/>
      <c r="AH35" s="1207"/>
    </row>
    <row r="36" spans="1:40" x14ac:dyDescent="0.2">
      <c r="A36" s="1233"/>
      <c r="B36" s="1253"/>
      <c r="C36" s="1237"/>
      <c r="D36" s="1237"/>
      <c r="E36" s="1237"/>
      <c r="F36" s="1237"/>
      <c r="G36" s="1237"/>
      <c r="H36" s="1237"/>
      <c r="I36" s="1237"/>
      <c r="J36" s="1237"/>
      <c r="K36" s="1237"/>
      <c r="L36" s="1237"/>
      <c r="M36" s="1237"/>
      <c r="N36" s="1237"/>
      <c r="O36" s="1237"/>
      <c r="P36" s="1241"/>
      <c r="Q36" s="1237"/>
      <c r="R36" s="1237"/>
      <c r="S36" s="1237"/>
      <c r="T36" s="1237"/>
      <c r="U36" s="1237"/>
      <c r="V36" s="1237"/>
      <c r="W36" s="1237"/>
      <c r="X36" s="1237"/>
      <c r="Y36" s="1237"/>
      <c r="Z36" s="1237"/>
      <c r="AA36" s="1237"/>
      <c r="AB36" s="1237"/>
      <c r="AC36" s="1237"/>
      <c r="AD36" s="1237"/>
      <c r="AE36" s="1237"/>
      <c r="AF36" s="1237"/>
      <c r="AG36" s="1237"/>
      <c r="AH36" s="1207"/>
    </row>
    <row r="37" spans="1:40" ht="18" x14ac:dyDescent="0.25">
      <c r="A37" s="1236" t="s">
        <v>913</v>
      </c>
      <c r="B37" s="1249"/>
      <c r="C37" s="1237"/>
      <c r="D37" s="1237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12"/>
      <c r="Q37" s="1563"/>
      <c r="R37" s="1237"/>
      <c r="S37" s="1255"/>
      <c r="T37" s="1237"/>
      <c r="U37" s="1237"/>
      <c r="V37" s="1237"/>
      <c r="W37" s="1237"/>
      <c r="X37" s="1237"/>
      <c r="Y37" s="1237"/>
      <c r="Z37" s="1237"/>
      <c r="AA37" s="1237"/>
      <c r="AB37" s="1237"/>
      <c r="AC37" s="1748"/>
      <c r="AD37" s="1748"/>
      <c r="AE37" s="1237"/>
      <c r="AF37" s="1237"/>
      <c r="AG37" s="1237"/>
      <c r="AH37" s="1207"/>
    </row>
    <row r="38" spans="1:40" ht="13.5" thickBot="1" x14ac:dyDescent="0.25">
      <c r="A38" s="1250"/>
      <c r="B38" s="1251"/>
      <c r="C38" s="1237"/>
      <c r="D38" s="1237"/>
      <c r="E38" s="1576" t="s">
        <v>1353</v>
      </c>
      <c r="F38" s="1237"/>
      <c r="G38" s="1237"/>
      <c r="H38" s="1563"/>
      <c r="I38" s="1237"/>
      <c r="J38" s="1237"/>
      <c r="K38" s="1241"/>
      <c r="L38" s="1237"/>
      <c r="M38" s="1576" t="s">
        <v>1354</v>
      </c>
      <c r="N38" s="1237"/>
      <c r="O38" s="1237"/>
      <c r="P38" s="1241"/>
      <c r="Q38" s="1237"/>
      <c r="R38" s="1237"/>
      <c r="S38" s="1237"/>
      <c r="T38" s="1237"/>
      <c r="U38" s="1237"/>
      <c r="V38" s="1237"/>
      <c r="W38" s="1237"/>
      <c r="X38" s="1237"/>
      <c r="Y38" s="1237"/>
      <c r="Z38" s="1237"/>
      <c r="AA38" s="1237"/>
      <c r="AB38" s="1237"/>
      <c r="AC38" s="1237"/>
      <c r="AD38" s="1237"/>
      <c r="AE38" s="1237"/>
      <c r="AF38" s="1237"/>
      <c r="AG38" s="1237"/>
      <c r="AH38" s="1207"/>
    </row>
    <row r="39" spans="1:40" x14ac:dyDescent="0.2">
      <c r="A39" s="1233"/>
      <c r="B39" s="1253"/>
      <c r="C39" s="1563" t="s">
        <v>371</v>
      </c>
      <c r="D39" s="1562"/>
      <c r="E39" s="1562"/>
      <c r="F39" s="1237"/>
      <c r="G39" s="1237"/>
      <c r="H39" s="1562"/>
      <c r="I39" s="1237"/>
      <c r="J39" s="1237"/>
      <c r="K39" s="1237"/>
      <c r="L39" s="1212" t="s">
        <v>1389</v>
      </c>
      <c r="M39" s="1563"/>
      <c r="N39" s="1237"/>
      <c r="O39" s="1258"/>
      <c r="P39" s="1212"/>
      <c r="Q39" s="1584" t="s">
        <v>1021</v>
      </c>
      <c r="R39" s="1237"/>
      <c r="S39" s="1563"/>
      <c r="T39" s="1237"/>
      <c r="U39" s="1259"/>
      <c r="V39" s="1259"/>
      <c r="W39" s="1586" t="s">
        <v>1021</v>
      </c>
      <c r="X39" s="1259"/>
      <c r="Y39" s="1260"/>
      <c r="Z39" s="1586" t="s">
        <v>1355</v>
      </c>
      <c r="AA39" s="1261" t="s">
        <v>1394</v>
      </c>
      <c r="AB39" s="1586" t="s">
        <v>1356</v>
      </c>
      <c r="AC39" s="1587" t="s">
        <v>1358</v>
      </c>
      <c r="AD39" s="1586" t="s">
        <v>1359</v>
      </c>
      <c r="AE39" s="1586" t="s">
        <v>1021</v>
      </c>
      <c r="AF39" s="1259" t="s">
        <v>1398</v>
      </c>
      <c r="AG39" s="1586" t="s">
        <v>1357</v>
      </c>
      <c r="AH39" s="1207"/>
    </row>
    <row r="40" spans="1:40" x14ac:dyDescent="0.2">
      <c r="A40" s="1236" t="s">
        <v>5</v>
      </c>
      <c r="B40" s="1249">
        <f>B34-B37</f>
        <v>-559187.98600000003</v>
      </c>
      <c r="C40" s="1643" t="s">
        <v>1384</v>
      </c>
      <c r="D40" s="1563"/>
      <c r="E40" s="1256" t="s">
        <v>49</v>
      </c>
      <c r="F40" s="1563"/>
      <c r="G40" s="1637" t="s">
        <v>1273</v>
      </c>
      <c r="H40" s="1563"/>
      <c r="I40" s="1637"/>
      <c r="J40" s="1644" t="s">
        <v>1385</v>
      </c>
      <c r="K40" s="1563"/>
      <c r="L40" s="1262" t="s">
        <v>1325</v>
      </c>
      <c r="M40" s="1212" t="s">
        <v>166</v>
      </c>
      <c r="N40" s="1512"/>
      <c r="O40" s="1511"/>
      <c r="P40" s="1212"/>
      <c r="Q40" s="1212" t="s">
        <v>1393</v>
      </c>
      <c r="R40" s="1563"/>
      <c r="S40" s="1212"/>
      <c r="T40" s="1212" t="s">
        <v>1389</v>
      </c>
      <c r="U40" s="1212"/>
      <c r="V40" s="1263"/>
      <c r="W40" s="1212"/>
      <c r="X40" s="1563"/>
      <c r="Y40" s="1212"/>
      <c r="Z40" s="1212"/>
      <c r="AA40" s="1264"/>
      <c r="AB40" s="1212"/>
      <c r="AC40" s="1212"/>
      <c r="AD40" s="1266"/>
      <c r="AE40" s="1267"/>
      <c r="AF40" s="1268"/>
      <c r="AG40" s="1267"/>
      <c r="AH40" s="1207"/>
    </row>
    <row r="41" spans="1:40" ht="13.5" thickBot="1" x14ac:dyDescent="0.25">
      <c r="A41" s="1250"/>
      <c r="B41" s="1251"/>
      <c r="C41" s="1237"/>
      <c r="D41" s="1237"/>
      <c r="E41" s="1237"/>
      <c r="F41" s="1237"/>
      <c r="G41" s="1237"/>
      <c r="H41" s="1237"/>
      <c r="I41" s="1237"/>
      <c r="J41" s="1237"/>
      <c r="K41" s="1237"/>
      <c r="L41" s="1563"/>
      <c r="M41" s="1237"/>
      <c r="N41" s="1237"/>
      <c r="O41" s="1237"/>
      <c r="P41" s="1241"/>
      <c r="Q41" s="1237"/>
      <c r="R41" s="1237"/>
      <c r="S41" s="1237"/>
      <c r="T41" s="1237"/>
      <c r="U41" s="1237"/>
      <c r="V41" s="1237"/>
      <c r="W41" s="1237"/>
      <c r="X41" s="1237"/>
      <c r="Y41" s="1237"/>
      <c r="Z41" s="1237"/>
      <c r="AA41" s="1237"/>
      <c r="AB41" s="1237"/>
      <c r="AC41" s="1237"/>
      <c r="AD41" s="1237"/>
      <c r="AE41" s="1237"/>
      <c r="AF41" s="1237"/>
      <c r="AG41" s="1237"/>
      <c r="AH41" s="1207"/>
    </row>
    <row r="42" spans="1:40" x14ac:dyDescent="0.2">
      <c r="A42" s="1269"/>
      <c r="B42" s="1237"/>
      <c r="C42" s="1270"/>
      <c r="D42" s="1271"/>
      <c r="E42" s="1272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3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  <c r="AB42" s="1271"/>
      <c r="AC42" s="1271"/>
      <c r="AD42" s="1271"/>
      <c r="AE42" s="1271"/>
      <c r="AF42" s="1271"/>
      <c r="AG42" s="1271"/>
      <c r="AH42" s="1227">
        <f t="shared" ref="AH42:AH58" si="9">SUM(C42:AG42)</f>
        <v>0</v>
      </c>
    </row>
    <row r="43" spans="1:40" ht="13.5" thickBot="1" x14ac:dyDescent="0.25">
      <c r="A43" s="1274" t="s">
        <v>914</v>
      </c>
      <c r="B43" s="1237"/>
      <c r="C43" s="1275">
        <f t="shared" ref="C43:AG43" si="10">C44+C45+C48+C52+C51+C49+C50+C46+C47</f>
        <v>2312</v>
      </c>
      <c r="D43" s="1275">
        <f t="shared" si="10"/>
        <v>0</v>
      </c>
      <c r="E43" s="1275">
        <f t="shared" si="10"/>
        <v>0</v>
      </c>
      <c r="F43" s="1275">
        <f t="shared" si="10"/>
        <v>0</v>
      </c>
      <c r="G43" s="1275">
        <f t="shared" si="10"/>
        <v>6135.952000000002</v>
      </c>
      <c r="H43" s="1275">
        <f t="shared" si="10"/>
        <v>0</v>
      </c>
      <c r="I43" s="1275">
        <f t="shared" si="10"/>
        <v>0</v>
      </c>
      <c r="J43" s="1275">
        <f t="shared" si="10"/>
        <v>2.0000000000436557E-2</v>
      </c>
      <c r="K43" s="1275">
        <f t="shared" si="10"/>
        <v>0</v>
      </c>
      <c r="L43" s="1275">
        <f t="shared" si="10"/>
        <v>5510.2369999999983</v>
      </c>
      <c r="M43" s="1275">
        <f t="shared" si="10"/>
        <v>0.35799999999289867</v>
      </c>
      <c r="N43" s="1275">
        <f t="shared" si="10"/>
        <v>0</v>
      </c>
      <c r="O43" s="1275">
        <f t="shared" si="10"/>
        <v>0</v>
      </c>
      <c r="P43" s="1276">
        <f t="shared" si="10"/>
        <v>0</v>
      </c>
      <c r="Q43" s="1275">
        <f t="shared" si="10"/>
        <v>353.75</v>
      </c>
      <c r="R43" s="1275">
        <f t="shared" si="10"/>
        <v>0</v>
      </c>
      <c r="S43" s="1275">
        <f t="shared" si="10"/>
        <v>0</v>
      </c>
      <c r="T43" s="1275">
        <f t="shared" si="10"/>
        <v>5500</v>
      </c>
      <c r="U43" s="1275">
        <f t="shared" si="10"/>
        <v>0</v>
      </c>
      <c r="V43" s="1275">
        <f t="shared" si="10"/>
        <v>0</v>
      </c>
      <c r="W43" s="1275">
        <f t="shared" si="10"/>
        <v>0</v>
      </c>
      <c r="X43" s="1275">
        <f t="shared" si="10"/>
        <v>0</v>
      </c>
      <c r="Y43" s="1275">
        <f t="shared" si="10"/>
        <v>0</v>
      </c>
      <c r="Z43" s="1275">
        <f t="shared" si="10"/>
        <v>0</v>
      </c>
      <c r="AA43" s="1275">
        <f t="shared" si="10"/>
        <v>0</v>
      </c>
      <c r="AB43" s="1275">
        <f t="shared" si="10"/>
        <v>1.8189894035458565E-12</v>
      </c>
      <c r="AC43" s="1275">
        <f t="shared" si="10"/>
        <v>-3.637978807091713E-12</v>
      </c>
      <c r="AD43" s="1275">
        <f t="shared" si="10"/>
        <v>5.4569682106375694E-12</v>
      </c>
      <c r="AE43" s="1275">
        <f t="shared" si="10"/>
        <v>-3.637978807091713E-12</v>
      </c>
      <c r="AF43" s="1275">
        <f t="shared" si="10"/>
        <v>-8.4128259913995862E-12</v>
      </c>
      <c r="AG43" s="1275">
        <f t="shared" si="10"/>
        <v>-7.999999997082341E-3</v>
      </c>
      <c r="AH43" s="1227">
        <f t="shared" si="9"/>
        <v>19812.308999999987</v>
      </c>
    </row>
    <row r="44" spans="1:40" x14ac:dyDescent="0.2">
      <c r="A44" s="1274" t="s">
        <v>8</v>
      </c>
      <c r="B44" s="1237"/>
      <c r="C44" s="1282">
        <f>5965.823-5965.823</f>
        <v>0</v>
      </c>
      <c r="D44" s="1282"/>
      <c r="E44" s="1282">
        <f>18300-18300</f>
        <v>0</v>
      </c>
      <c r="F44" s="1282"/>
      <c r="G44" s="1282">
        <f>18898.06-4748.06-14150</f>
        <v>0</v>
      </c>
      <c r="H44" s="1282">
        <f>18200-18200</f>
        <v>0</v>
      </c>
      <c r="I44" s="1282"/>
      <c r="J44" s="1282"/>
      <c r="K44" s="1282"/>
      <c r="L44" s="1282">
        <f>36400+5510.237-4200-14200-18000</f>
        <v>5510.237000000001</v>
      </c>
      <c r="M44" s="1282"/>
      <c r="N44" s="1282"/>
      <c r="O44" s="1282">
        <f>5506.249-5506.249</f>
        <v>0</v>
      </c>
      <c r="P44" s="1282"/>
      <c r="Q44" s="1282">
        <f>46371.512-798.707-1096.956-9850-6538.397-24000-3733.702</f>
        <v>353.75000000000091</v>
      </c>
      <c r="R44" s="1282">
        <f>4250-4250</f>
        <v>0</v>
      </c>
      <c r="S44" s="1282"/>
      <c r="T44" s="1282">
        <v>5500</v>
      </c>
      <c r="U44" s="1282">
        <f>11930.467-10641-1289.467</f>
        <v>0</v>
      </c>
      <c r="V44" s="1282">
        <f>13783.415-9752.836-4030.579</f>
        <v>0</v>
      </c>
      <c r="W44" s="1282">
        <f>8250-8250</f>
        <v>0</v>
      </c>
      <c r="X44" s="1282">
        <f>9200-9200</f>
        <v>0</v>
      </c>
      <c r="Y44" s="1282">
        <f>30787.702-7287.702-23500</f>
        <v>0</v>
      </c>
      <c r="Z44" s="1282">
        <f>4732.66-4732.66</f>
        <v>0</v>
      </c>
      <c r="AA44" s="1282">
        <f>56268.759-6950-8947.645-13450-16200-4221.114</f>
        <v>6500.0000000000018</v>
      </c>
      <c r="AB44" s="1282">
        <f>15900-9150-6750</f>
        <v>0</v>
      </c>
      <c r="AC44" s="1282">
        <f>30629.626-20900-2929.626-6800</f>
        <v>0</v>
      </c>
      <c r="AD44" s="1282">
        <f>29650-16150-13500</f>
        <v>0</v>
      </c>
      <c r="AE44" s="1282"/>
      <c r="AF44" s="1282">
        <f>11720.678-9830-1890.678</f>
        <v>0</v>
      </c>
      <c r="AG44" s="1634">
        <f>130245.456-35000-5934.054-6901.606-8945-23000-4477.765-8996.375-13492.055-1223.422-15687.237</f>
        <v>6587.9420000000046</v>
      </c>
      <c r="AH44" s="1455">
        <f t="shared" si="9"/>
        <v>24451.929000000004</v>
      </c>
      <c r="AN44" s="1280">
        <v>9918.1650000000009</v>
      </c>
    </row>
    <row r="45" spans="1:40" x14ac:dyDescent="0.2">
      <c r="A45" s="1274" t="s">
        <v>703</v>
      </c>
      <c r="B45" s="1237"/>
      <c r="C45" s="1282">
        <v>2312</v>
      </c>
      <c r="D45" s="1282"/>
      <c r="E45" s="1282"/>
      <c r="F45" s="1282">
        <f>26954.951-4454.951-22500</f>
        <v>0</v>
      </c>
      <c r="G45" s="1282">
        <f>30100.953-3666.12-3847.272-3882.122-5000-7569.487</f>
        <v>6135.952000000002</v>
      </c>
      <c r="H45" s="1282"/>
      <c r="I45" s="1282">
        <f>29367.284-1010.074-3590.636-22550-2216.574</f>
        <v>0</v>
      </c>
      <c r="J45" s="1282">
        <f>9935.167-1724.147</f>
        <v>8211.02</v>
      </c>
      <c r="K45" s="1282"/>
      <c r="L45" s="1282">
        <f>35772.596-22200-5866.483-5000-824.846-1175.818-705.449</f>
        <v>-2.3874235921539366E-12</v>
      </c>
      <c r="M45" s="1282"/>
      <c r="N45" s="1282">
        <f>23383.307-2169.838-2170.935-3782.9-8200-6785.116-274.518</f>
        <v>0</v>
      </c>
      <c r="O45" s="1282">
        <f>22223.06-22223.06</f>
        <v>0</v>
      </c>
      <c r="P45" s="1282"/>
      <c r="Q45" s="1282">
        <f>29543.196-1777.527-2218.97</f>
        <v>25546.699000000001</v>
      </c>
      <c r="R45" s="1282"/>
      <c r="S45" s="1282">
        <f>405.628-405.628</f>
        <v>0</v>
      </c>
      <c r="T45" s="1282">
        <f>26700-26700</f>
        <v>0</v>
      </c>
      <c r="U45" s="1282">
        <f>6109.774-481.94-5627.834</f>
        <v>0</v>
      </c>
      <c r="V45" s="1282">
        <f>39656.8-4663.886-5000-5032.467-8260.447-9400-7300</f>
        <v>0</v>
      </c>
      <c r="W45" s="1282">
        <f>43485.963-1827.735-3246.107-11812.121</f>
        <v>26600</v>
      </c>
      <c r="X45" s="1282">
        <f>21975.906-683.208-765.385-900.5-913.241-1528.362-4442.318-8500-605.825-1902.498-1734.569</f>
        <v>0</v>
      </c>
      <c r="Y45" s="1282"/>
      <c r="Z45" s="1282">
        <f>68841.866-2741.218-3029.221-5579.555-7946.584-8245.288-26500</f>
        <v>14800</v>
      </c>
      <c r="AA45" s="1282">
        <f>44742.788-146.136-1169.241-1866.147-2015.309-3886.13-4650-4900-5580.04-7650-9450-3429.785</f>
        <v>3.637978807091713E-12</v>
      </c>
      <c r="AB45" s="1282">
        <f>23612.651-805.26-1546.739-4700-2560.652</f>
        <v>14000.000000000002</v>
      </c>
      <c r="AC45" s="1282">
        <f>42178.32-5461.73-7493.726-9250</f>
        <v>19972.863999999998</v>
      </c>
      <c r="AD45" s="1282">
        <f>36298.949-2069.894-2231.653-2340.708-2716.816-2739.707-3440.213-4719.861-7640.097</f>
        <v>8400.0000000000055</v>
      </c>
      <c r="AE45" s="1282">
        <f>42876.956-2138.398-4019.72-4834.234-5334.604</f>
        <v>26549.999999999996</v>
      </c>
      <c r="AF45" s="1282">
        <f>52977.589-903.908-3479.069-4077.419-4676.795-4723.601-5000-9500-7700-6102.865-5767.362-1046.57</f>
        <v>-8.4128259913995862E-12</v>
      </c>
      <c r="AG45" s="1282">
        <f>31315.856-436.091-545.661-1351.325-1515.319-2659.61-4622.987-5120.228-7764.565</f>
        <v>7300.0699999999988</v>
      </c>
      <c r="AH45" s="1455">
        <f t="shared" si="9"/>
        <v>159828.60500000001</v>
      </c>
      <c r="AI45" s="1283">
        <f>+AH45+AH44</f>
        <v>184280.53400000001</v>
      </c>
      <c r="AJ45" s="1283"/>
      <c r="AN45" s="1280">
        <v>788.89499999999998</v>
      </c>
    </row>
    <row r="46" spans="1:40" x14ac:dyDescent="0.2">
      <c r="A46" s="1274" t="s">
        <v>704</v>
      </c>
      <c r="B46" s="1237"/>
      <c r="C46" s="1282">
        <f>4464.729-3488.15-976.579</f>
        <v>0</v>
      </c>
      <c r="D46" s="1282"/>
      <c r="E46" s="1282"/>
      <c r="F46" s="1593"/>
      <c r="G46" s="1593"/>
      <c r="H46" s="1593"/>
      <c r="I46" s="1593"/>
      <c r="J46" s="1593">
        <v>-8211</v>
      </c>
      <c r="K46" s="1593"/>
      <c r="L46" s="1593"/>
      <c r="M46" s="1593"/>
      <c r="N46" s="1593"/>
      <c r="O46" s="1593"/>
      <c r="P46" s="1593"/>
      <c r="Q46" s="1593"/>
      <c r="R46" s="1593"/>
      <c r="S46" s="1593"/>
      <c r="T46" s="1593"/>
      <c r="U46" s="1593"/>
      <c r="V46" s="1593"/>
      <c r="W46" s="1593">
        <f>18400-18400</f>
        <v>0</v>
      </c>
      <c r="X46" s="1593"/>
      <c r="Y46" s="1593"/>
      <c r="Z46" s="1593">
        <f>18450-18450</f>
        <v>0</v>
      </c>
      <c r="AA46" s="1593"/>
      <c r="AB46" s="1593"/>
      <c r="AC46" s="1593">
        <f>18500-18500</f>
        <v>0</v>
      </c>
      <c r="AD46" s="1593"/>
      <c r="AE46" s="1593"/>
      <c r="AF46" s="1593">
        <f>7485.229+21973.211-21973.211-7485.229</f>
        <v>0</v>
      </c>
      <c r="AG46" s="1282"/>
      <c r="AH46" s="1455">
        <f t="shared" si="9"/>
        <v>-8211</v>
      </c>
      <c r="AN46" s="1280"/>
    </row>
    <row r="47" spans="1:40" x14ac:dyDescent="0.2">
      <c r="A47" s="1274" t="s">
        <v>705</v>
      </c>
      <c r="B47" s="1237"/>
      <c r="C47" s="1598"/>
      <c r="D47" s="1599"/>
      <c r="E47" s="1599"/>
      <c r="F47" s="1599"/>
      <c r="G47" s="1599"/>
      <c r="H47" s="1599"/>
      <c r="I47" s="1599"/>
      <c r="J47" s="1599"/>
      <c r="K47" s="1599"/>
      <c r="L47" s="1599"/>
      <c r="M47" s="1599"/>
      <c r="N47" s="1599"/>
      <c r="O47" s="1599"/>
      <c r="P47" s="1599"/>
      <c r="Q47" s="1599"/>
      <c r="R47" s="1599"/>
      <c r="S47" s="1599"/>
      <c r="T47" s="1599"/>
      <c r="U47" s="1599"/>
      <c r="V47" s="1634">
        <v>24442.09</v>
      </c>
      <c r="W47" s="1599"/>
      <c r="X47" s="1599"/>
      <c r="Y47" s="1599"/>
      <c r="Z47" s="1599"/>
      <c r="AA47" s="1635">
        <f>-6500</f>
        <v>-6500</v>
      </c>
      <c r="AB47" s="1599"/>
      <c r="AC47" s="1599"/>
      <c r="AD47" s="1599"/>
      <c r="AE47" s="1599"/>
      <c r="AF47" s="1599"/>
      <c r="AG47" s="1635">
        <f>-6587.95</f>
        <v>-6587.95</v>
      </c>
      <c r="AH47" s="1455">
        <f t="shared" si="9"/>
        <v>11354.14</v>
      </c>
      <c r="AI47" s="1283"/>
      <c r="AJ47" s="1283"/>
      <c r="AN47" s="1280"/>
    </row>
    <row r="48" spans="1:40" s="1289" customFormat="1" x14ac:dyDescent="0.2">
      <c r="A48" s="1285" t="s">
        <v>10</v>
      </c>
      <c r="B48" s="1286"/>
      <c r="C48" s="1292"/>
      <c r="D48" s="1493"/>
      <c r="E48" s="1287">
        <v>31964</v>
      </c>
      <c r="F48" s="1287"/>
      <c r="G48" s="1287"/>
      <c r="H48" s="1287"/>
      <c r="I48" s="1287"/>
      <c r="J48" s="1493"/>
      <c r="K48" s="1287"/>
      <c r="L48" s="1287"/>
      <c r="M48" s="1494"/>
      <c r="N48" s="1493"/>
      <c r="O48" s="1287"/>
      <c r="P48" s="1287"/>
      <c r="Q48" s="1287"/>
      <c r="R48" s="1287"/>
      <c r="S48" s="1287"/>
      <c r="T48" s="1493"/>
      <c r="U48" s="1287"/>
      <c r="V48" s="1287"/>
      <c r="W48" s="1287"/>
      <c r="X48" s="1287"/>
      <c r="Y48" s="1493"/>
      <c r="Z48" s="1287"/>
      <c r="AA48" s="1287"/>
      <c r="AB48" s="1522"/>
      <c r="AC48" s="1493"/>
      <c r="AD48" s="1287"/>
      <c r="AE48" s="1287"/>
      <c r="AF48" s="1287"/>
      <c r="AG48" s="1287"/>
      <c r="AH48" s="1456">
        <f t="shared" si="9"/>
        <v>31964</v>
      </c>
      <c r="AI48" s="1288"/>
      <c r="AN48" s="1290">
        <v>6347.85</v>
      </c>
    </row>
    <row r="49" spans="1:40" s="1289" customFormat="1" x14ac:dyDescent="0.2">
      <c r="A49" s="1285" t="s">
        <v>356</v>
      </c>
      <c r="B49" s="1291"/>
      <c r="C49" s="1292"/>
      <c r="D49" s="1292"/>
      <c r="E49" s="1292"/>
      <c r="F49" s="1292"/>
      <c r="G49" s="1292"/>
      <c r="H49" s="1292"/>
      <c r="I49" s="1292"/>
      <c r="J49" s="1292"/>
      <c r="K49" s="1292"/>
      <c r="L49" s="1292"/>
      <c r="M49" s="1292">
        <v>84385.357999999993</v>
      </c>
      <c r="N49" s="1292"/>
      <c r="O49" s="1292"/>
      <c r="P49" s="1292"/>
      <c r="Q49" s="1292"/>
      <c r="R49" s="1292"/>
      <c r="S49" s="1292"/>
      <c r="T49" s="1292"/>
      <c r="U49" s="1292"/>
      <c r="V49" s="1292"/>
      <c r="W49" s="1292"/>
      <c r="X49" s="1292"/>
      <c r="Y49" s="1292"/>
      <c r="Z49" s="1292"/>
      <c r="AA49" s="1292"/>
      <c r="AB49" s="1292"/>
      <c r="AC49" s="1292"/>
      <c r="AD49" s="1292"/>
      <c r="AE49" s="1292"/>
      <c r="AF49" s="1292"/>
      <c r="AG49" s="1292"/>
      <c r="AH49" s="1456">
        <f t="shared" si="9"/>
        <v>84385.357999999993</v>
      </c>
      <c r="AN49" s="1290">
        <v>6249.5020000000004</v>
      </c>
    </row>
    <row r="50" spans="1:40" s="1320" customFormat="1" x14ac:dyDescent="0.2">
      <c r="A50" s="1530" t="s">
        <v>357</v>
      </c>
      <c r="B50" s="1241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  <c r="O50" s="1282"/>
      <c r="P50" s="1282"/>
      <c r="Q50" s="1282"/>
      <c r="R50" s="1282"/>
      <c r="S50" s="1282"/>
      <c r="T50" s="1282"/>
      <c r="U50" s="1282"/>
      <c r="V50" s="1282"/>
      <c r="W50" s="1282"/>
      <c r="X50" s="1282"/>
      <c r="Y50" s="1282"/>
      <c r="Z50" s="1282"/>
      <c r="AA50" s="1282"/>
      <c r="AB50" s="1282"/>
      <c r="AC50" s="1282"/>
      <c r="AD50" s="1282"/>
      <c r="AE50" s="1282"/>
      <c r="AF50" s="1282"/>
      <c r="AG50" s="1282"/>
      <c r="AH50" s="1531">
        <f t="shared" si="9"/>
        <v>0</v>
      </c>
      <c r="AN50" s="1355">
        <v>2246.556</v>
      </c>
    </row>
    <row r="51" spans="1:40" s="1320" customFormat="1" x14ac:dyDescent="0.2">
      <c r="A51" s="1530" t="s">
        <v>41</v>
      </c>
      <c r="B51" s="1241"/>
      <c r="C51" s="1282"/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  <c r="O51" s="1282"/>
      <c r="P51" s="1282"/>
      <c r="Q51" s="1282"/>
      <c r="R51" s="1282"/>
      <c r="S51" s="1282"/>
      <c r="T51" s="1282"/>
      <c r="U51" s="1282"/>
      <c r="V51" s="1282"/>
      <c r="W51" s="1282"/>
      <c r="X51" s="1282"/>
      <c r="Y51" s="1282"/>
      <c r="Z51" s="1282"/>
      <c r="AA51" s="1282"/>
      <c r="AB51" s="1282"/>
      <c r="AC51" s="1282"/>
      <c r="AD51" s="1282"/>
      <c r="AE51" s="1282"/>
      <c r="AF51" s="1282"/>
      <c r="AG51" s="1282"/>
      <c r="AH51" s="1531">
        <f t="shared" si="9"/>
        <v>0</v>
      </c>
      <c r="AN51" s="1355"/>
    </row>
    <row r="52" spans="1:40" x14ac:dyDescent="0.2">
      <c r="A52" s="1274" t="s">
        <v>11</v>
      </c>
      <c r="B52" s="1237"/>
      <c r="C52" s="1282">
        <f>6170.338+14766.284-2339.771-4643.171-5479.942-4643.171-3830.567</f>
        <v>0</v>
      </c>
      <c r="D52" s="1293"/>
      <c r="E52" s="1575">
        <v>-31964</v>
      </c>
      <c r="F52" s="1293"/>
      <c r="G52" s="1293"/>
      <c r="H52" s="1293"/>
      <c r="I52" s="1293"/>
      <c r="J52" s="1293"/>
      <c r="K52" s="1293"/>
      <c r="L52" s="1293"/>
      <c r="M52" s="1575">
        <v>-84385</v>
      </c>
      <c r="N52" s="1293"/>
      <c r="O52" s="1293"/>
      <c r="P52" s="1293"/>
      <c r="Q52" s="1585">
        <v>-25546.699000000001</v>
      </c>
      <c r="R52" s="1293"/>
      <c r="S52" s="1293"/>
      <c r="T52" s="1293"/>
      <c r="U52" s="1293"/>
      <c r="V52" s="1293">
        <f>-V47</f>
        <v>-24442.09</v>
      </c>
      <c r="W52" s="1585">
        <v>-26600</v>
      </c>
      <c r="X52" s="1293"/>
      <c r="Y52" s="1293"/>
      <c r="Z52" s="1585">
        <f>-7000-7800</f>
        <v>-14800</v>
      </c>
      <c r="AA52" s="1293"/>
      <c r="AB52" s="1585">
        <f>-6650-7350</f>
        <v>-14000</v>
      </c>
      <c r="AC52" s="1585">
        <f>-7850-5813.243-6309.621</f>
        <v>-19972.864000000001</v>
      </c>
      <c r="AD52" s="1585">
        <f>-8400</f>
        <v>-8400</v>
      </c>
      <c r="AE52" s="1585">
        <v>-26550</v>
      </c>
      <c r="AF52" s="1293"/>
      <c r="AG52" s="1585">
        <f>-7300.07</f>
        <v>-7300.07</v>
      </c>
      <c r="AH52" s="1455">
        <f t="shared" si="9"/>
        <v>-283960.723</v>
      </c>
      <c r="AN52" s="1280">
        <v>4028.1610000000001</v>
      </c>
    </row>
    <row r="53" spans="1:40" ht="13.5" thickBot="1" x14ac:dyDescent="0.25">
      <c r="A53" s="1294"/>
      <c r="B53" s="1237"/>
      <c r="C53" s="1295"/>
      <c r="D53" s="1295"/>
      <c r="E53" s="1295"/>
      <c r="F53" s="1295"/>
      <c r="G53" s="1295"/>
      <c r="H53" s="1295"/>
      <c r="I53" s="1295"/>
      <c r="J53" s="1295"/>
      <c r="K53" s="1295"/>
      <c r="L53" s="1295"/>
      <c r="M53" s="1295"/>
      <c r="N53" s="1295"/>
      <c r="O53" s="1295"/>
      <c r="P53" s="1295"/>
      <c r="Q53" s="1295"/>
      <c r="R53" s="1295"/>
      <c r="S53" s="1295"/>
      <c r="T53" s="1295"/>
      <c r="U53" s="1295"/>
      <c r="V53" s="1295"/>
      <c r="W53" s="1295"/>
      <c r="X53" s="1295"/>
      <c r="Y53" s="1295"/>
      <c r="Z53" s="1295"/>
      <c r="AA53" s="1295"/>
      <c r="AB53" s="1295"/>
      <c r="AC53" s="1295"/>
      <c r="AD53" s="1295"/>
      <c r="AE53" s="1295"/>
      <c r="AF53" s="1295"/>
      <c r="AG53" s="1295"/>
      <c r="AH53" s="1227">
        <f t="shared" si="9"/>
        <v>0</v>
      </c>
      <c r="AI53" s="1283"/>
      <c r="AJ53" s="1289"/>
      <c r="AN53" s="1280">
        <v>5501.3969999999999</v>
      </c>
    </row>
    <row r="54" spans="1:40" x14ac:dyDescent="0.2">
      <c r="A54" s="1269"/>
      <c r="B54" s="1237"/>
      <c r="C54" s="1296"/>
      <c r="D54" s="1297"/>
      <c r="E54" s="1297"/>
      <c r="F54" s="1298"/>
      <c r="G54" s="1298"/>
      <c r="H54" s="1298"/>
      <c r="I54" s="1298"/>
      <c r="J54" s="1298"/>
      <c r="K54" s="1298"/>
      <c r="L54" s="1298"/>
      <c r="M54" s="1298"/>
      <c r="N54" s="1298"/>
      <c r="O54" s="1298"/>
      <c r="P54" s="1299"/>
      <c r="Q54" s="1298"/>
      <c r="R54" s="1298"/>
      <c r="S54" s="1298"/>
      <c r="T54" s="1298"/>
      <c r="U54" s="1298"/>
      <c r="V54" s="1298"/>
      <c r="W54" s="1298"/>
      <c r="X54" s="1298"/>
      <c r="Y54" s="1298"/>
      <c r="Z54" s="1298"/>
      <c r="AA54" s="1298"/>
      <c r="AB54" s="1298"/>
      <c r="AC54" s="1298"/>
      <c r="AD54" s="1298"/>
      <c r="AE54" s="1298"/>
      <c r="AF54" s="1298"/>
      <c r="AG54" s="1298"/>
      <c r="AH54" s="1227">
        <f t="shared" si="9"/>
        <v>0</v>
      </c>
      <c r="AJ54" s="1289"/>
      <c r="AN54" s="1280">
        <v>3325.74</v>
      </c>
    </row>
    <row r="55" spans="1:40" ht="13.5" thickBot="1" x14ac:dyDescent="0.25">
      <c r="A55" s="1274" t="s">
        <v>12</v>
      </c>
      <c r="B55" s="1237"/>
      <c r="C55" s="1275">
        <f t="shared" ref="C55:AG55" si="11">C56</f>
        <v>0</v>
      </c>
      <c r="D55" s="1275">
        <f t="shared" si="11"/>
        <v>0</v>
      </c>
      <c r="E55" s="1275">
        <f t="shared" si="11"/>
        <v>0</v>
      </c>
      <c r="F55" s="1275">
        <f t="shared" si="11"/>
        <v>0</v>
      </c>
      <c r="G55" s="1275">
        <f t="shared" si="11"/>
        <v>0</v>
      </c>
      <c r="H55" s="1275">
        <f t="shared" si="11"/>
        <v>0</v>
      </c>
      <c r="I55" s="1275">
        <f t="shared" si="11"/>
        <v>0</v>
      </c>
      <c r="J55" s="1275">
        <f t="shared" si="11"/>
        <v>0</v>
      </c>
      <c r="K55" s="1275">
        <f t="shared" si="11"/>
        <v>0</v>
      </c>
      <c r="L55" s="1275">
        <f t="shared" si="11"/>
        <v>0</v>
      </c>
      <c r="M55" s="1276">
        <f t="shared" si="11"/>
        <v>0</v>
      </c>
      <c r="N55" s="1276">
        <f t="shared" si="11"/>
        <v>0</v>
      </c>
      <c r="O55" s="1276">
        <f t="shared" si="11"/>
        <v>0</v>
      </c>
      <c r="P55" s="1276">
        <f t="shared" si="11"/>
        <v>0</v>
      </c>
      <c r="Q55" s="1275">
        <f t="shared" si="11"/>
        <v>0</v>
      </c>
      <c r="R55" s="1275">
        <f t="shared" si="11"/>
        <v>0</v>
      </c>
      <c r="S55" s="1275">
        <f t="shared" si="11"/>
        <v>0</v>
      </c>
      <c r="T55" s="1275">
        <f t="shared" si="11"/>
        <v>0</v>
      </c>
      <c r="U55" s="1275">
        <f t="shared" si="11"/>
        <v>0</v>
      </c>
      <c r="V55" s="1275">
        <f t="shared" si="11"/>
        <v>0</v>
      </c>
      <c r="W55" s="1275">
        <f t="shared" si="11"/>
        <v>0</v>
      </c>
      <c r="X55" s="1275">
        <f t="shared" si="11"/>
        <v>0</v>
      </c>
      <c r="Y55" s="1275">
        <f t="shared" si="11"/>
        <v>0</v>
      </c>
      <c r="Z55" s="1275">
        <f t="shared" si="11"/>
        <v>0</v>
      </c>
      <c r="AA55" s="1275">
        <f t="shared" si="11"/>
        <v>0</v>
      </c>
      <c r="AB55" s="1275">
        <f t="shared" si="11"/>
        <v>0</v>
      </c>
      <c r="AC55" s="1275">
        <f t="shared" si="11"/>
        <v>0</v>
      </c>
      <c r="AD55" s="1275">
        <f t="shared" si="11"/>
        <v>0</v>
      </c>
      <c r="AE55" s="1275">
        <f t="shared" si="11"/>
        <v>0</v>
      </c>
      <c r="AF55" s="1275">
        <f t="shared" si="11"/>
        <v>0</v>
      </c>
      <c r="AG55" s="1275">
        <f t="shared" si="11"/>
        <v>0</v>
      </c>
      <c r="AH55" s="1227">
        <f t="shared" si="9"/>
        <v>0</v>
      </c>
      <c r="AN55" s="1280">
        <v>9717.5709999999999</v>
      </c>
    </row>
    <row r="56" spans="1:40" x14ac:dyDescent="0.2">
      <c r="A56" s="1274" t="s">
        <v>8</v>
      </c>
      <c r="B56" s="1237"/>
      <c r="C56" s="1282"/>
      <c r="D56" s="1282"/>
      <c r="E56" s="1282"/>
      <c r="F56" s="1282"/>
      <c r="G56" s="1282"/>
      <c r="H56" s="1282"/>
      <c r="I56" s="1282"/>
      <c r="J56" s="1282"/>
      <c r="K56" s="1282"/>
      <c r="L56" s="1282"/>
      <c r="M56" s="1282"/>
      <c r="N56" s="1282"/>
      <c r="O56" s="1282"/>
      <c r="P56" s="1282"/>
      <c r="Q56" s="1282"/>
      <c r="R56" s="1282"/>
      <c r="S56" s="1282"/>
      <c r="T56" s="1282"/>
      <c r="U56" s="1282"/>
      <c r="V56" s="1282"/>
      <c r="W56" s="1282"/>
      <c r="X56" s="1282"/>
      <c r="Y56" s="1282"/>
      <c r="Z56" s="1282"/>
      <c r="AA56" s="1282"/>
      <c r="AB56" s="1282"/>
      <c r="AC56" s="1282"/>
      <c r="AD56" s="1282"/>
      <c r="AE56" s="1282"/>
      <c r="AF56" s="1282"/>
      <c r="AG56" s="1282"/>
      <c r="AH56" s="1455">
        <f t="shared" si="9"/>
        <v>0</v>
      </c>
      <c r="AN56" s="1280">
        <v>673.17700000000002</v>
      </c>
    </row>
    <row r="57" spans="1:40" x14ac:dyDescent="0.2">
      <c r="A57" s="1274" t="s">
        <v>215</v>
      </c>
      <c r="B57" s="1237"/>
      <c r="C57" s="1282">
        <v>16616.508999999998</v>
      </c>
      <c r="D57" s="1282"/>
      <c r="E57" s="1282">
        <v>1278.68</v>
      </c>
      <c r="F57" s="1282">
        <v>10211.789000000001</v>
      </c>
      <c r="G57" s="1282">
        <v>11575.107999999998</v>
      </c>
      <c r="H57" s="1282">
        <v>1212.4069999999999</v>
      </c>
      <c r="I57" s="1282"/>
      <c r="J57" s="1282">
        <v>6064.1390000000001</v>
      </c>
      <c r="K57" s="1282"/>
      <c r="L57" s="1282">
        <v>7192.3440000000001</v>
      </c>
      <c r="M57" s="1282">
        <v>6293.6250000000009</v>
      </c>
      <c r="N57" s="1282">
        <v>5442.3510000000006</v>
      </c>
      <c r="O57" s="1282">
        <v>3521.7290000000003</v>
      </c>
      <c r="P57" s="1282">
        <v>2212.4070000000002</v>
      </c>
      <c r="Q57" s="1282">
        <v>37654.726999999999</v>
      </c>
      <c r="R57" s="1282">
        <v>1000</v>
      </c>
      <c r="S57" s="1282"/>
      <c r="T57" s="1282">
        <v>7382.4070000000002</v>
      </c>
      <c r="U57" s="1282">
        <v>2009.3589999999999</v>
      </c>
      <c r="V57" s="1282">
        <v>26640.712</v>
      </c>
      <c r="W57" s="1282">
        <v>1350.0250000000001</v>
      </c>
      <c r="X57" s="1282">
        <v>3482.4070000000002</v>
      </c>
      <c r="Y57" s="1282"/>
      <c r="Z57" s="1282">
        <v>6100</v>
      </c>
      <c r="AA57" s="1282">
        <v>13959.964</v>
      </c>
      <c r="AB57" s="1282">
        <v>5247.076</v>
      </c>
      <c r="AC57" s="1282">
        <v>4142.4070000000002</v>
      </c>
      <c r="AD57" s="1282">
        <v>2000</v>
      </c>
      <c r="AE57" s="1282">
        <v>6995.3450000000003</v>
      </c>
      <c r="AF57" s="1282">
        <v>16091.761999999999</v>
      </c>
      <c r="AG57" s="1282">
        <v>144132.74899999995</v>
      </c>
      <c r="AH57" s="1455">
        <f>SUM(C57:AG57)</f>
        <v>349810.02799999993</v>
      </c>
      <c r="AI57" s="1283"/>
      <c r="AN57" s="1280">
        <v>4534.4949999999999</v>
      </c>
    </row>
    <row r="58" spans="1:40" ht="13.5" thickBot="1" x14ac:dyDescent="0.25">
      <c r="A58" s="1294"/>
      <c r="B58" s="1237"/>
      <c r="C58" s="1295"/>
      <c r="D58" s="1295"/>
      <c r="E58" s="1295"/>
      <c r="F58" s="1295"/>
      <c r="G58" s="1295"/>
      <c r="H58" s="1295"/>
      <c r="I58" s="1295"/>
      <c r="J58" s="1295"/>
      <c r="K58" s="1295"/>
      <c r="L58" s="1295"/>
      <c r="M58" s="1295"/>
      <c r="N58" s="1295"/>
      <c r="O58" s="1295"/>
      <c r="P58" s="1295"/>
      <c r="Q58" s="1295"/>
      <c r="R58" s="1295"/>
      <c r="S58" s="1295"/>
      <c r="T58" s="1295"/>
      <c r="U58" s="1295"/>
      <c r="V58" s="1295"/>
      <c r="W58" s="1295"/>
      <c r="X58" s="1295"/>
      <c r="Y58" s="1295"/>
      <c r="Z58" s="1295"/>
      <c r="AA58" s="1295"/>
      <c r="AB58" s="1295"/>
      <c r="AC58" s="1295"/>
      <c r="AD58" s="1295"/>
      <c r="AE58" s="1295"/>
      <c r="AF58" s="1295"/>
      <c r="AG58" s="1295"/>
      <c r="AH58" s="1227">
        <f t="shared" si="9"/>
        <v>0</v>
      </c>
      <c r="AN58" s="1280">
        <v>2827.3519999999999</v>
      </c>
    </row>
    <row r="59" spans="1:40" x14ac:dyDescent="0.2">
      <c r="A59" s="1269"/>
      <c r="B59" s="1237"/>
      <c r="C59" s="1296"/>
      <c r="D59" s="1297"/>
      <c r="E59" s="1297"/>
      <c r="F59" s="1298"/>
      <c r="G59" s="1298"/>
      <c r="H59" s="1298"/>
      <c r="I59" s="1298"/>
      <c r="J59" s="1298"/>
      <c r="K59" s="1298"/>
      <c r="L59" s="1298"/>
      <c r="M59" s="1298"/>
      <c r="N59" s="1298"/>
      <c r="O59" s="1298"/>
      <c r="P59" s="1299"/>
      <c r="Q59" s="1298"/>
      <c r="R59" s="1298"/>
      <c r="S59" s="1298"/>
      <c r="T59" s="1298"/>
      <c r="U59" s="1298"/>
      <c r="V59" s="1298"/>
      <c r="W59" s="1298"/>
      <c r="X59" s="1298"/>
      <c r="Y59" s="1298"/>
      <c r="Z59" s="1298"/>
      <c r="AA59" s="1298"/>
      <c r="AB59" s="1298"/>
      <c r="AC59" s="1298"/>
      <c r="AD59" s="1298"/>
      <c r="AE59" s="1298"/>
      <c r="AF59" s="1298"/>
      <c r="AG59" s="1298"/>
      <c r="AH59" s="1207"/>
      <c r="AJ59" s="1209">
        <f>18755+17890+17700+17800</f>
        <v>72145</v>
      </c>
      <c r="AN59" s="1280">
        <v>1850.7819999999999</v>
      </c>
    </row>
    <row r="60" spans="1:40" x14ac:dyDescent="0.2">
      <c r="A60" s="1274" t="s">
        <v>915</v>
      </c>
      <c r="B60" s="1237"/>
      <c r="C60" s="1300">
        <f t="shared" ref="C60:AG60" si="12">C55-C43</f>
        <v>-2312</v>
      </c>
      <c r="D60" s="1300">
        <f t="shared" si="12"/>
        <v>0</v>
      </c>
      <c r="E60" s="1300">
        <f t="shared" si="12"/>
        <v>0</v>
      </c>
      <c r="F60" s="1300">
        <f t="shared" si="12"/>
        <v>0</v>
      </c>
      <c r="G60" s="1300">
        <f t="shared" si="12"/>
        <v>-6135.952000000002</v>
      </c>
      <c r="H60" s="1300">
        <f t="shared" si="12"/>
        <v>0</v>
      </c>
      <c r="I60" s="1300">
        <f t="shared" si="12"/>
        <v>0</v>
      </c>
      <c r="J60" s="1300">
        <f t="shared" si="12"/>
        <v>-2.0000000000436557E-2</v>
      </c>
      <c r="K60" s="1300">
        <f t="shared" si="12"/>
        <v>0</v>
      </c>
      <c r="L60" s="1300">
        <f t="shared" si="12"/>
        <v>-5510.2369999999983</v>
      </c>
      <c r="M60" s="1300">
        <f t="shared" si="12"/>
        <v>-0.35799999999289867</v>
      </c>
      <c r="N60" s="1300">
        <f t="shared" si="12"/>
        <v>0</v>
      </c>
      <c r="O60" s="1300">
        <f t="shared" si="12"/>
        <v>0</v>
      </c>
      <c r="P60" s="1301">
        <f t="shared" si="12"/>
        <v>0</v>
      </c>
      <c r="Q60" s="1300">
        <f t="shared" si="12"/>
        <v>-353.75</v>
      </c>
      <c r="R60" s="1300">
        <f t="shared" si="12"/>
        <v>0</v>
      </c>
      <c r="S60" s="1300">
        <f t="shared" si="12"/>
        <v>0</v>
      </c>
      <c r="T60" s="1300">
        <f t="shared" si="12"/>
        <v>-5500</v>
      </c>
      <c r="U60" s="1300">
        <f t="shared" si="12"/>
        <v>0</v>
      </c>
      <c r="V60" s="1300">
        <f t="shared" si="12"/>
        <v>0</v>
      </c>
      <c r="W60" s="1300">
        <f t="shared" si="12"/>
        <v>0</v>
      </c>
      <c r="X60" s="1300">
        <f t="shared" si="12"/>
        <v>0</v>
      </c>
      <c r="Y60" s="1300">
        <f t="shared" si="12"/>
        <v>0</v>
      </c>
      <c r="Z60" s="1300">
        <f t="shared" si="12"/>
        <v>0</v>
      </c>
      <c r="AA60" s="1300">
        <f t="shared" si="12"/>
        <v>0</v>
      </c>
      <c r="AB60" s="1300">
        <f t="shared" si="12"/>
        <v>-1.8189894035458565E-12</v>
      </c>
      <c r="AC60" s="1300">
        <f t="shared" si="12"/>
        <v>3.637978807091713E-12</v>
      </c>
      <c r="AD60" s="1300">
        <f t="shared" si="12"/>
        <v>-5.4569682106375694E-12</v>
      </c>
      <c r="AE60" s="1300">
        <f t="shared" si="12"/>
        <v>3.637978807091713E-12</v>
      </c>
      <c r="AF60" s="1300">
        <f t="shared" si="12"/>
        <v>8.4128259913995862E-12</v>
      </c>
      <c r="AG60" s="1300">
        <f t="shared" si="12"/>
        <v>7.999999997082341E-3</v>
      </c>
      <c r="AH60" s="1207"/>
      <c r="AJ60" s="1209">
        <f>AJ59+67000</f>
        <v>139145</v>
      </c>
      <c r="AL60" s="1283"/>
      <c r="AN60" s="1280">
        <v>915.26599999999996</v>
      </c>
    </row>
    <row r="61" spans="1:40" ht="13.5" thickBot="1" x14ac:dyDescent="0.25">
      <c r="A61" s="1274"/>
      <c r="B61" s="1237"/>
      <c r="C61" s="1300"/>
      <c r="D61" s="1302"/>
      <c r="E61" s="1302"/>
      <c r="F61" s="1303"/>
      <c r="G61" s="1303"/>
      <c r="H61" s="1303"/>
      <c r="I61" s="1303"/>
      <c r="J61" s="1303"/>
      <c r="K61" s="1303"/>
      <c r="L61" s="1303"/>
      <c r="M61" s="1303"/>
      <c r="N61" s="1303"/>
      <c r="O61" s="1303"/>
      <c r="P61" s="1304"/>
      <c r="Q61" s="1303"/>
      <c r="R61" s="1303"/>
      <c r="S61" s="1303"/>
      <c r="T61" s="1303"/>
      <c r="U61" s="1303"/>
      <c r="V61" s="1303"/>
      <c r="W61" s="1303"/>
      <c r="X61" s="1303"/>
      <c r="Y61" s="1303"/>
      <c r="Z61" s="1303"/>
      <c r="AA61" s="1303"/>
      <c r="AB61" s="1303"/>
      <c r="AC61" s="1303"/>
      <c r="AD61" s="1303"/>
      <c r="AE61" s="1303"/>
      <c r="AF61" s="1303"/>
      <c r="AG61" s="1303"/>
      <c r="AH61" s="1207"/>
      <c r="AN61" s="1280">
        <v>15000</v>
      </c>
    </row>
    <row r="62" spans="1:40" x14ac:dyDescent="0.2">
      <c r="A62" s="1233"/>
      <c r="B62" s="1234"/>
      <c r="C62" s="1305"/>
      <c r="D62" s="1297"/>
      <c r="E62" s="1297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9"/>
      <c r="Q62" s="1298"/>
      <c r="R62" s="1298"/>
      <c r="S62" s="1298"/>
      <c r="T62" s="1298"/>
      <c r="U62" s="1298"/>
      <c r="V62" s="1298"/>
      <c r="W62" s="1298"/>
      <c r="X62" s="1298"/>
      <c r="Y62" s="1298"/>
      <c r="Z62" s="1298"/>
      <c r="AA62" s="1298"/>
      <c r="AB62" s="1298"/>
      <c r="AC62" s="1298"/>
      <c r="AD62" s="1298"/>
      <c r="AE62" s="1298"/>
      <c r="AF62" s="1298"/>
      <c r="AG62" s="1298"/>
      <c r="AH62" s="1207"/>
      <c r="AN62" s="1280">
        <v>14101.822</v>
      </c>
    </row>
    <row r="63" spans="1:40" x14ac:dyDescent="0.2">
      <c r="A63" s="1236" t="s">
        <v>15</v>
      </c>
      <c r="B63" s="1237"/>
      <c r="C63" s="1302">
        <f>B40+C60</f>
        <v>-561499.98600000003</v>
      </c>
      <c r="D63" s="1302">
        <f t="shared" ref="D63:AG63" si="13">C70+D60</f>
        <v>-561499.98600000003</v>
      </c>
      <c r="E63" s="1302">
        <f t="shared" si="13"/>
        <v>-561499.98600000003</v>
      </c>
      <c r="F63" s="1302">
        <f t="shared" si="13"/>
        <v>-561499.98600000003</v>
      </c>
      <c r="G63" s="1302">
        <f t="shared" si="13"/>
        <v>-567635.93800000008</v>
      </c>
      <c r="H63" s="1302">
        <f t="shared" si="13"/>
        <v>-567635.93800000008</v>
      </c>
      <c r="I63" s="1302">
        <f t="shared" si="13"/>
        <v>-567635.93800000008</v>
      </c>
      <c r="J63" s="1302">
        <f t="shared" si="13"/>
        <v>-567635.9580000001</v>
      </c>
      <c r="K63" s="1302">
        <f t="shared" si="13"/>
        <v>-567635.9580000001</v>
      </c>
      <c r="L63" s="1302">
        <f t="shared" si="13"/>
        <v>-573146.19500000007</v>
      </c>
      <c r="M63" s="1302">
        <f t="shared" si="13"/>
        <v>-573146.55300000007</v>
      </c>
      <c r="N63" s="1302">
        <f t="shared" si="13"/>
        <v>-573146.55300000007</v>
      </c>
      <c r="O63" s="1302">
        <f t="shared" si="13"/>
        <v>-573146.55300000007</v>
      </c>
      <c r="P63" s="1306">
        <f t="shared" si="13"/>
        <v>-573146.55300000007</v>
      </c>
      <c r="Q63" s="1302">
        <f t="shared" si="13"/>
        <v>-573500.30300000007</v>
      </c>
      <c r="R63" s="1302">
        <f t="shared" si="13"/>
        <v>-573500.30300000007</v>
      </c>
      <c r="S63" s="1302">
        <f t="shared" si="13"/>
        <v>-573500.30300000007</v>
      </c>
      <c r="T63" s="1302">
        <f t="shared" si="13"/>
        <v>-579000.30300000007</v>
      </c>
      <c r="U63" s="1302">
        <f t="shared" si="13"/>
        <v>-579000.30300000007</v>
      </c>
      <c r="V63" s="1302">
        <f t="shared" si="13"/>
        <v>-579000.30300000007</v>
      </c>
      <c r="W63" s="1302">
        <f t="shared" si="13"/>
        <v>-579000.30300000007</v>
      </c>
      <c r="X63" s="1302">
        <f t="shared" si="13"/>
        <v>-579000.30300000007</v>
      </c>
      <c r="Y63" s="1302">
        <f t="shared" si="13"/>
        <v>-579000.30300000007</v>
      </c>
      <c r="Z63" s="1302">
        <f t="shared" si="13"/>
        <v>-579000.30300000007</v>
      </c>
      <c r="AA63" s="1302">
        <f t="shared" si="13"/>
        <v>-579000.30300000007</v>
      </c>
      <c r="AB63" s="1302">
        <f t="shared" si="13"/>
        <v>-579000.30300000007</v>
      </c>
      <c r="AC63" s="1302">
        <f t="shared" si="13"/>
        <v>-579000.30300000007</v>
      </c>
      <c r="AD63" s="1302">
        <f t="shared" si="13"/>
        <v>-579000.30300000007</v>
      </c>
      <c r="AE63" s="1302">
        <f t="shared" si="13"/>
        <v>-579000.30300000007</v>
      </c>
      <c r="AF63" s="1302">
        <f t="shared" si="13"/>
        <v>-579000.30300000007</v>
      </c>
      <c r="AG63" s="1302">
        <f t="shared" si="13"/>
        <v>-579000.29500000004</v>
      </c>
      <c r="AH63" s="1207"/>
      <c r="AN63" s="1280">
        <v>1397.2449999999999</v>
      </c>
    </row>
    <row r="64" spans="1:40" ht="13.5" thickBot="1" x14ac:dyDescent="0.25">
      <c r="A64" s="1250"/>
      <c r="B64" s="1307"/>
      <c r="C64" s="1308"/>
      <c r="D64" s="1308"/>
      <c r="E64" s="1308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10"/>
      <c r="Q64" s="1309"/>
      <c r="R64" s="1309"/>
      <c r="S64" s="1309"/>
      <c r="T64" s="1309"/>
      <c r="U64" s="1309"/>
      <c r="V64" s="1309"/>
      <c r="W64" s="1309"/>
      <c r="X64" s="1309"/>
      <c r="Y64" s="1309"/>
      <c r="Z64" s="1309"/>
      <c r="AA64" s="1309"/>
      <c r="AB64" s="1309"/>
      <c r="AC64" s="1309"/>
      <c r="AD64" s="1309"/>
      <c r="AE64" s="1309"/>
      <c r="AF64" s="1309"/>
      <c r="AG64" s="1309"/>
      <c r="AH64" s="1207"/>
      <c r="AN64" s="1280">
        <v>1322.63</v>
      </c>
    </row>
    <row r="65" spans="1:40" x14ac:dyDescent="0.2">
      <c r="A65" s="1233"/>
      <c r="B65" s="1234"/>
      <c r="C65" s="1297"/>
      <c r="D65" s="1297"/>
      <c r="E65" s="1297"/>
      <c r="F65" s="1298"/>
      <c r="G65" s="1298"/>
      <c r="H65" s="1298"/>
      <c r="I65" s="1298"/>
      <c r="J65" s="1298"/>
      <c r="K65" s="1298"/>
      <c r="L65" s="1298"/>
      <c r="M65" s="1298"/>
      <c r="N65" s="1298"/>
      <c r="O65" s="1298"/>
      <c r="P65" s="1299"/>
      <c r="Q65" s="1298"/>
      <c r="R65" s="1298"/>
      <c r="S65" s="1298"/>
      <c r="T65" s="1298"/>
      <c r="U65" s="1298"/>
      <c r="V65" s="1298"/>
      <c r="W65" s="1298"/>
      <c r="X65" s="1298"/>
      <c r="Y65" s="1298"/>
      <c r="Z65" s="1298"/>
      <c r="AA65" s="1298"/>
      <c r="AB65" s="1298"/>
      <c r="AC65" s="1298"/>
      <c r="AD65" s="1298"/>
      <c r="AE65" s="1298"/>
      <c r="AF65" s="1298"/>
      <c r="AG65" s="1298"/>
      <c r="AH65" s="1227">
        <f>SUM(C65:AG65)</f>
        <v>0</v>
      </c>
      <c r="AN65" s="1280">
        <v>1747.816</v>
      </c>
    </row>
    <row r="66" spans="1:40" x14ac:dyDescent="0.2">
      <c r="A66" s="1236" t="s">
        <v>82</v>
      </c>
      <c r="B66" s="1237"/>
      <c r="C66" s="1302">
        <f t="shared" ref="C66:AG67" si="14">C74</f>
        <v>0</v>
      </c>
      <c r="D66" s="1302">
        <f t="shared" si="14"/>
        <v>0</v>
      </c>
      <c r="E66" s="1302">
        <f t="shared" si="14"/>
        <v>0</v>
      </c>
      <c r="F66" s="1302">
        <f t="shared" si="14"/>
        <v>0</v>
      </c>
      <c r="G66" s="1302">
        <f t="shared" si="14"/>
        <v>0</v>
      </c>
      <c r="H66" s="1302">
        <f t="shared" si="14"/>
        <v>0</v>
      </c>
      <c r="I66" s="1302">
        <f t="shared" si="14"/>
        <v>0</v>
      </c>
      <c r="J66" s="1302">
        <f t="shared" si="14"/>
        <v>0</v>
      </c>
      <c r="K66" s="1302">
        <f t="shared" si="14"/>
        <v>0</v>
      </c>
      <c r="L66" s="1302">
        <f t="shared" si="14"/>
        <v>0</v>
      </c>
      <c r="M66" s="1302">
        <f t="shared" si="14"/>
        <v>0</v>
      </c>
      <c r="N66" s="1302">
        <f t="shared" si="14"/>
        <v>0</v>
      </c>
      <c r="O66" s="1302">
        <f t="shared" si="14"/>
        <v>0</v>
      </c>
      <c r="P66" s="1306">
        <f t="shared" si="14"/>
        <v>0</v>
      </c>
      <c r="Q66" s="1302">
        <f t="shared" si="14"/>
        <v>0</v>
      </c>
      <c r="R66" s="1302">
        <f t="shared" si="14"/>
        <v>0</v>
      </c>
      <c r="S66" s="1302">
        <f t="shared" si="14"/>
        <v>0</v>
      </c>
      <c r="T66" s="1302">
        <f t="shared" si="14"/>
        <v>0</v>
      </c>
      <c r="U66" s="1302">
        <f t="shared" si="14"/>
        <v>0</v>
      </c>
      <c r="V66" s="1302">
        <f t="shared" si="14"/>
        <v>0</v>
      </c>
      <c r="W66" s="1302">
        <f t="shared" si="14"/>
        <v>0</v>
      </c>
      <c r="X66" s="1302">
        <f t="shared" si="14"/>
        <v>0</v>
      </c>
      <c r="Y66" s="1302">
        <f t="shared" si="14"/>
        <v>0</v>
      </c>
      <c r="Z66" s="1302">
        <f t="shared" si="14"/>
        <v>0</v>
      </c>
      <c r="AA66" s="1302">
        <f t="shared" si="14"/>
        <v>0</v>
      </c>
      <c r="AB66" s="1302">
        <f t="shared" si="14"/>
        <v>0</v>
      </c>
      <c r="AC66" s="1302">
        <f t="shared" si="14"/>
        <v>0</v>
      </c>
      <c r="AD66" s="1302">
        <f t="shared" si="14"/>
        <v>0</v>
      </c>
      <c r="AE66" s="1302">
        <f t="shared" si="14"/>
        <v>0</v>
      </c>
      <c r="AF66" s="1302">
        <f t="shared" si="14"/>
        <v>0</v>
      </c>
      <c r="AG66" s="1302">
        <f t="shared" si="14"/>
        <v>0</v>
      </c>
      <c r="AH66" s="1207"/>
      <c r="AN66" s="1280">
        <v>1021.722</v>
      </c>
    </row>
    <row r="67" spans="1:40" x14ac:dyDescent="0.2">
      <c r="A67" s="1236" t="s">
        <v>83</v>
      </c>
      <c r="B67" s="1237"/>
      <c r="C67" s="1306">
        <f t="shared" si="14"/>
        <v>0</v>
      </c>
      <c r="D67" s="1306">
        <f t="shared" si="14"/>
        <v>0</v>
      </c>
      <c r="E67" s="1306">
        <f t="shared" si="14"/>
        <v>0</v>
      </c>
      <c r="F67" s="1306">
        <f t="shared" si="14"/>
        <v>0</v>
      </c>
      <c r="G67" s="1306">
        <f t="shared" si="14"/>
        <v>0</v>
      </c>
      <c r="H67" s="1306">
        <f t="shared" si="14"/>
        <v>0</v>
      </c>
      <c r="I67" s="1306">
        <f t="shared" si="14"/>
        <v>0</v>
      </c>
      <c r="J67" s="1306">
        <f t="shared" si="14"/>
        <v>0</v>
      </c>
      <c r="K67" s="1306">
        <f t="shared" si="14"/>
        <v>0</v>
      </c>
      <c r="L67" s="1306">
        <f t="shared" si="14"/>
        <v>0</v>
      </c>
      <c r="M67" s="1306">
        <f t="shared" si="14"/>
        <v>0</v>
      </c>
      <c r="N67" s="1306">
        <f t="shared" si="14"/>
        <v>0</v>
      </c>
      <c r="O67" s="1306">
        <f t="shared" si="14"/>
        <v>0</v>
      </c>
      <c r="P67" s="1306">
        <f t="shared" si="14"/>
        <v>0</v>
      </c>
      <c r="Q67" s="1306">
        <f t="shared" si="14"/>
        <v>0</v>
      </c>
      <c r="R67" s="1306">
        <f t="shared" si="14"/>
        <v>0</v>
      </c>
      <c r="S67" s="1306">
        <f t="shared" si="14"/>
        <v>0</v>
      </c>
      <c r="T67" s="1306">
        <f t="shared" si="14"/>
        <v>0</v>
      </c>
      <c r="U67" s="1306">
        <f t="shared" si="14"/>
        <v>0</v>
      </c>
      <c r="V67" s="1306">
        <f t="shared" si="14"/>
        <v>0</v>
      </c>
      <c r="W67" s="1306">
        <f t="shared" si="14"/>
        <v>0</v>
      </c>
      <c r="X67" s="1306">
        <f t="shared" si="14"/>
        <v>0</v>
      </c>
      <c r="Y67" s="1306">
        <f t="shared" si="14"/>
        <v>0</v>
      </c>
      <c r="Z67" s="1306">
        <f t="shared" si="14"/>
        <v>0</v>
      </c>
      <c r="AA67" s="1306">
        <f t="shared" si="14"/>
        <v>0</v>
      </c>
      <c r="AB67" s="1306">
        <f t="shared" si="14"/>
        <v>0</v>
      </c>
      <c r="AC67" s="1306">
        <f t="shared" si="14"/>
        <v>0</v>
      </c>
      <c r="AD67" s="1306">
        <f t="shared" si="14"/>
        <v>0</v>
      </c>
      <c r="AE67" s="1306">
        <f t="shared" si="14"/>
        <v>0</v>
      </c>
      <c r="AF67" s="1306">
        <f t="shared" si="14"/>
        <v>0</v>
      </c>
      <c r="AG67" s="1306">
        <f t="shared" si="14"/>
        <v>0</v>
      </c>
      <c r="AH67" s="1207"/>
      <c r="AN67" s="1280">
        <v>4000</v>
      </c>
    </row>
    <row r="68" spans="1:40" ht="13.5" thickBot="1" x14ac:dyDescent="0.25">
      <c r="A68" s="1250"/>
      <c r="B68" s="1307"/>
      <c r="C68" s="1308"/>
      <c r="D68" s="1308"/>
      <c r="E68" s="1308"/>
      <c r="F68" s="1309"/>
      <c r="G68" s="1309"/>
      <c r="H68" s="1309"/>
      <c r="I68" s="1309"/>
      <c r="J68" s="1309"/>
      <c r="K68" s="1309"/>
      <c r="L68" s="1309"/>
      <c r="M68" s="1309"/>
      <c r="N68" s="1309"/>
      <c r="O68" s="1309"/>
      <c r="P68" s="1310"/>
      <c r="Q68" s="1309"/>
      <c r="R68" s="1309"/>
      <c r="S68" s="1309"/>
      <c r="T68" s="1309"/>
      <c r="U68" s="1309"/>
      <c r="V68" s="1309"/>
      <c r="W68" s="1309"/>
      <c r="X68" s="1309"/>
      <c r="Y68" s="1309"/>
      <c r="Z68" s="1309"/>
      <c r="AA68" s="1309"/>
      <c r="AB68" s="1309"/>
      <c r="AC68" s="1309"/>
      <c r="AD68" s="1309"/>
      <c r="AE68" s="1309"/>
      <c r="AF68" s="1309"/>
      <c r="AG68" s="1309"/>
      <c r="AH68" s="1207"/>
      <c r="AN68" s="1280"/>
    </row>
    <row r="69" spans="1:40" x14ac:dyDescent="0.2">
      <c r="A69" s="1236"/>
      <c r="B69" s="1237"/>
      <c r="C69" s="1302"/>
      <c r="D69" s="1302"/>
      <c r="E69" s="1302"/>
      <c r="F69" s="1303"/>
      <c r="G69" s="1303"/>
      <c r="H69" s="1303"/>
      <c r="I69" s="1303"/>
      <c r="J69" s="1303"/>
      <c r="K69" s="1303"/>
      <c r="L69" s="1303"/>
      <c r="M69" s="1303"/>
      <c r="N69" s="1303"/>
      <c r="O69" s="1303"/>
      <c r="P69" s="1304"/>
      <c r="Q69" s="1303"/>
      <c r="R69" s="1303"/>
      <c r="S69" s="1303"/>
      <c r="T69" s="1303"/>
      <c r="U69" s="1303"/>
      <c r="V69" s="1303"/>
      <c r="W69" s="1303"/>
      <c r="X69" s="1303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207"/>
      <c r="AN69" s="1280">
        <v>1616.846</v>
      </c>
    </row>
    <row r="70" spans="1:40" x14ac:dyDescent="0.2">
      <c r="A70" s="1236" t="s">
        <v>14</v>
      </c>
      <c r="B70" s="1237"/>
      <c r="C70" s="1302">
        <f t="shared" ref="C70:AG70" si="15">C63+C66+C67</f>
        <v>-561499.98600000003</v>
      </c>
      <c r="D70" s="1302">
        <f t="shared" si="15"/>
        <v>-561499.98600000003</v>
      </c>
      <c r="E70" s="1302">
        <f t="shared" si="15"/>
        <v>-561499.98600000003</v>
      </c>
      <c r="F70" s="1302">
        <f t="shared" si="15"/>
        <v>-561499.98600000003</v>
      </c>
      <c r="G70" s="1302">
        <f t="shared" si="15"/>
        <v>-567635.93800000008</v>
      </c>
      <c r="H70" s="1302">
        <f t="shared" si="15"/>
        <v>-567635.93800000008</v>
      </c>
      <c r="I70" s="1302">
        <f t="shared" si="15"/>
        <v>-567635.93800000008</v>
      </c>
      <c r="J70" s="1302">
        <f t="shared" si="15"/>
        <v>-567635.9580000001</v>
      </c>
      <c r="K70" s="1302">
        <f t="shared" si="15"/>
        <v>-567635.9580000001</v>
      </c>
      <c r="L70" s="1302">
        <f t="shared" si="15"/>
        <v>-573146.19500000007</v>
      </c>
      <c r="M70" s="1302">
        <f t="shared" si="15"/>
        <v>-573146.55300000007</v>
      </c>
      <c r="N70" s="1302">
        <f t="shared" si="15"/>
        <v>-573146.55300000007</v>
      </c>
      <c r="O70" s="1302">
        <f t="shared" si="15"/>
        <v>-573146.55300000007</v>
      </c>
      <c r="P70" s="1306">
        <f t="shared" si="15"/>
        <v>-573146.55300000007</v>
      </c>
      <c r="Q70" s="1302">
        <f t="shared" si="15"/>
        <v>-573500.30300000007</v>
      </c>
      <c r="R70" s="1302">
        <f t="shared" si="15"/>
        <v>-573500.30300000007</v>
      </c>
      <c r="S70" s="1302">
        <f t="shared" si="15"/>
        <v>-573500.30300000007</v>
      </c>
      <c r="T70" s="1302">
        <f t="shared" si="15"/>
        <v>-579000.30300000007</v>
      </c>
      <c r="U70" s="1302">
        <f t="shared" si="15"/>
        <v>-579000.30300000007</v>
      </c>
      <c r="V70" s="1302">
        <f t="shared" si="15"/>
        <v>-579000.30300000007</v>
      </c>
      <c r="W70" s="1302">
        <f t="shared" si="15"/>
        <v>-579000.30300000007</v>
      </c>
      <c r="X70" s="1302">
        <f t="shared" si="15"/>
        <v>-579000.30300000007</v>
      </c>
      <c r="Y70" s="1302">
        <f t="shared" si="15"/>
        <v>-579000.30300000007</v>
      </c>
      <c r="Z70" s="1302">
        <f t="shared" si="15"/>
        <v>-579000.30300000007</v>
      </c>
      <c r="AA70" s="1302">
        <f t="shared" si="15"/>
        <v>-579000.30300000007</v>
      </c>
      <c r="AB70" s="1302">
        <f t="shared" si="15"/>
        <v>-579000.30300000007</v>
      </c>
      <c r="AC70" s="1302">
        <f t="shared" si="15"/>
        <v>-579000.30300000007</v>
      </c>
      <c r="AD70" s="1302">
        <f t="shared" si="15"/>
        <v>-579000.30300000007</v>
      </c>
      <c r="AE70" s="1302">
        <f t="shared" si="15"/>
        <v>-579000.30300000007</v>
      </c>
      <c r="AF70" s="1302">
        <f t="shared" si="15"/>
        <v>-579000.30300000007</v>
      </c>
      <c r="AG70" s="1302">
        <f t="shared" si="15"/>
        <v>-579000.29500000004</v>
      </c>
      <c r="AH70" s="1311"/>
      <c r="AN70" s="1280">
        <v>7523.0129999999999</v>
      </c>
    </row>
    <row r="71" spans="1:40" x14ac:dyDescent="0.2">
      <c r="A71" s="1236"/>
      <c r="B71" s="1237"/>
      <c r="C71" s="1302"/>
      <c r="D71" s="1302"/>
      <c r="E71" s="1302"/>
      <c r="F71" s="1303"/>
      <c r="G71" s="1303"/>
      <c r="H71" s="1303"/>
      <c r="I71" s="1303"/>
      <c r="J71" s="1303"/>
      <c r="K71" s="1303"/>
      <c r="L71" s="1303"/>
      <c r="M71" s="1303"/>
      <c r="N71" s="1303"/>
      <c r="O71" s="1303"/>
      <c r="P71" s="1304"/>
      <c r="Q71" s="1303"/>
      <c r="R71" s="1303"/>
      <c r="S71" s="1303"/>
      <c r="T71" s="1303"/>
      <c r="U71" s="1303"/>
      <c r="V71" s="1303"/>
      <c r="W71" s="1303"/>
      <c r="X71" s="1303"/>
      <c r="Y71" s="1303"/>
      <c r="Z71" s="1303"/>
      <c r="AA71" s="1303"/>
      <c r="AB71" s="1303"/>
      <c r="AC71" s="1303"/>
      <c r="AD71" s="1303"/>
      <c r="AE71" s="1303"/>
      <c r="AF71" s="1303"/>
      <c r="AG71" s="1303"/>
      <c r="AH71" s="1207"/>
      <c r="AN71" s="1280">
        <v>716.57600000000002</v>
      </c>
    </row>
    <row r="72" spans="1:40" ht="13.5" thickBot="1" x14ac:dyDescent="0.25">
      <c r="A72" s="1250"/>
      <c r="B72" s="1307"/>
      <c r="C72" s="1312"/>
      <c r="D72" s="1312"/>
      <c r="E72" s="1312"/>
      <c r="F72" s="1313"/>
      <c r="G72" s="1313"/>
      <c r="H72" s="1313"/>
      <c r="I72" s="1313"/>
      <c r="J72" s="1313"/>
      <c r="K72" s="1313"/>
      <c r="L72" s="1313"/>
      <c r="M72" s="1313"/>
      <c r="N72" s="1313"/>
      <c r="O72" s="1313"/>
      <c r="P72" s="1314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207"/>
      <c r="AN72" s="1315">
        <v>1326.8</v>
      </c>
    </row>
    <row r="73" spans="1:40" x14ac:dyDescent="0.2">
      <c r="A73" s="1316"/>
      <c r="B73" s="1207"/>
      <c r="C73" s="1227"/>
      <c r="D73" s="1227"/>
      <c r="E73" s="1227"/>
      <c r="F73" s="1227"/>
      <c r="G73" s="1227"/>
      <c r="H73" s="1317"/>
      <c r="I73" s="1317"/>
      <c r="J73" s="1317"/>
      <c r="K73" s="1317"/>
      <c r="L73" s="1317"/>
      <c r="M73" s="1317"/>
      <c r="N73" s="1317"/>
      <c r="O73" s="1317"/>
      <c r="P73" s="1318"/>
      <c r="Q73" s="1317"/>
      <c r="R73" s="1317"/>
      <c r="S73" s="1317"/>
      <c r="T73" s="1317"/>
      <c r="U73" s="1317"/>
      <c r="V73" s="1317"/>
      <c r="W73" s="1317"/>
      <c r="X73" s="1317"/>
      <c r="Y73" s="1317"/>
      <c r="Z73" s="1317"/>
      <c r="AA73" s="1317"/>
      <c r="AB73" s="1317"/>
      <c r="AC73" s="1317"/>
      <c r="AD73" s="1317"/>
      <c r="AE73" s="1317"/>
      <c r="AF73" s="1317"/>
      <c r="AG73" s="1317"/>
      <c r="AH73" s="1207"/>
      <c r="AN73" s="1315">
        <v>4180.9530000000004</v>
      </c>
    </row>
    <row r="74" spans="1:40" x14ac:dyDescent="0.2">
      <c r="A74" s="1316" t="s">
        <v>40</v>
      </c>
      <c r="B74" s="1207"/>
      <c r="C74" s="1303"/>
      <c r="D74" s="1303"/>
      <c r="E74" s="1303"/>
      <c r="F74" s="1303"/>
      <c r="G74" s="1303"/>
      <c r="H74" s="1303"/>
      <c r="I74" s="1303"/>
      <c r="J74" s="1303"/>
      <c r="K74" s="1303"/>
      <c r="L74" s="1303"/>
      <c r="M74" s="1303"/>
      <c r="N74" s="1303"/>
      <c r="O74" s="1303"/>
      <c r="P74" s="1303"/>
      <c r="Q74" s="1303"/>
      <c r="R74" s="1303"/>
      <c r="S74" s="1303"/>
      <c r="T74" s="1303"/>
      <c r="U74" s="1303"/>
      <c r="V74" s="1303"/>
      <c r="W74" s="1303"/>
      <c r="X74" s="1303"/>
      <c r="Y74" s="1303"/>
      <c r="Z74" s="1303"/>
      <c r="AA74" s="1303"/>
      <c r="AB74" s="1303"/>
      <c r="AC74" s="1303"/>
      <c r="AD74" s="1303"/>
      <c r="AE74" s="1303"/>
      <c r="AF74" s="1303"/>
      <c r="AG74" s="1303"/>
      <c r="AH74" s="1227">
        <f>SUM(C74:AG74)</f>
        <v>0</v>
      </c>
      <c r="AI74" s="1320"/>
      <c r="AJ74" s="1320"/>
      <c r="AK74" s="1321"/>
      <c r="AN74" s="1315">
        <v>2761.194</v>
      </c>
    </row>
    <row r="75" spans="1:40" x14ac:dyDescent="0.2">
      <c r="A75" s="1316" t="s">
        <v>42</v>
      </c>
      <c r="B75" s="1207"/>
      <c r="C75" s="1303"/>
      <c r="D75" s="1303"/>
      <c r="E75" s="1303"/>
      <c r="F75" s="1319"/>
      <c r="G75" s="1319"/>
      <c r="H75" s="1319"/>
      <c r="I75" s="1319"/>
      <c r="J75" s="1319"/>
      <c r="K75" s="1319"/>
      <c r="L75" s="1319"/>
      <c r="M75" s="1319"/>
      <c r="N75" s="1319"/>
      <c r="O75" s="1319"/>
      <c r="P75" s="1319"/>
      <c r="Q75" s="1319"/>
      <c r="R75" s="1319"/>
      <c r="S75" s="1319"/>
      <c r="T75" s="1319"/>
      <c r="U75" s="1319"/>
      <c r="V75" s="1319"/>
      <c r="W75" s="1319"/>
      <c r="X75" s="1319"/>
      <c r="Y75" s="1319"/>
      <c r="Z75" s="1319"/>
      <c r="AA75" s="1319"/>
      <c r="AB75" s="1319"/>
      <c r="AC75" s="1319"/>
      <c r="AD75" s="1319"/>
      <c r="AE75" s="1319"/>
      <c r="AF75" s="1319"/>
      <c r="AG75" s="1319"/>
      <c r="AH75" s="1227">
        <f>SUM(C75:AG75)</f>
        <v>0</v>
      </c>
      <c r="AI75" s="1320"/>
      <c r="AJ75" s="1320"/>
      <c r="AK75" s="1321"/>
      <c r="AN75" s="1315">
        <v>6804.6840000000002</v>
      </c>
    </row>
    <row r="76" spans="1:40" ht="13.5" thickBot="1" x14ac:dyDescent="0.25">
      <c r="A76" s="1316"/>
      <c r="B76" s="1207"/>
      <c r="C76" s="1219"/>
      <c r="D76" s="1219"/>
      <c r="E76" s="1219"/>
      <c r="F76" s="1219"/>
      <c r="G76" s="1220"/>
      <c r="H76" s="1322"/>
      <c r="I76" s="1219"/>
      <c r="J76" s="1219"/>
      <c r="K76" s="1219"/>
      <c r="L76" s="1219"/>
      <c r="M76" s="1219"/>
      <c r="N76" s="1219"/>
      <c r="O76" s="1219"/>
      <c r="P76" s="1221"/>
      <c r="Q76" s="1219"/>
      <c r="R76" s="1219"/>
      <c r="S76" s="1219"/>
      <c r="T76" s="1219"/>
      <c r="U76" s="1219"/>
      <c r="V76" s="1322"/>
      <c r="W76" s="1322"/>
      <c r="X76" s="1219"/>
      <c r="Y76" s="1219"/>
      <c r="Z76" s="1219"/>
      <c r="AA76" s="1219"/>
      <c r="AB76" s="1219"/>
      <c r="AC76" s="1219"/>
      <c r="AD76" s="1219"/>
      <c r="AE76" s="1219"/>
      <c r="AF76" s="1219"/>
      <c r="AG76" s="1219"/>
      <c r="AH76" s="1207"/>
      <c r="AI76" s="1320"/>
      <c r="AJ76" s="1320"/>
      <c r="AK76" s="1321"/>
      <c r="AN76" s="1315">
        <v>14590.134</v>
      </c>
    </row>
    <row r="77" spans="1:40" x14ac:dyDescent="0.2">
      <c r="A77" s="1323" t="s">
        <v>495</v>
      </c>
      <c r="B77" s="1324" t="s">
        <v>509</v>
      </c>
      <c r="C77" s="1325"/>
      <c r="D77" s="1326"/>
      <c r="E77" s="1326"/>
      <c r="F77" s="1326"/>
      <c r="G77" s="1327"/>
      <c r="H77" s="1328"/>
      <c r="I77" s="1326"/>
      <c r="J77" s="1326"/>
      <c r="K77" s="1326"/>
      <c r="L77" s="1326"/>
      <c r="M77" s="1326"/>
      <c r="N77" s="1326"/>
      <c r="O77" s="1326"/>
      <c r="P77" s="1329"/>
      <c r="Q77" s="1326"/>
      <c r="R77" s="1326"/>
      <c r="S77" s="1326"/>
      <c r="T77" s="1326"/>
      <c r="U77" s="1326"/>
      <c r="V77" s="1328"/>
      <c r="W77" s="1328"/>
      <c r="X77" s="1326"/>
      <c r="Y77" s="1326"/>
      <c r="Z77" s="1326"/>
      <c r="AA77" s="1326"/>
      <c r="AB77" s="1326"/>
      <c r="AC77" s="1326"/>
      <c r="AD77" s="1326"/>
      <c r="AE77" s="1326"/>
      <c r="AF77" s="1326"/>
      <c r="AG77" s="1326"/>
      <c r="AH77" s="1330">
        <f>SUM(C77:AG77)</f>
        <v>0</v>
      </c>
      <c r="AI77" s="1320"/>
      <c r="AJ77" s="1320"/>
      <c r="AK77" s="1321"/>
      <c r="AN77" s="1280">
        <v>1034.9559999999999</v>
      </c>
    </row>
    <row r="78" spans="1:40" ht="13.5" thickBot="1" x14ac:dyDescent="0.25">
      <c r="A78" s="1331" t="s">
        <v>697</v>
      </c>
      <c r="B78" s="1332" t="s">
        <v>510</v>
      </c>
      <c r="C78" s="1333"/>
      <c r="D78" s="1334"/>
      <c r="E78" s="1334"/>
      <c r="F78" s="1334"/>
      <c r="G78" s="1334"/>
      <c r="H78" s="1335"/>
      <c r="I78" s="1336"/>
      <c r="J78" s="1334"/>
      <c r="K78" s="1334"/>
      <c r="L78" s="1335"/>
      <c r="M78" s="1334"/>
      <c r="N78" s="1334"/>
      <c r="O78" s="1334"/>
      <c r="P78" s="1337"/>
      <c r="Q78" s="1335"/>
      <c r="R78" s="1334"/>
      <c r="S78" s="1334"/>
      <c r="T78" s="1334"/>
      <c r="U78" s="1334"/>
      <c r="V78" s="1335"/>
      <c r="W78" s="1334"/>
      <c r="X78" s="1334"/>
      <c r="Y78" s="1334"/>
      <c r="Z78" s="1334"/>
      <c r="AA78" s="1335"/>
      <c r="AB78" s="1334"/>
      <c r="AC78" s="1334"/>
      <c r="AD78" s="1334"/>
      <c r="AE78" s="1334"/>
      <c r="AF78" s="1334"/>
      <c r="AG78" s="1334"/>
      <c r="AH78" s="1338">
        <f>SUM(C78:AG78)</f>
        <v>0</v>
      </c>
      <c r="AI78" s="1320"/>
      <c r="AJ78" s="1320"/>
      <c r="AK78" s="1321"/>
      <c r="AN78" s="1280"/>
    </row>
    <row r="79" spans="1:40" x14ac:dyDescent="0.2">
      <c r="A79" s="1323" t="s">
        <v>495</v>
      </c>
      <c r="B79" s="1324" t="s">
        <v>509</v>
      </c>
      <c r="C79" s="1339"/>
      <c r="D79" s="1339"/>
      <c r="E79" s="1339"/>
      <c r="F79" s="1339"/>
      <c r="G79" s="1339"/>
      <c r="H79" s="1340"/>
      <c r="I79" s="1341"/>
      <c r="J79" s="1339"/>
      <c r="K79" s="1339"/>
      <c r="L79" s="1340"/>
      <c r="M79" s="1339"/>
      <c r="N79" s="1339"/>
      <c r="O79" s="1339"/>
      <c r="P79" s="1342"/>
      <c r="Q79" s="1340"/>
      <c r="R79" s="1339"/>
      <c r="S79" s="1339"/>
      <c r="T79" s="1339"/>
      <c r="U79" s="1339"/>
      <c r="V79" s="1340"/>
      <c r="W79" s="1339"/>
      <c r="X79" s="1339"/>
      <c r="Y79" s="1339"/>
      <c r="Z79" s="1339"/>
      <c r="AA79" s="1340"/>
      <c r="AB79" s="1339"/>
      <c r="AC79" s="1339"/>
      <c r="AD79" s="1339"/>
      <c r="AE79" s="1339"/>
      <c r="AF79" s="1339"/>
      <c r="AG79" s="1339"/>
      <c r="AH79" s="1330">
        <f>SUM(C79:AG79)</f>
        <v>0</v>
      </c>
      <c r="AI79" s="1320"/>
      <c r="AJ79" s="1320"/>
      <c r="AK79" s="1321"/>
      <c r="AN79" s="1280"/>
    </row>
    <row r="80" spans="1:40" ht="13.5" thickBot="1" x14ac:dyDescent="0.25">
      <c r="A80" s="1331" t="s">
        <v>696</v>
      </c>
      <c r="B80" s="1332" t="s">
        <v>510</v>
      </c>
      <c r="C80" s="1339"/>
      <c r="D80" s="1339"/>
      <c r="E80" s="1339"/>
      <c r="F80" s="1339"/>
      <c r="G80" s="1339"/>
      <c r="H80" s="1340"/>
      <c r="I80" s="1341"/>
      <c r="J80" s="1339"/>
      <c r="K80" s="1339"/>
      <c r="L80" s="1340"/>
      <c r="M80" s="1339"/>
      <c r="N80" s="1339"/>
      <c r="O80" s="1339"/>
      <c r="P80" s="1342"/>
      <c r="Q80" s="1340"/>
      <c r="R80" s="1339"/>
      <c r="S80" s="1339"/>
      <c r="T80" s="1339"/>
      <c r="U80" s="1339"/>
      <c r="V80" s="1340"/>
      <c r="W80" s="1339"/>
      <c r="X80" s="1339"/>
      <c r="Y80" s="1339"/>
      <c r="Z80" s="1339"/>
      <c r="AA80" s="1340"/>
      <c r="AB80" s="1339"/>
      <c r="AC80" s="1339"/>
      <c r="AD80" s="1339"/>
      <c r="AE80" s="1339"/>
      <c r="AF80" s="1339"/>
      <c r="AG80" s="1339"/>
      <c r="AH80" s="1343"/>
      <c r="AI80" s="1320"/>
      <c r="AJ80" s="1320"/>
      <c r="AK80" s="1321"/>
      <c r="AN80" s="1280"/>
    </row>
    <row r="81" spans="1:43" x14ac:dyDescent="0.2">
      <c r="A81" s="1344"/>
      <c r="B81" s="1230"/>
      <c r="C81" s="1228"/>
      <c r="D81" s="1228"/>
      <c r="E81" s="1228"/>
      <c r="F81" s="1228"/>
      <c r="G81" s="1228"/>
      <c r="H81" s="1228"/>
      <c r="I81" s="1228"/>
      <c r="J81" s="1228"/>
      <c r="K81" s="1228"/>
      <c r="L81" s="1228"/>
      <c r="M81" s="1228"/>
      <c r="N81" s="1228"/>
      <c r="O81" s="1228"/>
      <c r="P81" s="1229"/>
      <c r="Q81" s="1228"/>
      <c r="R81" s="1228"/>
      <c r="S81" s="1228"/>
      <c r="T81" s="1228"/>
      <c r="U81" s="1228"/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320"/>
      <c r="AJ81" s="1320"/>
      <c r="AK81" s="1321"/>
      <c r="AN81" s="1280">
        <v>2000</v>
      </c>
    </row>
    <row r="82" spans="1:43" s="1321" customFormat="1" x14ac:dyDescent="0.2">
      <c r="A82" s="1236" t="s">
        <v>2</v>
      </c>
      <c r="B82" s="1207"/>
      <c r="C82" s="1345">
        <f>SUM(C84:C121)</f>
        <v>1979.6689999999976</v>
      </c>
      <c r="D82" s="1227"/>
      <c r="E82" s="1346"/>
      <c r="F82" s="1227"/>
      <c r="G82" s="1347"/>
      <c r="H82" s="1228"/>
      <c r="I82" s="1227"/>
      <c r="J82" s="1227"/>
      <c r="K82" s="1227"/>
      <c r="L82" s="1227"/>
      <c r="M82" s="1228"/>
      <c r="N82" s="1228"/>
      <c r="O82" s="1228"/>
      <c r="P82" s="1229"/>
      <c r="Q82" s="1228"/>
      <c r="R82" s="1228"/>
      <c r="S82" s="1228"/>
      <c r="T82" s="1227"/>
      <c r="U82" s="1227"/>
      <c r="V82" s="1227"/>
      <c r="W82" s="1227"/>
      <c r="X82" s="1227"/>
      <c r="Y82" s="1227"/>
      <c r="Z82" s="1227"/>
      <c r="AA82" s="1227"/>
      <c r="AB82" s="1227"/>
      <c r="AC82" s="1227"/>
      <c r="AD82" s="1227"/>
      <c r="AE82" s="1228"/>
      <c r="AF82" s="1227"/>
      <c r="AG82" s="1227"/>
      <c r="AH82" s="1207"/>
      <c r="AN82" s="1348">
        <v>2358.498</v>
      </c>
    </row>
    <row r="83" spans="1:43" s="1321" customFormat="1" x14ac:dyDescent="0.2">
      <c r="A83" s="1237"/>
      <c r="B83" s="1207"/>
      <c r="C83" s="1345"/>
      <c r="D83" s="1207"/>
      <c r="E83" s="1207"/>
      <c r="F83" s="1207"/>
      <c r="G83" s="1349"/>
      <c r="H83" s="1207"/>
      <c r="I83" s="1207"/>
      <c r="J83" s="1207"/>
      <c r="K83" s="1207"/>
      <c r="L83" s="1207"/>
      <c r="M83" s="1207"/>
      <c r="N83" s="1207"/>
      <c r="O83" s="1207"/>
      <c r="P83" s="1208"/>
      <c r="Q83" s="1207"/>
      <c r="R83" s="1207"/>
      <c r="S83" s="1207"/>
      <c r="T83" s="1207"/>
      <c r="U83" s="1207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N83" s="1348">
        <v>1458.3630000000001</v>
      </c>
    </row>
    <row r="84" spans="1:43" s="1321" customFormat="1" x14ac:dyDescent="0.2">
      <c r="A84" s="1207" t="s">
        <v>30</v>
      </c>
      <c r="B84" s="1350">
        <v>42415</v>
      </c>
      <c r="C84" s="1351"/>
      <c r="D84" s="1208"/>
      <c r="E84" s="1207"/>
      <c r="F84" s="1207"/>
      <c r="G84" s="1349"/>
      <c r="H84" s="1207"/>
      <c r="I84" s="1207"/>
      <c r="J84" s="1207"/>
      <c r="K84" s="1352"/>
      <c r="L84" s="1208"/>
      <c r="M84" s="1229"/>
      <c r="N84" s="1207"/>
      <c r="O84" s="1207"/>
      <c r="P84" s="1208"/>
      <c r="Q84" s="1207"/>
      <c r="R84" s="1207"/>
      <c r="S84" s="1207"/>
      <c r="T84" s="1207"/>
      <c r="U84" s="1207"/>
      <c r="V84" s="1207"/>
      <c r="W84" s="1207"/>
      <c r="X84" s="1207"/>
      <c r="Y84" s="1207"/>
      <c r="Z84" s="1207"/>
      <c r="AA84" s="1207"/>
      <c r="AB84" s="1207"/>
      <c r="AC84" s="1207"/>
      <c r="AD84" s="1207"/>
      <c r="AE84" s="1207"/>
      <c r="AF84" s="1207"/>
      <c r="AG84" s="1207"/>
      <c r="AH84" s="1207"/>
      <c r="AN84" s="1315">
        <v>718.548</v>
      </c>
    </row>
    <row r="85" spans="1:43" s="1321" customFormat="1" x14ac:dyDescent="0.2">
      <c r="A85" s="1207"/>
      <c r="B85" s="1350">
        <v>42255</v>
      </c>
      <c r="C85" s="1351"/>
      <c r="D85" s="1208"/>
      <c r="F85" s="1207"/>
      <c r="G85" s="1353"/>
      <c r="H85" s="1207"/>
      <c r="I85" s="1207"/>
      <c r="J85" s="1207"/>
      <c r="K85" s="1208"/>
      <c r="L85" s="1208"/>
      <c r="M85" s="1208"/>
      <c r="N85" s="1207"/>
      <c r="O85" s="1207"/>
      <c r="P85" s="1208"/>
      <c r="Q85" s="1207"/>
      <c r="R85" s="1207"/>
      <c r="S85" s="1207"/>
      <c r="T85" s="1207"/>
      <c r="U85" s="1207"/>
      <c r="V85" s="1207"/>
      <c r="W85" s="1207"/>
      <c r="X85" s="1207"/>
      <c r="Y85" s="1207"/>
      <c r="Z85" s="1207"/>
      <c r="AA85" s="1207"/>
      <c r="AB85" s="1207"/>
      <c r="AC85" s="1207"/>
      <c r="AD85" s="1207"/>
      <c r="AE85" s="1207"/>
      <c r="AF85" s="1207"/>
      <c r="AG85" s="1207"/>
      <c r="AH85" s="1207"/>
      <c r="AN85" s="1315">
        <v>1820.952</v>
      </c>
    </row>
    <row r="86" spans="1:43" x14ac:dyDescent="0.2">
      <c r="A86" s="1207"/>
      <c r="B86" s="1350">
        <v>42248</v>
      </c>
      <c r="C86" s="1345"/>
      <c r="D86" s="1354"/>
      <c r="E86" s="1207"/>
      <c r="F86" s="1207"/>
      <c r="G86" s="1353"/>
      <c r="H86" s="1207"/>
      <c r="I86" s="1207"/>
      <c r="J86" s="1207"/>
      <c r="K86" s="1617"/>
      <c r="L86" s="1208"/>
      <c r="M86" s="1208"/>
      <c r="N86" s="1207"/>
      <c r="O86" s="1207"/>
      <c r="P86" s="1208"/>
      <c r="Q86" s="1207"/>
      <c r="R86" s="1207"/>
      <c r="S86" s="1207"/>
      <c r="T86" s="1207"/>
      <c r="U86" s="1207"/>
      <c r="V86" s="1207"/>
      <c r="W86" s="1207"/>
      <c r="X86" s="1207"/>
      <c r="Y86" s="1207"/>
      <c r="Z86" s="1207"/>
      <c r="AA86" s="1207"/>
      <c r="AB86" s="1207"/>
      <c r="AC86" s="1207"/>
      <c r="AD86" s="1207"/>
      <c r="AE86" s="1207"/>
      <c r="AF86" s="1207"/>
      <c r="AG86" s="1207"/>
      <c r="AH86" s="1207"/>
      <c r="AI86" s="1355"/>
      <c r="AJ86" s="1320"/>
      <c r="AN86" s="1315">
        <v>2110.3739999999998</v>
      </c>
      <c r="AP86" s="1209">
        <v>1701.6279999999999</v>
      </c>
      <c r="AQ86" s="1209" t="s">
        <v>491</v>
      </c>
    </row>
    <row r="87" spans="1:43" x14ac:dyDescent="0.2">
      <c r="A87" s="1207"/>
      <c r="B87" s="1350">
        <v>42248</v>
      </c>
      <c r="C87" s="1356"/>
      <c r="D87" s="1345"/>
      <c r="E87" s="1357"/>
      <c r="F87" s="1207"/>
      <c r="G87" s="1349"/>
      <c r="H87" s="1207"/>
      <c r="I87" s="1207"/>
      <c r="J87" s="1207"/>
      <c r="K87" s="1207"/>
      <c r="L87" s="1207"/>
      <c r="M87" s="1207"/>
      <c r="N87" s="1207"/>
      <c r="O87" s="1207"/>
      <c r="P87" s="1208"/>
      <c r="Q87" s="1207"/>
      <c r="R87" s="1207"/>
      <c r="S87" s="1207"/>
      <c r="T87" s="1207"/>
      <c r="U87" s="1207"/>
      <c r="V87" s="1207"/>
      <c r="W87" s="1207"/>
      <c r="X87" s="1207"/>
      <c r="Y87" s="1207"/>
      <c r="Z87" s="1207"/>
      <c r="AA87" s="1207"/>
      <c r="AB87" s="1207"/>
      <c r="AC87" s="1207"/>
      <c r="AD87" s="1207"/>
      <c r="AE87" s="1207"/>
      <c r="AF87" s="1207"/>
      <c r="AG87" s="1207"/>
      <c r="AH87" s="1207"/>
      <c r="AI87" s="1280"/>
      <c r="AN87" s="1315">
        <v>2000</v>
      </c>
      <c r="AP87" s="1209">
        <v>5818.643</v>
      </c>
      <c r="AQ87" s="1209" t="s">
        <v>492</v>
      </c>
    </row>
    <row r="88" spans="1:43" x14ac:dyDescent="0.2">
      <c r="A88" s="1207" t="s">
        <v>31</v>
      </c>
      <c r="B88" s="1350">
        <v>42577</v>
      </c>
      <c r="C88" s="1358">
        <f>14602.32-7075.104-6374.844-1152.372</f>
        <v>0</v>
      </c>
      <c r="D88" s="1354"/>
      <c r="E88" s="1354"/>
      <c r="F88" s="1354"/>
      <c r="G88" s="1349"/>
      <c r="H88" s="1207"/>
      <c r="I88" s="1207"/>
      <c r="J88" s="1207"/>
      <c r="K88" s="1207"/>
      <c r="L88" s="1207"/>
      <c r="M88" s="1207"/>
      <c r="N88" s="1207"/>
      <c r="O88" s="1207"/>
      <c r="P88" s="1208"/>
      <c r="Q88" s="1207"/>
      <c r="R88" s="1207"/>
      <c r="S88" s="1207"/>
      <c r="T88" s="1207"/>
      <c r="U88" s="1207"/>
      <c r="V88" s="1207"/>
      <c r="W88" s="1207"/>
      <c r="X88" s="1207"/>
      <c r="Y88" s="1207"/>
      <c r="Z88" s="1207"/>
      <c r="AA88" s="1207"/>
      <c r="AB88" s="1207"/>
      <c r="AC88" s="1207"/>
      <c r="AD88" s="1207"/>
      <c r="AE88" s="1207"/>
      <c r="AF88" s="1207"/>
      <c r="AG88" s="1207"/>
      <c r="AH88" s="1207"/>
      <c r="AI88" s="1280"/>
      <c r="AN88" s="1315">
        <v>1841.7439999999999</v>
      </c>
    </row>
    <row r="89" spans="1:43" x14ac:dyDescent="0.2">
      <c r="A89" s="1207"/>
      <c r="B89" s="1350">
        <v>42578</v>
      </c>
      <c r="C89" s="1354"/>
      <c r="D89" s="1354"/>
      <c r="E89" s="1354"/>
      <c r="F89" s="1207"/>
      <c r="G89" s="1353"/>
      <c r="H89" s="1207"/>
      <c r="I89" s="1207"/>
      <c r="J89" s="1207"/>
      <c r="K89" s="1207"/>
      <c r="L89" s="1207"/>
      <c r="M89" s="1207"/>
      <c r="N89" s="1207"/>
      <c r="O89" s="1207"/>
      <c r="P89" s="1208"/>
      <c r="Q89" s="1207"/>
      <c r="R89" s="1207"/>
      <c r="S89" s="1207"/>
      <c r="T89" s="1207"/>
      <c r="U89" s="1207"/>
      <c r="V89" s="1207"/>
      <c r="W89" s="1207"/>
      <c r="X89" s="1207"/>
      <c r="Y89" s="1207"/>
      <c r="Z89" s="1207"/>
      <c r="AA89" s="1207"/>
      <c r="AB89" s="1207"/>
      <c r="AC89" s="1207"/>
      <c r="AD89" s="1207"/>
      <c r="AE89" s="1207"/>
      <c r="AF89" s="1207"/>
      <c r="AG89" s="1207"/>
      <c r="AH89" s="1207"/>
      <c r="AI89" s="1280"/>
      <c r="AN89" s="1315">
        <v>747.24800000000005</v>
      </c>
    </row>
    <row r="90" spans="1:43" x14ac:dyDescent="0.2">
      <c r="A90" s="1207"/>
      <c r="B90" s="1350">
        <v>42579</v>
      </c>
      <c r="C90" s="1359"/>
      <c r="D90" s="1354"/>
      <c r="E90" s="1357"/>
      <c r="F90" s="1207"/>
      <c r="G90" s="1360"/>
      <c r="H90" s="1207"/>
      <c r="I90" s="1207"/>
      <c r="J90" s="1207"/>
      <c r="K90" s="1207"/>
      <c r="L90" s="1207"/>
      <c r="M90" s="1207"/>
      <c r="N90" s="1207"/>
      <c r="O90" s="1207"/>
      <c r="P90" s="1208"/>
      <c r="Q90" s="1207"/>
      <c r="R90" s="1207"/>
      <c r="S90" s="1207"/>
      <c r="T90" s="1207"/>
      <c r="U90" s="1207"/>
      <c r="V90" s="1207"/>
      <c r="W90" s="1207"/>
      <c r="X90" s="1207"/>
      <c r="Y90" s="1207"/>
      <c r="Z90" s="1207"/>
      <c r="AA90" s="1207"/>
      <c r="AB90" s="1207"/>
      <c r="AC90" s="1207"/>
      <c r="AD90" s="1207"/>
      <c r="AE90" s="1207"/>
      <c r="AF90" s="1207"/>
      <c r="AG90" s="1207"/>
      <c r="AH90" s="1207"/>
      <c r="AI90" s="1280"/>
      <c r="AN90" s="1315">
        <v>4413.4639999999999</v>
      </c>
    </row>
    <row r="91" spans="1:43" x14ac:dyDescent="0.2">
      <c r="A91" s="1207"/>
      <c r="B91" s="1350">
        <v>42580</v>
      </c>
      <c r="C91" s="1358">
        <f>68950.817-10760.257-8787.109-8687.964-8633.581-7551.69-6835.218-6795.81-4344.685-4000-2554.503</f>
        <v>0</v>
      </c>
      <c r="D91" s="1354"/>
      <c r="E91" s="1354"/>
      <c r="F91" s="1207"/>
      <c r="G91" s="1360"/>
      <c r="H91" s="1207"/>
      <c r="I91" s="1207"/>
      <c r="J91" s="1207"/>
      <c r="K91" s="1207"/>
      <c r="L91" s="1207"/>
      <c r="M91" s="1207"/>
      <c r="N91" s="1207"/>
      <c r="O91" s="1207"/>
      <c r="P91" s="1208"/>
      <c r="Q91" s="1207"/>
      <c r="R91" s="1207"/>
      <c r="S91" s="1207"/>
      <c r="T91" s="1207"/>
      <c r="U91" s="1207"/>
      <c r="V91" s="1207"/>
      <c r="W91" s="1207"/>
      <c r="X91" s="1207"/>
      <c r="Y91" s="1207"/>
      <c r="Z91" s="1207"/>
      <c r="AA91" s="1207"/>
      <c r="AB91" s="1207"/>
      <c r="AC91" s="1207"/>
      <c r="AD91" s="1207"/>
      <c r="AE91" s="1207"/>
      <c r="AF91" s="1207"/>
      <c r="AG91" s="1207"/>
      <c r="AH91" s="1207"/>
      <c r="AN91" s="1315">
        <v>1836.3130000000001</v>
      </c>
    </row>
    <row r="92" spans="1:43" x14ac:dyDescent="0.2">
      <c r="A92" s="1207"/>
      <c r="B92" s="1350">
        <v>42563</v>
      </c>
      <c r="C92" s="1358"/>
      <c r="D92" s="1354"/>
      <c r="E92" s="1354"/>
      <c r="F92" s="1207"/>
      <c r="G92" s="1207"/>
      <c r="H92" s="1207"/>
      <c r="I92" s="1207"/>
      <c r="J92" s="1207"/>
      <c r="K92" s="1207"/>
      <c r="L92" s="1207"/>
      <c r="M92" s="1207"/>
      <c r="N92" s="1207"/>
      <c r="O92" s="1207"/>
      <c r="P92" s="1208"/>
      <c r="Q92" s="1207"/>
      <c r="R92" s="1207"/>
      <c r="S92" s="1207"/>
      <c r="T92" s="1207"/>
      <c r="U92" s="1207"/>
      <c r="V92" s="1207"/>
      <c r="W92" s="1207"/>
      <c r="X92" s="1207"/>
      <c r="Y92" s="1207"/>
      <c r="Z92" s="1207"/>
      <c r="AA92" s="1207"/>
      <c r="AB92" s="1207"/>
      <c r="AC92" s="1207"/>
      <c r="AD92" s="1207"/>
      <c r="AE92" s="1207"/>
      <c r="AF92" s="1207"/>
      <c r="AG92" s="1207"/>
      <c r="AH92" s="1207"/>
      <c r="AN92" s="1315">
        <v>8000</v>
      </c>
    </row>
    <row r="93" spans="1:43" x14ac:dyDescent="0.2">
      <c r="A93" s="1207"/>
      <c r="B93" s="1350">
        <v>42564</v>
      </c>
      <c r="C93" s="1358"/>
      <c r="D93" s="1354"/>
      <c r="E93" s="1354"/>
      <c r="F93" s="1207"/>
      <c r="G93" s="1207"/>
      <c r="H93" s="1207"/>
      <c r="I93" s="1207"/>
      <c r="J93" s="1207"/>
      <c r="K93" s="1207"/>
      <c r="L93" s="1207"/>
      <c r="M93" s="1207"/>
      <c r="N93" s="1207"/>
      <c r="O93" s="1207"/>
      <c r="P93" s="1208"/>
      <c r="Q93" s="1207"/>
      <c r="R93" s="1207"/>
      <c r="S93" s="1207"/>
      <c r="T93" s="1207"/>
      <c r="U93" s="1207"/>
      <c r="V93" s="1207"/>
      <c r="W93" s="1207"/>
      <c r="X93" s="1207"/>
      <c r="Y93" s="1207"/>
      <c r="Z93" s="1207"/>
      <c r="AA93" s="1207"/>
      <c r="AB93" s="1207"/>
      <c r="AC93" s="1207"/>
      <c r="AD93" s="1207"/>
      <c r="AE93" s="1207"/>
      <c r="AF93" s="1207"/>
      <c r="AG93" s="1207"/>
      <c r="AH93" s="1207"/>
      <c r="AN93" s="1280">
        <f>SUM(AN44:AN92)</f>
        <v>167376.80400000003</v>
      </c>
      <c r="AP93" s="1361">
        <f>AN93+AP86+AP87</f>
        <v>174897.07500000004</v>
      </c>
    </row>
    <row r="94" spans="1:43" x14ac:dyDescent="0.2">
      <c r="A94" s="1207"/>
      <c r="B94" s="1350">
        <v>42581</v>
      </c>
      <c r="C94" s="1363"/>
      <c r="D94" s="1354"/>
      <c r="E94" s="1354"/>
      <c r="F94" s="1207"/>
      <c r="G94" s="1207"/>
      <c r="H94" s="1207"/>
      <c r="I94" s="1207"/>
      <c r="J94" s="1207"/>
      <c r="K94" s="1207"/>
      <c r="L94" s="1207"/>
      <c r="M94" s="1207"/>
      <c r="N94" s="1207"/>
      <c r="O94" s="1207"/>
      <c r="P94" s="1208"/>
      <c r="Q94" s="1207"/>
      <c r="R94" s="1207"/>
      <c r="S94" s="1207"/>
      <c r="T94" s="1207"/>
      <c r="U94" s="1207"/>
      <c r="V94" s="1207"/>
      <c r="W94" s="1207"/>
      <c r="X94" s="1207"/>
      <c r="Y94" s="1207"/>
      <c r="Z94" s="1207"/>
      <c r="AA94" s="1207"/>
      <c r="AB94" s="1207"/>
      <c r="AC94" s="1207"/>
      <c r="AD94" s="1207"/>
      <c r="AE94" s="1207"/>
      <c r="AF94" s="1207"/>
      <c r="AG94" s="1207"/>
      <c r="AH94" s="1207"/>
      <c r="AN94" s="1280"/>
      <c r="AP94" s="1361"/>
    </row>
    <row r="95" spans="1:43" x14ac:dyDescent="0.2">
      <c r="A95" s="1207"/>
      <c r="B95" s="1350">
        <v>42582</v>
      </c>
      <c r="C95" s="1363"/>
      <c r="D95" s="1354"/>
      <c r="E95" s="1354"/>
      <c r="F95" s="1207"/>
      <c r="G95" s="1207"/>
      <c r="H95" s="1207"/>
      <c r="I95" s="1207"/>
      <c r="J95" s="1207"/>
      <c r="K95" s="1207"/>
      <c r="L95" s="1207"/>
      <c r="M95" s="1207"/>
      <c r="N95" s="1207"/>
      <c r="O95" s="1207"/>
      <c r="P95" s="1208"/>
      <c r="Q95" s="1207"/>
      <c r="R95" s="1207"/>
      <c r="S95" s="1207"/>
      <c r="T95" s="1207"/>
      <c r="U95" s="1207"/>
      <c r="V95" s="1207"/>
      <c r="W95" s="1207"/>
      <c r="X95" s="1207"/>
      <c r="Y95" s="1207"/>
      <c r="Z95" s="1207"/>
      <c r="AA95" s="1207"/>
      <c r="AB95" s="1207"/>
      <c r="AC95" s="1207"/>
      <c r="AD95" s="1207"/>
      <c r="AE95" s="1207"/>
      <c r="AF95" s="1207"/>
      <c r="AG95" s="1207"/>
      <c r="AH95" s="1207"/>
      <c r="AN95" s="1280"/>
      <c r="AP95" s="1361"/>
    </row>
    <row r="96" spans="1:43" x14ac:dyDescent="0.2">
      <c r="A96" s="1207"/>
      <c r="B96" s="1350">
        <v>42572</v>
      </c>
      <c r="C96" s="1363"/>
      <c r="D96" s="1354"/>
      <c r="E96" s="1354"/>
      <c r="F96" s="1207"/>
      <c r="G96" s="1207"/>
      <c r="H96" s="1207"/>
      <c r="I96" s="1207"/>
      <c r="J96" s="1207"/>
      <c r="K96" s="1207"/>
      <c r="L96" s="1207"/>
      <c r="M96" s="1207"/>
      <c r="N96" s="1207"/>
      <c r="O96" s="1207"/>
      <c r="P96" s="1208"/>
      <c r="Q96" s="1207"/>
      <c r="R96" s="1207"/>
      <c r="S96" s="1207"/>
      <c r="T96" s="1207"/>
      <c r="U96" s="1207"/>
      <c r="V96" s="1207"/>
      <c r="W96" s="1207"/>
      <c r="X96" s="1207"/>
      <c r="Y96" s="1207"/>
      <c r="Z96" s="1207"/>
      <c r="AA96" s="1207"/>
      <c r="AB96" s="1207"/>
      <c r="AC96" s="1207"/>
      <c r="AD96" s="1207"/>
      <c r="AE96" s="1207"/>
      <c r="AF96" s="1207"/>
      <c r="AG96" s="1207"/>
      <c r="AH96" s="1207"/>
      <c r="AN96" s="1280"/>
      <c r="AP96" s="1361"/>
    </row>
    <row r="97" spans="1:42" x14ac:dyDescent="0.2">
      <c r="A97" s="1207"/>
      <c r="B97" s="1350">
        <v>42574</v>
      </c>
      <c r="C97" s="1363"/>
      <c r="D97" s="1354"/>
      <c r="E97" s="1354"/>
      <c r="F97" s="1207"/>
      <c r="G97" s="1207"/>
      <c r="H97" s="1207"/>
      <c r="I97" s="1207"/>
      <c r="J97" s="1207"/>
      <c r="K97" s="1207"/>
      <c r="L97" s="1207"/>
      <c r="M97" s="1207"/>
      <c r="N97" s="1207"/>
      <c r="O97" s="1207"/>
      <c r="P97" s="1208"/>
      <c r="Q97" s="1207"/>
      <c r="R97" s="1207"/>
      <c r="S97" s="1207"/>
      <c r="T97" s="1207"/>
      <c r="U97" s="1207"/>
      <c r="V97" s="1207"/>
      <c r="W97" s="1207"/>
      <c r="X97" s="1207"/>
      <c r="Y97" s="1207"/>
      <c r="Z97" s="1207"/>
      <c r="AA97" s="1207"/>
      <c r="AB97" s="1207"/>
      <c r="AC97" s="1207"/>
      <c r="AD97" s="1207"/>
      <c r="AE97" s="1207"/>
      <c r="AF97" s="1207"/>
      <c r="AG97" s="1207"/>
      <c r="AH97" s="1207"/>
      <c r="AN97" s="1280"/>
      <c r="AP97" s="1361"/>
    </row>
    <row r="98" spans="1:42" x14ac:dyDescent="0.2">
      <c r="A98" s="1207"/>
      <c r="B98" s="1350">
        <v>42575</v>
      </c>
      <c r="C98" s="1363"/>
      <c r="D98" s="1354"/>
      <c r="E98" s="1354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8"/>
      <c r="Q98" s="1207"/>
      <c r="R98" s="1207"/>
      <c r="S98" s="1207"/>
      <c r="T98" s="1207"/>
      <c r="U98" s="1207"/>
      <c r="V98" s="1207"/>
      <c r="W98" s="1207"/>
      <c r="X98" s="1207"/>
      <c r="Y98" s="1207"/>
      <c r="Z98" s="1207"/>
      <c r="AA98" s="1207"/>
      <c r="AB98" s="1207"/>
      <c r="AC98" s="1207"/>
      <c r="AD98" s="1207"/>
      <c r="AE98" s="1207"/>
      <c r="AF98" s="1207"/>
      <c r="AG98" s="1207"/>
      <c r="AH98" s="1207"/>
      <c r="AN98" s="1280"/>
      <c r="AP98" s="1361"/>
    </row>
    <row r="99" spans="1:42" x14ac:dyDescent="0.2">
      <c r="A99" s="1207"/>
      <c r="B99" s="1350">
        <v>42576</v>
      </c>
      <c r="C99" s="1363"/>
      <c r="D99" s="1354"/>
      <c r="E99" s="1354"/>
      <c r="F99" s="1207"/>
      <c r="G99" s="1207"/>
      <c r="H99" s="1207"/>
      <c r="I99" s="1207"/>
      <c r="J99" s="1207"/>
      <c r="K99" s="1207"/>
      <c r="L99" s="1207"/>
      <c r="M99" s="1207"/>
      <c r="N99" s="1207"/>
      <c r="O99" s="1207"/>
      <c r="P99" s="1208"/>
      <c r="Q99" s="1207"/>
      <c r="R99" s="1207"/>
      <c r="S99" s="1207"/>
      <c r="T99" s="1207"/>
      <c r="U99" s="1207"/>
      <c r="V99" s="1207"/>
      <c r="W99" s="1207"/>
      <c r="X99" s="1207"/>
      <c r="Y99" s="1207"/>
      <c r="Z99" s="1207"/>
      <c r="AA99" s="1207"/>
      <c r="AB99" s="1207"/>
      <c r="AC99" s="1207"/>
      <c r="AD99" s="1207"/>
      <c r="AE99" s="1207"/>
      <c r="AF99" s="1207"/>
      <c r="AG99" s="1207"/>
      <c r="AH99" s="1207"/>
      <c r="AN99" s="1280"/>
      <c r="AP99" s="1361"/>
    </row>
    <row r="100" spans="1:42" x14ac:dyDescent="0.2">
      <c r="A100" s="1207"/>
      <c r="B100" s="1350">
        <v>42577</v>
      </c>
      <c r="C100" s="1363"/>
      <c r="D100" s="1354"/>
      <c r="E100" s="1354"/>
      <c r="F100" s="1207"/>
      <c r="G100" s="1207"/>
      <c r="H100" s="1207"/>
      <c r="I100" s="1207"/>
      <c r="J100" s="1207"/>
      <c r="K100" s="1207"/>
      <c r="L100" s="1207"/>
      <c r="M100" s="1207"/>
      <c r="N100" s="1207"/>
      <c r="O100" s="1207"/>
      <c r="P100" s="1208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07"/>
      <c r="AA100" s="1207"/>
      <c r="AB100" s="1207"/>
      <c r="AC100" s="1207"/>
      <c r="AD100" s="1207"/>
      <c r="AE100" s="1207"/>
      <c r="AF100" s="1207"/>
      <c r="AG100" s="1207"/>
      <c r="AH100" s="1207"/>
      <c r="AN100" s="1280"/>
      <c r="AP100" s="1361"/>
    </row>
    <row r="101" spans="1:42" x14ac:dyDescent="0.2">
      <c r="A101" s="1207"/>
      <c r="B101" s="1350">
        <v>42573</v>
      </c>
      <c r="C101" s="1363"/>
      <c r="D101" s="1354"/>
      <c r="E101" s="1354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8"/>
      <c r="Q101" s="1207"/>
      <c r="R101" s="1207"/>
      <c r="S101" s="1207"/>
      <c r="T101" s="1207"/>
      <c r="U101" s="1207"/>
      <c r="V101" s="1207"/>
      <c r="W101" s="1207"/>
      <c r="X101" s="1207"/>
      <c r="Y101" s="1207"/>
      <c r="Z101" s="1207"/>
      <c r="AA101" s="1207"/>
      <c r="AB101" s="1207"/>
      <c r="AC101" s="1207"/>
      <c r="AD101" s="1207"/>
      <c r="AE101" s="1207"/>
      <c r="AF101" s="1207"/>
      <c r="AG101" s="1207"/>
      <c r="AH101" s="1207"/>
      <c r="AN101" s="1280"/>
      <c r="AP101" s="1361"/>
    </row>
    <row r="102" spans="1:42" x14ac:dyDescent="0.2">
      <c r="A102" s="1207"/>
      <c r="B102" s="1350">
        <v>42578</v>
      </c>
      <c r="C102" s="1363"/>
      <c r="D102" s="1354"/>
      <c r="E102" s="1354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8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07"/>
      <c r="AA102" s="1207"/>
      <c r="AB102" s="1207"/>
      <c r="AC102" s="1207"/>
      <c r="AD102" s="1207"/>
      <c r="AE102" s="1207"/>
      <c r="AF102" s="1207"/>
      <c r="AG102" s="1207"/>
      <c r="AH102" s="1207"/>
      <c r="AN102" s="1280"/>
      <c r="AP102" s="1361"/>
    </row>
    <row r="103" spans="1:42" x14ac:dyDescent="0.2">
      <c r="A103" s="1207"/>
      <c r="B103" s="1350">
        <v>42579</v>
      </c>
      <c r="C103" s="1363"/>
      <c r="D103" s="1354"/>
      <c r="E103" s="1354"/>
      <c r="F103" s="1207"/>
      <c r="G103" s="1207"/>
      <c r="H103" s="1207"/>
      <c r="I103" s="1207"/>
      <c r="J103" s="1207"/>
      <c r="K103" s="1207"/>
      <c r="L103" s="1207"/>
      <c r="M103" s="1207"/>
      <c r="N103" s="1207"/>
      <c r="O103" s="1207"/>
      <c r="P103" s="1208"/>
      <c r="Q103" s="1207"/>
      <c r="R103" s="1207"/>
      <c r="S103" s="1207"/>
      <c r="T103" s="1207"/>
      <c r="U103" s="1207"/>
      <c r="V103" s="1207"/>
      <c r="W103" s="1207"/>
      <c r="X103" s="1207"/>
      <c r="Y103" s="1207"/>
      <c r="Z103" s="1207"/>
      <c r="AA103" s="1207"/>
      <c r="AB103" s="1207"/>
      <c r="AC103" s="1207"/>
      <c r="AD103" s="1207"/>
      <c r="AE103" s="1207"/>
      <c r="AF103" s="1207"/>
      <c r="AG103" s="1207"/>
      <c r="AH103" s="1207"/>
      <c r="AN103" s="1280"/>
      <c r="AP103" s="1361"/>
    </row>
    <row r="104" spans="1:42" x14ac:dyDescent="0.2">
      <c r="A104" s="1207"/>
      <c r="B104" s="1350">
        <v>42580</v>
      </c>
      <c r="C104" s="1363"/>
      <c r="D104" s="1354"/>
      <c r="E104" s="1354"/>
      <c r="F104" s="1207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8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07"/>
      <c r="AA104" s="1207"/>
      <c r="AB104" s="1207"/>
      <c r="AC104" s="1207"/>
      <c r="AD104" s="1207"/>
      <c r="AE104" s="1207"/>
      <c r="AF104" s="1207"/>
      <c r="AG104" s="1207"/>
      <c r="AH104" s="1207"/>
      <c r="AN104" s="1280"/>
      <c r="AP104" s="1361"/>
    </row>
    <row r="105" spans="1:42" x14ac:dyDescent="0.2">
      <c r="A105" s="1207"/>
      <c r="B105" s="1350">
        <v>42564</v>
      </c>
      <c r="C105" s="1363"/>
      <c r="D105" s="1354"/>
      <c r="E105" s="1354"/>
      <c r="F105" s="1207"/>
      <c r="G105" s="1207"/>
      <c r="H105" s="1207"/>
      <c r="I105" s="1207"/>
      <c r="J105" s="1207"/>
      <c r="K105" s="1207"/>
      <c r="L105" s="1207"/>
      <c r="M105" s="1207"/>
      <c r="N105" s="1207"/>
      <c r="O105" s="1207"/>
      <c r="P105" s="1208"/>
      <c r="Q105" s="1207"/>
      <c r="R105" s="1207"/>
      <c r="S105" s="1207"/>
      <c r="T105" s="1207"/>
      <c r="U105" s="1207"/>
      <c r="V105" s="1207"/>
      <c r="W105" s="1207"/>
      <c r="X105" s="1207"/>
      <c r="Y105" s="1207"/>
      <c r="Z105" s="1207"/>
      <c r="AA105" s="1207"/>
      <c r="AB105" s="1207"/>
      <c r="AC105" s="1207"/>
      <c r="AD105" s="1207"/>
      <c r="AE105" s="1207"/>
      <c r="AF105" s="1207"/>
      <c r="AG105" s="1207"/>
      <c r="AH105" s="1207"/>
      <c r="AN105" s="1280"/>
      <c r="AP105" s="1361"/>
    </row>
    <row r="106" spans="1:42" x14ac:dyDescent="0.2">
      <c r="A106" s="1207"/>
      <c r="B106" s="1350">
        <v>42579</v>
      </c>
      <c r="C106" s="1364"/>
      <c r="D106" s="1354"/>
      <c r="E106" s="1354"/>
      <c r="F106" s="1207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8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07"/>
      <c r="AA106" s="1207"/>
      <c r="AB106" s="1207"/>
      <c r="AC106" s="1207"/>
      <c r="AD106" s="1207"/>
      <c r="AE106" s="1207"/>
      <c r="AF106" s="1207"/>
      <c r="AG106" s="1207"/>
      <c r="AH106" s="1207"/>
      <c r="AN106" s="1280"/>
      <c r="AP106" s="1361"/>
    </row>
    <row r="107" spans="1:42" x14ac:dyDescent="0.2">
      <c r="A107" s="1207"/>
      <c r="B107" s="1350">
        <v>42573</v>
      </c>
      <c r="C107" s="1364">
        <f>12867.58+1617.266+7889.358+2199.84-24574.044</f>
        <v>0</v>
      </c>
      <c r="D107" s="1354"/>
      <c r="E107" s="1354"/>
      <c r="F107" s="1207"/>
      <c r="G107" s="1207"/>
      <c r="H107" s="1207"/>
      <c r="I107" s="1207"/>
      <c r="J107" s="1207"/>
      <c r="K107" s="1207"/>
      <c r="L107" s="1207"/>
      <c r="M107" s="1207"/>
      <c r="N107" s="1207"/>
      <c r="O107" s="1207"/>
      <c r="P107" s="1208"/>
      <c r="Q107" s="1207"/>
      <c r="R107" s="1207"/>
      <c r="S107" s="1207"/>
      <c r="T107" s="1207"/>
      <c r="U107" s="1207"/>
      <c r="V107" s="1207"/>
      <c r="W107" s="1207"/>
      <c r="X107" s="1207"/>
      <c r="Y107" s="1207"/>
      <c r="Z107" s="1207"/>
      <c r="AA107" s="1207"/>
      <c r="AB107" s="1207"/>
      <c r="AC107" s="1207"/>
      <c r="AD107" s="1207"/>
      <c r="AE107" s="1207"/>
      <c r="AF107" s="1207"/>
      <c r="AG107" s="1207"/>
      <c r="AH107" s="1207"/>
      <c r="AN107" s="1280"/>
      <c r="AP107" s="1361"/>
    </row>
    <row r="108" spans="1:42" x14ac:dyDescent="0.2">
      <c r="A108" s="1207" t="s">
        <v>436</v>
      </c>
      <c r="B108" s="1350">
        <v>42349</v>
      </c>
      <c r="C108" s="1358"/>
      <c r="D108" s="1354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8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N108" s="1280"/>
    </row>
    <row r="109" spans="1:42" x14ac:dyDescent="0.2">
      <c r="A109" s="1365" t="s">
        <v>32</v>
      </c>
      <c r="B109" s="1350">
        <v>42573</v>
      </c>
      <c r="C109" s="1351">
        <f>101377.767-41822.902-37208.103-22346.762</f>
        <v>0</v>
      </c>
      <c r="D109" s="1354"/>
      <c r="E109" s="1207"/>
      <c r="F109" s="1207"/>
      <c r="G109" s="1346"/>
      <c r="H109" s="1354"/>
      <c r="I109" s="1207"/>
      <c r="J109" s="1207"/>
      <c r="K109" s="1207"/>
      <c r="L109" s="1207"/>
      <c r="M109" s="1207"/>
      <c r="N109" s="1207"/>
      <c r="O109" s="1207"/>
      <c r="P109" s="1208"/>
      <c r="Q109" s="1207"/>
      <c r="R109" s="1207"/>
      <c r="S109" s="1207"/>
      <c r="T109" s="1207"/>
      <c r="U109" s="1207"/>
      <c r="V109" s="1207"/>
      <c r="W109" s="1207"/>
      <c r="X109" s="1207"/>
      <c r="Y109" s="1207"/>
      <c r="Z109" s="1207"/>
      <c r="AA109" s="1207"/>
      <c r="AB109" s="1207"/>
      <c r="AC109" s="1207"/>
      <c r="AD109" s="1207"/>
      <c r="AE109" s="1207"/>
      <c r="AF109" s="1207"/>
      <c r="AG109" s="1207"/>
      <c r="AH109" s="1207"/>
      <c r="AN109" s="1280">
        <v>222914.55799999999</v>
      </c>
    </row>
    <row r="110" spans="1:42" x14ac:dyDescent="0.2">
      <c r="A110" s="1365" t="s">
        <v>33</v>
      </c>
      <c r="B110" s="1350">
        <v>42579</v>
      </c>
      <c r="C110" s="1351"/>
      <c r="D110" s="1354"/>
      <c r="E110" s="1351"/>
      <c r="F110" s="121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8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07"/>
      <c r="AA110" s="1207"/>
      <c r="AB110" s="1207"/>
      <c r="AC110" s="1207"/>
      <c r="AD110" s="1207"/>
      <c r="AE110" s="1207"/>
      <c r="AF110" s="1207"/>
      <c r="AG110" s="1207"/>
      <c r="AH110" s="1207"/>
    </row>
    <row r="111" spans="1:42" x14ac:dyDescent="0.2">
      <c r="A111" s="1365" t="s">
        <v>33</v>
      </c>
      <c r="B111" s="1350">
        <v>42570</v>
      </c>
      <c r="C111" s="1351">
        <f>22419.427-22419.427</f>
        <v>0</v>
      </c>
      <c r="D111" s="1207"/>
      <c r="E111" s="1350"/>
      <c r="F111" s="1219"/>
      <c r="G111" s="1207"/>
      <c r="H111" s="1207"/>
      <c r="I111" s="1207"/>
      <c r="J111" s="1207"/>
      <c r="K111" s="1207"/>
      <c r="L111" s="1207"/>
      <c r="M111" s="1207"/>
      <c r="N111" s="1207"/>
      <c r="O111" s="1207"/>
      <c r="P111" s="1208"/>
      <c r="Q111" s="1207"/>
      <c r="R111" s="1207"/>
      <c r="S111" s="1207"/>
      <c r="T111" s="1207"/>
      <c r="U111" s="1207"/>
      <c r="V111" s="1207"/>
      <c r="W111" s="1207"/>
      <c r="X111" s="1207"/>
      <c r="Y111" s="1207"/>
      <c r="Z111" s="1207"/>
      <c r="AA111" s="1207"/>
      <c r="AB111" s="1207"/>
      <c r="AC111" s="1207"/>
      <c r="AD111" s="1207"/>
      <c r="AE111" s="1207"/>
      <c r="AF111" s="1207"/>
      <c r="AG111" s="1207"/>
      <c r="AH111" s="1207"/>
      <c r="AN111" s="1361">
        <f>AN109-AN93</f>
        <v>55537.753999999957</v>
      </c>
    </row>
    <row r="112" spans="1:42" x14ac:dyDescent="0.2">
      <c r="A112" s="1365" t="s">
        <v>33</v>
      </c>
      <c r="B112" s="1350">
        <v>42555</v>
      </c>
      <c r="C112" s="1351"/>
      <c r="D112" s="1207"/>
      <c r="E112" s="1350"/>
      <c r="F112" s="121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8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07"/>
      <c r="AA112" s="1207"/>
      <c r="AB112" s="1207"/>
      <c r="AC112" s="1207"/>
      <c r="AD112" s="1207"/>
      <c r="AE112" s="1207"/>
      <c r="AF112" s="1207"/>
      <c r="AG112" s="1207"/>
      <c r="AH112" s="1207"/>
    </row>
    <row r="113" spans="1:34" x14ac:dyDescent="0.2">
      <c r="A113" s="1365" t="s">
        <v>33</v>
      </c>
      <c r="B113" s="1350">
        <v>42562</v>
      </c>
      <c r="C113" s="1351">
        <f>29297.176-16568.207-12728.969</f>
        <v>0</v>
      </c>
      <c r="D113" s="1207"/>
      <c r="E113" s="1207"/>
      <c r="F113" s="1207"/>
      <c r="G113" s="1207"/>
      <c r="H113" s="1207"/>
      <c r="I113" s="1207"/>
      <c r="J113" s="1207"/>
      <c r="K113" s="1207"/>
      <c r="L113" s="1207"/>
      <c r="M113" s="1207"/>
      <c r="N113" s="1207"/>
      <c r="O113" s="1207"/>
      <c r="P113" s="1208"/>
      <c r="Q113" s="1207"/>
      <c r="R113" s="1207"/>
      <c r="S113" s="1207"/>
      <c r="T113" s="1207"/>
      <c r="U113" s="1207"/>
      <c r="V113" s="1207"/>
      <c r="W113" s="1207"/>
      <c r="X113" s="1207"/>
      <c r="Y113" s="1207"/>
      <c r="Z113" s="1207"/>
      <c r="AA113" s="1207"/>
      <c r="AB113" s="1207"/>
      <c r="AC113" s="1207"/>
      <c r="AD113" s="1207"/>
      <c r="AE113" s="1207"/>
      <c r="AF113" s="1207"/>
      <c r="AG113" s="1207"/>
      <c r="AH113" s="1207"/>
    </row>
    <row r="114" spans="1:34" x14ac:dyDescent="0.2">
      <c r="A114" s="1365" t="s">
        <v>32</v>
      </c>
      <c r="B114" s="1350">
        <v>42564</v>
      </c>
      <c r="C114" s="1351"/>
      <c r="D114" s="1207"/>
      <c r="E114" s="1354"/>
      <c r="F114" s="1207"/>
      <c r="G114" s="1207"/>
      <c r="H114" s="1207"/>
      <c r="I114" s="1207"/>
      <c r="J114" s="1207"/>
      <c r="K114" s="1207"/>
      <c r="L114" s="1207"/>
      <c r="M114" s="1207"/>
      <c r="N114" s="1207"/>
      <c r="O114" s="1207"/>
      <c r="P114" s="1208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07"/>
      <c r="AA114" s="1207"/>
      <c r="AB114" s="1207"/>
      <c r="AC114" s="1207"/>
      <c r="AD114" s="1207"/>
      <c r="AE114" s="1207"/>
      <c r="AF114" s="1207"/>
      <c r="AG114" s="1207"/>
      <c r="AH114" s="1207"/>
    </row>
    <row r="115" spans="1:34" x14ac:dyDescent="0.2">
      <c r="A115" s="1365" t="s">
        <v>33</v>
      </c>
      <c r="B115" s="1350">
        <v>42564</v>
      </c>
      <c r="C115" s="1351">
        <f>28408.043-16450.256-11957.787</f>
        <v>0</v>
      </c>
      <c r="D115" s="1354"/>
      <c r="E115" s="1354"/>
      <c r="F115" s="1207"/>
      <c r="G115" s="1207"/>
      <c r="H115" s="1207"/>
      <c r="I115" s="1207"/>
      <c r="J115" s="1207"/>
      <c r="K115" s="1207"/>
      <c r="L115" s="1207"/>
      <c r="M115" s="1207"/>
      <c r="N115" s="1207"/>
      <c r="O115" s="1207"/>
      <c r="P115" s="1208"/>
      <c r="Q115" s="1207"/>
      <c r="R115" s="1207"/>
      <c r="S115" s="1207"/>
      <c r="T115" s="1207"/>
      <c r="U115" s="1207"/>
      <c r="V115" s="1207"/>
      <c r="W115" s="1207"/>
      <c r="X115" s="1207"/>
      <c r="Y115" s="1207"/>
      <c r="Z115" s="1207"/>
      <c r="AA115" s="1207"/>
      <c r="AB115" s="1207"/>
      <c r="AC115" s="1207"/>
      <c r="AD115" s="1207"/>
      <c r="AE115" s="1207"/>
      <c r="AF115" s="1207"/>
      <c r="AG115" s="1207"/>
      <c r="AH115" s="1207"/>
    </row>
    <row r="116" spans="1:34" x14ac:dyDescent="0.2">
      <c r="A116" s="1365" t="s">
        <v>33</v>
      </c>
      <c r="B116" s="1350">
        <v>42467</v>
      </c>
      <c r="C116" s="1351"/>
      <c r="D116" s="1207"/>
      <c r="E116" s="1207"/>
      <c r="F116" s="1207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8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07"/>
      <c r="AA116" s="1207"/>
      <c r="AB116" s="1207"/>
      <c r="AC116" s="1207"/>
      <c r="AD116" s="1207"/>
      <c r="AE116" s="1207"/>
      <c r="AF116" s="1207"/>
      <c r="AG116" s="1207"/>
      <c r="AH116" s="1207"/>
    </row>
    <row r="117" spans="1:34" x14ac:dyDescent="0.2">
      <c r="A117" s="1365" t="s">
        <v>32</v>
      </c>
      <c r="B117" s="1350">
        <v>42468</v>
      </c>
      <c r="C117" s="1351"/>
      <c r="D117" s="1207"/>
      <c r="E117" s="1354"/>
      <c r="F117" s="1207"/>
      <c r="G117" s="1207"/>
      <c r="H117" s="1207"/>
      <c r="I117" s="1207"/>
      <c r="J117" s="1207"/>
      <c r="K117" s="1207"/>
      <c r="L117" s="1207"/>
      <c r="M117" s="1207"/>
      <c r="N117" s="1207"/>
      <c r="O117" s="1207"/>
      <c r="P117" s="1208"/>
      <c r="Q117" s="1207"/>
      <c r="R117" s="1207"/>
      <c r="S117" s="1207"/>
      <c r="T117" s="1207"/>
      <c r="U117" s="1207"/>
      <c r="V117" s="1207"/>
      <c r="W117" s="1207"/>
      <c r="X117" s="1207"/>
      <c r="Y117" s="1207"/>
      <c r="Z117" s="1207"/>
      <c r="AA117" s="1207"/>
      <c r="AB117" s="1207"/>
      <c r="AC117" s="1207"/>
      <c r="AD117" s="1207"/>
      <c r="AE117" s="1207"/>
      <c r="AF117" s="1207"/>
      <c r="AG117" s="1207"/>
      <c r="AH117" s="1207"/>
    </row>
    <row r="118" spans="1:34" x14ac:dyDescent="0.2">
      <c r="A118" s="1365" t="s">
        <v>33</v>
      </c>
      <c r="B118" s="1350">
        <v>42471</v>
      </c>
      <c r="C118" s="1351"/>
      <c r="D118" s="1366"/>
      <c r="E118" s="1207"/>
      <c r="F118" s="1207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8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07"/>
      <c r="AA118" s="1207"/>
      <c r="AB118" s="1207"/>
      <c r="AC118" s="1207"/>
      <c r="AD118" s="1207"/>
      <c r="AE118" s="1207"/>
      <c r="AF118" s="1207"/>
      <c r="AG118" s="1207"/>
      <c r="AH118" s="1207"/>
    </row>
    <row r="119" spans="1:34" x14ac:dyDescent="0.2">
      <c r="A119" s="1365" t="s">
        <v>33</v>
      </c>
      <c r="B119" s="1350">
        <v>42578</v>
      </c>
      <c r="C119" s="1351"/>
      <c r="D119" s="1207"/>
      <c r="E119" s="1366"/>
      <c r="F119" s="1207"/>
      <c r="G119" s="1207"/>
      <c r="H119" s="1207"/>
      <c r="I119" s="1207"/>
      <c r="J119" s="1207"/>
      <c r="K119" s="1207"/>
      <c r="L119" s="1207"/>
      <c r="M119" s="1207"/>
      <c r="N119" s="1207"/>
      <c r="O119" s="1207"/>
      <c r="P119" s="1208"/>
      <c r="Q119" s="1207"/>
      <c r="R119" s="1207"/>
      <c r="S119" s="1207"/>
      <c r="T119" s="1207"/>
      <c r="U119" s="1207"/>
      <c r="V119" s="1207"/>
      <c r="W119" s="1207"/>
      <c r="X119" s="1207"/>
      <c r="Y119" s="1207"/>
      <c r="Z119" s="1207"/>
      <c r="AA119" s="1207"/>
      <c r="AB119" s="1207"/>
      <c r="AC119" s="1207"/>
      <c r="AD119" s="1207"/>
      <c r="AE119" s="1207"/>
      <c r="AF119" s="1207"/>
      <c r="AG119" s="1207"/>
      <c r="AH119" s="1207"/>
    </row>
    <row r="120" spans="1:34" x14ac:dyDescent="0.2">
      <c r="A120" s="1365" t="s">
        <v>1283</v>
      </c>
      <c r="B120" s="1350">
        <v>42566</v>
      </c>
      <c r="C120" s="1367"/>
      <c r="D120" s="1207"/>
      <c r="E120" s="1354"/>
      <c r="F120" s="1207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8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</row>
    <row r="121" spans="1:34" x14ac:dyDescent="0.2">
      <c r="A121" s="1316" t="s">
        <v>1283</v>
      </c>
      <c r="B121" s="1350">
        <v>42580</v>
      </c>
      <c r="C121" s="1351">
        <f>14163.925-238.575-11570.531-375.15</f>
        <v>1979.6689999999976</v>
      </c>
      <c r="D121" s="1207"/>
      <c r="E121" s="1207"/>
      <c r="F121" s="1207"/>
      <c r="G121" s="1354"/>
      <c r="H121" s="1354"/>
      <c r="I121" s="1207"/>
      <c r="J121" s="1207"/>
      <c r="K121" s="1207"/>
      <c r="L121" s="1207"/>
      <c r="M121" s="1207"/>
      <c r="N121" s="1207"/>
      <c r="O121" s="1207"/>
      <c r="P121" s="1208"/>
      <c r="Q121" s="1207"/>
      <c r="R121" s="1207"/>
      <c r="S121" s="1207"/>
      <c r="T121" s="1207"/>
      <c r="U121" s="1207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</row>
    <row r="122" spans="1:34" x14ac:dyDescent="0.2">
      <c r="A122" s="1207"/>
      <c r="B122" s="1350"/>
      <c r="C122" s="1345"/>
      <c r="D122" s="1207"/>
      <c r="E122" s="1207"/>
      <c r="F122" s="1207"/>
      <c r="G122" s="1354"/>
      <c r="H122" s="1207"/>
      <c r="I122" s="1207"/>
      <c r="J122" s="1207"/>
      <c r="K122" s="1207"/>
      <c r="L122" s="1207"/>
      <c r="M122" s="1207"/>
      <c r="N122" s="1207"/>
      <c r="O122" s="1207"/>
      <c r="P122" s="1208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07"/>
      <c r="AA122" s="1207"/>
      <c r="AB122" s="1207"/>
      <c r="AC122" s="1207"/>
      <c r="AD122" s="1207"/>
      <c r="AE122" s="1207"/>
      <c r="AF122" s="1207"/>
      <c r="AG122" s="1207"/>
      <c r="AH122" s="1207"/>
    </row>
    <row r="123" spans="1:34" x14ac:dyDescent="0.2">
      <c r="A123" s="1207"/>
      <c r="B123" s="1350"/>
      <c r="C123" s="1207"/>
      <c r="D123" s="1207"/>
      <c r="E123" s="1207"/>
      <c r="F123" s="1207"/>
      <c r="G123" s="1207"/>
      <c r="H123" s="1367"/>
      <c r="I123" s="1207"/>
      <c r="J123" s="1207"/>
      <c r="K123" s="1207"/>
      <c r="L123" s="1207"/>
      <c r="M123" s="1207"/>
      <c r="N123" s="1207"/>
      <c r="O123" s="1207"/>
      <c r="P123" s="1208"/>
      <c r="Q123" s="1207"/>
      <c r="R123" s="1207"/>
      <c r="S123" s="1207"/>
      <c r="T123" s="1207"/>
      <c r="U123" s="1207"/>
      <c r="V123" s="1207"/>
      <c r="W123" s="1207"/>
      <c r="X123" s="1207"/>
      <c r="Y123" s="1207"/>
      <c r="Z123" s="1207"/>
      <c r="AA123" s="1207"/>
      <c r="AB123" s="1207"/>
      <c r="AC123" s="1207"/>
      <c r="AD123" s="1207"/>
      <c r="AE123" s="1207"/>
      <c r="AF123" s="1207"/>
      <c r="AG123" s="1207"/>
      <c r="AH123" s="1207"/>
    </row>
    <row r="124" spans="1:34" x14ac:dyDescent="0.2">
      <c r="A124" s="1207"/>
      <c r="B124" s="1350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8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07"/>
      <c r="AA124" s="1207"/>
      <c r="AB124" s="1207"/>
      <c r="AC124" s="1207"/>
      <c r="AD124" s="1207"/>
      <c r="AE124" s="1207"/>
      <c r="AF124" s="1207"/>
      <c r="AG124" s="1207"/>
      <c r="AH124" s="1207"/>
    </row>
    <row r="125" spans="1:34" x14ac:dyDescent="0.2">
      <c r="A125" s="1316"/>
      <c r="B125" s="1350"/>
      <c r="C125" s="1345"/>
      <c r="D125" s="1207"/>
      <c r="E125" s="1207"/>
      <c r="F125" s="1207"/>
      <c r="G125" s="1207"/>
      <c r="H125" s="1207"/>
      <c r="I125" s="1207"/>
      <c r="J125" s="1207"/>
      <c r="K125" s="1207"/>
      <c r="L125" s="1207"/>
      <c r="M125" s="1207"/>
      <c r="N125" s="1207"/>
      <c r="O125" s="1207"/>
      <c r="P125" s="1208"/>
      <c r="Q125" s="1207"/>
      <c r="R125" s="1207"/>
      <c r="S125" s="1207"/>
      <c r="T125" s="1207"/>
      <c r="U125" s="1207"/>
      <c r="V125" s="1207"/>
      <c r="W125" s="1207"/>
      <c r="X125" s="1207"/>
      <c r="Y125" s="1207"/>
      <c r="Z125" s="1207"/>
      <c r="AA125" s="1207"/>
      <c r="AB125" s="1207"/>
      <c r="AC125" s="1207"/>
      <c r="AD125" s="1207"/>
      <c r="AE125" s="1207"/>
      <c r="AF125" s="1207"/>
      <c r="AG125" s="1207"/>
      <c r="AH125" s="1207"/>
    </row>
    <row r="126" spans="1:34" x14ac:dyDescent="0.2">
      <c r="A126" s="1316"/>
      <c r="B126" s="1350"/>
      <c r="C126" s="1345"/>
      <c r="D126" s="1207"/>
      <c r="E126" s="1207"/>
      <c r="F126" s="1207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8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07"/>
      <c r="AA126" s="1207"/>
      <c r="AB126" s="1207"/>
      <c r="AC126" s="1207"/>
      <c r="AD126" s="1207"/>
      <c r="AE126" s="1207"/>
      <c r="AF126" s="1207"/>
      <c r="AG126" s="1207"/>
      <c r="AH126" s="1207"/>
    </row>
    <row r="127" spans="1:34" x14ac:dyDescent="0.2">
      <c r="A127" s="1207"/>
      <c r="B127" s="1207"/>
      <c r="C127" s="1207"/>
      <c r="D127" s="1207"/>
      <c r="E127" s="1207"/>
      <c r="F127" s="1207"/>
      <c r="G127" s="1207"/>
      <c r="H127" s="1207"/>
      <c r="I127" s="1207"/>
      <c r="J127" s="1207"/>
      <c r="K127" s="1207"/>
      <c r="L127" s="1207"/>
      <c r="M127" s="1207"/>
      <c r="N127" s="1207"/>
      <c r="O127" s="1207"/>
      <c r="P127" s="1208"/>
      <c r="Q127" s="1207"/>
      <c r="R127" s="1207"/>
      <c r="S127" s="1207"/>
      <c r="T127" s="1207"/>
      <c r="U127" s="1207"/>
      <c r="V127" s="1207"/>
      <c r="W127" s="1207"/>
      <c r="X127" s="1207"/>
      <c r="Y127" s="1207"/>
      <c r="Z127" s="1207"/>
      <c r="AA127" s="1207"/>
      <c r="AB127" s="1207"/>
      <c r="AC127" s="1207"/>
      <c r="AD127" s="1207"/>
      <c r="AE127" s="1207"/>
      <c r="AF127" s="1207"/>
      <c r="AG127" s="1207"/>
      <c r="AH127" s="1207"/>
    </row>
    <row r="128" spans="1:34" x14ac:dyDescent="0.2">
      <c r="A128" s="1207"/>
      <c r="B128" s="1207"/>
      <c r="C128" s="1207"/>
      <c r="D128" s="1207"/>
      <c r="E128" s="1207"/>
      <c r="F128" s="1207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8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07"/>
      <c r="AA128" s="1207"/>
      <c r="AB128" s="1207"/>
      <c r="AC128" s="1207"/>
      <c r="AD128" s="1207"/>
      <c r="AE128" s="1207"/>
      <c r="AF128" s="1207"/>
      <c r="AG128" s="1207"/>
      <c r="AH128" s="1207"/>
    </row>
    <row r="129" spans="1:34" x14ac:dyDescent="0.2">
      <c r="A129" s="1207"/>
      <c r="B129" s="1207"/>
      <c r="C129" s="1207"/>
      <c r="D129" s="1207"/>
      <c r="E129" s="1207"/>
      <c r="F129" s="1207"/>
      <c r="G129" s="1207"/>
      <c r="H129" s="1207"/>
      <c r="I129" s="1207"/>
      <c r="J129" s="1207"/>
      <c r="K129" s="1207"/>
      <c r="L129" s="1207"/>
      <c r="M129" s="1207"/>
      <c r="N129" s="1207"/>
      <c r="O129" s="1207"/>
      <c r="P129" s="1208"/>
      <c r="Q129" s="1207"/>
      <c r="R129" s="1207"/>
      <c r="S129" s="1207"/>
      <c r="T129" s="1207"/>
      <c r="U129" s="1207"/>
      <c r="V129" s="1207"/>
      <c r="W129" s="1207"/>
      <c r="X129" s="1207"/>
      <c r="Y129" s="1207"/>
      <c r="Z129" s="1207"/>
      <c r="AA129" s="1207"/>
      <c r="AB129" s="1207"/>
      <c r="AC129" s="1207"/>
      <c r="AD129" s="1207"/>
      <c r="AE129" s="1207"/>
      <c r="AF129" s="1207"/>
      <c r="AG129" s="1207"/>
      <c r="AH129" s="1207"/>
    </row>
    <row r="130" spans="1:34" x14ac:dyDescent="0.2">
      <c r="A130" s="1207"/>
      <c r="B130" s="1207"/>
      <c r="C130" s="1207"/>
      <c r="D130" s="1207"/>
      <c r="E130" s="1207"/>
      <c r="F130" s="1207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8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07"/>
      <c r="AA130" s="1207"/>
      <c r="AB130" s="1207"/>
      <c r="AC130" s="1207"/>
      <c r="AD130" s="1207"/>
      <c r="AE130" s="1207"/>
      <c r="AF130" s="1207"/>
      <c r="AG130" s="1207"/>
      <c r="AH130" s="1207"/>
    </row>
    <row r="131" spans="1:34" ht="13.5" thickBot="1" x14ac:dyDescent="0.25">
      <c r="A131" s="1207"/>
      <c r="B131" s="1207"/>
      <c r="C131" s="1207"/>
      <c r="D131" s="1207"/>
      <c r="E131" s="1207"/>
      <c r="F131" s="1207"/>
      <c r="G131" s="1207"/>
      <c r="H131" s="1207"/>
      <c r="I131" s="1207"/>
      <c r="J131" s="1207"/>
      <c r="K131" s="1207"/>
      <c r="L131" s="1207"/>
      <c r="M131" s="1207"/>
      <c r="N131" s="1207"/>
      <c r="O131" s="1207"/>
      <c r="P131" s="1208"/>
      <c r="Q131" s="1207"/>
      <c r="R131" s="1207"/>
      <c r="S131" s="1207"/>
      <c r="T131" s="1207"/>
      <c r="U131" s="1207"/>
      <c r="V131" s="1207"/>
      <c r="W131" s="1207"/>
      <c r="X131" s="1207"/>
      <c r="Y131" s="1207"/>
      <c r="Z131" s="1207"/>
      <c r="AA131" s="1207"/>
      <c r="AB131" s="1207"/>
      <c r="AC131" s="1207"/>
      <c r="AD131" s="1207"/>
      <c r="AE131" s="1207"/>
      <c r="AF131" s="1207"/>
      <c r="AG131" s="1207"/>
      <c r="AH131" s="1207"/>
    </row>
    <row r="132" spans="1:34" x14ac:dyDescent="0.2">
      <c r="A132" s="1233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34"/>
      <c r="O132" s="1234"/>
      <c r="P132" s="1235"/>
      <c r="Q132" s="1234"/>
      <c r="R132" s="1234"/>
      <c r="S132" s="1234"/>
      <c r="T132" s="1234"/>
      <c r="U132" s="1234"/>
      <c r="V132" s="1234"/>
      <c r="W132" s="1234"/>
      <c r="X132" s="1234"/>
      <c r="Y132" s="1234"/>
      <c r="Z132" s="1234"/>
      <c r="AA132" s="1234"/>
      <c r="AB132" s="1234"/>
      <c r="AC132" s="1234"/>
      <c r="AD132" s="1234"/>
      <c r="AE132" s="1234"/>
      <c r="AF132" s="1234"/>
      <c r="AG132" s="1234"/>
      <c r="AH132" s="1207"/>
    </row>
    <row r="133" spans="1:34" x14ac:dyDescent="0.2">
      <c r="A133" s="1236"/>
      <c r="B133" s="1237" t="s">
        <v>37</v>
      </c>
      <c r="C133" s="1237"/>
      <c r="D133" s="1237"/>
      <c r="E133" s="1238" t="s">
        <v>824</v>
      </c>
      <c r="F133" s="1239" t="s">
        <v>95</v>
      </c>
      <c r="G133" s="1563" t="s">
        <v>6</v>
      </c>
      <c r="H133" s="1239"/>
      <c r="I133" s="1239"/>
      <c r="J133" s="1239"/>
      <c r="K133" s="1239"/>
      <c r="L133" s="1239"/>
      <c r="M133" s="1239"/>
      <c r="N133" s="1239"/>
      <c r="O133" s="1239"/>
      <c r="P133" s="1240"/>
      <c r="Q133" s="1239"/>
      <c r="R133" s="1239"/>
      <c r="S133" s="1239"/>
      <c r="T133" s="1239"/>
      <c r="U133" s="1239"/>
      <c r="V133" s="1239"/>
      <c r="W133" s="1239"/>
      <c r="X133" s="1239"/>
      <c r="Y133" s="1239"/>
      <c r="Z133" s="1239"/>
      <c r="AA133" s="1239"/>
      <c r="AB133" s="1239"/>
      <c r="AC133" s="1239"/>
      <c r="AD133" s="1239"/>
      <c r="AE133" s="1239"/>
      <c r="AF133" s="1239"/>
      <c r="AG133" s="1239"/>
      <c r="AH133" s="1207"/>
    </row>
    <row r="134" spans="1:34" x14ac:dyDescent="0.2">
      <c r="A134" s="1236"/>
      <c r="B134" s="1237"/>
      <c r="C134" s="1237"/>
      <c r="D134" s="1239"/>
      <c r="E134" s="1237"/>
      <c r="F134" s="1237"/>
      <c r="G134" s="1237"/>
      <c r="H134" s="1237"/>
      <c r="I134" s="1237"/>
      <c r="J134" s="1237"/>
      <c r="K134" s="1237"/>
      <c r="L134" s="1237"/>
      <c r="M134" s="1237"/>
      <c r="N134" s="1237"/>
      <c r="O134" s="1237"/>
      <c r="P134" s="1241"/>
      <c r="Q134" s="1237"/>
      <c r="R134" s="1237"/>
      <c r="S134" s="1237"/>
      <c r="T134" s="1237"/>
      <c r="U134" s="1237"/>
      <c r="V134" s="1237"/>
      <c r="W134" s="1237"/>
      <c r="X134" s="1237"/>
      <c r="Y134" s="1237"/>
      <c r="Z134" s="1237"/>
      <c r="AA134" s="1237"/>
      <c r="AB134" s="1237"/>
      <c r="AC134" s="1237"/>
      <c r="AD134" s="1237"/>
      <c r="AE134" s="1237"/>
      <c r="AF134" s="1237"/>
      <c r="AG134" s="1237"/>
      <c r="AH134" s="1207"/>
    </row>
    <row r="135" spans="1:34" x14ac:dyDescent="0.2">
      <c r="A135" s="1368"/>
      <c r="B135" s="1237"/>
      <c r="C135" s="1239"/>
      <c r="D135" s="1239">
        <v>42587</v>
      </c>
      <c r="E135" s="1237"/>
      <c r="F135" s="1237"/>
      <c r="G135" s="1237"/>
      <c r="H135" s="1237"/>
      <c r="I135" s="1237"/>
      <c r="J135" s="1237"/>
      <c r="K135" s="1237"/>
      <c r="L135" s="1237"/>
      <c r="M135" s="1237"/>
      <c r="N135" s="1237"/>
      <c r="O135" s="1237"/>
      <c r="P135" s="1241"/>
      <c r="Q135" s="1237"/>
      <c r="R135" s="1237"/>
      <c r="S135" s="1237"/>
      <c r="T135" s="1237"/>
      <c r="U135" s="1237"/>
      <c r="V135" s="1237"/>
      <c r="W135" s="1237"/>
      <c r="X135" s="1237"/>
      <c r="Y135" s="1237"/>
      <c r="Z135" s="1237"/>
      <c r="AA135" s="1237"/>
      <c r="AB135" s="1237"/>
      <c r="AC135" s="1237"/>
      <c r="AD135" s="1237"/>
      <c r="AE135" s="1237"/>
      <c r="AF135" s="1237"/>
      <c r="AG135" s="1237"/>
      <c r="AH135" s="1207"/>
    </row>
    <row r="136" spans="1:34" x14ac:dyDescent="0.2">
      <c r="A136" s="1236"/>
      <c r="B136" s="1237"/>
      <c r="C136" s="1239"/>
      <c r="D136" s="1239"/>
      <c r="E136" s="1237"/>
      <c r="F136" s="1237"/>
      <c r="G136" s="1237"/>
      <c r="H136" s="1237"/>
      <c r="I136" s="1237"/>
      <c r="J136" s="1237"/>
      <c r="K136" s="1237"/>
      <c r="L136" s="1237"/>
      <c r="M136" s="1237"/>
      <c r="N136" s="1237"/>
      <c r="O136" s="1237"/>
      <c r="P136" s="1241"/>
      <c r="Q136" s="1237"/>
      <c r="R136" s="1237"/>
      <c r="S136" s="1237"/>
      <c r="T136" s="1237"/>
      <c r="U136" s="1237"/>
      <c r="V136" s="1237"/>
      <c r="W136" s="1237"/>
      <c r="X136" s="1237"/>
      <c r="Y136" s="1237"/>
      <c r="Z136" s="1237"/>
      <c r="AA136" s="1237"/>
      <c r="AB136" s="1237"/>
      <c r="AC136" s="1237"/>
      <c r="AD136" s="1237"/>
      <c r="AE136" s="1237"/>
      <c r="AF136" s="1237"/>
      <c r="AG136" s="1237"/>
      <c r="AH136" s="1207"/>
    </row>
    <row r="137" spans="1:34" ht="13.5" thickBot="1" x14ac:dyDescent="0.25">
      <c r="A137" s="1236"/>
      <c r="B137" s="1237"/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1237"/>
      <c r="M137" s="1237"/>
      <c r="N137" s="1237"/>
      <c r="O137" s="1237"/>
      <c r="P137" s="1241"/>
      <c r="Q137" s="1237"/>
      <c r="R137" s="1237"/>
      <c r="S137" s="1237"/>
      <c r="T137" s="1237"/>
      <c r="U137" s="1237"/>
      <c r="V137" s="1237"/>
      <c r="W137" s="1237"/>
      <c r="X137" s="1237"/>
      <c r="Y137" s="1237"/>
      <c r="Z137" s="1237"/>
      <c r="AA137" s="1237"/>
      <c r="AB137" s="1237"/>
      <c r="AC137" s="1237"/>
      <c r="AD137" s="1237"/>
      <c r="AE137" s="1237"/>
      <c r="AF137" s="1237"/>
      <c r="AG137" s="1237"/>
      <c r="AH137" s="1207"/>
    </row>
    <row r="138" spans="1:34" ht="13.5" thickBot="1" x14ac:dyDescent="0.25">
      <c r="A138" s="1236"/>
      <c r="B138" s="1237"/>
      <c r="C138" s="1243"/>
      <c r="D138" s="1244" t="s">
        <v>16</v>
      </c>
      <c r="E138" s="1244"/>
      <c r="F138" s="1244"/>
      <c r="G138" s="1244"/>
      <c r="H138" s="1244"/>
      <c r="I138" s="1244"/>
      <c r="J138" s="1244"/>
      <c r="K138" s="1244"/>
      <c r="L138" s="1244"/>
      <c r="M138" s="1244"/>
      <c r="N138" s="1244"/>
      <c r="O138" s="1244"/>
      <c r="P138" s="1245"/>
      <c r="Q138" s="1244"/>
      <c r="R138" s="1244"/>
      <c r="S138" s="1244"/>
      <c r="T138" s="1244"/>
      <c r="U138" s="1244"/>
      <c r="V138" s="1244"/>
      <c r="W138" s="1244"/>
      <c r="X138" s="1244"/>
      <c r="Y138" s="1244"/>
      <c r="Z138" s="1244"/>
      <c r="AA138" s="1244"/>
      <c r="AB138" s="1244"/>
      <c r="AC138" s="1244"/>
      <c r="AD138" s="1244"/>
      <c r="AE138" s="1244"/>
      <c r="AF138" s="1244"/>
      <c r="AG138" s="1244"/>
      <c r="AH138" s="1207"/>
    </row>
    <row r="139" spans="1:34" ht="13.5" thickBot="1" x14ac:dyDescent="0.25">
      <c r="A139" s="1236"/>
      <c r="B139" s="1237"/>
      <c r="C139" s="1246" t="s">
        <v>452</v>
      </c>
      <c r="D139" s="1246" t="s">
        <v>453</v>
      </c>
      <c r="E139" s="1246" t="s">
        <v>434</v>
      </c>
      <c r="F139" s="1246" t="s">
        <v>390</v>
      </c>
      <c r="G139" s="1246" t="s">
        <v>454</v>
      </c>
      <c r="H139" s="1246" t="s">
        <v>455</v>
      </c>
      <c r="I139" s="1246" t="s">
        <v>456</v>
      </c>
      <c r="J139" s="1246" t="s">
        <v>457</v>
      </c>
      <c r="K139" s="1246" t="s">
        <v>458</v>
      </c>
      <c r="L139" s="1246" t="s">
        <v>216</v>
      </c>
      <c r="M139" s="1246" t="s">
        <v>459</v>
      </c>
      <c r="N139" s="1246" t="s">
        <v>297</v>
      </c>
      <c r="O139" s="1246" t="s">
        <v>211</v>
      </c>
      <c r="P139" s="1247" t="s">
        <v>270</v>
      </c>
      <c r="Q139" s="1246">
        <v>15</v>
      </c>
      <c r="R139" s="1246">
        <v>16</v>
      </c>
      <c r="S139" s="1246" t="s">
        <v>461</v>
      </c>
      <c r="T139" s="1246" t="s">
        <v>442</v>
      </c>
      <c r="U139" s="1246" t="s">
        <v>462</v>
      </c>
      <c r="V139" s="1246" t="s">
        <v>470</v>
      </c>
      <c r="W139" s="1246" t="s">
        <v>471</v>
      </c>
      <c r="X139" s="1246" t="s">
        <v>472</v>
      </c>
      <c r="Y139" s="1246" t="s">
        <v>463</v>
      </c>
      <c r="Z139" s="1246" t="s">
        <v>465</v>
      </c>
      <c r="AA139" s="1246" t="s">
        <v>466</v>
      </c>
      <c r="AB139" s="1246" t="s">
        <v>435</v>
      </c>
      <c r="AC139" s="1246" t="s">
        <v>467</v>
      </c>
      <c r="AD139" s="1246" t="s">
        <v>464</v>
      </c>
      <c r="AE139" s="1246" t="s">
        <v>429</v>
      </c>
      <c r="AF139" s="1246" t="s">
        <v>149</v>
      </c>
      <c r="AG139" s="1246" t="s">
        <v>210</v>
      </c>
      <c r="AH139" s="1207"/>
    </row>
    <row r="140" spans="1:34" x14ac:dyDescent="0.2">
      <c r="A140" s="1233"/>
      <c r="B140" s="1248"/>
      <c r="C140" s="1237"/>
      <c r="D140" s="1237"/>
      <c r="E140" s="1237"/>
      <c r="F140" s="1237"/>
      <c r="G140" s="1237"/>
      <c r="H140" s="1237"/>
      <c r="I140" s="1237"/>
      <c r="J140" s="1237"/>
      <c r="K140" s="1237"/>
      <c r="L140" s="1237"/>
      <c r="M140" s="1237"/>
      <c r="N140" s="1237"/>
      <c r="O140" s="1237"/>
      <c r="P140" s="1241"/>
      <c r="Q140" s="1237"/>
      <c r="R140" s="1237"/>
      <c r="S140" s="1237"/>
      <c r="T140" s="1237"/>
      <c r="U140" s="1237"/>
      <c r="V140" s="1237"/>
      <c r="W140" s="1237"/>
      <c r="X140" s="1237"/>
      <c r="Y140" s="1237"/>
      <c r="Z140" s="1237"/>
      <c r="AA140" s="1237"/>
      <c r="AB140" s="1237"/>
      <c r="AC140" s="1237"/>
      <c r="AD140" s="1237"/>
      <c r="AE140" s="1237"/>
      <c r="AF140" s="1237"/>
      <c r="AG140" s="1237"/>
      <c r="AH140" s="1207"/>
    </row>
    <row r="141" spans="1:34" x14ac:dyDescent="0.2">
      <c r="A141" s="1236" t="s">
        <v>0</v>
      </c>
      <c r="B141" s="1249">
        <v>-25551.156999999999</v>
      </c>
      <c r="C141" s="1237"/>
      <c r="D141" s="1237"/>
      <c r="E141" s="1237"/>
      <c r="F141" s="1237"/>
      <c r="G141" s="1237"/>
      <c r="H141" s="1237"/>
      <c r="I141" s="1237"/>
      <c r="J141" s="1237"/>
      <c r="K141" s="1237"/>
      <c r="L141" s="1237"/>
      <c r="M141" s="1237"/>
      <c r="N141" s="1237"/>
      <c r="O141" s="1237"/>
      <c r="P141" s="1241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07"/>
    </row>
    <row r="142" spans="1:34" ht="13.5" thickBot="1" x14ac:dyDescent="0.25">
      <c r="A142" s="1250"/>
      <c r="B142" s="1251"/>
      <c r="C142" s="1237"/>
      <c r="D142" s="1237"/>
      <c r="E142" s="1237"/>
      <c r="F142" s="1237"/>
      <c r="G142" s="1237"/>
      <c r="H142" s="1237"/>
      <c r="I142" s="1237"/>
      <c r="J142" s="1237"/>
      <c r="K142" s="1237"/>
      <c r="L142" s="1237"/>
      <c r="M142" s="1237"/>
      <c r="N142" s="1237"/>
      <c r="O142" s="1237"/>
      <c r="P142" s="1241"/>
      <c r="Q142" s="1237"/>
      <c r="R142" s="1237"/>
      <c r="S142" s="1237"/>
      <c r="T142" s="1237"/>
      <c r="U142" s="1237"/>
      <c r="V142" s="1237"/>
      <c r="W142" s="1237"/>
      <c r="X142" s="1237"/>
      <c r="Y142" s="1237"/>
      <c r="Z142" s="1237"/>
      <c r="AA142" s="1237"/>
      <c r="AB142" s="1237"/>
      <c r="AC142" s="1237"/>
      <c r="AD142" s="1237"/>
      <c r="AE142" s="1237"/>
      <c r="AF142" s="1237"/>
      <c r="AG142" s="1237"/>
      <c r="AH142" s="1207"/>
    </row>
    <row r="143" spans="1:34" x14ac:dyDescent="0.2">
      <c r="A143" s="1233"/>
      <c r="B143" s="1253"/>
      <c r="C143" s="1237"/>
      <c r="D143" s="1237"/>
      <c r="E143" s="1237"/>
      <c r="F143" s="1237"/>
      <c r="G143" s="1237"/>
      <c r="H143" s="1237"/>
      <c r="I143" s="1237"/>
      <c r="J143" s="1237"/>
      <c r="K143" s="1237"/>
      <c r="L143" s="1237"/>
      <c r="M143" s="1237"/>
      <c r="N143" s="1237"/>
      <c r="O143" s="1237"/>
      <c r="P143" s="1241"/>
      <c r="Q143" s="1237"/>
      <c r="R143" s="1237"/>
      <c r="S143" s="1237"/>
      <c r="T143" s="1237"/>
      <c r="U143" s="1237"/>
      <c r="V143" s="1237"/>
      <c r="W143" s="1237"/>
      <c r="X143" s="1237"/>
      <c r="Y143" s="1237"/>
      <c r="Z143" s="1237"/>
      <c r="AA143" s="1237"/>
      <c r="AB143" s="1237"/>
      <c r="AC143" s="1237"/>
      <c r="AD143" s="1237"/>
      <c r="AE143" s="1237"/>
      <c r="AF143" s="1237"/>
      <c r="AG143" s="1237"/>
      <c r="AH143" s="1207"/>
    </row>
    <row r="144" spans="1:34" x14ac:dyDescent="0.2">
      <c r="A144" s="1236" t="s">
        <v>1</v>
      </c>
      <c r="B144" s="1249">
        <f>B145+B146+B147</f>
        <v>0</v>
      </c>
      <c r="C144" s="1237"/>
      <c r="D144" s="1237"/>
      <c r="E144" s="1237"/>
      <c r="F144" s="1237"/>
      <c r="G144" s="1237"/>
      <c r="H144" s="1237"/>
      <c r="I144" s="1237"/>
      <c r="J144" s="1237"/>
      <c r="K144" s="1237"/>
      <c r="L144" s="1237"/>
      <c r="M144" s="1237"/>
      <c r="N144" s="1237"/>
      <c r="O144" s="1237"/>
      <c r="P144" s="1241"/>
      <c r="Q144" s="1237"/>
      <c r="R144" s="1237"/>
      <c r="S144" s="1237"/>
      <c r="T144" s="1237"/>
      <c r="U144" s="1237"/>
      <c r="V144" s="1237"/>
      <c r="W144" s="1237"/>
      <c r="X144" s="1237"/>
      <c r="Y144" s="1237"/>
      <c r="Z144" s="1237"/>
      <c r="AA144" s="1237"/>
      <c r="AB144" s="1237"/>
      <c r="AC144" s="1237"/>
      <c r="AD144" s="1237"/>
      <c r="AE144" s="1237"/>
      <c r="AF144" s="1237"/>
      <c r="AG144" s="1237"/>
      <c r="AH144" s="1207"/>
    </row>
    <row r="145" spans="1:34" x14ac:dyDescent="0.2">
      <c r="A145" s="1236" t="s">
        <v>38</v>
      </c>
      <c r="B145" s="1249">
        <f>C195</f>
        <v>0</v>
      </c>
      <c r="C145" s="1237"/>
      <c r="D145" s="1237"/>
      <c r="E145" s="1237"/>
      <c r="F145" s="1237"/>
      <c r="G145" s="1237"/>
      <c r="H145" s="1237"/>
      <c r="I145" s="1237"/>
      <c r="J145" s="1237"/>
      <c r="K145" s="1237"/>
      <c r="L145" s="1237"/>
      <c r="M145" s="1237"/>
      <c r="N145" s="1237"/>
      <c r="O145" s="1237"/>
      <c r="P145" s="1241"/>
      <c r="Q145" s="1237"/>
      <c r="R145" s="1237"/>
      <c r="S145" s="1237"/>
      <c r="T145" s="1237"/>
      <c r="U145" s="1237"/>
      <c r="V145" s="1237"/>
      <c r="W145" s="1237"/>
      <c r="X145" s="1237"/>
      <c r="Y145" s="1237"/>
      <c r="Z145" s="1237"/>
      <c r="AA145" s="1237"/>
      <c r="AB145" s="1237"/>
      <c r="AC145" s="1237"/>
      <c r="AD145" s="1237"/>
      <c r="AE145" s="1237"/>
      <c r="AF145" s="1237"/>
      <c r="AG145" s="1237"/>
      <c r="AH145" s="1207"/>
    </row>
    <row r="146" spans="1:34" x14ac:dyDescent="0.2">
      <c r="A146" s="1236" t="s">
        <v>39</v>
      </c>
      <c r="B146" s="1249">
        <f>C215</f>
        <v>0</v>
      </c>
      <c r="C146" s="1237"/>
      <c r="D146" s="1237"/>
      <c r="E146" s="1237"/>
      <c r="F146" s="1237"/>
      <c r="G146" s="1237"/>
      <c r="H146" s="1237"/>
      <c r="I146" s="1237"/>
      <c r="J146" s="1237"/>
      <c r="K146" s="1237"/>
      <c r="L146" s="1237"/>
      <c r="M146" s="1237"/>
      <c r="N146" s="1237"/>
      <c r="O146" s="1237"/>
      <c r="P146" s="1241"/>
      <c r="Q146" s="1237"/>
      <c r="R146" s="1237"/>
      <c r="S146" s="1237"/>
      <c r="T146" s="1237"/>
      <c r="U146" s="1237"/>
      <c r="V146" s="1237"/>
      <c r="W146" s="1237"/>
      <c r="X146" s="1237"/>
      <c r="Y146" s="1237"/>
      <c r="Z146" s="1237"/>
      <c r="AA146" s="1237"/>
      <c r="AB146" s="1237"/>
      <c r="AC146" s="1237"/>
      <c r="AD146" s="1237"/>
      <c r="AE146" s="1237"/>
      <c r="AF146" s="1237"/>
      <c r="AG146" s="1237"/>
      <c r="AH146" s="1207"/>
    </row>
    <row r="147" spans="1:34" x14ac:dyDescent="0.2">
      <c r="A147" s="1236" t="s">
        <v>3</v>
      </c>
      <c r="B147" s="1249"/>
      <c r="C147" s="1237"/>
      <c r="D147" s="1237"/>
      <c r="E147" s="1237"/>
      <c r="F147" s="1237"/>
      <c r="G147" s="1237"/>
      <c r="H147" s="1237"/>
      <c r="I147" s="1237"/>
      <c r="J147" s="1237"/>
      <c r="K147" s="1237"/>
      <c r="L147" s="1237"/>
      <c r="M147" s="1237"/>
      <c r="N147" s="1237"/>
      <c r="O147" s="1237"/>
      <c r="P147" s="1241"/>
      <c r="Q147" s="1237"/>
      <c r="R147" s="1237"/>
      <c r="S147" s="1237"/>
      <c r="T147" s="1237"/>
      <c r="U147" s="1237"/>
      <c r="V147" s="1237"/>
      <c r="W147" s="1237"/>
      <c r="X147" s="1237"/>
      <c r="Y147" s="1237"/>
      <c r="Z147" s="1237"/>
      <c r="AA147" s="1237"/>
      <c r="AB147" s="1237"/>
      <c r="AC147" s="1237"/>
      <c r="AD147" s="1237"/>
      <c r="AE147" s="1237"/>
      <c r="AF147" s="1237"/>
      <c r="AG147" s="1237"/>
      <c r="AH147" s="1207"/>
    </row>
    <row r="148" spans="1:34" ht="13.5" thickBot="1" x14ac:dyDescent="0.25">
      <c r="A148" s="1250"/>
      <c r="B148" s="1251"/>
      <c r="C148" s="1237"/>
      <c r="D148" s="1237"/>
      <c r="E148" s="1237"/>
      <c r="F148" s="1237"/>
      <c r="G148" s="1237"/>
      <c r="H148" s="1237"/>
      <c r="I148" s="1237"/>
      <c r="J148" s="1237"/>
      <c r="K148" s="1237"/>
      <c r="L148" s="1237"/>
      <c r="M148" s="1237"/>
      <c r="N148" s="1237"/>
      <c r="O148" s="1237"/>
      <c r="P148" s="1241"/>
      <c r="Q148" s="1237"/>
      <c r="R148" s="1237"/>
      <c r="S148" s="1237"/>
      <c r="T148" s="1237"/>
      <c r="U148" s="1237"/>
      <c r="V148" s="1237"/>
      <c r="W148" s="1237"/>
      <c r="X148" s="1237"/>
      <c r="Y148" s="1237"/>
      <c r="Z148" s="1237"/>
      <c r="AA148" s="1237"/>
      <c r="AB148" s="1237"/>
      <c r="AC148" s="1237"/>
      <c r="AD148" s="1237"/>
      <c r="AE148" s="1237"/>
      <c r="AF148" s="1237"/>
      <c r="AG148" s="1237"/>
      <c r="AH148" s="1207"/>
    </row>
    <row r="149" spans="1:34" x14ac:dyDescent="0.2">
      <c r="A149" s="1233"/>
      <c r="B149" s="1253"/>
      <c r="C149" s="1237"/>
      <c r="D149" s="1237"/>
      <c r="E149" s="1237"/>
      <c r="F149" s="1237"/>
      <c r="G149" s="1237"/>
      <c r="H149" s="1237"/>
      <c r="I149" s="1237"/>
      <c r="J149" s="1237"/>
      <c r="K149" s="1237"/>
      <c r="L149" s="1237"/>
      <c r="M149" s="1237"/>
      <c r="N149" s="1237"/>
      <c r="O149" s="1237"/>
      <c r="P149" s="1241"/>
      <c r="Q149" s="1237"/>
      <c r="R149" s="1237"/>
      <c r="S149" s="1237"/>
      <c r="T149" s="1237"/>
      <c r="U149" s="1237"/>
      <c r="V149" s="1237"/>
      <c r="W149" s="1237"/>
      <c r="X149" s="1237"/>
      <c r="Y149" s="1237"/>
      <c r="Z149" s="1237"/>
      <c r="AA149" s="1237"/>
      <c r="AB149" s="1237"/>
      <c r="AC149" s="1237"/>
      <c r="AD149" s="1237"/>
      <c r="AE149" s="1237"/>
      <c r="AF149" s="1237"/>
      <c r="AG149" s="1237"/>
      <c r="AH149" s="1207"/>
    </row>
    <row r="150" spans="1:34" x14ac:dyDescent="0.2">
      <c r="A150" s="1236" t="s">
        <v>4</v>
      </c>
      <c r="B150" s="1249">
        <f>B141+B144</f>
        <v>-25551.156999999999</v>
      </c>
      <c r="C150" s="1237"/>
      <c r="D150" s="1237"/>
      <c r="E150" s="1237"/>
      <c r="F150" s="1237"/>
      <c r="G150" s="1237"/>
      <c r="H150" s="1237"/>
      <c r="I150" s="1237"/>
      <c r="J150" s="1237"/>
      <c r="K150" s="1237"/>
      <c r="L150" s="1237"/>
      <c r="M150" s="1237"/>
      <c r="N150" s="1237"/>
      <c r="O150" s="1237"/>
      <c r="P150" s="1241"/>
      <c r="Q150" s="1237"/>
      <c r="R150" s="1237"/>
      <c r="S150" s="1237"/>
      <c r="T150" s="1237"/>
      <c r="U150" s="1237"/>
      <c r="V150" s="1237"/>
      <c r="W150" s="1237"/>
      <c r="X150" s="1237"/>
      <c r="Y150" s="1237"/>
      <c r="Z150" s="1237"/>
      <c r="AA150" s="1237"/>
      <c r="AB150" s="1237"/>
      <c r="AC150" s="1237"/>
      <c r="AD150" s="1237"/>
      <c r="AE150" s="1237"/>
      <c r="AF150" s="1237"/>
      <c r="AG150" s="1237"/>
      <c r="AH150" s="1207"/>
    </row>
    <row r="151" spans="1:34" ht="13.5" thickBot="1" x14ac:dyDescent="0.25">
      <c r="A151" s="1250"/>
      <c r="B151" s="1251"/>
      <c r="C151" s="1237"/>
      <c r="D151" s="1237"/>
      <c r="E151" s="1237"/>
      <c r="F151" s="1237"/>
      <c r="G151" s="1237"/>
      <c r="H151" s="1237"/>
      <c r="I151" s="1237"/>
      <c r="J151" s="1237"/>
      <c r="K151" s="1237"/>
      <c r="L151" s="1237"/>
      <c r="M151" s="1237"/>
      <c r="N151" s="1237"/>
      <c r="O151" s="1237"/>
      <c r="P151" s="1241"/>
      <c r="Q151" s="1237"/>
      <c r="R151" s="1237"/>
      <c r="S151" s="1237"/>
      <c r="T151" s="1237"/>
      <c r="U151" s="1237"/>
      <c r="V151" s="1237"/>
      <c r="W151" s="1237"/>
      <c r="X151" s="1237"/>
      <c r="Y151" s="1237"/>
      <c r="Z151" s="1237"/>
      <c r="AA151" s="1237"/>
      <c r="AB151" s="1237"/>
      <c r="AC151" s="1237"/>
      <c r="AD151" s="1237"/>
      <c r="AE151" s="1237"/>
      <c r="AF151" s="1237"/>
      <c r="AG151" s="1237"/>
      <c r="AH151" s="1207"/>
    </row>
    <row r="152" spans="1:34" x14ac:dyDescent="0.2">
      <c r="A152" s="1233"/>
      <c r="B152" s="1253"/>
      <c r="C152" s="1237"/>
      <c r="D152" s="1237"/>
      <c r="E152" s="1237"/>
      <c r="F152" s="1237"/>
      <c r="G152" s="1237"/>
      <c r="H152" s="1237"/>
      <c r="I152" s="1237"/>
      <c r="J152" s="1237"/>
      <c r="K152" s="1237"/>
      <c r="L152" s="1237"/>
      <c r="M152" s="1237"/>
      <c r="N152" s="1237"/>
      <c r="O152" s="1237"/>
      <c r="P152" s="1241"/>
      <c r="Q152" s="1237"/>
      <c r="R152" s="1237"/>
      <c r="S152" s="1237"/>
      <c r="T152" s="1237"/>
      <c r="U152" s="1237"/>
      <c r="V152" s="1237"/>
      <c r="W152" s="1237"/>
      <c r="X152" s="1237"/>
      <c r="Y152" s="1237"/>
      <c r="Z152" s="1237"/>
      <c r="AA152" s="1237"/>
      <c r="AB152" s="1237"/>
      <c r="AC152" s="1237"/>
      <c r="AD152" s="1237"/>
      <c r="AE152" s="1237"/>
      <c r="AF152" s="1237"/>
      <c r="AG152" s="1237"/>
      <c r="AH152" s="1207"/>
    </row>
    <row r="153" spans="1:34" ht="20.25" x14ac:dyDescent="0.3">
      <c r="A153" s="1236" t="s">
        <v>17</v>
      </c>
      <c r="B153" s="1249"/>
      <c r="C153" s="1237"/>
      <c r="D153" s="1237"/>
      <c r="E153" s="1237"/>
      <c r="F153" s="1237"/>
      <c r="G153" s="1237"/>
      <c r="H153" s="1237"/>
      <c r="I153" s="1749"/>
      <c r="J153" s="1749"/>
      <c r="K153" s="1749"/>
      <c r="L153" s="1749"/>
      <c r="M153" s="1748"/>
      <c r="N153" s="1748"/>
      <c r="O153" s="1748"/>
      <c r="P153" s="1748"/>
      <c r="Q153" s="1748"/>
      <c r="R153" s="1748"/>
      <c r="S153" s="1748"/>
      <c r="T153" s="1748"/>
      <c r="U153" s="1748"/>
      <c r="V153" s="1752"/>
      <c r="W153" s="1752"/>
      <c r="X153" s="1752"/>
      <c r="Y153" s="1237"/>
      <c r="Z153" s="1237"/>
      <c r="AA153" s="1237"/>
      <c r="AB153" s="1237"/>
      <c r="AC153" s="1237"/>
      <c r="AD153" s="1237"/>
      <c r="AE153" s="1237"/>
      <c r="AF153" s="1237"/>
      <c r="AG153" s="1237"/>
      <c r="AH153" s="1207"/>
    </row>
    <row r="154" spans="1:34" ht="13.5" thickBot="1" x14ac:dyDescent="0.25">
      <c r="A154" s="1250"/>
      <c r="B154" s="1251"/>
      <c r="C154" s="1237"/>
      <c r="D154" s="1237"/>
      <c r="E154" s="1237"/>
      <c r="F154" s="1237"/>
      <c r="G154" s="1237"/>
      <c r="H154" s="1237"/>
      <c r="I154" s="1237"/>
      <c r="J154" s="1237"/>
      <c r="K154" s="1237"/>
      <c r="L154" s="1577"/>
      <c r="M154" s="1237"/>
      <c r="N154" s="1237"/>
      <c r="O154" s="1237"/>
      <c r="P154" s="1241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07"/>
    </row>
    <row r="155" spans="1:34" x14ac:dyDescent="0.2">
      <c r="A155" s="1233"/>
      <c r="B155" s="1253"/>
      <c r="C155" s="1237"/>
      <c r="D155" s="1369"/>
      <c r="E155" s="1237"/>
      <c r="F155" s="1237"/>
      <c r="G155" s="1237"/>
      <c r="H155" s="1237"/>
      <c r="I155" s="1237"/>
      <c r="J155" s="1237"/>
      <c r="K155" s="1237"/>
      <c r="L155" s="1237"/>
      <c r="M155" s="1237"/>
      <c r="N155" s="1237"/>
      <c r="O155" s="1237"/>
      <c r="P155" s="1241"/>
      <c r="Q155" s="1237"/>
      <c r="R155" s="1237"/>
      <c r="S155" s="1237"/>
      <c r="T155" s="1237"/>
      <c r="U155" s="1563"/>
      <c r="V155" s="1237"/>
      <c r="W155" s="1237"/>
      <c r="X155" s="1237"/>
      <c r="Y155" s="1237"/>
      <c r="Z155" s="1563"/>
      <c r="AA155" s="1237"/>
      <c r="AB155" s="1237"/>
      <c r="AC155" s="1369"/>
      <c r="AD155" s="1237"/>
      <c r="AF155" s="1237"/>
      <c r="AG155" s="1237"/>
      <c r="AH155" s="1207"/>
    </row>
    <row r="156" spans="1:34" x14ac:dyDescent="0.2">
      <c r="A156" s="1236" t="s">
        <v>5</v>
      </c>
      <c r="B156" s="1249">
        <f>B150-B153</f>
        <v>-25551.156999999999</v>
      </c>
      <c r="C156" s="1563"/>
      <c r="D156" s="1563"/>
      <c r="E156" s="1370"/>
      <c r="F156" s="1563"/>
      <c r="G156" s="1256"/>
      <c r="H156" s="1563"/>
      <c r="I156" s="1563"/>
      <c r="J156" s="1237"/>
      <c r="K156" s="1563"/>
      <c r="L156" s="1569" t="s">
        <v>352</v>
      </c>
      <c r="M156" s="1563"/>
      <c r="N156" s="1237"/>
      <c r="O156" s="1563"/>
      <c r="P156" s="1212"/>
      <c r="Q156" s="1563"/>
      <c r="R156" s="1563"/>
      <c r="S156" s="1633"/>
      <c r="T156" s="1256"/>
      <c r="U156" s="1563"/>
      <c r="V156" s="1563"/>
      <c r="W156" s="1563"/>
      <c r="X156" s="1563"/>
      <c r="Y156" s="1645" t="s">
        <v>1387</v>
      </c>
      <c r="Z156" s="1563"/>
      <c r="AA156" s="1563"/>
      <c r="AB156" s="1563"/>
      <c r="AC156" s="1371"/>
      <c r="AD156" s="1563"/>
      <c r="AE156" s="1223"/>
      <c r="AF156" s="1563"/>
      <c r="AG156" s="1563"/>
      <c r="AH156" s="1207"/>
    </row>
    <row r="157" spans="1:34" ht="13.5" thickBot="1" x14ac:dyDescent="0.25">
      <c r="A157" s="1250"/>
      <c r="B157" s="1251"/>
      <c r="C157" s="1237"/>
      <c r="D157" s="1237"/>
      <c r="E157" s="1237"/>
      <c r="F157" s="1237"/>
      <c r="G157" s="1237"/>
      <c r="H157" s="1237"/>
      <c r="I157" s="1237"/>
      <c r="J157" s="1237"/>
      <c r="K157" s="1237"/>
      <c r="L157" s="1568"/>
      <c r="M157" s="1237"/>
      <c r="N157" s="1237"/>
      <c r="O157" s="1237"/>
      <c r="P157" s="1212"/>
      <c r="Q157" s="1563"/>
      <c r="R157" s="1563"/>
      <c r="S157" s="1563"/>
      <c r="T157" s="1563"/>
      <c r="U157" s="1563"/>
      <c r="V157" s="1563"/>
      <c r="W157" s="1563"/>
      <c r="X157" s="1563"/>
      <c r="Y157" s="1563"/>
      <c r="Z157" s="1563"/>
      <c r="AA157" s="1563"/>
      <c r="AB157" s="1563"/>
      <c r="AC157" s="1563"/>
      <c r="AD157" s="1563"/>
      <c r="AE157" s="1563"/>
      <c r="AF157" s="1563"/>
      <c r="AG157" s="1563"/>
      <c r="AH157" s="1207"/>
    </row>
    <row r="158" spans="1:34" x14ac:dyDescent="0.2">
      <c r="A158" s="1269"/>
      <c r="B158" s="1237"/>
      <c r="C158" s="1270"/>
      <c r="D158" s="1272"/>
      <c r="E158" s="1272"/>
      <c r="F158" s="1271"/>
      <c r="G158" s="1271"/>
      <c r="H158" s="1271"/>
      <c r="I158" s="1271"/>
      <c r="J158" s="1271"/>
      <c r="K158" s="1271"/>
      <c r="L158" s="1571"/>
      <c r="M158" s="1271"/>
      <c r="N158" s="1271"/>
      <c r="O158" s="1271"/>
      <c r="P158" s="1273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07"/>
    </row>
    <row r="159" spans="1:34" ht="13.5" thickBot="1" x14ac:dyDescent="0.25">
      <c r="A159" s="1274" t="s">
        <v>7</v>
      </c>
      <c r="B159" s="1237"/>
      <c r="C159" s="1275">
        <f t="shared" ref="C159:AG159" si="16">C160+C161+C162+C166+C165+C163+C164</f>
        <v>0</v>
      </c>
      <c r="D159" s="1275">
        <f t="shared" si="16"/>
        <v>0</v>
      </c>
      <c r="E159" s="1275">
        <f t="shared" si="16"/>
        <v>0</v>
      </c>
      <c r="F159" s="1275">
        <f t="shared" si="16"/>
        <v>0</v>
      </c>
      <c r="G159" s="1275">
        <f t="shared" si="16"/>
        <v>0</v>
      </c>
      <c r="H159" s="1275">
        <f t="shared" si="16"/>
        <v>0</v>
      </c>
      <c r="I159" s="1275">
        <f t="shared" si="16"/>
        <v>0</v>
      </c>
      <c r="J159" s="1275">
        <f t="shared" si="16"/>
        <v>0</v>
      </c>
      <c r="K159" s="1275">
        <f t="shared" si="16"/>
        <v>0</v>
      </c>
      <c r="L159" s="1570">
        <f t="shared" si="16"/>
        <v>0</v>
      </c>
      <c r="M159" s="1275">
        <f t="shared" si="16"/>
        <v>0</v>
      </c>
      <c r="N159" s="1275">
        <f t="shared" si="16"/>
        <v>0</v>
      </c>
      <c r="O159" s="1275">
        <f t="shared" si="16"/>
        <v>0</v>
      </c>
      <c r="P159" s="1276">
        <f t="shared" si="16"/>
        <v>0</v>
      </c>
      <c r="Q159" s="1275">
        <f t="shared" si="16"/>
        <v>0</v>
      </c>
      <c r="R159" s="1275">
        <f t="shared" si="16"/>
        <v>0</v>
      </c>
      <c r="S159" s="1275">
        <f t="shared" si="16"/>
        <v>0</v>
      </c>
      <c r="T159" s="1275">
        <f t="shared" si="16"/>
        <v>0</v>
      </c>
      <c r="U159" s="1275">
        <f t="shared" si="16"/>
        <v>0</v>
      </c>
      <c r="V159" s="1275">
        <f t="shared" si="16"/>
        <v>0</v>
      </c>
      <c r="W159" s="1275">
        <f t="shared" si="16"/>
        <v>0</v>
      </c>
      <c r="X159" s="1275">
        <f t="shared" si="16"/>
        <v>0</v>
      </c>
      <c r="Y159" s="1275">
        <f t="shared" si="16"/>
        <v>0</v>
      </c>
      <c r="Z159" s="1275">
        <f t="shared" si="16"/>
        <v>0</v>
      </c>
      <c r="AA159" s="1275">
        <f t="shared" si="16"/>
        <v>0</v>
      </c>
      <c r="AB159" s="1275">
        <f t="shared" si="16"/>
        <v>0</v>
      </c>
      <c r="AC159" s="1275">
        <f t="shared" si="16"/>
        <v>0</v>
      </c>
      <c r="AD159" s="1275">
        <f t="shared" si="16"/>
        <v>0</v>
      </c>
      <c r="AE159" s="1275">
        <f t="shared" si="16"/>
        <v>0</v>
      </c>
      <c r="AF159" s="1275">
        <f t="shared" si="16"/>
        <v>0</v>
      </c>
      <c r="AG159" s="1275">
        <f t="shared" si="16"/>
        <v>0</v>
      </c>
      <c r="AH159" s="1227">
        <f t="shared" ref="AH159:AH167" si="17">SUM(C159:AG159)</f>
        <v>0</v>
      </c>
    </row>
    <row r="160" spans="1:34" x14ac:dyDescent="0.2">
      <c r="A160" s="1274" t="s">
        <v>8</v>
      </c>
      <c r="B160" s="1237"/>
      <c r="C160" s="1302"/>
      <c r="D160" s="1302"/>
      <c r="E160" s="1302"/>
      <c r="F160" s="1303"/>
      <c r="G160" s="1303"/>
      <c r="H160" s="1303"/>
      <c r="I160" s="1303"/>
      <c r="J160" s="1303"/>
      <c r="K160" s="1303"/>
      <c r="L160" s="1572"/>
      <c r="M160" s="1303"/>
      <c r="N160" s="1303"/>
      <c r="O160" s="1303"/>
      <c r="P160" s="1304"/>
      <c r="Q160" s="1303"/>
      <c r="R160" s="1303"/>
      <c r="S160" s="1303"/>
      <c r="T160" s="1303"/>
      <c r="U160" s="1303"/>
      <c r="V160" s="1303"/>
      <c r="W160" s="1303"/>
      <c r="X160" s="1303"/>
      <c r="Y160" s="1303"/>
      <c r="Z160" s="1303"/>
      <c r="AA160" s="1303"/>
      <c r="AB160" s="1303"/>
      <c r="AC160" s="1303"/>
      <c r="AD160" s="1303"/>
      <c r="AE160" s="1303"/>
      <c r="AF160" s="1303"/>
      <c r="AG160" s="1303"/>
      <c r="AH160" s="1227">
        <f t="shared" si="17"/>
        <v>0</v>
      </c>
    </row>
    <row r="161" spans="1:35" x14ac:dyDescent="0.2">
      <c r="A161" s="1274" t="s">
        <v>9</v>
      </c>
      <c r="B161" s="1237"/>
      <c r="C161" s="1302"/>
      <c r="D161" s="1302"/>
      <c r="E161" s="1302"/>
      <c r="F161" s="1303"/>
      <c r="G161" s="1303"/>
      <c r="H161" s="1303"/>
      <c r="I161" s="1303"/>
      <c r="J161" s="1303"/>
      <c r="K161" s="1303"/>
      <c r="L161" s="1572"/>
      <c r="M161" s="1303"/>
      <c r="N161" s="1303"/>
      <c r="O161" s="1303"/>
      <c r="P161" s="1304"/>
      <c r="Q161" s="1303"/>
      <c r="R161" s="1303"/>
      <c r="S161" s="1303"/>
      <c r="T161" s="1303"/>
      <c r="U161" s="1303"/>
      <c r="V161" s="1303"/>
      <c r="W161" s="1303"/>
      <c r="X161" s="1303"/>
      <c r="Y161" s="1303"/>
      <c r="Z161" s="1303"/>
      <c r="AA161" s="1303"/>
      <c r="AB161" s="1303"/>
      <c r="AC161" s="1303"/>
      <c r="AD161" s="1303"/>
      <c r="AE161" s="1303"/>
      <c r="AF161" s="1303"/>
      <c r="AG161" s="1303"/>
      <c r="AH161" s="1227">
        <f t="shared" si="17"/>
        <v>0</v>
      </c>
    </row>
    <row r="162" spans="1:35" s="1289" customFormat="1" x14ac:dyDescent="0.2">
      <c r="A162" s="1285" t="s">
        <v>10</v>
      </c>
      <c r="B162" s="1372"/>
      <c r="C162" s="1292"/>
      <c r="D162" s="1292"/>
      <c r="E162" s="1374"/>
      <c r="F162" s="1375"/>
      <c r="G162" s="1376"/>
      <c r="H162" s="1375"/>
      <c r="I162" s="1375"/>
      <c r="J162" s="1375"/>
      <c r="K162" s="1375"/>
      <c r="L162" s="1572">
        <v>27410</v>
      </c>
      <c r="M162" s="1375"/>
      <c r="N162" s="1375"/>
      <c r="O162" s="1375"/>
      <c r="P162" s="1375"/>
      <c r="Q162" s="1375"/>
      <c r="R162" s="1375"/>
      <c r="S162" s="1375"/>
      <c r="T162" s="1376"/>
      <c r="U162" s="1375"/>
      <c r="V162" s="1375"/>
      <c r="W162" s="1375"/>
      <c r="X162" s="1375"/>
      <c r="Y162" s="1375"/>
      <c r="Z162" s="1375"/>
      <c r="AA162" s="1375"/>
      <c r="AB162" s="1375"/>
      <c r="AC162" s="1375"/>
      <c r="AD162" s="1375"/>
      <c r="AE162" s="1378"/>
      <c r="AF162" s="1375"/>
      <c r="AG162" s="1375"/>
      <c r="AH162" s="1231">
        <f t="shared" si="17"/>
        <v>27410</v>
      </c>
    </row>
    <row r="163" spans="1:35" s="1289" customFormat="1" x14ac:dyDescent="0.2">
      <c r="A163" s="1285" t="s">
        <v>356</v>
      </c>
      <c r="B163" s="1372"/>
      <c r="C163" s="1492"/>
      <c r="D163" s="1492"/>
      <c r="E163" s="1492"/>
      <c r="F163" s="1492"/>
      <c r="G163" s="1492"/>
      <c r="H163" s="1492"/>
      <c r="I163" s="1492"/>
      <c r="J163" s="1492"/>
      <c r="K163" s="1292"/>
      <c r="L163" s="1573"/>
      <c r="M163" s="1492"/>
      <c r="N163" s="1492"/>
      <c r="O163" s="1492"/>
      <c r="P163" s="1492"/>
      <c r="Q163" s="1492"/>
      <c r="R163" s="1492"/>
      <c r="S163" s="1492"/>
      <c r="T163" s="1492"/>
      <c r="U163" s="1492"/>
      <c r="V163" s="1492"/>
      <c r="W163" s="1492"/>
      <c r="X163" s="1292"/>
      <c r="Y163" s="1292"/>
      <c r="Z163" s="1292"/>
      <c r="AA163" s="1292"/>
      <c r="AB163" s="1492"/>
      <c r="AC163" s="1492"/>
      <c r="AD163" s="1492"/>
      <c r="AE163" s="1492"/>
      <c r="AF163" s="1492"/>
      <c r="AG163" s="1492"/>
      <c r="AH163" s="1231">
        <f t="shared" si="17"/>
        <v>0</v>
      </c>
    </row>
    <row r="164" spans="1:35" x14ac:dyDescent="0.2">
      <c r="A164" s="1274" t="s">
        <v>357</v>
      </c>
      <c r="B164" s="1237"/>
      <c r="C164" s="1306"/>
      <c r="D164" s="1302"/>
      <c r="E164" s="1306"/>
      <c r="F164" s="1303"/>
      <c r="G164" s="1303"/>
      <c r="H164" s="1304"/>
      <c r="I164" s="1304"/>
      <c r="J164" s="1304"/>
      <c r="K164" s="1304"/>
      <c r="L164" s="1572"/>
      <c r="M164" s="1304"/>
      <c r="N164" s="1304"/>
      <c r="O164" s="1304"/>
      <c r="P164" s="1304"/>
      <c r="Q164" s="1304"/>
      <c r="R164" s="1304"/>
      <c r="S164" s="1304"/>
      <c r="T164" s="1304"/>
      <c r="U164" s="1304"/>
      <c r="V164" s="1304"/>
      <c r="W164" s="1304"/>
      <c r="X164" s="1304"/>
      <c r="Y164" s="1304"/>
      <c r="Z164" s="1304"/>
      <c r="AA164" s="1304"/>
      <c r="AB164" s="1304"/>
      <c r="AC164" s="1304"/>
      <c r="AD164" s="1304"/>
      <c r="AE164" s="1304"/>
      <c r="AF164" s="1304"/>
      <c r="AG164" s="1304"/>
      <c r="AH164" s="1227">
        <f t="shared" si="17"/>
        <v>0</v>
      </c>
    </row>
    <row r="165" spans="1:35" x14ac:dyDescent="0.2">
      <c r="A165" s="1274" t="s">
        <v>41</v>
      </c>
      <c r="B165" s="1237"/>
      <c r="C165" s="1306"/>
      <c r="D165" s="1302"/>
      <c r="E165" s="1306"/>
      <c r="F165" s="1303"/>
      <c r="G165" s="1303"/>
      <c r="H165" s="1304"/>
      <c r="I165" s="1304"/>
      <c r="J165" s="1304"/>
      <c r="K165" s="1304"/>
      <c r="L165" s="1304">
        <v>-27410</v>
      </c>
      <c r="M165" s="1304"/>
      <c r="N165" s="1304"/>
      <c r="O165" s="1304"/>
      <c r="P165" s="1304"/>
      <c r="Q165" s="1304"/>
      <c r="R165" s="1304"/>
      <c r="S165" s="1304"/>
      <c r="T165" s="1304"/>
      <c r="U165" s="1304"/>
      <c r="V165" s="1304"/>
      <c r="W165" s="1304"/>
      <c r="X165" s="1304"/>
      <c r="Y165" s="1304"/>
      <c r="Z165" s="1304"/>
      <c r="AA165" s="1304"/>
      <c r="AB165" s="1304"/>
      <c r="AC165" s="1304"/>
      <c r="AD165" s="1304"/>
      <c r="AE165" s="1304"/>
      <c r="AF165" s="1304"/>
      <c r="AG165" s="1304"/>
      <c r="AH165" s="1227">
        <f t="shared" si="17"/>
        <v>-27410</v>
      </c>
    </row>
    <row r="166" spans="1:35" x14ac:dyDescent="0.2">
      <c r="A166" s="1274" t="s">
        <v>11</v>
      </c>
      <c r="B166" s="1237"/>
      <c r="C166" s="1302"/>
      <c r="D166" s="1306"/>
      <c r="E166" s="1306"/>
      <c r="F166" s="1304"/>
      <c r="G166" s="1304"/>
      <c r="H166" s="1304"/>
      <c r="I166" s="1304"/>
      <c r="J166" s="1304"/>
      <c r="K166" s="1304"/>
      <c r="L166" s="1574"/>
      <c r="M166" s="1304"/>
      <c r="N166" s="1304"/>
      <c r="O166" s="1304"/>
      <c r="P166" s="1304"/>
      <c r="Q166" s="1304"/>
      <c r="R166" s="1304"/>
      <c r="S166" s="1304"/>
      <c r="T166" s="1304"/>
      <c r="U166" s="1304"/>
      <c r="V166" s="1304"/>
      <c r="W166" s="1304"/>
      <c r="X166" s="1304"/>
      <c r="Y166" s="1304"/>
      <c r="Z166" s="1304"/>
      <c r="AA166" s="1304"/>
      <c r="AB166" s="1318"/>
      <c r="AC166" s="1304"/>
      <c r="AD166" s="1304"/>
      <c r="AE166" s="1304"/>
      <c r="AF166" s="1304"/>
      <c r="AG166" s="1304"/>
      <c r="AH166" s="1227">
        <f t="shared" si="17"/>
        <v>0</v>
      </c>
    </row>
    <row r="167" spans="1:35" ht="13.5" thickBot="1" x14ac:dyDescent="0.25">
      <c r="A167" s="1294"/>
      <c r="B167" s="1237"/>
      <c r="C167" s="1302"/>
      <c r="D167" s="1302"/>
      <c r="E167" s="1302"/>
      <c r="F167" s="1303"/>
      <c r="G167" s="1303"/>
      <c r="H167" s="1303"/>
      <c r="I167" s="1303"/>
      <c r="J167" s="1303"/>
      <c r="K167" s="1303"/>
      <c r="L167" s="1303"/>
      <c r="M167" s="1303"/>
      <c r="N167" s="1303"/>
      <c r="O167" s="1303"/>
      <c r="P167" s="1304"/>
      <c r="Q167" s="1303"/>
      <c r="R167" s="1303"/>
      <c r="S167" s="1303"/>
      <c r="T167" s="1303"/>
      <c r="U167" s="1303"/>
      <c r="V167" s="1303"/>
      <c r="W167" s="1303"/>
      <c r="X167" s="1303"/>
      <c r="Y167" s="1303"/>
      <c r="Z167" s="1303"/>
      <c r="AA167" s="1303"/>
      <c r="AB167" s="1303"/>
      <c r="AC167" s="1303"/>
      <c r="AD167" s="1303"/>
      <c r="AE167" s="1303"/>
      <c r="AF167" s="1303"/>
      <c r="AG167" s="1303"/>
      <c r="AH167" s="1227">
        <f t="shared" si="17"/>
        <v>0</v>
      </c>
    </row>
    <row r="168" spans="1:35" x14ac:dyDescent="0.2">
      <c r="A168" s="1269"/>
      <c r="B168" s="1237"/>
      <c r="C168" s="1296"/>
      <c r="D168" s="1297"/>
      <c r="E168" s="1297"/>
      <c r="F168" s="1298"/>
      <c r="G168" s="1298"/>
      <c r="H168" s="1298"/>
      <c r="I168" s="1298"/>
      <c r="J168" s="1298"/>
      <c r="K168" s="1298"/>
      <c r="L168" s="1298"/>
      <c r="M168" s="1298"/>
      <c r="N168" s="1298"/>
      <c r="O168" s="1298"/>
      <c r="P168" s="1299"/>
      <c r="Q168" s="1298"/>
      <c r="R168" s="1298"/>
      <c r="S168" s="1298"/>
      <c r="T168" s="1298"/>
      <c r="U168" s="1298"/>
      <c r="V168" s="1298"/>
      <c r="W168" s="1298"/>
      <c r="X168" s="1298"/>
      <c r="Y168" s="1298"/>
      <c r="Z168" s="1298"/>
      <c r="AA168" s="1298"/>
      <c r="AB168" s="1298"/>
      <c r="AC168" s="1298"/>
      <c r="AD168" s="1298"/>
      <c r="AE168" s="1298"/>
      <c r="AF168" s="1298"/>
      <c r="AG168" s="1298"/>
      <c r="AH168" s="1207"/>
    </row>
    <row r="169" spans="1:35" ht="13.5" thickBot="1" x14ac:dyDescent="0.25">
      <c r="A169" s="1274" t="s">
        <v>12</v>
      </c>
      <c r="B169" s="1237"/>
      <c r="C169" s="1275">
        <f t="shared" ref="C169:AG169" si="18">C170</f>
        <v>0</v>
      </c>
      <c r="D169" s="1275">
        <f t="shared" si="18"/>
        <v>0</v>
      </c>
      <c r="E169" s="1275">
        <f t="shared" si="18"/>
        <v>0</v>
      </c>
      <c r="F169" s="1275">
        <f t="shared" si="18"/>
        <v>0</v>
      </c>
      <c r="G169" s="1275">
        <f t="shared" si="18"/>
        <v>0</v>
      </c>
      <c r="H169" s="1275">
        <f t="shared" si="18"/>
        <v>0</v>
      </c>
      <c r="I169" s="1275">
        <f t="shared" si="18"/>
        <v>0</v>
      </c>
      <c r="J169" s="1275">
        <f t="shared" si="18"/>
        <v>0</v>
      </c>
      <c r="K169" s="1275">
        <f t="shared" si="18"/>
        <v>0</v>
      </c>
      <c r="L169" s="1275">
        <f t="shared" si="18"/>
        <v>0</v>
      </c>
      <c r="M169" s="1275">
        <f t="shared" si="18"/>
        <v>0</v>
      </c>
      <c r="N169" s="1275">
        <f t="shared" si="18"/>
        <v>0</v>
      </c>
      <c r="O169" s="1275">
        <f t="shared" si="18"/>
        <v>0</v>
      </c>
      <c r="P169" s="1276">
        <f t="shared" si="18"/>
        <v>0</v>
      </c>
      <c r="Q169" s="1275">
        <f t="shared" si="18"/>
        <v>0</v>
      </c>
      <c r="R169" s="1275">
        <f t="shared" si="18"/>
        <v>0</v>
      </c>
      <c r="S169" s="1275">
        <f t="shared" si="18"/>
        <v>0</v>
      </c>
      <c r="T169" s="1275">
        <f t="shared" si="18"/>
        <v>0</v>
      </c>
      <c r="U169" s="1275">
        <f t="shared" si="18"/>
        <v>0</v>
      </c>
      <c r="V169" s="1275">
        <f t="shared" si="18"/>
        <v>0</v>
      </c>
      <c r="W169" s="1275">
        <f t="shared" si="18"/>
        <v>0</v>
      </c>
      <c r="X169" s="1275">
        <f t="shared" si="18"/>
        <v>0</v>
      </c>
      <c r="Y169" s="1275">
        <f t="shared" si="18"/>
        <v>0</v>
      </c>
      <c r="Z169" s="1275">
        <f t="shared" si="18"/>
        <v>0</v>
      </c>
      <c r="AA169" s="1275">
        <f t="shared" si="18"/>
        <v>0</v>
      </c>
      <c r="AB169" s="1275">
        <f t="shared" si="18"/>
        <v>0</v>
      </c>
      <c r="AC169" s="1275">
        <f t="shared" si="18"/>
        <v>0</v>
      </c>
      <c r="AD169" s="1275">
        <f t="shared" si="18"/>
        <v>0</v>
      </c>
      <c r="AE169" s="1275">
        <f t="shared" si="18"/>
        <v>0</v>
      </c>
      <c r="AF169" s="1275">
        <f t="shared" si="18"/>
        <v>0</v>
      </c>
      <c r="AG169" s="1275">
        <f t="shared" si="18"/>
        <v>0</v>
      </c>
      <c r="AH169" s="1207"/>
    </row>
    <row r="170" spans="1:35" x14ac:dyDescent="0.2">
      <c r="A170" s="1274" t="s">
        <v>8</v>
      </c>
      <c r="B170" s="1237"/>
      <c r="C170" s="1302"/>
      <c r="D170" s="1302"/>
      <c r="E170" s="1302"/>
      <c r="F170" s="1303"/>
      <c r="G170" s="1303"/>
      <c r="H170" s="1303"/>
      <c r="I170" s="1303"/>
      <c r="J170" s="1303"/>
      <c r="K170" s="1303"/>
      <c r="L170" s="1303"/>
      <c r="M170" s="1303"/>
      <c r="N170" s="1303"/>
      <c r="O170" s="1303"/>
      <c r="P170" s="1304"/>
      <c r="Q170" s="1303"/>
      <c r="R170" s="1303"/>
      <c r="S170" s="1303"/>
      <c r="T170" s="1303"/>
      <c r="U170" s="1303"/>
      <c r="V170" s="1303"/>
      <c r="W170" s="1303"/>
      <c r="X170" s="1303"/>
      <c r="Y170" s="1303"/>
      <c r="Z170" s="1303"/>
      <c r="AA170" s="1303"/>
      <c r="AB170" s="1303"/>
      <c r="AC170" s="1303"/>
      <c r="AD170" s="1303"/>
      <c r="AE170" s="1303"/>
      <c r="AF170" s="1303"/>
      <c r="AG170" s="1303"/>
      <c r="AH170" s="1207"/>
    </row>
    <row r="171" spans="1:35" x14ac:dyDescent="0.2">
      <c r="A171" s="1274" t="s">
        <v>775</v>
      </c>
      <c r="B171" s="1237"/>
      <c r="C171" s="1282"/>
      <c r="D171" s="1282"/>
      <c r="E171" s="1282"/>
      <c r="F171" s="1282"/>
      <c r="G171" s="1282"/>
      <c r="H171" s="1282"/>
      <c r="I171" s="1282"/>
      <c r="J171" s="1282"/>
      <c r="K171" s="1282"/>
      <c r="L171" s="1282"/>
      <c r="M171" s="1282"/>
      <c r="N171" s="1282"/>
      <c r="O171" s="1282">
        <v>1500</v>
      </c>
      <c r="P171" s="1282"/>
      <c r="Q171" s="1282">
        <v>3853.3639999999996</v>
      </c>
      <c r="R171" s="1282"/>
      <c r="S171" s="1282"/>
      <c r="T171" s="1282">
        <v>1500</v>
      </c>
      <c r="U171" s="1282"/>
      <c r="V171" s="1282">
        <v>2994.6669999999999</v>
      </c>
      <c r="W171" s="1282">
        <v>1500</v>
      </c>
      <c r="X171" s="1282"/>
      <c r="Y171" s="1282"/>
      <c r="Z171" s="1282"/>
      <c r="AA171" s="1282">
        <v>8500</v>
      </c>
      <c r="AB171" s="1282"/>
      <c r="AC171" s="1282"/>
      <c r="AD171" s="1282"/>
      <c r="AE171" s="1282"/>
      <c r="AF171" s="1282">
        <v>2994.6669999999999</v>
      </c>
      <c r="AG171" s="1282">
        <v>9130.2880000000005</v>
      </c>
      <c r="AH171" s="1227"/>
    </row>
    <row r="172" spans="1:35" ht="13.5" thickBot="1" x14ac:dyDescent="0.25">
      <c r="A172" s="1294"/>
      <c r="B172" s="1237"/>
      <c r="C172" s="1302"/>
      <c r="D172" s="1302"/>
      <c r="E172" s="1302"/>
      <c r="F172" s="1303"/>
      <c r="G172" s="1303"/>
      <c r="H172" s="1303"/>
      <c r="I172" s="1303"/>
      <c r="J172" s="1303"/>
      <c r="K172" s="1303"/>
      <c r="L172" s="1303"/>
      <c r="M172" s="1303"/>
      <c r="N172" s="1303"/>
      <c r="O172" s="1303"/>
      <c r="P172" s="1304"/>
      <c r="Q172" s="1303"/>
      <c r="R172" s="1303"/>
      <c r="S172" s="1303"/>
      <c r="T172" s="1303"/>
      <c r="U172" s="1303"/>
      <c r="V172" s="1303"/>
      <c r="W172" s="1303"/>
      <c r="X172" s="1303"/>
      <c r="Y172" s="1303"/>
      <c r="Z172" s="1303"/>
      <c r="AA172" s="1303"/>
      <c r="AB172" s="1303"/>
      <c r="AC172" s="1303"/>
      <c r="AD172" s="1303"/>
      <c r="AE172" s="1303"/>
      <c r="AF172" s="1303"/>
      <c r="AG172" s="1303"/>
      <c r="AH172" s="1207"/>
    </row>
    <row r="173" spans="1:35" x14ac:dyDescent="0.2">
      <c r="A173" s="1269"/>
      <c r="B173" s="1237"/>
      <c r="C173" s="1296"/>
      <c r="D173" s="1297"/>
      <c r="E173" s="1297"/>
      <c r="F173" s="1298"/>
      <c r="G173" s="1298"/>
      <c r="H173" s="1298"/>
      <c r="I173" s="1298"/>
      <c r="J173" s="1298"/>
      <c r="K173" s="1298"/>
      <c r="L173" s="1298"/>
      <c r="M173" s="1298"/>
      <c r="N173" s="1298"/>
      <c r="O173" s="1298"/>
      <c r="P173" s="1299"/>
      <c r="Q173" s="1298"/>
      <c r="R173" s="1298"/>
      <c r="S173" s="1298"/>
      <c r="T173" s="1298"/>
      <c r="U173" s="1298"/>
      <c r="V173" s="1298"/>
      <c r="W173" s="1298"/>
      <c r="X173" s="1298"/>
      <c r="Y173" s="1298"/>
      <c r="Z173" s="1298"/>
      <c r="AA173" s="1298"/>
      <c r="AB173" s="1298"/>
      <c r="AC173" s="1298"/>
      <c r="AD173" s="1298"/>
      <c r="AE173" s="1298"/>
      <c r="AF173" s="1298"/>
      <c r="AG173" s="1298"/>
      <c r="AH173" s="1207"/>
    </row>
    <row r="174" spans="1:35" x14ac:dyDescent="0.2">
      <c r="A174" s="1274" t="s">
        <v>13</v>
      </c>
      <c r="B174" s="1237"/>
      <c r="C174" s="1300">
        <f t="shared" ref="C174:AG174" si="19">C169-C159</f>
        <v>0</v>
      </c>
      <c r="D174" s="1300">
        <f t="shared" si="19"/>
        <v>0</v>
      </c>
      <c r="E174" s="1300">
        <f t="shared" si="19"/>
        <v>0</v>
      </c>
      <c r="F174" s="1300">
        <f t="shared" si="19"/>
        <v>0</v>
      </c>
      <c r="G174" s="1300">
        <f t="shared" si="19"/>
        <v>0</v>
      </c>
      <c r="H174" s="1300">
        <f t="shared" si="19"/>
        <v>0</v>
      </c>
      <c r="I174" s="1300">
        <f t="shared" si="19"/>
        <v>0</v>
      </c>
      <c r="J174" s="1300">
        <f t="shared" si="19"/>
        <v>0</v>
      </c>
      <c r="K174" s="1300">
        <f t="shared" si="19"/>
        <v>0</v>
      </c>
      <c r="L174" s="1300">
        <f t="shared" si="19"/>
        <v>0</v>
      </c>
      <c r="M174" s="1300">
        <f t="shared" si="19"/>
        <v>0</v>
      </c>
      <c r="N174" s="1300">
        <f t="shared" si="19"/>
        <v>0</v>
      </c>
      <c r="O174" s="1300">
        <f t="shared" si="19"/>
        <v>0</v>
      </c>
      <c r="P174" s="1301">
        <f t="shared" si="19"/>
        <v>0</v>
      </c>
      <c r="Q174" s="1300">
        <f t="shared" si="19"/>
        <v>0</v>
      </c>
      <c r="R174" s="1300">
        <f t="shared" si="19"/>
        <v>0</v>
      </c>
      <c r="S174" s="1300">
        <f t="shared" si="19"/>
        <v>0</v>
      </c>
      <c r="T174" s="1300">
        <f t="shared" si="19"/>
        <v>0</v>
      </c>
      <c r="U174" s="1300">
        <f t="shared" si="19"/>
        <v>0</v>
      </c>
      <c r="V174" s="1300">
        <f t="shared" si="19"/>
        <v>0</v>
      </c>
      <c r="W174" s="1300">
        <f t="shared" si="19"/>
        <v>0</v>
      </c>
      <c r="X174" s="1300">
        <f t="shared" si="19"/>
        <v>0</v>
      </c>
      <c r="Y174" s="1300">
        <f t="shared" si="19"/>
        <v>0</v>
      </c>
      <c r="Z174" s="1300">
        <f t="shared" si="19"/>
        <v>0</v>
      </c>
      <c r="AA174" s="1300">
        <f t="shared" si="19"/>
        <v>0</v>
      </c>
      <c r="AB174" s="1300">
        <f t="shared" si="19"/>
        <v>0</v>
      </c>
      <c r="AC174" s="1300">
        <f t="shared" si="19"/>
        <v>0</v>
      </c>
      <c r="AD174" s="1300">
        <f t="shared" si="19"/>
        <v>0</v>
      </c>
      <c r="AE174" s="1300">
        <f t="shared" si="19"/>
        <v>0</v>
      </c>
      <c r="AF174" s="1300">
        <f t="shared" si="19"/>
        <v>0</v>
      </c>
      <c r="AG174" s="1300">
        <f t="shared" si="19"/>
        <v>0</v>
      </c>
      <c r="AH174" s="1207"/>
    </row>
    <row r="175" spans="1:35" ht="13.5" thickBot="1" x14ac:dyDescent="0.25">
      <c r="A175" s="1274"/>
      <c r="B175" s="1237"/>
      <c r="C175" s="1300"/>
      <c r="D175" s="1302"/>
      <c r="E175" s="1302"/>
      <c r="F175" s="1303"/>
      <c r="G175" s="1303"/>
      <c r="H175" s="1303"/>
      <c r="I175" s="1303"/>
      <c r="J175" s="1303"/>
      <c r="K175" s="1303"/>
      <c r="L175" s="1303"/>
      <c r="M175" s="1303"/>
      <c r="N175" s="1303"/>
      <c r="O175" s="1303"/>
      <c r="P175" s="1304"/>
      <c r="Q175" s="1303"/>
      <c r="R175" s="1303"/>
      <c r="S175" s="1303"/>
      <c r="T175" s="1303"/>
      <c r="U175" s="1303"/>
      <c r="V175" s="1303"/>
      <c r="W175" s="1303"/>
      <c r="X175" s="1303"/>
      <c r="Y175" s="1303"/>
      <c r="Z175" s="1303"/>
      <c r="AA175" s="1303"/>
      <c r="AB175" s="1303"/>
      <c r="AC175" s="1303"/>
      <c r="AD175" s="1303"/>
      <c r="AE175" s="1303"/>
      <c r="AF175" s="1303"/>
      <c r="AG175" s="1303"/>
      <c r="AH175" s="1207"/>
      <c r="AI175" s="1209" t="s">
        <v>813</v>
      </c>
    </row>
    <row r="176" spans="1:35" x14ac:dyDescent="0.2">
      <c r="A176" s="1233"/>
      <c r="B176" s="1234"/>
      <c r="C176" s="1305"/>
      <c r="D176" s="1297"/>
      <c r="E176" s="1297"/>
      <c r="F176" s="1298"/>
      <c r="G176" s="1298"/>
      <c r="H176" s="1298"/>
      <c r="I176" s="1298"/>
      <c r="J176" s="1298"/>
      <c r="K176" s="1298"/>
      <c r="L176" s="1298"/>
      <c r="M176" s="1298"/>
      <c r="N176" s="1298"/>
      <c r="O176" s="1298"/>
      <c r="P176" s="1299"/>
      <c r="Q176" s="1298"/>
      <c r="R176" s="1298"/>
      <c r="S176" s="1298"/>
      <c r="T176" s="1298"/>
      <c r="U176" s="1298"/>
      <c r="V176" s="1298"/>
      <c r="W176" s="1298"/>
      <c r="X176" s="1298"/>
      <c r="Y176" s="1298"/>
      <c r="Z176" s="1298"/>
      <c r="AA176" s="1298"/>
      <c r="AB176" s="1298"/>
      <c r="AC176" s="1298"/>
      <c r="AD176" s="1298"/>
      <c r="AE176" s="1298"/>
      <c r="AF176" s="1298"/>
      <c r="AG176" s="1298"/>
      <c r="AH176" s="1207"/>
    </row>
    <row r="177" spans="1:34" x14ac:dyDescent="0.2">
      <c r="A177" s="1236" t="s">
        <v>15</v>
      </c>
      <c r="B177" s="1237"/>
      <c r="C177" s="1302">
        <f>B156+C174</f>
        <v>-25551.156999999999</v>
      </c>
      <c r="D177" s="1302">
        <f t="shared" ref="D177:AG177" si="20">C184+D174</f>
        <v>-25551.156999999999</v>
      </c>
      <c r="E177" s="1302">
        <f t="shared" si="20"/>
        <v>-25551.156999999999</v>
      </c>
      <c r="F177" s="1302">
        <f t="shared" si="20"/>
        <v>-25551.156999999999</v>
      </c>
      <c r="G177" s="1302">
        <f t="shared" si="20"/>
        <v>-25551.156999999999</v>
      </c>
      <c r="H177" s="1302">
        <f t="shared" si="20"/>
        <v>-25551.156999999999</v>
      </c>
      <c r="I177" s="1302">
        <f t="shared" si="20"/>
        <v>-25551.156999999999</v>
      </c>
      <c r="J177" s="1302">
        <f t="shared" si="20"/>
        <v>-25551.156999999999</v>
      </c>
      <c r="K177" s="1302">
        <f t="shared" si="20"/>
        <v>-25551.156999999999</v>
      </c>
      <c r="L177" s="1302">
        <f t="shared" si="20"/>
        <v>-25551.156999999999</v>
      </c>
      <c r="M177" s="1302">
        <f t="shared" si="20"/>
        <v>-25551.156999999999</v>
      </c>
      <c r="N177" s="1302">
        <f t="shared" si="20"/>
        <v>-25551.156999999999</v>
      </c>
      <c r="O177" s="1302">
        <f t="shared" si="20"/>
        <v>-25551.156999999999</v>
      </c>
      <c r="P177" s="1306">
        <f t="shared" si="20"/>
        <v>-25551.156999999999</v>
      </c>
      <c r="Q177" s="1302">
        <f t="shared" si="20"/>
        <v>-25551.156999999999</v>
      </c>
      <c r="R177" s="1302">
        <f t="shared" si="20"/>
        <v>-25551.156999999999</v>
      </c>
      <c r="S177" s="1302">
        <f t="shared" si="20"/>
        <v>-25551.156999999999</v>
      </c>
      <c r="T177" s="1302">
        <f t="shared" si="20"/>
        <v>-25551.156999999999</v>
      </c>
      <c r="U177" s="1302">
        <f t="shared" si="20"/>
        <v>-25551.156999999999</v>
      </c>
      <c r="V177" s="1302">
        <f t="shared" si="20"/>
        <v>-25551.156999999999</v>
      </c>
      <c r="W177" s="1302">
        <f t="shared" si="20"/>
        <v>-25551.156999999999</v>
      </c>
      <c r="X177" s="1302">
        <f t="shared" si="20"/>
        <v>-25551.156999999999</v>
      </c>
      <c r="Y177" s="1302">
        <f t="shared" si="20"/>
        <v>-25551.156999999999</v>
      </c>
      <c r="Z177" s="1302">
        <f t="shared" si="20"/>
        <v>-25551.156999999999</v>
      </c>
      <c r="AA177" s="1302">
        <f t="shared" si="20"/>
        <v>-25551.156999999999</v>
      </c>
      <c r="AB177" s="1302">
        <f t="shared" si="20"/>
        <v>-25551.156999999999</v>
      </c>
      <c r="AC177" s="1302">
        <f t="shared" si="20"/>
        <v>-25551.156999999999</v>
      </c>
      <c r="AD177" s="1302">
        <f t="shared" si="20"/>
        <v>-25551.156999999999</v>
      </c>
      <c r="AE177" s="1302">
        <f t="shared" si="20"/>
        <v>-25551.156999999999</v>
      </c>
      <c r="AF177" s="1302">
        <f t="shared" si="20"/>
        <v>-25551.156999999999</v>
      </c>
      <c r="AG177" s="1302">
        <f t="shared" si="20"/>
        <v>-25551.156999999999</v>
      </c>
      <c r="AH177" s="1207"/>
    </row>
    <row r="178" spans="1:34" ht="13.5" thickBot="1" x14ac:dyDescent="0.25">
      <c r="A178" s="1250"/>
      <c r="B178" s="1307"/>
      <c r="C178" s="1308"/>
      <c r="D178" s="1308"/>
      <c r="E178" s="1308"/>
      <c r="F178" s="1309"/>
      <c r="G178" s="1309"/>
      <c r="H178" s="1309"/>
      <c r="I178" s="1309"/>
      <c r="J178" s="1309"/>
      <c r="K178" s="1309"/>
      <c r="L178" s="1309"/>
      <c r="M178" s="1309"/>
      <c r="N178" s="1309"/>
      <c r="O178" s="1309"/>
      <c r="P178" s="1310"/>
      <c r="Q178" s="1309"/>
      <c r="R178" s="1309"/>
      <c r="S178" s="1309"/>
      <c r="T178" s="1309"/>
      <c r="U178" s="1309"/>
      <c r="V178" s="1309"/>
      <c r="W178" s="1309"/>
      <c r="X178" s="1309"/>
      <c r="Y178" s="1309"/>
      <c r="Z178" s="1309"/>
      <c r="AA178" s="1309"/>
      <c r="AB178" s="1309"/>
      <c r="AC178" s="1309"/>
      <c r="AD178" s="1309"/>
      <c r="AE178" s="1309"/>
      <c r="AF178" s="1309"/>
      <c r="AG178" s="1309"/>
      <c r="AH178" s="1207"/>
    </row>
    <row r="179" spans="1:34" x14ac:dyDescent="0.2">
      <c r="A179" s="1233"/>
      <c r="B179" s="1234"/>
      <c r="C179" s="1297"/>
      <c r="D179" s="1297"/>
      <c r="E179" s="1297"/>
      <c r="F179" s="1298"/>
      <c r="G179" s="1298"/>
      <c r="H179" s="1298"/>
      <c r="I179" s="1298"/>
      <c r="J179" s="1298"/>
      <c r="K179" s="1298"/>
      <c r="L179" s="1298"/>
      <c r="M179" s="1298"/>
      <c r="N179" s="1298"/>
      <c r="O179" s="1298"/>
      <c r="P179" s="1299"/>
      <c r="Q179" s="1298"/>
      <c r="R179" s="1298"/>
      <c r="S179" s="1298"/>
      <c r="T179" s="1298"/>
      <c r="U179" s="1298"/>
      <c r="V179" s="1298"/>
      <c r="W179" s="1298"/>
      <c r="X179" s="1298"/>
      <c r="Y179" s="1298"/>
      <c r="Z179" s="1298"/>
      <c r="AA179" s="1298"/>
      <c r="AB179" s="1298"/>
      <c r="AC179" s="1298"/>
      <c r="AD179" s="1298"/>
      <c r="AE179" s="1298"/>
      <c r="AF179" s="1298"/>
      <c r="AG179" s="1298"/>
      <c r="AH179" s="1207"/>
    </row>
    <row r="180" spans="1:34" x14ac:dyDescent="0.2">
      <c r="A180" s="1236" t="s">
        <v>82</v>
      </c>
      <c r="B180" s="1237"/>
      <c r="C180" s="1302">
        <f t="shared" ref="C180:AG181" si="21">C188</f>
        <v>0</v>
      </c>
      <c r="D180" s="1302">
        <f t="shared" si="21"/>
        <v>0</v>
      </c>
      <c r="E180" s="1302">
        <f t="shared" si="21"/>
        <v>0</v>
      </c>
      <c r="F180" s="1302">
        <f t="shared" si="21"/>
        <v>0</v>
      </c>
      <c r="G180" s="1302">
        <f t="shared" si="21"/>
        <v>0</v>
      </c>
      <c r="H180" s="1302">
        <f t="shared" si="21"/>
        <v>0</v>
      </c>
      <c r="I180" s="1302">
        <f t="shared" si="21"/>
        <v>0</v>
      </c>
      <c r="J180" s="1302">
        <f t="shared" si="21"/>
        <v>0</v>
      </c>
      <c r="K180" s="1302">
        <f t="shared" si="21"/>
        <v>0</v>
      </c>
      <c r="L180" s="1302">
        <f t="shared" si="21"/>
        <v>0</v>
      </c>
      <c r="M180" s="1302">
        <f t="shared" si="21"/>
        <v>0</v>
      </c>
      <c r="N180" s="1302">
        <f t="shared" si="21"/>
        <v>0</v>
      </c>
      <c r="O180" s="1302">
        <f t="shared" si="21"/>
        <v>0</v>
      </c>
      <c r="P180" s="1306">
        <f t="shared" si="21"/>
        <v>0</v>
      </c>
      <c r="Q180" s="1302">
        <f t="shared" si="21"/>
        <v>0</v>
      </c>
      <c r="R180" s="1302">
        <f t="shared" si="21"/>
        <v>0</v>
      </c>
      <c r="S180" s="1302">
        <f t="shared" si="21"/>
        <v>0</v>
      </c>
      <c r="T180" s="1302">
        <f t="shared" si="21"/>
        <v>0</v>
      </c>
      <c r="U180" s="1302">
        <f t="shared" si="21"/>
        <v>0</v>
      </c>
      <c r="V180" s="1302">
        <f t="shared" si="21"/>
        <v>0</v>
      </c>
      <c r="W180" s="1302">
        <f t="shared" si="21"/>
        <v>0</v>
      </c>
      <c r="X180" s="1302">
        <f t="shared" si="21"/>
        <v>0</v>
      </c>
      <c r="Y180" s="1302">
        <f t="shared" si="21"/>
        <v>0</v>
      </c>
      <c r="Z180" s="1302">
        <f t="shared" si="21"/>
        <v>0</v>
      </c>
      <c r="AA180" s="1302">
        <f t="shared" si="21"/>
        <v>0</v>
      </c>
      <c r="AB180" s="1302">
        <f t="shared" si="21"/>
        <v>0</v>
      </c>
      <c r="AC180" s="1302">
        <f t="shared" si="21"/>
        <v>0</v>
      </c>
      <c r="AD180" s="1302">
        <f t="shared" si="21"/>
        <v>0</v>
      </c>
      <c r="AE180" s="1302">
        <f t="shared" si="21"/>
        <v>0</v>
      </c>
      <c r="AF180" s="1302">
        <f t="shared" si="21"/>
        <v>0</v>
      </c>
      <c r="AG180" s="1302">
        <f t="shared" si="21"/>
        <v>0</v>
      </c>
      <c r="AH180" s="1207"/>
    </row>
    <row r="181" spans="1:34" x14ac:dyDescent="0.2">
      <c r="A181" s="1236" t="s">
        <v>83</v>
      </c>
      <c r="B181" s="1237"/>
      <c r="C181" s="1306">
        <f t="shared" si="21"/>
        <v>0</v>
      </c>
      <c r="D181" s="1306">
        <f t="shared" si="21"/>
        <v>0</v>
      </c>
      <c r="E181" s="1306">
        <f t="shared" si="21"/>
        <v>0</v>
      </c>
      <c r="F181" s="1306">
        <f t="shared" si="21"/>
        <v>0</v>
      </c>
      <c r="G181" s="1306">
        <f t="shared" si="21"/>
        <v>0</v>
      </c>
      <c r="H181" s="1306">
        <f t="shared" si="21"/>
        <v>0</v>
      </c>
      <c r="I181" s="1306">
        <f t="shared" si="21"/>
        <v>0</v>
      </c>
      <c r="J181" s="1306">
        <f t="shared" si="21"/>
        <v>0</v>
      </c>
      <c r="K181" s="1306">
        <f t="shared" si="21"/>
        <v>0</v>
      </c>
      <c r="L181" s="1306">
        <f t="shared" si="21"/>
        <v>0</v>
      </c>
      <c r="M181" s="1306">
        <f t="shared" si="21"/>
        <v>0</v>
      </c>
      <c r="N181" s="1306">
        <f t="shared" si="21"/>
        <v>0</v>
      </c>
      <c r="O181" s="1306">
        <f t="shared" si="21"/>
        <v>0</v>
      </c>
      <c r="P181" s="1306">
        <f t="shared" si="21"/>
        <v>0</v>
      </c>
      <c r="Q181" s="1306">
        <f t="shared" si="21"/>
        <v>0</v>
      </c>
      <c r="R181" s="1306">
        <f t="shared" si="21"/>
        <v>0</v>
      </c>
      <c r="S181" s="1306">
        <f t="shared" si="21"/>
        <v>0</v>
      </c>
      <c r="T181" s="1306">
        <f t="shared" si="21"/>
        <v>0</v>
      </c>
      <c r="U181" s="1306">
        <f t="shared" si="21"/>
        <v>0</v>
      </c>
      <c r="V181" s="1306">
        <f t="shared" si="21"/>
        <v>0</v>
      </c>
      <c r="W181" s="1306">
        <f t="shared" si="21"/>
        <v>0</v>
      </c>
      <c r="X181" s="1306">
        <f t="shared" si="21"/>
        <v>0</v>
      </c>
      <c r="Y181" s="1306">
        <f t="shared" si="21"/>
        <v>0</v>
      </c>
      <c r="Z181" s="1306">
        <f t="shared" si="21"/>
        <v>0</v>
      </c>
      <c r="AA181" s="1306">
        <f t="shared" si="21"/>
        <v>0</v>
      </c>
      <c r="AB181" s="1306">
        <f t="shared" si="21"/>
        <v>0</v>
      </c>
      <c r="AC181" s="1306">
        <f t="shared" si="21"/>
        <v>0</v>
      </c>
      <c r="AD181" s="1306">
        <f t="shared" si="21"/>
        <v>0</v>
      </c>
      <c r="AE181" s="1306">
        <f t="shared" si="21"/>
        <v>0</v>
      </c>
      <c r="AF181" s="1306">
        <f t="shared" si="21"/>
        <v>0</v>
      </c>
      <c r="AG181" s="1306">
        <f t="shared" si="21"/>
        <v>0</v>
      </c>
      <c r="AH181" s="1207"/>
    </row>
    <row r="182" spans="1:34" ht="13.5" thickBot="1" x14ac:dyDescent="0.25">
      <c r="A182" s="1250"/>
      <c r="B182" s="1307"/>
      <c r="C182" s="1308"/>
      <c r="D182" s="1308"/>
      <c r="E182" s="1308"/>
      <c r="F182" s="1309"/>
      <c r="G182" s="1309"/>
      <c r="H182" s="1309"/>
      <c r="I182" s="1309"/>
      <c r="J182" s="1309"/>
      <c r="K182" s="1309"/>
      <c r="L182" s="1309"/>
      <c r="M182" s="1309"/>
      <c r="N182" s="1309"/>
      <c r="O182" s="1309"/>
      <c r="P182" s="1310"/>
      <c r="Q182" s="1309"/>
      <c r="R182" s="1309"/>
      <c r="S182" s="1309"/>
      <c r="T182" s="1309"/>
      <c r="U182" s="1309"/>
      <c r="V182" s="1309"/>
      <c r="W182" s="1309"/>
      <c r="X182" s="1309"/>
      <c r="Y182" s="1309"/>
      <c r="Z182" s="1309"/>
      <c r="AA182" s="1309"/>
      <c r="AB182" s="1309"/>
      <c r="AC182" s="1309"/>
      <c r="AD182" s="1309"/>
      <c r="AE182" s="1309"/>
      <c r="AF182" s="1309"/>
      <c r="AG182" s="1309"/>
      <c r="AH182" s="1207"/>
    </row>
    <row r="183" spans="1:34" x14ac:dyDescent="0.2">
      <c r="A183" s="1236"/>
      <c r="B183" s="1237"/>
      <c r="C183" s="1302"/>
      <c r="D183" s="1302"/>
      <c r="E183" s="1302"/>
      <c r="F183" s="1303"/>
      <c r="G183" s="1303"/>
      <c r="H183" s="1303"/>
      <c r="I183" s="1303"/>
      <c r="J183" s="1303"/>
      <c r="K183" s="1303"/>
      <c r="L183" s="1303"/>
      <c r="M183" s="1303"/>
      <c r="N183" s="1303"/>
      <c r="O183" s="1303"/>
      <c r="P183" s="1304"/>
      <c r="Q183" s="1303"/>
      <c r="R183" s="1303"/>
      <c r="S183" s="1303"/>
      <c r="T183" s="1303"/>
      <c r="U183" s="1303"/>
      <c r="V183" s="1303"/>
      <c r="W183" s="1303"/>
      <c r="X183" s="1303"/>
      <c r="Y183" s="1303"/>
      <c r="Z183" s="1303"/>
      <c r="AA183" s="1303"/>
      <c r="AB183" s="1303"/>
      <c r="AC183" s="1303"/>
      <c r="AD183" s="1303"/>
      <c r="AE183" s="1303"/>
      <c r="AF183" s="1303"/>
      <c r="AG183" s="1303"/>
      <c r="AH183" s="1208"/>
    </row>
    <row r="184" spans="1:34" x14ac:dyDescent="0.2">
      <c r="A184" s="1236" t="s">
        <v>14</v>
      </c>
      <c r="B184" s="1237"/>
      <c r="C184" s="1302">
        <f t="shared" ref="C184:AG184" si="22">C177+C180+C181</f>
        <v>-25551.156999999999</v>
      </c>
      <c r="D184" s="1302">
        <f t="shared" si="22"/>
        <v>-25551.156999999999</v>
      </c>
      <c r="E184" s="1302">
        <f t="shared" si="22"/>
        <v>-25551.156999999999</v>
      </c>
      <c r="F184" s="1302">
        <f t="shared" si="22"/>
        <v>-25551.156999999999</v>
      </c>
      <c r="G184" s="1302">
        <f t="shared" si="22"/>
        <v>-25551.156999999999</v>
      </c>
      <c r="H184" s="1302">
        <f t="shared" si="22"/>
        <v>-25551.156999999999</v>
      </c>
      <c r="I184" s="1302">
        <f t="shared" si="22"/>
        <v>-25551.156999999999</v>
      </c>
      <c r="J184" s="1302">
        <f t="shared" si="22"/>
        <v>-25551.156999999999</v>
      </c>
      <c r="K184" s="1302">
        <f t="shared" si="22"/>
        <v>-25551.156999999999</v>
      </c>
      <c r="L184" s="1302">
        <f t="shared" si="22"/>
        <v>-25551.156999999999</v>
      </c>
      <c r="M184" s="1302">
        <f t="shared" si="22"/>
        <v>-25551.156999999999</v>
      </c>
      <c r="N184" s="1302">
        <f t="shared" si="22"/>
        <v>-25551.156999999999</v>
      </c>
      <c r="O184" s="1302">
        <f t="shared" si="22"/>
        <v>-25551.156999999999</v>
      </c>
      <c r="P184" s="1306">
        <f t="shared" si="22"/>
        <v>-25551.156999999999</v>
      </c>
      <c r="Q184" s="1302">
        <f t="shared" si="22"/>
        <v>-25551.156999999999</v>
      </c>
      <c r="R184" s="1302">
        <f t="shared" si="22"/>
        <v>-25551.156999999999</v>
      </c>
      <c r="S184" s="1302">
        <f t="shared" si="22"/>
        <v>-25551.156999999999</v>
      </c>
      <c r="T184" s="1302">
        <f t="shared" si="22"/>
        <v>-25551.156999999999</v>
      </c>
      <c r="U184" s="1302">
        <f t="shared" si="22"/>
        <v>-25551.156999999999</v>
      </c>
      <c r="V184" s="1302">
        <f t="shared" si="22"/>
        <v>-25551.156999999999</v>
      </c>
      <c r="W184" s="1302">
        <f t="shared" si="22"/>
        <v>-25551.156999999999</v>
      </c>
      <c r="X184" s="1302">
        <f t="shared" si="22"/>
        <v>-25551.156999999999</v>
      </c>
      <c r="Y184" s="1302">
        <f t="shared" si="22"/>
        <v>-25551.156999999999</v>
      </c>
      <c r="Z184" s="1302">
        <f t="shared" si="22"/>
        <v>-25551.156999999999</v>
      </c>
      <c r="AA184" s="1302">
        <f t="shared" si="22"/>
        <v>-25551.156999999999</v>
      </c>
      <c r="AB184" s="1302">
        <f t="shared" si="22"/>
        <v>-25551.156999999999</v>
      </c>
      <c r="AC184" s="1302">
        <f t="shared" si="22"/>
        <v>-25551.156999999999</v>
      </c>
      <c r="AD184" s="1302">
        <f t="shared" si="22"/>
        <v>-25551.156999999999</v>
      </c>
      <c r="AE184" s="1302">
        <f t="shared" si="22"/>
        <v>-25551.156999999999</v>
      </c>
      <c r="AF184" s="1302">
        <f t="shared" si="22"/>
        <v>-25551.156999999999</v>
      </c>
      <c r="AG184" s="1302">
        <f t="shared" si="22"/>
        <v>-25551.156999999999</v>
      </c>
      <c r="AH184" s="1229"/>
    </row>
    <row r="185" spans="1:34" x14ac:dyDescent="0.2">
      <c r="A185" s="1236"/>
      <c r="B185" s="1237"/>
      <c r="C185" s="1302"/>
      <c r="D185" s="1302"/>
      <c r="E185" s="1302"/>
      <c r="F185" s="1303"/>
      <c r="G185" s="1303"/>
      <c r="H185" s="1303"/>
      <c r="I185" s="1303"/>
      <c r="J185" s="1303"/>
      <c r="K185" s="1303"/>
      <c r="L185" s="1303"/>
      <c r="M185" s="1303"/>
      <c r="N185" s="1303"/>
      <c r="O185" s="1303"/>
      <c r="P185" s="1304"/>
      <c r="Q185" s="1303"/>
      <c r="R185" s="1303"/>
      <c r="S185" s="1303"/>
      <c r="T185" s="1303"/>
      <c r="U185" s="1303"/>
      <c r="V185" s="1303"/>
      <c r="W185" s="1303"/>
      <c r="X185" s="1303"/>
      <c r="Y185" s="1303"/>
      <c r="Z185" s="1303"/>
      <c r="AA185" s="1303"/>
      <c r="AB185" s="1303"/>
      <c r="AC185" s="1303"/>
      <c r="AD185" s="1303"/>
      <c r="AE185" s="1303"/>
      <c r="AF185" s="1303"/>
      <c r="AG185" s="1303"/>
      <c r="AH185" s="1208"/>
    </row>
    <row r="186" spans="1:34" ht="13.5" thickBot="1" x14ac:dyDescent="0.25">
      <c r="A186" s="1250"/>
      <c r="B186" s="1307"/>
      <c r="C186" s="1312"/>
      <c r="D186" s="1312"/>
      <c r="E186" s="1312"/>
      <c r="F186" s="1313"/>
      <c r="G186" s="1313"/>
      <c r="H186" s="1313"/>
      <c r="I186" s="1313"/>
      <c r="J186" s="1313"/>
      <c r="K186" s="1313"/>
      <c r="L186" s="1313"/>
      <c r="M186" s="1313"/>
      <c r="N186" s="1313"/>
      <c r="O186" s="1313"/>
      <c r="P186" s="1314"/>
      <c r="Q186" s="1313"/>
      <c r="R186" s="1313"/>
      <c r="S186" s="1313"/>
      <c r="T186" s="1313"/>
      <c r="U186" s="1313"/>
      <c r="V186" s="1313"/>
      <c r="W186" s="1313"/>
      <c r="X186" s="1313"/>
      <c r="Y186" s="1313"/>
      <c r="Z186" s="1313"/>
      <c r="AA186" s="1313"/>
      <c r="AB186" s="1313"/>
      <c r="AC186" s="1313"/>
      <c r="AD186" s="1313"/>
      <c r="AE186" s="1313"/>
      <c r="AF186" s="1313"/>
      <c r="AG186" s="1313"/>
      <c r="AH186" s="1208"/>
    </row>
    <row r="187" spans="1:34" x14ac:dyDescent="0.2">
      <c r="A187" s="1316"/>
      <c r="B187" s="1207"/>
      <c r="C187" s="1227"/>
      <c r="D187" s="1227"/>
      <c r="E187" s="1227"/>
      <c r="F187" s="1227"/>
      <c r="G187" s="1227"/>
      <c r="H187" s="1227"/>
      <c r="I187" s="1227"/>
      <c r="J187" s="1227"/>
      <c r="K187" s="1227"/>
      <c r="L187" s="1227"/>
      <c r="M187" s="1227"/>
      <c r="N187" s="1227"/>
      <c r="O187" s="1227"/>
      <c r="P187" s="1229"/>
      <c r="Q187" s="1227"/>
      <c r="R187" s="1227"/>
      <c r="S187" s="1227"/>
      <c r="T187" s="1227"/>
      <c r="U187" s="1227"/>
      <c r="V187" s="1227"/>
      <c r="W187" s="1227"/>
      <c r="X187" s="1227"/>
      <c r="Y187" s="1227"/>
      <c r="Z187" s="1227"/>
      <c r="AA187" s="1227"/>
      <c r="AB187" s="1227"/>
      <c r="AC187" s="1227"/>
      <c r="AD187" s="1227"/>
      <c r="AE187" s="1227"/>
      <c r="AF187" s="1227"/>
      <c r="AG187" s="1227"/>
      <c r="AH187" s="1208"/>
    </row>
    <row r="188" spans="1:34" x14ac:dyDescent="0.2">
      <c r="A188" s="1344"/>
      <c r="B188" s="1383"/>
      <c r="C188" s="1219"/>
      <c r="D188" s="1219"/>
      <c r="E188" s="1219"/>
      <c r="F188" s="1219"/>
      <c r="G188" s="1219"/>
      <c r="H188" s="1219"/>
      <c r="I188" s="1219"/>
      <c r="J188" s="1219"/>
      <c r="K188" s="1219"/>
      <c r="L188" s="1219"/>
      <c r="M188" s="1219"/>
      <c r="N188" s="1219"/>
      <c r="O188" s="1221"/>
      <c r="P188" s="1221"/>
      <c r="Q188" s="1219"/>
      <c r="R188" s="1219"/>
      <c r="S188" s="1219"/>
      <c r="T188" s="1219"/>
      <c r="U188" s="1219"/>
      <c r="V188" s="1219"/>
      <c r="W188" s="1219"/>
      <c r="X188" s="1219"/>
      <c r="Y188" s="1219"/>
      <c r="Z188" s="1219"/>
      <c r="AA188" s="1384"/>
      <c r="AB188" s="1219"/>
      <c r="AC188" s="1219"/>
      <c r="AD188" s="1219"/>
      <c r="AE188" s="1219"/>
      <c r="AF188" s="1219"/>
      <c r="AG188" s="1219"/>
      <c r="AH188" s="1229"/>
    </row>
    <row r="189" spans="1:34" x14ac:dyDescent="0.2">
      <c r="A189" s="1316"/>
      <c r="B189" s="1207"/>
      <c r="C189" s="1219"/>
      <c r="D189" s="1219"/>
      <c r="E189" s="1219"/>
      <c r="F189" s="1219"/>
      <c r="G189" s="1219"/>
      <c r="H189" s="1219"/>
      <c r="I189" s="1219"/>
      <c r="J189" s="1219"/>
      <c r="K189" s="1219"/>
      <c r="L189" s="1219"/>
      <c r="M189" s="1219"/>
      <c r="N189" s="1219"/>
      <c r="O189" s="1219"/>
      <c r="P189" s="1221"/>
      <c r="Q189" s="1219"/>
      <c r="R189" s="1219"/>
      <c r="S189" s="1219"/>
      <c r="T189" s="1219"/>
      <c r="U189" s="1219"/>
      <c r="V189" s="1219"/>
      <c r="W189" s="1219"/>
      <c r="X189" s="1219"/>
      <c r="Y189" s="1219"/>
      <c r="Z189" s="1219"/>
      <c r="AA189" s="1219"/>
      <c r="AB189" s="1219"/>
      <c r="AC189" s="1219"/>
      <c r="AD189" s="1219"/>
      <c r="AE189" s="1219"/>
      <c r="AF189" s="1219"/>
      <c r="AG189" s="1219"/>
      <c r="AH189" s="1229"/>
    </row>
    <row r="190" spans="1:34" x14ac:dyDescent="0.2">
      <c r="A190" s="1210" t="s">
        <v>415</v>
      </c>
      <c r="B190" s="1215">
        <f>SUM(B191:B194)</f>
        <v>375000</v>
      </c>
      <c r="C190" s="1207"/>
      <c r="D190" s="1207"/>
      <c r="E190" s="1207"/>
      <c r="F190" s="1207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8"/>
      <c r="Q190" s="1207"/>
      <c r="R190" s="1207"/>
      <c r="S190" s="1207"/>
      <c r="T190" s="1385"/>
      <c r="U190" s="1345"/>
      <c r="V190" s="1207"/>
      <c r="W190" s="1207"/>
      <c r="X190" s="1207"/>
      <c r="Y190" s="1207"/>
      <c r="Z190" s="1207"/>
      <c r="AA190" s="1384"/>
      <c r="AB190" s="1207"/>
      <c r="AC190" s="1207"/>
      <c r="AD190" s="1207"/>
      <c r="AE190" s="1207"/>
      <c r="AF190" s="1207"/>
      <c r="AG190" s="1207"/>
      <c r="AH190" s="1207"/>
    </row>
    <row r="191" spans="1:34" x14ac:dyDescent="0.2">
      <c r="A191" s="1365" t="s">
        <v>414</v>
      </c>
      <c r="B191" s="1219">
        <v>25000</v>
      </c>
      <c r="C191" s="1207"/>
      <c r="D191" s="1229"/>
      <c r="E191" s="1207"/>
      <c r="F191" s="1207"/>
      <c r="G191" s="1207"/>
      <c r="H191" s="1207"/>
      <c r="I191" s="1207"/>
      <c r="J191" s="1207"/>
      <c r="K191" s="1207"/>
      <c r="L191" s="1207"/>
      <c r="M191" s="1207"/>
      <c r="N191" s="1207"/>
      <c r="O191" s="1207"/>
      <c r="P191" s="1208"/>
      <c r="Q191" s="1207"/>
      <c r="R191" s="1207"/>
      <c r="S191" s="1219"/>
      <c r="T191" s="1350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</row>
    <row r="192" spans="1:34" x14ac:dyDescent="0.2">
      <c r="A192" s="1365" t="s">
        <v>287</v>
      </c>
      <c r="B192" s="1219">
        <v>200000</v>
      </c>
      <c r="C192" s="1207"/>
      <c r="D192" s="1207"/>
      <c r="E192" s="1207"/>
      <c r="F192" s="1207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8"/>
      <c r="Q192" s="1207"/>
      <c r="R192" s="1207"/>
      <c r="S192" s="1219"/>
      <c r="T192" s="1350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</row>
    <row r="193" spans="1:34" x14ac:dyDescent="0.2">
      <c r="A193" s="1316" t="s">
        <v>413</v>
      </c>
      <c r="B193" s="1386">
        <v>75000</v>
      </c>
      <c r="C193" s="1207"/>
      <c r="D193" s="1207"/>
      <c r="E193" s="1207"/>
      <c r="F193" s="1207"/>
      <c r="G193" s="1207"/>
      <c r="H193" s="1207"/>
      <c r="I193" s="1207"/>
      <c r="J193" s="1207"/>
      <c r="K193" s="1207"/>
      <c r="L193" s="1227"/>
      <c r="M193" s="1207"/>
      <c r="N193" s="1207"/>
      <c r="O193" s="1207"/>
      <c r="P193" s="1208"/>
      <c r="Q193" s="1207"/>
      <c r="R193" s="1207"/>
      <c r="S193" s="1219"/>
      <c r="T193" s="1350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</row>
    <row r="194" spans="1:34" x14ac:dyDescent="0.2">
      <c r="A194" s="1316" t="s">
        <v>441</v>
      </c>
      <c r="B194" s="1219">
        <v>75000</v>
      </c>
      <c r="C194" s="1207"/>
      <c r="D194" s="1207"/>
      <c r="E194" s="1207"/>
      <c r="F194" s="1207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8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</row>
    <row r="195" spans="1:34" x14ac:dyDescent="0.2">
      <c r="A195" s="1207"/>
      <c r="B195" s="1207"/>
      <c r="C195" s="1207"/>
      <c r="D195" s="1207"/>
      <c r="E195" s="1207"/>
      <c r="F195" s="1207"/>
      <c r="G195" s="1207"/>
      <c r="H195" s="1207"/>
      <c r="I195" s="1207"/>
      <c r="J195" s="1207"/>
      <c r="K195" s="1207"/>
      <c r="L195" s="1207"/>
      <c r="M195" s="1207"/>
      <c r="N195" s="1207"/>
      <c r="O195" s="1207"/>
      <c r="P195" s="1208"/>
      <c r="Q195" s="1207"/>
      <c r="R195" s="1207"/>
      <c r="S195" s="1207"/>
      <c r="T195" s="1207"/>
      <c r="U195" s="1207"/>
      <c r="V195" s="1207"/>
      <c r="W195" s="1207"/>
      <c r="X195" s="1207"/>
      <c r="Y195" s="1207"/>
      <c r="Z195" s="1207"/>
      <c r="AA195" s="1207"/>
      <c r="AB195" s="1207"/>
      <c r="AC195" s="1207"/>
      <c r="AD195" s="1207"/>
      <c r="AE195" s="1207"/>
      <c r="AF195" s="1207"/>
      <c r="AG195" s="1207"/>
      <c r="AH195" s="1207"/>
    </row>
    <row r="196" spans="1:34" ht="13.5" thickBot="1" x14ac:dyDescent="0.25">
      <c r="A196" s="1207"/>
      <c r="B196" s="1207"/>
      <c r="C196" s="1207"/>
      <c r="D196" s="1207"/>
      <c r="E196" s="1207"/>
      <c r="F196" s="1207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8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07"/>
      <c r="AA196" s="1207"/>
      <c r="AB196" s="1207"/>
      <c r="AC196" s="1207"/>
      <c r="AD196" s="1207"/>
      <c r="AE196" s="1207"/>
      <c r="AF196" s="1207"/>
      <c r="AG196" s="1207"/>
      <c r="AH196" s="1207"/>
    </row>
    <row r="197" spans="1:34" x14ac:dyDescent="0.2">
      <c r="A197" s="1233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34"/>
      <c r="O197" s="1234"/>
      <c r="P197" s="1235"/>
      <c r="Q197" s="1234"/>
      <c r="R197" s="1234"/>
      <c r="S197" s="1234"/>
      <c r="T197" s="1234"/>
      <c r="U197" s="1234"/>
      <c r="V197" s="1234"/>
      <c r="W197" s="1234"/>
      <c r="X197" s="1234"/>
      <c r="Y197" s="1234"/>
      <c r="Z197" s="1234"/>
      <c r="AA197" s="1234"/>
      <c r="AB197" s="1234"/>
      <c r="AC197" s="1234"/>
      <c r="AD197" s="1234"/>
      <c r="AE197" s="1234"/>
      <c r="AF197" s="1234"/>
      <c r="AG197" s="1234"/>
      <c r="AH197" s="1207"/>
    </row>
    <row r="198" spans="1:34" x14ac:dyDescent="0.2">
      <c r="A198" s="1236"/>
      <c r="B198" s="1237" t="s">
        <v>37</v>
      </c>
      <c r="C198" s="1237"/>
      <c r="D198" s="1237"/>
      <c r="E198" s="1238" t="s">
        <v>824</v>
      </c>
      <c r="F198" s="1239" t="s">
        <v>96</v>
      </c>
      <c r="G198" s="1563"/>
      <c r="H198" s="1239"/>
      <c r="I198" s="1239"/>
      <c r="J198" s="1239"/>
      <c r="K198" s="1239"/>
      <c r="L198" s="1239"/>
      <c r="M198" s="1239"/>
      <c r="N198" s="1239"/>
      <c r="O198" s="1239"/>
      <c r="P198" s="1240"/>
      <c r="Q198" s="1239"/>
      <c r="R198" s="1239"/>
      <c r="S198" s="1239"/>
      <c r="T198" s="1239"/>
      <c r="U198" s="1239"/>
      <c r="V198" s="1239"/>
      <c r="W198" s="1239"/>
      <c r="X198" s="1239"/>
      <c r="Y198" s="1239"/>
      <c r="Z198" s="1239"/>
      <c r="AA198" s="1239"/>
      <c r="AB198" s="1239"/>
      <c r="AC198" s="1239"/>
      <c r="AD198" s="1239"/>
      <c r="AE198" s="1239"/>
      <c r="AF198" s="1239"/>
      <c r="AG198" s="1239"/>
      <c r="AH198" s="1207"/>
    </row>
    <row r="199" spans="1:34" x14ac:dyDescent="0.2">
      <c r="A199" s="1236"/>
      <c r="B199" s="1237"/>
      <c r="C199" s="1237"/>
      <c r="D199" s="1239"/>
      <c r="E199" s="1237"/>
      <c r="F199" s="1237"/>
      <c r="G199" s="1237"/>
      <c r="H199" s="1237"/>
      <c r="I199" s="1237"/>
      <c r="J199" s="1237"/>
      <c r="K199" s="1237"/>
      <c r="L199" s="1237"/>
      <c r="M199" s="1237"/>
      <c r="N199" s="1237"/>
      <c r="O199" s="1237"/>
      <c r="P199" s="1241"/>
      <c r="Q199" s="1237"/>
      <c r="R199" s="1237"/>
      <c r="S199" s="1237"/>
      <c r="T199" s="1237"/>
      <c r="U199" s="1237"/>
      <c r="V199" s="1237"/>
      <c r="W199" s="1237"/>
      <c r="X199" s="1237"/>
      <c r="Y199" s="1237"/>
      <c r="Z199" s="1237"/>
      <c r="AA199" s="1237"/>
      <c r="AB199" s="1237"/>
      <c r="AC199" s="1237"/>
      <c r="AD199" s="1237"/>
      <c r="AE199" s="1237"/>
      <c r="AF199" s="1237"/>
      <c r="AG199" s="1237"/>
      <c r="AH199" s="1207"/>
    </row>
    <row r="200" spans="1:34" x14ac:dyDescent="0.2">
      <c r="A200" s="1236"/>
      <c r="B200" s="1237"/>
      <c r="C200" s="1239"/>
      <c r="D200" s="1239">
        <v>42587</v>
      </c>
      <c r="E200" s="1237"/>
      <c r="F200" s="1237"/>
      <c r="G200" s="1237"/>
      <c r="H200" s="1237"/>
      <c r="I200" s="1237"/>
      <c r="J200" s="1237"/>
      <c r="K200" s="1237"/>
      <c r="L200" s="1237"/>
      <c r="M200" s="1237"/>
      <c r="N200" s="1237"/>
      <c r="O200" s="1237"/>
      <c r="P200" s="1241"/>
      <c r="Q200" s="1237"/>
      <c r="R200" s="1237"/>
      <c r="S200" s="1237"/>
      <c r="T200" s="1237"/>
      <c r="U200" s="1237"/>
      <c r="V200" s="1237"/>
      <c r="W200" s="1237"/>
      <c r="X200" s="1237"/>
      <c r="Y200" s="1237"/>
      <c r="Z200" s="1237"/>
      <c r="AA200" s="1237"/>
      <c r="AB200" s="1237"/>
      <c r="AC200" s="1237"/>
      <c r="AD200" s="1237"/>
      <c r="AE200" s="1237"/>
      <c r="AF200" s="1237"/>
      <c r="AG200" s="1237"/>
      <c r="AH200" s="1207"/>
    </row>
    <row r="201" spans="1:34" x14ac:dyDescent="0.2">
      <c r="A201" s="1236"/>
      <c r="B201" s="1237"/>
      <c r="C201" s="1239"/>
      <c r="D201" s="1239"/>
      <c r="E201" s="1237"/>
      <c r="F201" s="1237"/>
      <c r="G201" s="1237"/>
      <c r="H201" s="1237"/>
      <c r="I201" s="1237"/>
      <c r="J201" s="1237"/>
      <c r="K201" s="1237"/>
      <c r="L201" s="1237"/>
      <c r="M201" s="1237"/>
      <c r="N201" s="1237"/>
      <c r="O201" s="1237"/>
      <c r="P201" s="1241"/>
      <c r="Q201" s="1237"/>
      <c r="R201" s="1237"/>
      <c r="S201" s="1237"/>
      <c r="T201" s="1237"/>
      <c r="U201" s="1237"/>
      <c r="V201" s="1237"/>
      <c r="W201" s="1237"/>
      <c r="X201" s="1237"/>
      <c r="Y201" s="1237"/>
      <c r="Z201" s="1237"/>
      <c r="AA201" s="1237"/>
      <c r="AB201" s="1237"/>
      <c r="AC201" s="1237"/>
      <c r="AD201" s="1237"/>
      <c r="AE201" s="1237"/>
      <c r="AF201" s="1237"/>
      <c r="AG201" s="1237"/>
      <c r="AH201" s="1207"/>
    </row>
    <row r="202" spans="1:34" ht="13.5" thickBot="1" x14ac:dyDescent="0.25">
      <c r="A202" s="1236"/>
      <c r="B202" s="1237"/>
      <c r="C202" s="1237"/>
      <c r="D202" s="1237"/>
      <c r="E202" s="1237"/>
      <c r="F202" s="1237"/>
      <c r="G202" s="1237"/>
      <c r="H202" s="1237"/>
      <c r="I202" s="1237"/>
      <c r="J202" s="1237"/>
      <c r="K202" s="1237"/>
      <c r="L202" s="1237"/>
      <c r="M202" s="1237"/>
      <c r="N202" s="1237"/>
      <c r="O202" s="1237"/>
      <c r="P202" s="1241"/>
      <c r="Q202" s="1237"/>
      <c r="R202" s="1237"/>
      <c r="S202" s="1237"/>
      <c r="T202" s="1237"/>
      <c r="U202" s="1237"/>
      <c r="V202" s="1237"/>
      <c r="W202" s="1237"/>
      <c r="X202" s="1237"/>
      <c r="Y202" s="1237"/>
      <c r="Z202" s="1237"/>
      <c r="AA202" s="1237"/>
      <c r="AB202" s="1237"/>
      <c r="AC202" s="1237"/>
      <c r="AD202" s="1237"/>
      <c r="AE202" s="1237"/>
      <c r="AF202" s="1237"/>
      <c r="AG202" s="1237"/>
      <c r="AH202" s="1207"/>
    </row>
    <row r="203" spans="1:34" ht="13.5" thickBot="1" x14ac:dyDescent="0.25">
      <c r="A203" s="1236"/>
      <c r="B203" s="1237"/>
      <c r="C203" s="1243"/>
      <c r="D203" s="1244" t="s">
        <v>16</v>
      </c>
      <c r="E203" s="1244"/>
      <c r="F203" s="1244"/>
      <c r="G203" s="1244"/>
      <c r="H203" s="1244"/>
      <c r="I203" s="1244"/>
      <c r="J203" s="1244"/>
      <c r="K203" s="1244"/>
      <c r="L203" s="1244"/>
      <c r="M203" s="1244"/>
      <c r="N203" s="1244"/>
      <c r="O203" s="1244"/>
      <c r="P203" s="1245"/>
      <c r="Q203" s="1244"/>
      <c r="R203" s="1244"/>
      <c r="S203" s="1244"/>
      <c r="T203" s="1244"/>
      <c r="U203" s="1244"/>
      <c r="V203" s="1244"/>
      <c r="W203" s="1244"/>
      <c r="X203" s="1244"/>
      <c r="Y203" s="1244"/>
      <c r="Z203" s="1244"/>
      <c r="AA203" s="1244"/>
      <c r="AB203" s="1244"/>
      <c r="AC203" s="1244"/>
      <c r="AD203" s="1244"/>
      <c r="AE203" s="1244"/>
      <c r="AF203" s="1244"/>
      <c r="AG203" s="1244"/>
      <c r="AH203" s="1207"/>
    </row>
    <row r="204" spans="1:34" ht="13.5" thickBot="1" x14ac:dyDescent="0.25">
      <c r="A204" s="1236"/>
      <c r="B204" s="1237"/>
      <c r="C204" s="1246" t="s">
        <v>452</v>
      </c>
      <c r="D204" s="1246" t="s">
        <v>453</v>
      </c>
      <c r="E204" s="1246" t="s">
        <v>434</v>
      </c>
      <c r="F204" s="1246" t="s">
        <v>390</v>
      </c>
      <c r="G204" s="1246" t="s">
        <v>454</v>
      </c>
      <c r="H204" s="1246" t="s">
        <v>455</v>
      </c>
      <c r="I204" s="1246" t="s">
        <v>456</v>
      </c>
      <c r="J204" s="1246" t="s">
        <v>457</v>
      </c>
      <c r="K204" s="1246" t="s">
        <v>458</v>
      </c>
      <c r="L204" s="1246" t="s">
        <v>216</v>
      </c>
      <c r="M204" s="1246" t="s">
        <v>459</v>
      </c>
      <c r="N204" s="1246" t="s">
        <v>297</v>
      </c>
      <c r="O204" s="1246" t="s">
        <v>211</v>
      </c>
      <c r="P204" s="1247" t="s">
        <v>270</v>
      </c>
      <c r="Q204" s="1246">
        <v>15</v>
      </c>
      <c r="R204" s="1246">
        <v>16</v>
      </c>
      <c r="S204" s="1246" t="s">
        <v>461</v>
      </c>
      <c r="T204" s="1246" t="s">
        <v>442</v>
      </c>
      <c r="U204" s="1246" t="s">
        <v>462</v>
      </c>
      <c r="V204" s="1246" t="s">
        <v>470</v>
      </c>
      <c r="W204" s="1246" t="s">
        <v>471</v>
      </c>
      <c r="X204" s="1246" t="s">
        <v>472</v>
      </c>
      <c r="Y204" s="1246" t="s">
        <v>463</v>
      </c>
      <c r="Z204" s="1246" t="s">
        <v>465</v>
      </c>
      <c r="AA204" s="1246" t="s">
        <v>466</v>
      </c>
      <c r="AB204" s="1246" t="s">
        <v>435</v>
      </c>
      <c r="AC204" s="1246" t="s">
        <v>467</v>
      </c>
      <c r="AD204" s="1246" t="s">
        <v>464</v>
      </c>
      <c r="AE204" s="1246" t="s">
        <v>429</v>
      </c>
      <c r="AF204" s="1246" t="s">
        <v>149</v>
      </c>
      <c r="AG204" s="1246" t="s">
        <v>210</v>
      </c>
      <c r="AH204" s="1207"/>
    </row>
    <row r="205" spans="1:34" x14ac:dyDescent="0.2">
      <c r="A205" s="1233"/>
      <c r="B205" s="1248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37"/>
      <c r="O205" s="1237"/>
      <c r="P205" s="1241"/>
      <c r="Q205" s="1237"/>
      <c r="R205" s="1237"/>
      <c r="S205" s="1237"/>
      <c r="T205" s="1237"/>
      <c r="U205" s="1237"/>
      <c r="V205" s="1237"/>
      <c r="W205" s="1237"/>
      <c r="X205" s="1237"/>
      <c r="Y205" s="1237"/>
      <c r="Z205" s="1237"/>
      <c r="AA205" s="1237"/>
      <c r="AB205" s="1237"/>
      <c r="AC205" s="1237"/>
      <c r="AD205" s="1237"/>
      <c r="AE205" s="1237"/>
      <c r="AF205" s="1237"/>
      <c r="AG205" s="1237"/>
      <c r="AH205" s="1207"/>
    </row>
    <row r="206" spans="1:34" x14ac:dyDescent="0.2">
      <c r="A206" s="1236" t="s">
        <v>0</v>
      </c>
      <c r="B206" s="1249">
        <v>-21648.97</v>
      </c>
      <c r="C206" s="1237"/>
      <c r="D206" s="1237"/>
      <c r="E206" s="1237"/>
      <c r="F206" s="1237"/>
      <c r="G206" s="1237"/>
      <c r="H206" s="1237"/>
      <c r="I206" s="1237"/>
      <c r="J206" s="1237"/>
      <c r="K206" s="1237"/>
      <c r="L206" s="1237"/>
      <c r="M206" s="1237"/>
      <c r="N206" s="1237"/>
      <c r="O206" s="1237"/>
      <c r="P206" s="1241"/>
      <c r="Q206" s="1237"/>
      <c r="R206" s="1237"/>
      <c r="S206" s="1237"/>
      <c r="T206" s="1237"/>
      <c r="U206" s="1237"/>
      <c r="V206" s="1237"/>
      <c r="W206" s="1237"/>
      <c r="X206" s="1237"/>
      <c r="Y206" s="1237"/>
      <c r="Z206" s="1237"/>
      <c r="AA206" s="1237"/>
      <c r="AB206" s="1237"/>
      <c r="AC206" s="1237"/>
      <c r="AD206" s="1237"/>
      <c r="AE206" s="1237"/>
      <c r="AF206" s="1237"/>
      <c r="AG206" s="1237"/>
      <c r="AH206" s="1207"/>
    </row>
    <row r="207" spans="1:34" ht="13.5" thickBot="1" x14ac:dyDescent="0.25">
      <c r="A207" s="1250"/>
      <c r="B207" s="1251"/>
      <c r="C207" s="1237"/>
      <c r="D207" s="1237"/>
      <c r="E207" s="1237"/>
      <c r="F207" s="1237"/>
      <c r="G207" s="1237"/>
      <c r="H207" s="1237"/>
      <c r="I207" s="1237"/>
      <c r="J207" s="1237"/>
      <c r="K207" s="1237"/>
      <c r="L207" s="1237"/>
      <c r="M207" s="1237"/>
      <c r="N207" s="1237"/>
      <c r="O207" s="1237"/>
      <c r="P207" s="1241"/>
      <c r="Q207" s="1237"/>
      <c r="R207" s="1237"/>
      <c r="S207" s="1237"/>
      <c r="T207" s="1237"/>
      <c r="U207" s="1237"/>
      <c r="V207" s="1237"/>
      <c r="W207" s="1237"/>
      <c r="X207" s="1237"/>
      <c r="Y207" s="1237"/>
      <c r="Z207" s="1237"/>
      <c r="AA207" s="1237"/>
      <c r="AB207" s="1237"/>
      <c r="AC207" s="1237"/>
      <c r="AD207" s="1237"/>
      <c r="AE207" s="1237"/>
      <c r="AF207" s="1237"/>
      <c r="AG207" s="1237"/>
      <c r="AH207" s="1207"/>
    </row>
    <row r="208" spans="1:34" x14ac:dyDescent="0.2">
      <c r="A208" s="1233"/>
      <c r="B208" s="1253"/>
      <c r="C208" s="1237"/>
      <c r="D208" s="1237"/>
      <c r="E208" s="1237"/>
      <c r="F208" s="1237"/>
      <c r="G208" s="1237"/>
      <c r="H208" s="1237"/>
      <c r="I208" s="1237"/>
      <c r="J208" s="1237"/>
      <c r="K208" s="1237"/>
      <c r="L208" s="1237"/>
      <c r="M208" s="1237"/>
      <c r="N208" s="1237"/>
      <c r="O208" s="1237"/>
      <c r="P208" s="1241"/>
      <c r="Q208" s="1237"/>
      <c r="R208" s="1237"/>
      <c r="S208" s="1237"/>
      <c r="T208" s="1237"/>
      <c r="U208" s="1237"/>
      <c r="V208" s="1237"/>
      <c r="W208" s="1237"/>
      <c r="X208" s="1237"/>
      <c r="Y208" s="1237"/>
      <c r="Z208" s="1237"/>
      <c r="AA208" s="1237"/>
      <c r="AB208" s="1237"/>
      <c r="AC208" s="1237"/>
      <c r="AD208" s="1237"/>
      <c r="AE208" s="1237"/>
      <c r="AF208" s="1237"/>
      <c r="AG208" s="1237"/>
      <c r="AH208" s="1207"/>
    </row>
    <row r="209" spans="1:34" x14ac:dyDescent="0.2">
      <c r="A209" s="1236" t="s">
        <v>1</v>
      </c>
      <c r="B209" s="1249">
        <f>B210+B211+B212</f>
        <v>0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7"/>
      <c r="O209" s="1237"/>
      <c r="P209" s="1241"/>
      <c r="Q209" s="1237"/>
      <c r="R209" s="1237"/>
      <c r="S209" s="1237"/>
      <c r="T209" s="1237"/>
      <c r="U209" s="1237"/>
      <c r="V209" s="1237"/>
      <c r="W209" s="1237"/>
      <c r="X209" s="1237"/>
      <c r="Y209" s="1237"/>
      <c r="Z209" s="1237"/>
      <c r="AA209" s="1237"/>
      <c r="AB209" s="1237"/>
      <c r="AC209" s="1237"/>
      <c r="AD209" s="1237"/>
      <c r="AE209" s="1237"/>
      <c r="AF209" s="1237"/>
      <c r="AG209" s="1237"/>
      <c r="AH209" s="1207"/>
    </row>
    <row r="210" spans="1:34" x14ac:dyDescent="0.2">
      <c r="A210" s="1236" t="s">
        <v>38</v>
      </c>
      <c r="B210" s="1249">
        <f>C258</f>
        <v>0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7"/>
      <c r="O210" s="1237"/>
      <c r="P210" s="1241"/>
      <c r="Q210" s="1237"/>
      <c r="R210" s="1237"/>
      <c r="S210" s="1237"/>
      <c r="T210" s="1237"/>
      <c r="U210" s="1237"/>
      <c r="V210" s="1237"/>
      <c r="W210" s="1237"/>
      <c r="X210" s="1237"/>
      <c r="Y210" s="1237"/>
      <c r="Z210" s="1237"/>
      <c r="AA210" s="1237"/>
      <c r="AB210" s="1237"/>
      <c r="AC210" s="1237"/>
      <c r="AD210" s="1237"/>
      <c r="AE210" s="1237"/>
      <c r="AF210" s="1237"/>
      <c r="AG210" s="1237"/>
      <c r="AH210" s="1207"/>
    </row>
    <row r="211" spans="1:34" x14ac:dyDescent="0.2">
      <c r="A211" s="1236" t="s">
        <v>39</v>
      </c>
      <c r="B211" s="1249">
        <f>C280</f>
        <v>0</v>
      </c>
      <c r="C211" s="1237"/>
      <c r="D211" s="1237"/>
      <c r="E211" s="1237"/>
      <c r="F211" s="1237"/>
      <c r="G211" s="1237"/>
      <c r="H211" s="1237"/>
      <c r="I211" s="1237"/>
      <c r="J211" s="1237"/>
      <c r="K211" s="1237"/>
      <c r="L211" s="1237"/>
      <c r="M211" s="1237"/>
      <c r="N211" s="1237"/>
      <c r="O211" s="1237"/>
      <c r="P211" s="1241"/>
      <c r="Q211" s="1237"/>
      <c r="R211" s="1237"/>
      <c r="S211" s="1237"/>
      <c r="T211" s="1237"/>
      <c r="U211" s="1237"/>
      <c r="V211" s="1237"/>
      <c r="W211" s="1237"/>
      <c r="X211" s="1237"/>
      <c r="Y211" s="1237"/>
      <c r="Z211" s="1237"/>
      <c r="AA211" s="1237"/>
      <c r="AB211" s="1237"/>
      <c r="AC211" s="1237"/>
      <c r="AD211" s="1237"/>
      <c r="AE211" s="1237"/>
      <c r="AF211" s="1237"/>
      <c r="AG211" s="1237"/>
      <c r="AH211" s="1207"/>
    </row>
    <row r="212" spans="1:34" x14ac:dyDescent="0.2">
      <c r="A212" s="1236" t="s">
        <v>3</v>
      </c>
      <c r="B212" s="1249"/>
      <c r="C212" s="1237"/>
      <c r="D212" s="1237"/>
      <c r="E212" s="1237"/>
      <c r="F212" s="1237"/>
      <c r="G212" s="1237"/>
      <c r="H212" s="1237"/>
      <c r="I212" s="1237"/>
      <c r="J212" s="1237"/>
      <c r="K212" s="1237"/>
      <c r="L212" s="1237"/>
      <c r="M212" s="1237"/>
      <c r="N212" s="1237"/>
      <c r="O212" s="1237"/>
      <c r="P212" s="1241"/>
      <c r="Q212" s="1237"/>
      <c r="R212" s="1237"/>
      <c r="S212" s="1237"/>
      <c r="T212" s="1237"/>
      <c r="U212" s="1237"/>
      <c r="V212" s="1237"/>
      <c r="W212" s="1237"/>
      <c r="X212" s="1237"/>
      <c r="Y212" s="1237"/>
      <c r="Z212" s="1237"/>
      <c r="AA212" s="1237"/>
      <c r="AB212" s="1237"/>
      <c r="AC212" s="1237"/>
      <c r="AD212" s="1237"/>
      <c r="AE212" s="1237"/>
      <c r="AF212" s="1237"/>
      <c r="AG212" s="1237"/>
      <c r="AH212" s="1207"/>
    </row>
    <row r="213" spans="1:34" ht="13.5" thickBot="1" x14ac:dyDescent="0.25">
      <c r="A213" s="1250"/>
      <c r="B213" s="1251"/>
      <c r="C213" s="1237"/>
      <c r="D213" s="1237"/>
      <c r="E213" s="1237"/>
      <c r="F213" s="1237"/>
      <c r="G213" s="1237"/>
      <c r="H213" s="1237"/>
      <c r="I213" s="1237"/>
      <c r="J213" s="1237"/>
      <c r="K213" s="1237"/>
      <c r="L213" s="1237"/>
      <c r="M213" s="1237"/>
      <c r="N213" s="1237"/>
      <c r="O213" s="1237"/>
      <c r="P213" s="1241"/>
      <c r="Q213" s="1237"/>
      <c r="R213" s="1237"/>
      <c r="S213" s="1237"/>
      <c r="T213" s="1237"/>
      <c r="U213" s="1237"/>
      <c r="V213" s="1237"/>
      <c r="W213" s="1237"/>
      <c r="X213" s="1237"/>
      <c r="Y213" s="1237"/>
      <c r="Z213" s="1237"/>
      <c r="AA213" s="1237"/>
      <c r="AB213" s="1237"/>
      <c r="AC213" s="1237"/>
      <c r="AD213" s="1237"/>
      <c r="AE213" s="1237"/>
      <c r="AF213" s="1237"/>
      <c r="AG213" s="1237"/>
      <c r="AH213" s="1207"/>
    </row>
    <row r="214" spans="1:34" x14ac:dyDescent="0.2">
      <c r="A214" s="1233"/>
      <c r="B214" s="1253"/>
      <c r="C214" s="1237"/>
      <c r="D214" s="1237"/>
      <c r="E214" s="1237"/>
      <c r="F214" s="1237"/>
      <c r="G214" s="1237"/>
      <c r="H214" s="1237"/>
      <c r="I214" s="1237"/>
      <c r="J214" s="1237"/>
      <c r="K214" s="1237"/>
      <c r="L214" s="1237"/>
      <c r="M214" s="1237"/>
      <c r="N214" s="1237"/>
      <c r="O214" s="1237"/>
      <c r="P214" s="1241"/>
      <c r="Q214" s="1237"/>
      <c r="R214" s="1237"/>
      <c r="S214" s="1237"/>
      <c r="T214" s="1237"/>
      <c r="U214" s="1237"/>
      <c r="V214" s="1237"/>
      <c r="W214" s="1237"/>
      <c r="X214" s="1237"/>
      <c r="Y214" s="1237"/>
      <c r="Z214" s="1237"/>
      <c r="AA214" s="1237"/>
      <c r="AB214" s="1237"/>
      <c r="AC214" s="1237"/>
      <c r="AD214" s="1237"/>
      <c r="AE214" s="1237"/>
      <c r="AF214" s="1237"/>
      <c r="AG214" s="1237"/>
      <c r="AH214" s="1207"/>
    </row>
    <row r="215" spans="1:34" x14ac:dyDescent="0.2">
      <c r="A215" s="1236" t="s">
        <v>4</v>
      </c>
      <c r="B215" s="1249">
        <f>B206-B209</f>
        <v>-21648.97</v>
      </c>
      <c r="C215" s="1237"/>
      <c r="D215" s="1237"/>
      <c r="E215" s="1237"/>
      <c r="F215" s="1237"/>
      <c r="G215" s="1237"/>
      <c r="H215" s="1237"/>
      <c r="I215" s="1237"/>
      <c r="J215" s="1237"/>
      <c r="K215" s="1237"/>
      <c r="L215" s="1237"/>
      <c r="M215" s="1237"/>
      <c r="N215" s="1237"/>
      <c r="O215" s="1237"/>
      <c r="P215" s="1241"/>
      <c r="Q215" s="1237"/>
      <c r="R215" s="1237"/>
      <c r="S215" s="1237"/>
      <c r="T215" s="1237"/>
      <c r="U215" s="1237"/>
      <c r="V215" s="1237"/>
      <c r="W215" s="1237"/>
      <c r="X215" s="1237"/>
      <c r="Y215" s="1237"/>
      <c r="Z215" s="1237"/>
      <c r="AA215" s="1237"/>
      <c r="AB215" s="1237"/>
      <c r="AC215" s="1237"/>
      <c r="AD215" s="1237"/>
      <c r="AE215" s="1237"/>
      <c r="AF215" s="1237"/>
      <c r="AG215" s="1237"/>
      <c r="AH215" s="1207"/>
    </row>
    <row r="216" spans="1:34" ht="13.5" thickBot="1" x14ac:dyDescent="0.25">
      <c r="A216" s="1250"/>
      <c r="B216" s="1251"/>
      <c r="C216" s="1237"/>
      <c r="D216" s="1237"/>
      <c r="E216" s="1237"/>
      <c r="F216" s="1237"/>
      <c r="G216" s="1237"/>
      <c r="H216" s="1237"/>
      <c r="I216" s="1237"/>
      <c r="J216" s="1237"/>
      <c r="K216" s="1237"/>
      <c r="L216" s="1237"/>
      <c r="M216" s="1237"/>
      <c r="N216" s="1237"/>
      <c r="O216" s="1237"/>
      <c r="P216" s="1241"/>
      <c r="Q216" s="1237"/>
      <c r="R216" s="1237"/>
      <c r="S216" s="1237"/>
      <c r="T216" s="1237"/>
      <c r="U216" s="1237"/>
      <c r="V216" s="1237"/>
      <c r="W216" s="1237"/>
      <c r="X216" s="1237"/>
      <c r="Y216" s="1237"/>
      <c r="Z216" s="1237"/>
      <c r="AA216" s="1237"/>
      <c r="AB216" s="1237"/>
      <c r="AC216" s="1237"/>
      <c r="AD216" s="1237"/>
      <c r="AE216" s="1237"/>
      <c r="AF216" s="1237"/>
      <c r="AG216" s="1237"/>
      <c r="AH216" s="1207"/>
    </row>
    <row r="217" spans="1:34" x14ac:dyDescent="0.2">
      <c r="A217" s="1233"/>
      <c r="B217" s="1253"/>
      <c r="C217" s="1237"/>
      <c r="D217" s="1237"/>
      <c r="E217" s="1237"/>
      <c r="F217" s="1237"/>
      <c r="G217" s="1237"/>
      <c r="H217" s="1237"/>
      <c r="I217" s="1237"/>
      <c r="J217" s="1237"/>
      <c r="K217" s="1237"/>
      <c r="L217" s="1237"/>
      <c r="M217" s="1237"/>
      <c r="N217" s="1237"/>
      <c r="O217" s="1237"/>
      <c r="P217" s="1241"/>
      <c r="Q217" s="1237"/>
      <c r="R217" s="1237"/>
      <c r="S217" s="1237"/>
      <c r="T217" s="1237"/>
      <c r="U217" s="1237"/>
      <c r="V217" s="1237"/>
      <c r="W217" s="1237"/>
      <c r="X217" s="1237"/>
      <c r="Y217" s="1237"/>
      <c r="Z217" s="1237"/>
      <c r="AA217" s="1237"/>
      <c r="AB217" s="1237"/>
      <c r="AC217" s="1237"/>
      <c r="AD217" s="1237"/>
      <c r="AE217" s="1237"/>
      <c r="AF217" s="1237"/>
      <c r="AG217" s="1237"/>
      <c r="AH217" s="1207"/>
    </row>
    <row r="218" spans="1:34" x14ac:dyDescent="0.2">
      <c r="A218" s="1236" t="s">
        <v>17</v>
      </c>
      <c r="B218" s="1249"/>
      <c r="C218" s="1237"/>
      <c r="D218" s="1237"/>
      <c r="E218" s="1237"/>
      <c r="F218" s="1237"/>
      <c r="G218" s="1237"/>
      <c r="H218" s="1237"/>
      <c r="I218" s="1237"/>
      <c r="J218" s="1237"/>
      <c r="K218" s="1237"/>
      <c r="L218" s="1237"/>
      <c r="M218" s="1237"/>
      <c r="N218" s="1237"/>
      <c r="O218" s="1237"/>
      <c r="P218" s="1241"/>
      <c r="Q218" s="1237"/>
      <c r="R218" s="1237"/>
      <c r="S218" s="1237"/>
      <c r="T218" s="1237"/>
      <c r="U218" s="1237"/>
      <c r="V218" s="1237"/>
      <c r="W218" s="1237"/>
      <c r="X218" s="1237"/>
      <c r="Y218" s="1237"/>
      <c r="Z218" s="1237"/>
      <c r="AA218" s="1237"/>
      <c r="AB218" s="1237"/>
      <c r="AC218" s="1237"/>
      <c r="AD218" s="1237"/>
      <c r="AE218" s="1237"/>
      <c r="AF218" s="1237"/>
      <c r="AG218" s="1237"/>
      <c r="AH218" s="1207"/>
    </row>
    <row r="219" spans="1:34" ht="13.5" thickBot="1" x14ac:dyDescent="0.25">
      <c r="A219" s="1250"/>
      <c r="B219" s="1251"/>
      <c r="C219" s="1237"/>
      <c r="D219" s="1237"/>
      <c r="E219" s="1237"/>
      <c r="F219" s="1237"/>
      <c r="G219" s="1237"/>
      <c r="H219" s="1237"/>
      <c r="I219" s="1237"/>
      <c r="J219" s="1237"/>
      <c r="K219" s="1237"/>
      <c r="L219" s="1237"/>
      <c r="M219" s="1237"/>
      <c r="N219" s="1237"/>
      <c r="O219" s="1237"/>
      <c r="P219" s="1241"/>
      <c r="Q219" s="1237"/>
      <c r="R219" s="1237"/>
      <c r="S219" s="1237"/>
      <c r="T219" s="1237"/>
      <c r="U219" s="1237"/>
      <c r="V219" s="1237"/>
      <c r="W219" s="1237"/>
      <c r="X219" s="1258"/>
      <c r="Y219" s="1237"/>
      <c r="Z219" s="1237"/>
      <c r="AA219" s="1237"/>
      <c r="AB219" s="1237"/>
      <c r="AC219" s="1237"/>
      <c r="AD219" s="1237"/>
      <c r="AE219" s="1237"/>
      <c r="AF219" s="1237"/>
      <c r="AG219" s="1237"/>
      <c r="AH219" s="1207"/>
    </row>
    <row r="220" spans="1:34" x14ac:dyDescent="0.2">
      <c r="A220" s="1233"/>
      <c r="B220" s="1253"/>
      <c r="C220" s="1212"/>
      <c r="D220" s="1563"/>
      <c r="E220" s="1563"/>
      <c r="F220" s="1237"/>
      <c r="G220" s="1562"/>
      <c r="H220" s="1563"/>
      <c r="I220" s="1563"/>
      <c r="J220" s="1563"/>
      <c r="K220" s="1563"/>
      <c r="L220" s="1753"/>
      <c r="M220" s="1753"/>
      <c r="N220" s="1237"/>
      <c r="O220" s="1237"/>
      <c r="P220" s="1212"/>
      <c r="Q220" s="1212"/>
      <c r="R220" s="1237"/>
      <c r="S220" s="1237"/>
      <c r="T220" s="1237"/>
      <c r="U220" s="1237"/>
      <c r="V220" s="1237"/>
      <c r="W220" s="1237"/>
      <c r="X220" s="1237"/>
      <c r="Y220" s="1237"/>
      <c r="Z220" s="1237"/>
      <c r="AA220" s="1237"/>
      <c r="AB220" s="1237"/>
      <c r="AC220" s="1256"/>
      <c r="AD220" s="1369"/>
      <c r="AE220" s="1563"/>
      <c r="AF220" s="1563"/>
      <c r="AH220" s="1207"/>
    </row>
    <row r="221" spans="1:34" x14ac:dyDescent="0.2">
      <c r="A221" s="1236" t="s">
        <v>5</v>
      </c>
      <c r="B221" s="1249">
        <f>B215-B218</f>
        <v>-21648.97</v>
      </c>
      <c r="C221" s="1212"/>
      <c r="D221" s="1614" t="s">
        <v>1378</v>
      </c>
      <c r="E221" s="1392"/>
      <c r="F221" s="1615"/>
      <c r="G221" s="1562"/>
      <c r="H221" s="1563"/>
      <c r="I221" s="1563"/>
      <c r="J221" s="1563"/>
      <c r="L221" s="1563"/>
      <c r="M221" s="1567" t="s">
        <v>1154</v>
      </c>
      <c r="N221" s="1563"/>
      <c r="O221" s="1212"/>
      <c r="P221" s="1212"/>
      <c r="Q221" s="1212"/>
      <c r="R221" s="1565" t="s">
        <v>1386</v>
      </c>
      <c r="S221" s="1627" t="s">
        <v>1378</v>
      </c>
      <c r="T221" s="1563"/>
      <c r="U221" s="1563"/>
      <c r="V221" s="1563"/>
      <c r="W221" s="1237"/>
      <c r="X221" s="1388"/>
      <c r="Y221" s="1563"/>
      <c r="Z221" s="1237"/>
      <c r="AA221" s="1563"/>
      <c r="AB221" s="1563"/>
      <c r="AC221" s="1563"/>
      <c r="AD221" s="1369"/>
      <c r="AE221" s="1563" t="s">
        <v>1216</v>
      </c>
      <c r="AF221" s="1563"/>
      <c r="AG221" s="1370"/>
      <c r="AH221" s="1207"/>
    </row>
    <row r="222" spans="1:34" ht="13.5" thickBot="1" x14ac:dyDescent="0.25">
      <c r="A222" s="1250"/>
      <c r="B222" s="1251"/>
      <c r="D222" s="1237"/>
      <c r="E222" s="1237"/>
      <c r="F222" s="1237"/>
      <c r="G222" s="1237"/>
      <c r="H222" s="1563"/>
      <c r="I222" s="1237"/>
      <c r="J222" s="1563"/>
      <c r="K222" s="1237"/>
      <c r="L222" s="1237"/>
      <c r="M222" s="1237"/>
      <c r="N222" s="1237"/>
      <c r="O222" s="1237"/>
      <c r="P222" s="1241"/>
      <c r="Q222" s="1237"/>
      <c r="R222" s="1237"/>
      <c r="S222" s="1237"/>
      <c r="T222" s="1237"/>
      <c r="U222" s="1563"/>
      <c r="V222" s="1237"/>
      <c r="W222" s="1237"/>
      <c r="X222" s="1237"/>
      <c r="Y222" s="1237"/>
      <c r="Z222" s="1237"/>
      <c r="AA222" s="1237"/>
      <c r="AB222" s="1237"/>
      <c r="AC222" s="1237"/>
      <c r="AD222" s="1237"/>
      <c r="AE222" s="1237"/>
      <c r="AF222" s="1237"/>
      <c r="AG222" s="1237"/>
      <c r="AH222" s="1207"/>
    </row>
    <row r="223" spans="1:34" x14ac:dyDescent="0.2">
      <c r="A223" s="1269"/>
      <c r="B223" s="1237"/>
      <c r="C223" s="1270"/>
      <c r="D223" s="1272"/>
      <c r="E223" s="1271"/>
      <c r="F223" s="1271"/>
      <c r="G223" s="1271"/>
      <c r="H223" s="1271"/>
      <c r="I223" s="1271"/>
      <c r="J223" s="1271"/>
      <c r="K223" s="1271"/>
      <c r="L223" s="1271"/>
      <c r="M223" s="1271"/>
      <c r="N223" s="1271"/>
      <c r="O223" s="1271"/>
      <c r="P223" s="1273"/>
      <c r="Q223" s="1271"/>
      <c r="R223" s="1271"/>
      <c r="S223" s="1271"/>
      <c r="T223" s="1271"/>
      <c r="U223" s="1271"/>
      <c r="V223" s="1271"/>
      <c r="W223" s="1271"/>
      <c r="X223" s="1271"/>
      <c r="Y223" s="1271"/>
      <c r="Z223" s="1271"/>
      <c r="AA223" s="1271"/>
      <c r="AB223" s="1271"/>
      <c r="AC223" s="1271"/>
      <c r="AD223" s="1271"/>
      <c r="AE223" s="1271"/>
      <c r="AF223" s="1271"/>
      <c r="AG223" s="1271"/>
      <c r="AH223" s="1207"/>
    </row>
    <row r="224" spans="1:34" ht="13.5" thickBot="1" x14ac:dyDescent="0.25">
      <c r="A224" s="1274" t="s">
        <v>7</v>
      </c>
      <c r="B224" s="1237"/>
      <c r="C224" s="1275">
        <f t="shared" ref="C224:AG224" si="23">C225+C226+C227+C229+C228</f>
        <v>0</v>
      </c>
      <c r="D224" s="1275">
        <f t="shared" si="23"/>
        <v>0</v>
      </c>
      <c r="E224" s="1275">
        <f t="shared" si="23"/>
        <v>0</v>
      </c>
      <c r="F224" s="1275">
        <f t="shared" si="23"/>
        <v>0</v>
      </c>
      <c r="G224" s="1275">
        <f t="shared" si="23"/>
        <v>0</v>
      </c>
      <c r="H224" s="1275">
        <f t="shared" si="23"/>
        <v>0</v>
      </c>
      <c r="I224" s="1275">
        <f t="shared" si="23"/>
        <v>0</v>
      </c>
      <c r="J224" s="1275">
        <f t="shared" si="23"/>
        <v>0</v>
      </c>
      <c r="K224" s="1275">
        <f t="shared" si="23"/>
        <v>0</v>
      </c>
      <c r="L224" s="1275">
        <f t="shared" si="23"/>
        <v>0</v>
      </c>
      <c r="M224" s="1275">
        <f t="shared" si="23"/>
        <v>0</v>
      </c>
      <c r="N224" s="1275">
        <f t="shared" si="23"/>
        <v>0</v>
      </c>
      <c r="O224" s="1275">
        <f t="shared" si="23"/>
        <v>0</v>
      </c>
      <c r="P224" s="1276">
        <f t="shared" si="23"/>
        <v>0</v>
      </c>
      <c r="Q224" s="1275">
        <f t="shared" si="23"/>
        <v>0</v>
      </c>
      <c r="R224" s="1275">
        <f t="shared" si="23"/>
        <v>0</v>
      </c>
      <c r="S224" s="1275">
        <f t="shared" si="23"/>
        <v>0</v>
      </c>
      <c r="T224" s="1275">
        <f t="shared" si="23"/>
        <v>0</v>
      </c>
      <c r="U224" s="1275">
        <f t="shared" si="23"/>
        <v>0</v>
      </c>
      <c r="V224" s="1275">
        <f t="shared" si="23"/>
        <v>0</v>
      </c>
      <c r="W224" s="1275">
        <f>W225+W226+W227+W229+W228</f>
        <v>0</v>
      </c>
      <c r="X224" s="1275">
        <f t="shared" si="23"/>
        <v>0</v>
      </c>
      <c r="Y224" s="1275">
        <f t="shared" si="23"/>
        <v>0</v>
      </c>
      <c r="Z224" s="1275">
        <f t="shared" si="23"/>
        <v>0</v>
      </c>
      <c r="AA224" s="1275">
        <f t="shared" si="23"/>
        <v>0</v>
      </c>
      <c r="AB224" s="1275">
        <f t="shared" si="23"/>
        <v>0</v>
      </c>
      <c r="AC224" s="1275">
        <f t="shared" si="23"/>
        <v>0</v>
      </c>
      <c r="AD224" s="1275">
        <f t="shared" si="23"/>
        <v>0</v>
      </c>
      <c r="AE224" s="1275">
        <f t="shared" si="23"/>
        <v>0</v>
      </c>
      <c r="AF224" s="1275">
        <f t="shared" si="23"/>
        <v>0</v>
      </c>
      <c r="AG224" s="1275">
        <f t="shared" si="23"/>
        <v>0</v>
      </c>
      <c r="AH224" s="1227">
        <f>SUM(C224:AG224)</f>
        <v>0</v>
      </c>
    </row>
    <row r="225" spans="1:34" x14ac:dyDescent="0.2">
      <c r="A225" s="1274" t="s">
        <v>8</v>
      </c>
      <c r="B225" s="1389"/>
      <c r="C225" s="1302"/>
      <c r="D225" s="1302"/>
      <c r="E225" s="1303"/>
      <c r="F225" s="1303"/>
      <c r="G225" s="1303"/>
      <c r="H225" s="1303"/>
      <c r="I225" s="1303"/>
      <c r="J225" s="1303"/>
      <c r="K225" s="1303"/>
      <c r="L225" s="1303"/>
      <c r="M225" s="1303"/>
      <c r="N225" s="1303"/>
      <c r="O225" s="1303"/>
      <c r="P225" s="1304"/>
      <c r="Q225" s="1303"/>
      <c r="R225" s="1303"/>
      <c r="S225" s="1303"/>
      <c r="T225" s="1303"/>
      <c r="U225" s="1303"/>
      <c r="V225" s="1303"/>
      <c r="W225" s="1303"/>
      <c r="X225" s="1303"/>
      <c r="Y225" s="1303"/>
      <c r="Z225" s="1303"/>
      <c r="AA225" s="1303"/>
      <c r="AB225" s="1303"/>
      <c r="AC225" s="1303"/>
      <c r="AD225" s="1303"/>
      <c r="AE225" s="1303"/>
      <c r="AF225" s="1303"/>
      <c r="AG225" s="1303"/>
      <c r="AH225" s="1227">
        <f>SUM(C225:AG225)</f>
        <v>0</v>
      </c>
    </row>
    <row r="226" spans="1:34" x14ac:dyDescent="0.2">
      <c r="A226" s="1274" t="s">
        <v>9</v>
      </c>
      <c r="B226" s="1389"/>
      <c r="C226" s="1302"/>
      <c r="D226" s="1302"/>
      <c r="E226" s="1303"/>
      <c r="F226" s="1303"/>
      <c r="G226" s="1303"/>
      <c r="H226" s="1303"/>
      <c r="I226" s="1303"/>
      <c r="J226" s="1303"/>
      <c r="K226" s="1303"/>
      <c r="L226" s="1303"/>
      <c r="M226" s="1319"/>
      <c r="N226" s="1303"/>
      <c r="O226" s="1303"/>
      <c r="P226" s="1304"/>
      <c r="Q226" s="1303"/>
      <c r="R226" s="1303"/>
      <c r="S226" s="1303"/>
      <c r="T226" s="1303"/>
      <c r="U226" s="1303"/>
      <c r="V226" s="1454"/>
      <c r="W226" s="1443"/>
      <c r="X226" s="1303"/>
      <c r="Y226" s="1303"/>
      <c r="Z226" s="1303"/>
      <c r="AA226" s="1303"/>
      <c r="AB226" s="1303"/>
      <c r="AC226" s="1303"/>
      <c r="AD226" s="1303"/>
      <c r="AE226" s="1303"/>
      <c r="AF226" s="1303"/>
      <c r="AG226" s="1303"/>
      <c r="AH226" s="1227">
        <f>SUM(C226:AG226)</f>
        <v>0</v>
      </c>
    </row>
    <row r="227" spans="1:34" s="1289" customFormat="1" x14ac:dyDescent="0.2">
      <c r="A227" s="1285" t="s">
        <v>10</v>
      </c>
      <c r="B227" s="1372"/>
      <c r="C227" s="1374"/>
      <c r="D227" s="1374"/>
      <c r="E227" s="1375"/>
      <c r="F227" s="1375"/>
      <c r="G227" s="1375"/>
      <c r="H227" s="1375"/>
      <c r="I227" s="1390"/>
      <c r="J227" s="1375"/>
      <c r="K227" s="1375"/>
      <c r="L227" s="1391"/>
      <c r="M227" s="1375">
        <v>65000</v>
      </c>
      <c r="N227" s="1375"/>
      <c r="O227" s="1375"/>
      <c r="P227" s="1375"/>
      <c r="Q227" s="1375"/>
      <c r="R227" s="1375"/>
      <c r="S227" s="1375"/>
      <c r="T227" s="1375"/>
      <c r="U227" s="1375"/>
      <c r="V227" s="1375"/>
      <c r="W227" s="1375"/>
      <c r="X227" s="1377"/>
      <c r="Y227" s="1375"/>
      <c r="Z227" s="1375"/>
      <c r="AA227" s="1375"/>
      <c r="AB227" s="1375"/>
      <c r="AC227" s="1375"/>
      <c r="AD227" s="1378"/>
      <c r="AE227" s="1375"/>
      <c r="AF227" s="1375"/>
      <c r="AG227" s="1375"/>
      <c r="AH227" s="1231">
        <f>SUM(C227:AG227)</f>
        <v>65000</v>
      </c>
    </row>
    <row r="228" spans="1:34" s="1289" customFormat="1" x14ac:dyDescent="0.2">
      <c r="A228" s="1285" t="s">
        <v>356</v>
      </c>
      <c r="B228" s="1372"/>
      <c r="C228" s="1375"/>
      <c r="D228" s="1375"/>
      <c r="E228" s="1391"/>
      <c r="F228" s="1375"/>
      <c r="G228" s="1375"/>
      <c r="H228" s="1375"/>
      <c r="I228" s="1375"/>
      <c r="J228" s="1375"/>
      <c r="K228" s="1375"/>
      <c r="L228" s="1375"/>
      <c r="M228" s="1375"/>
      <c r="N228" s="1375"/>
      <c r="O228" s="1375"/>
      <c r="P228" s="1391"/>
      <c r="Q228" s="1375"/>
      <c r="R228" s="1375"/>
      <c r="S228" s="1375"/>
      <c r="T228" s="1375"/>
      <c r="U228" s="1375"/>
      <c r="V228" s="1375"/>
      <c r="W228" s="1375"/>
      <c r="X228" s="1375"/>
      <c r="Y228" s="1375"/>
      <c r="Z228" s="1375"/>
      <c r="AA228" s="1375"/>
      <c r="AB228" s="1375"/>
      <c r="AC228" s="1375"/>
      <c r="AD228" s="1375"/>
      <c r="AE228" s="1375"/>
      <c r="AF228" s="1375"/>
      <c r="AG228" s="1292"/>
      <c r="AH228" s="1456">
        <f>SUM(C228:AG228)</f>
        <v>0</v>
      </c>
    </row>
    <row r="229" spans="1:34" x14ac:dyDescent="0.2">
      <c r="A229" s="1274" t="s">
        <v>11</v>
      </c>
      <c r="B229" s="1237"/>
      <c r="C229" s="1302"/>
      <c r="D229" s="1306"/>
      <c r="E229" s="1306"/>
      <c r="F229" s="1304"/>
      <c r="G229" s="1304"/>
      <c r="H229" s="1304"/>
      <c r="I229" s="1304"/>
      <c r="J229" s="1304"/>
      <c r="K229" s="1304"/>
      <c r="L229" s="1304"/>
      <c r="M229" s="1574">
        <v>-65000</v>
      </c>
      <c r="N229" s="1304"/>
      <c r="O229" s="1304"/>
      <c r="P229" s="1304"/>
      <c r="Q229" s="1304"/>
      <c r="R229" s="1304"/>
      <c r="S229" s="1304"/>
      <c r="T229" s="1304"/>
      <c r="U229" s="1304"/>
      <c r="V229" s="1304"/>
      <c r="W229" s="1304"/>
      <c r="X229" s="1304"/>
      <c r="Y229" s="1304"/>
      <c r="Z229" s="1304"/>
      <c r="AA229" s="1304"/>
      <c r="AB229" s="1304"/>
      <c r="AC229" s="1304"/>
      <c r="AD229" s="1304"/>
      <c r="AE229" s="1304"/>
      <c r="AF229" s="1473"/>
      <c r="AG229" s="1454"/>
      <c r="AH229" s="1207"/>
    </row>
    <row r="230" spans="1:34" ht="13.5" thickBot="1" x14ac:dyDescent="0.25">
      <c r="A230" s="1294"/>
      <c r="B230" s="1237"/>
      <c r="C230" s="1302"/>
      <c r="D230" s="1302"/>
      <c r="E230" s="1302"/>
      <c r="F230" s="1303"/>
      <c r="G230" s="1303"/>
      <c r="H230" s="1303"/>
      <c r="I230" s="1303"/>
      <c r="J230" s="1303"/>
      <c r="K230" s="1303"/>
      <c r="L230" s="1303"/>
      <c r="M230" s="1303"/>
      <c r="N230" s="1303"/>
      <c r="O230" s="1303"/>
      <c r="P230" s="1304"/>
      <c r="Q230" s="1303"/>
      <c r="R230" s="1303"/>
      <c r="S230" s="1303"/>
      <c r="T230" s="1303"/>
      <c r="U230" s="1303"/>
      <c r="V230" s="1303"/>
      <c r="W230" s="1303"/>
      <c r="X230" s="1303"/>
      <c r="Y230" s="1303"/>
      <c r="Z230" s="1303"/>
      <c r="AA230" s="1303"/>
      <c r="AB230" s="1303"/>
      <c r="AC230" s="1303"/>
      <c r="AD230" s="1303"/>
      <c r="AE230" s="1303"/>
      <c r="AF230" s="1303"/>
      <c r="AG230" s="1303"/>
      <c r="AH230" s="1207"/>
    </row>
    <row r="231" spans="1:34" x14ac:dyDescent="0.2">
      <c r="A231" s="1269"/>
      <c r="B231" s="1237"/>
      <c r="C231" s="1296"/>
      <c r="D231" s="1297"/>
      <c r="E231" s="1297"/>
      <c r="F231" s="1298"/>
      <c r="G231" s="1298"/>
      <c r="H231" s="1298"/>
      <c r="I231" s="1298"/>
      <c r="J231" s="1298"/>
      <c r="K231" s="1298"/>
      <c r="L231" s="1298"/>
      <c r="M231" s="1298"/>
      <c r="N231" s="1298"/>
      <c r="O231" s="1298"/>
      <c r="P231" s="1299"/>
      <c r="Q231" s="1298"/>
      <c r="R231" s="1298"/>
      <c r="S231" s="1298"/>
      <c r="T231" s="1298"/>
      <c r="U231" s="1298"/>
      <c r="V231" s="1298"/>
      <c r="W231" s="1298"/>
      <c r="X231" s="1298"/>
      <c r="Y231" s="1298"/>
      <c r="Z231" s="1298"/>
      <c r="AA231" s="1298"/>
      <c r="AB231" s="1298"/>
      <c r="AC231" s="1298"/>
      <c r="AD231" s="1298"/>
      <c r="AE231" s="1298"/>
      <c r="AF231" s="1298"/>
      <c r="AG231" s="1298"/>
      <c r="AH231" s="1207"/>
    </row>
    <row r="232" spans="1:34" ht="13.5" thickBot="1" x14ac:dyDescent="0.25">
      <c r="A232" s="1274" t="s">
        <v>12</v>
      </c>
      <c r="B232" s="1237"/>
      <c r="C232" s="1275">
        <f t="shared" ref="C232:AG232" si="24">C233</f>
        <v>0</v>
      </c>
      <c r="D232" s="1275">
        <f t="shared" si="24"/>
        <v>0</v>
      </c>
      <c r="E232" s="1275">
        <f t="shared" si="24"/>
        <v>0</v>
      </c>
      <c r="F232" s="1275">
        <f t="shared" si="24"/>
        <v>0</v>
      </c>
      <c r="G232" s="1275">
        <f t="shared" si="24"/>
        <v>0</v>
      </c>
      <c r="H232" s="1275">
        <f t="shared" si="24"/>
        <v>0</v>
      </c>
      <c r="I232" s="1275">
        <f t="shared" si="24"/>
        <v>0</v>
      </c>
      <c r="J232" s="1275">
        <f t="shared" si="24"/>
        <v>0</v>
      </c>
      <c r="K232" s="1275">
        <f t="shared" si="24"/>
        <v>0</v>
      </c>
      <c r="L232" s="1275">
        <f t="shared" si="24"/>
        <v>0</v>
      </c>
      <c r="M232" s="1275">
        <f t="shared" si="24"/>
        <v>0</v>
      </c>
      <c r="N232" s="1275">
        <f t="shared" si="24"/>
        <v>0</v>
      </c>
      <c r="O232" s="1275">
        <f t="shared" si="24"/>
        <v>0</v>
      </c>
      <c r="P232" s="1276">
        <f t="shared" si="24"/>
        <v>0</v>
      </c>
      <c r="Q232" s="1275">
        <f t="shared" si="24"/>
        <v>0</v>
      </c>
      <c r="R232" s="1275">
        <f t="shared" si="24"/>
        <v>0</v>
      </c>
      <c r="S232" s="1275">
        <f t="shared" si="24"/>
        <v>0</v>
      </c>
      <c r="T232" s="1275">
        <f t="shared" si="24"/>
        <v>0</v>
      </c>
      <c r="U232" s="1275">
        <f t="shared" si="24"/>
        <v>0</v>
      </c>
      <c r="V232" s="1275">
        <f t="shared" si="24"/>
        <v>0</v>
      </c>
      <c r="W232" s="1275">
        <f t="shared" si="24"/>
        <v>0</v>
      </c>
      <c r="X232" s="1275">
        <f t="shared" si="24"/>
        <v>0</v>
      </c>
      <c r="Y232" s="1275">
        <f t="shared" si="24"/>
        <v>0</v>
      </c>
      <c r="Z232" s="1275">
        <f t="shared" si="24"/>
        <v>0</v>
      </c>
      <c r="AA232" s="1275">
        <f t="shared" si="24"/>
        <v>0</v>
      </c>
      <c r="AB232" s="1275">
        <f t="shared" si="24"/>
        <v>0</v>
      </c>
      <c r="AC232" s="1275">
        <f t="shared" si="24"/>
        <v>0</v>
      </c>
      <c r="AD232" s="1275">
        <f t="shared" si="24"/>
        <v>0</v>
      </c>
      <c r="AE232" s="1275">
        <f t="shared" si="24"/>
        <v>0</v>
      </c>
      <c r="AF232" s="1275">
        <f t="shared" si="24"/>
        <v>0</v>
      </c>
      <c r="AG232" s="1275">
        <f t="shared" si="24"/>
        <v>0</v>
      </c>
      <c r="AH232" s="1207"/>
    </row>
    <row r="233" spans="1:34" x14ac:dyDescent="0.2">
      <c r="A233" s="1274" t="s">
        <v>8</v>
      </c>
      <c r="B233" s="1237"/>
      <c r="C233" s="1302"/>
      <c r="D233" s="1302"/>
      <c r="E233" s="1302"/>
      <c r="F233" s="1303"/>
      <c r="G233" s="1303"/>
      <c r="H233" s="1303"/>
      <c r="I233" s="1303"/>
      <c r="J233" s="1303"/>
      <c r="K233" s="1303"/>
      <c r="L233" s="1303"/>
      <c r="M233" s="1303"/>
      <c r="N233" s="1303"/>
      <c r="O233" s="1303"/>
      <c r="P233" s="1304"/>
      <c r="Q233" s="1303"/>
      <c r="R233" s="1303"/>
      <c r="S233" s="1303"/>
      <c r="T233" s="1303"/>
      <c r="U233" s="1303"/>
      <c r="V233" s="1303"/>
      <c r="W233" s="1303"/>
      <c r="X233" s="1303"/>
      <c r="Y233" s="1303"/>
      <c r="Z233" s="1303"/>
      <c r="AA233" s="1303"/>
      <c r="AB233" s="1303"/>
      <c r="AC233" s="1303"/>
      <c r="AD233" s="1303"/>
      <c r="AE233" s="1303"/>
      <c r="AF233" s="1303"/>
      <c r="AG233" s="1303"/>
      <c r="AH233" s="1207"/>
    </row>
    <row r="234" spans="1:34" x14ac:dyDescent="0.2">
      <c r="A234" s="1274" t="s">
        <v>775</v>
      </c>
      <c r="B234" s="1237"/>
      <c r="C234" s="1282"/>
      <c r="D234" s="1282"/>
      <c r="E234" s="1282"/>
      <c r="F234" s="1282"/>
      <c r="G234" s="1282">
        <v>1032.569</v>
      </c>
      <c r="H234" s="1282">
        <v>1208.4190000000001</v>
      </c>
      <c r="I234" s="1282"/>
      <c r="J234" s="1282">
        <v>1170</v>
      </c>
      <c r="K234" s="1282"/>
      <c r="L234" s="1282">
        <v>1032.569</v>
      </c>
      <c r="M234" s="1282">
        <v>1170</v>
      </c>
      <c r="N234" s="1282"/>
      <c r="O234" s="1282">
        <v>1170</v>
      </c>
      <c r="P234" s="1282">
        <v>2867.797</v>
      </c>
      <c r="Q234" s="1282">
        <v>5202.5689999999995</v>
      </c>
      <c r="R234" s="1282"/>
      <c r="S234" s="1282"/>
      <c r="T234" s="1282"/>
      <c r="U234" s="1282">
        <v>2975.4250000000002</v>
      </c>
      <c r="V234" s="1282">
        <v>1032.569</v>
      </c>
      <c r="W234" s="1282"/>
      <c r="X234" s="1282"/>
      <c r="Y234" s="1282"/>
      <c r="Z234" s="1282"/>
      <c r="AA234" s="1282">
        <v>4888.5119999999997</v>
      </c>
      <c r="AB234" s="1282"/>
      <c r="AC234" s="1282"/>
      <c r="AD234" s="1282"/>
      <c r="AE234" s="1282">
        <v>3750.732</v>
      </c>
      <c r="AF234" s="1282">
        <v>8621.2729999999992</v>
      </c>
      <c r="AG234" s="1282"/>
      <c r="AH234" s="1455">
        <f>SUM(C234:AG234)</f>
        <v>36122.434000000001</v>
      </c>
    </row>
    <row r="235" spans="1:34" ht="13.5" thickBot="1" x14ac:dyDescent="0.25">
      <c r="A235" s="1294"/>
      <c r="B235" s="1237"/>
      <c r="C235" s="1302"/>
      <c r="D235" s="1302"/>
      <c r="E235" s="1302"/>
      <c r="F235" s="1303"/>
      <c r="G235" s="1303"/>
      <c r="H235" s="1303"/>
      <c r="I235" s="1303"/>
      <c r="J235" s="1303"/>
      <c r="K235" s="1303"/>
      <c r="L235" s="1303"/>
      <c r="M235" s="1303"/>
      <c r="N235" s="1303"/>
      <c r="O235" s="1303"/>
      <c r="P235" s="1304"/>
      <c r="Q235" s="1303"/>
      <c r="R235" s="1303"/>
      <c r="S235" s="1303"/>
      <c r="T235" s="1303"/>
      <c r="U235" s="1303"/>
      <c r="V235" s="1303"/>
      <c r="W235" s="1303"/>
      <c r="X235" s="1303"/>
      <c r="Y235" s="1303"/>
      <c r="Z235" s="1303"/>
      <c r="AA235" s="1303"/>
      <c r="AB235" s="1303"/>
      <c r="AC235" s="1303"/>
      <c r="AD235" s="1303"/>
      <c r="AE235" s="1303"/>
      <c r="AF235" s="1303"/>
      <c r="AG235" s="1303"/>
      <c r="AH235" s="1207"/>
    </row>
    <row r="236" spans="1:34" x14ac:dyDescent="0.2">
      <c r="A236" s="1269"/>
      <c r="B236" s="1237"/>
      <c r="C236" s="1296"/>
      <c r="D236" s="1297"/>
      <c r="E236" s="1297"/>
      <c r="F236" s="1298"/>
      <c r="G236" s="1298"/>
      <c r="H236" s="1298"/>
      <c r="I236" s="1298"/>
      <c r="J236" s="1298"/>
      <c r="K236" s="1298"/>
      <c r="L236" s="1298"/>
      <c r="M236" s="1298"/>
      <c r="N236" s="1298"/>
      <c r="O236" s="1298"/>
      <c r="P236" s="1299"/>
      <c r="Q236" s="1298"/>
      <c r="R236" s="1298"/>
      <c r="S236" s="1298"/>
      <c r="T236" s="1298"/>
      <c r="U236" s="1298"/>
      <c r="V236" s="1298"/>
      <c r="W236" s="1298"/>
      <c r="X236" s="1298"/>
      <c r="Y236" s="1298"/>
      <c r="Z236" s="1298"/>
      <c r="AA236" s="1298"/>
      <c r="AB236" s="1298"/>
      <c r="AC236" s="1298"/>
      <c r="AD236" s="1298"/>
      <c r="AE236" s="1298"/>
      <c r="AF236" s="1298"/>
      <c r="AG236" s="1298"/>
      <c r="AH236" s="1207"/>
    </row>
    <row r="237" spans="1:34" x14ac:dyDescent="0.2">
      <c r="A237" s="1274" t="s">
        <v>13</v>
      </c>
      <c r="B237" s="1237"/>
      <c r="C237" s="1300">
        <f t="shared" ref="C237:AG237" si="25">C232-C224</f>
        <v>0</v>
      </c>
      <c r="D237" s="1300">
        <f t="shared" si="25"/>
        <v>0</v>
      </c>
      <c r="E237" s="1300">
        <f t="shared" si="25"/>
        <v>0</v>
      </c>
      <c r="F237" s="1300">
        <f t="shared" si="25"/>
        <v>0</v>
      </c>
      <c r="G237" s="1300">
        <f t="shared" si="25"/>
        <v>0</v>
      </c>
      <c r="H237" s="1300">
        <f t="shared" si="25"/>
        <v>0</v>
      </c>
      <c r="I237" s="1300">
        <f t="shared" si="25"/>
        <v>0</v>
      </c>
      <c r="J237" s="1300">
        <f t="shared" si="25"/>
        <v>0</v>
      </c>
      <c r="K237" s="1300">
        <f t="shared" si="25"/>
        <v>0</v>
      </c>
      <c r="L237" s="1300">
        <f t="shared" si="25"/>
        <v>0</v>
      </c>
      <c r="M237" s="1300">
        <f t="shared" si="25"/>
        <v>0</v>
      </c>
      <c r="N237" s="1300">
        <f t="shared" si="25"/>
        <v>0</v>
      </c>
      <c r="O237" s="1300">
        <f t="shared" si="25"/>
        <v>0</v>
      </c>
      <c r="P237" s="1301">
        <f t="shared" si="25"/>
        <v>0</v>
      </c>
      <c r="Q237" s="1300">
        <f t="shared" si="25"/>
        <v>0</v>
      </c>
      <c r="R237" s="1300">
        <f t="shared" si="25"/>
        <v>0</v>
      </c>
      <c r="S237" s="1300">
        <f t="shared" si="25"/>
        <v>0</v>
      </c>
      <c r="T237" s="1300">
        <f t="shared" si="25"/>
        <v>0</v>
      </c>
      <c r="U237" s="1300">
        <f t="shared" si="25"/>
        <v>0</v>
      </c>
      <c r="V237" s="1300">
        <f t="shared" si="25"/>
        <v>0</v>
      </c>
      <c r="W237" s="1300">
        <f t="shared" si="25"/>
        <v>0</v>
      </c>
      <c r="X237" s="1300">
        <f t="shared" si="25"/>
        <v>0</v>
      </c>
      <c r="Y237" s="1300">
        <f t="shared" si="25"/>
        <v>0</v>
      </c>
      <c r="Z237" s="1300">
        <f t="shared" si="25"/>
        <v>0</v>
      </c>
      <c r="AA237" s="1300">
        <f t="shared" si="25"/>
        <v>0</v>
      </c>
      <c r="AB237" s="1300">
        <f t="shared" si="25"/>
        <v>0</v>
      </c>
      <c r="AC237" s="1300">
        <f t="shared" si="25"/>
        <v>0</v>
      </c>
      <c r="AD237" s="1300">
        <f t="shared" si="25"/>
        <v>0</v>
      </c>
      <c r="AE237" s="1300">
        <f t="shared" si="25"/>
        <v>0</v>
      </c>
      <c r="AF237" s="1300">
        <f t="shared" si="25"/>
        <v>0</v>
      </c>
      <c r="AG237" s="1300">
        <f t="shared" si="25"/>
        <v>0</v>
      </c>
      <c r="AH237" s="1207"/>
    </row>
    <row r="238" spans="1:34" ht="13.5" thickBot="1" x14ac:dyDescent="0.25">
      <c r="A238" s="1274"/>
      <c r="B238" s="1237"/>
      <c r="C238" s="1300"/>
      <c r="D238" s="1302"/>
      <c r="E238" s="1302"/>
      <c r="F238" s="1303"/>
      <c r="G238" s="1303"/>
      <c r="H238" s="1303"/>
      <c r="I238" s="1303"/>
      <c r="J238" s="1303"/>
      <c r="K238" s="1303"/>
      <c r="L238" s="1303"/>
      <c r="M238" s="1303"/>
      <c r="N238" s="1303"/>
      <c r="O238" s="1303"/>
      <c r="P238" s="1304"/>
      <c r="Q238" s="1303"/>
      <c r="R238" s="1303"/>
      <c r="S238" s="1303"/>
      <c r="T238" s="1303"/>
      <c r="U238" s="1303"/>
      <c r="V238" s="1303"/>
      <c r="W238" s="1303"/>
      <c r="X238" s="1303"/>
      <c r="Y238" s="1303"/>
      <c r="Z238" s="1303"/>
      <c r="AA238" s="1303"/>
      <c r="AB238" s="1303"/>
      <c r="AC238" s="1303"/>
      <c r="AD238" s="1303"/>
      <c r="AE238" s="1303"/>
      <c r="AF238" s="1303"/>
      <c r="AG238" s="1303"/>
      <c r="AH238" s="1207"/>
    </row>
    <row r="239" spans="1:34" x14ac:dyDescent="0.2">
      <c r="A239" s="1233"/>
      <c r="B239" s="1234"/>
      <c r="C239" s="1305"/>
      <c r="D239" s="1297"/>
      <c r="E239" s="1297"/>
      <c r="F239" s="1298"/>
      <c r="G239" s="1298"/>
      <c r="H239" s="1298"/>
      <c r="I239" s="1298"/>
      <c r="J239" s="1298"/>
      <c r="K239" s="1298"/>
      <c r="L239" s="1298"/>
      <c r="M239" s="1298"/>
      <c r="N239" s="1298"/>
      <c r="O239" s="1298"/>
      <c r="P239" s="1299"/>
      <c r="Q239" s="1298"/>
      <c r="R239" s="1298"/>
      <c r="S239" s="1298"/>
      <c r="T239" s="1298"/>
      <c r="U239" s="1298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07"/>
    </row>
    <row r="240" spans="1:34" x14ac:dyDescent="0.2">
      <c r="A240" s="1236" t="s">
        <v>15</v>
      </c>
      <c r="B240" s="1237"/>
      <c r="C240" s="1302">
        <f>B221+C237</f>
        <v>-21648.97</v>
      </c>
      <c r="D240" s="1302">
        <f t="shared" ref="D240:AG240" si="26">C247+D237</f>
        <v>-21648.97</v>
      </c>
      <c r="E240" s="1302">
        <f t="shared" si="26"/>
        <v>-21648.97</v>
      </c>
      <c r="F240" s="1302">
        <f t="shared" si="26"/>
        <v>-21648.97</v>
      </c>
      <c r="G240" s="1302">
        <f t="shared" si="26"/>
        <v>-21648.97</v>
      </c>
      <c r="H240" s="1302">
        <f t="shared" si="26"/>
        <v>-21648.97</v>
      </c>
      <c r="I240" s="1302">
        <f t="shared" si="26"/>
        <v>-21648.97</v>
      </c>
      <c r="J240" s="1302">
        <f t="shared" si="26"/>
        <v>-21648.97</v>
      </c>
      <c r="K240" s="1302">
        <f t="shared" si="26"/>
        <v>-21648.97</v>
      </c>
      <c r="L240" s="1302">
        <f t="shared" si="26"/>
        <v>-21648.97</v>
      </c>
      <c r="M240" s="1302">
        <f t="shared" si="26"/>
        <v>-21648.97</v>
      </c>
      <c r="N240" s="1302">
        <f t="shared" si="26"/>
        <v>-21648.97</v>
      </c>
      <c r="O240" s="1302">
        <f t="shared" si="26"/>
        <v>-21648.97</v>
      </c>
      <c r="P240" s="1306">
        <f t="shared" si="26"/>
        <v>-21648.97</v>
      </c>
      <c r="Q240" s="1302">
        <f t="shared" si="26"/>
        <v>-21648.97</v>
      </c>
      <c r="R240" s="1302">
        <f t="shared" si="26"/>
        <v>-21648.97</v>
      </c>
      <c r="S240" s="1302">
        <f t="shared" si="26"/>
        <v>-21648.97</v>
      </c>
      <c r="T240" s="1302">
        <f t="shared" si="26"/>
        <v>-21648.97</v>
      </c>
      <c r="U240" s="1302">
        <f t="shared" si="26"/>
        <v>-21648.97</v>
      </c>
      <c r="V240" s="1302">
        <f t="shared" si="26"/>
        <v>-21648.97</v>
      </c>
      <c r="W240" s="1302">
        <f t="shared" si="26"/>
        <v>-21648.97</v>
      </c>
      <c r="X240" s="1302">
        <f t="shared" si="26"/>
        <v>-21648.97</v>
      </c>
      <c r="Y240" s="1302">
        <f t="shared" si="26"/>
        <v>-21648.97</v>
      </c>
      <c r="Z240" s="1302">
        <f t="shared" si="26"/>
        <v>-21648.97</v>
      </c>
      <c r="AA240" s="1302">
        <f t="shared" si="26"/>
        <v>-21648.97</v>
      </c>
      <c r="AB240" s="1302">
        <f t="shared" si="26"/>
        <v>-21648.97</v>
      </c>
      <c r="AC240" s="1302">
        <f t="shared" si="26"/>
        <v>-21648.97</v>
      </c>
      <c r="AD240" s="1302">
        <f t="shared" si="26"/>
        <v>-21648.97</v>
      </c>
      <c r="AE240" s="1302">
        <f t="shared" si="26"/>
        <v>-21648.97</v>
      </c>
      <c r="AF240" s="1302">
        <f t="shared" si="26"/>
        <v>-21648.97</v>
      </c>
      <c r="AG240" s="1302">
        <f t="shared" si="26"/>
        <v>-21648.97</v>
      </c>
      <c r="AH240" s="1207"/>
    </row>
    <row r="241" spans="1:34" ht="13.5" thickBot="1" x14ac:dyDescent="0.25">
      <c r="A241" s="1250"/>
      <c r="B241" s="1307"/>
      <c r="C241" s="1308"/>
      <c r="D241" s="1308"/>
      <c r="E241" s="1308"/>
      <c r="F241" s="1309"/>
      <c r="G241" s="1309"/>
      <c r="H241" s="1309"/>
      <c r="I241" s="1309"/>
      <c r="J241" s="1309"/>
      <c r="K241" s="1309"/>
      <c r="L241" s="1309"/>
      <c r="M241" s="1309"/>
      <c r="N241" s="1309"/>
      <c r="O241" s="1309"/>
      <c r="P241" s="1310"/>
      <c r="Q241" s="1309"/>
      <c r="R241" s="1309"/>
      <c r="S241" s="1309"/>
      <c r="T241" s="1309"/>
      <c r="U241" s="1309"/>
      <c r="V241" s="1309"/>
      <c r="W241" s="1309"/>
      <c r="X241" s="1309"/>
      <c r="Y241" s="1309"/>
      <c r="Z241" s="1309"/>
      <c r="AA241" s="1309"/>
      <c r="AB241" s="1309"/>
      <c r="AC241" s="1309"/>
      <c r="AD241" s="1309"/>
      <c r="AE241" s="1309"/>
      <c r="AF241" s="1309"/>
      <c r="AG241" s="1309"/>
      <c r="AH241" s="1207"/>
    </row>
    <row r="242" spans="1:34" x14ac:dyDescent="0.2">
      <c r="A242" s="1233"/>
      <c r="B242" s="1234"/>
      <c r="C242" s="1297"/>
      <c r="D242" s="1297"/>
      <c r="E242" s="1297"/>
      <c r="F242" s="1298"/>
      <c r="G242" s="1298"/>
      <c r="H242" s="1298"/>
      <c r="I242" s="1298"/>
      <c r="J242" s="1298"/>
      <c r="K242" s="1298"/>
      <c r="L242" s="1298"/>
      <c r="M242" s="1298"/>
      <c r="N242" s="1298"/>
      <c r="O242" s="1298"/>
      <c r="P242" s="1299"/>
      <c r="Q242" s="1298"/>
      <c r="R242" s="1298"/>
      <c r="S242" s="1298"/>
      <c r="T242" s="1298"/>
      <c r="U242" s="1298"/>
      <c r="V242" s="1298"/>
      <c r="W242" s="1298"/>
      <c r="X242" s="1298"/>
      <c r="Y242" s="1298"/>
      <c r="Z242" s="1298"/>
      <c r="AA242" s="1298"/>
      <c r="AB242" s="1298"/>
      <c r="AC242" s="1298"/>
      <c r="AD242" s="1298"/>
      <c r="AE242" s="1298"/>
      <c r="AF242" s="1298"/>
      <c r="AG242" s="1298"/>
      <c r="AH242" s="1207"/>
    </row>
    <row r="243" spans="1:34" x14ac:dyDescent="0.2">
      <c r="A243" s="1236" t="s">
        <v>82</v>
      </c>
      <c r="B243" s="1237"/>
      <c r="C243" s="1302">
        <f t="shared" ref="C243:AG244" si="27">C251</f>
        <v>0</v>
      </c>
      <c r="D243" s="1302">
        <f t="shared" si="27"/>
        <v>0</v>
      </c>
      <c r="E243" s="1302">
        <f t="shared" si="27"/>
        <v>0</v>
      </c>
      <c r="F243" s="1302">
        <f t="shared" si="27"/>
        <v>0</v>
      </c>
      <c r="G243" s="1302">
        <f t="shared" si="27"/>
        <v>0</v>
      </c>
      <c r="H243" s="1302">
        <f t="shared" si="27"/>
        <v>0</v>
      </c>
      <c r="I243" s="1302">
        <f t="shared" si="27"/>
        <v>0</v>
      </c>
      <c r="J243" s="1302">
        <f t="shared" si="27"/>
        <v>0</v>
      </c>
      <c r="K243" s="1302">
        <f t="shared" si="27"/>
        <v>0</v>
      </c>
      <c r="L243" s="1302">
        <f t="shared" si="27"/>
        <v>0</v>
      </c>
      <c r="M243" s="1302">
        <f t="shared" si="27"/>
        <v>0</v>
      </c>
      <c r="N243" s="1302">
        <f t="shared" si="27"/>
        <v>0</v>
      </c>
      <c r="O243" s="1302">
        <f t="shared" si="27"/>
        <v>0</v>
      </c>
      <c r="P243" s="1306">
        <f t="shared" si="27"/>
        <v>0</v>
      </c>
      <c r="Q243" s="1302">
        <f t="shared" si="27"/>
        <v>0</v>
      </c>
      <c r="R243" s="1302">
        <f t="shared" si="27"/>
        <v>0</v>
      </c>
      <c r="S243" s="1302">
        <f t="shared" si="27"/>
        <v>0</v>
      </c>
      <c r="T243" s="1302">
        <f t="shared" si="27"/>
        <v>0</v>
      </c>
      <c r="U243" s="1302">
        <f t="shared" si="27"/>
        <v>0</v>
      </c>
      <c r="V243" s="1302">
        <f t="shared" si="27"/>
        <v>0</v>
      </c>
      <c r="W243" s="1302">
        <f t="shared" si="27"/>
        <v>0</v>
      </c>
      <c r="X243" s="1302">
        <f t="shared" si="27"/>
        <v>0</v>
      </c>
      <c r="Y243" s="1302">
        <f t="shared" si="27"/>
        <v>0</v>
      </c>
      <c r="Z243" s="1302">
        <f t="shared" si="27"/>
        <v>0</v>
      </c>
      <c r="AA243" s="1302">
        <f t="shared" si="27"/>
        <v>0</v>
      </c>
      <c r="AB243" s="1302">
        <f t="shared" si="27"/>
        <v>0</v>
      </c>
      <c r="AC243" s="1302">
        <f t="shared" si="27"/>
        <v>0</v>
      </c>
      <c r="AD243" s="1302">
        <f t="shared" si="27"/>
        <v>0</v>
      </c>
      <c r="AE243" s="1302">
        <f t="shared" si="27"/>
        <v>0</v>
      </c>
      <c r="AF243" s="1302">
        <f t="shared" si="27"/>
        <v>0</v>
      </c>
      <c r="AG243" s="1302">
        <f t="shared" si="27"/>
        <v>0</v>
      </c>
      <c r="AH243" s="1207"/>
    </row>
    <row r="244" spans="1:34" x14ac:dyDescent="0.2">
      <c r="A244" s="1236" t="s">
        <v>83</v>
      </c>
      <c r="B244" s="1237"/>
      <c r="C244" s="1306">
        <f t="shared" si="27"/>
        <v>0</v>
      </c>
      <c r="D244" s="1306">
        <f t="shared" si="27"/>
        <v>0</v>
      </c>
      <c r="E244" s="1306">
        <f t="shared" si="27"/>
        <v>0</v>
      </c>
      <c r="F244" s="1306">
        <f t="shared" si="27"/>
        <v>0</v>
      </c>
      <c r="G244" s="1306">
        <f t="shared" si="27"/>
        <v>0</v>
      </c>
      <c r="H244" s="1306">
        <f t="shared" si="27"/>
        <v>0</v>
      </c>
      <c r="I244" s="1306">
        <f t="shared" si="27"/>
        <v>0</v>
      </c>
      <c r="J244" s="1306">
        <f t="shared" si="27"/>
        <v>0</v>
      </c>
      <c r="K244" s="1306">
        <f t="shared" si="27"/>
        <v>0</v>
      </c>
      <c r="L244" s="1306">
        <f t="shared" si="27"/>
        <v>0</v>
      </c>
      <c r="M244" s="1306">
        <f t="shared" si="27"/>
        <v>0</v>
      </c>
      <c r="N244" s="1306">
        <f t="shared" si="27"/>
        <v>0</v>
      </c>
      <c r="O244" s="1306">
        <f t="shared" si="27"/>
        <v>0</v>
      </c>
      <c r="P244" s="1306">
        <f t="shared" si="27"/>
        <v>0</v>
      </c>
      <c r="Q244" s="1306">
        <f t="shared" si="27"/>
        <v>0</v>
      </c>
      <c r="R244" s="1306">
        <f t="shared" si="27"/>
        <v>0</v>
      </c>
      <c r="S244" s="1306">
        <f t="shared" si="27"/>
        <v>0</v>
      </c>
      <c r="T244" s="1306">
        <f t="shared" si="27"/>
        <v>0</v>
      </c>
      <c r="U244" s="1306">
        <f t="shared" si="27"/>
        <v>0</v>
      </c>
      <c r="V244" s="1306">
        <f t="shared" si="27"/>
        <v>0</v>
      </c>
      <c r="W244" s="1306">
        <f t="shared" si="27"/>
        <v>0</v>
      </c>
      <c r="X244" s="1306">
        <f t="shared" si="27"/>
        <v>0</v>
      </c>
      <c r="Y244" s="1306">
        <f t="shared" si="27"/>
        <v>0</v>
      </c>
      <c r="Z244" s="1306">
        <f t="shared" si="27"/>
        <v>0</v>
      </c>
      <c r="AA244" s="1306">
        <f t="shared" si="27"/>
        <v>0</v>
      </c>
      <c r="AB244" s="1306">
        <f t="shared" si="27"/>
        <v>0</v>
      </c>
      <c r="AC244" s="1306">
        <f t="shared" si="27"/>
        <v>0</v>
      </c>
      <c r="AD244" s="1306">
        <f t="shared" si="27"/>
        <v>0</v>
      </c>
      <c r="AE244" s="1306">
        <f t="shared" si="27"/>
        <v>0</v>
      </c>
      <c r="AF244" s="1306">
        <f t="shared" si="27"/>
        <v>0</v>
      </c>
      <c r="AG244" s="1306">
        <f t="shared" si="27"/>
        <v>0</v>
      </c>
      <c r="AH244" s="1207"/>
    </row>
    <row r="245" spans="1:34" ht="13.5" thickBot="1" x14ac:dyDescent="0.25">
      <c r="A245" s="1250"/>
      <c r="B245" s="1307"/>
      <c r="C245" s="1308"/>
      <c r="D245" s="1308"/>
      <c r="E245" s="1308"/>
      <c r="F245" s="1309"/>
      <c r="G245" s="1309"/>
      <c r="H245" s="1309"/>
      <c r="I245" s="1309"/>
      <c r="J245" s="1309"/>
      <c r="K245" s="1309"/>
      <c r="L245" s="1309"/>
      <c r="M245" s="1309"/>
      <c r="N245" s="1309"/>
      <c r="O245" s="1309"/>
      <c r="P245" s="1310"/>
      <c r="Q245" s="1309"/>
      <c r="R245" s="1309"/>
      <c r="S245" s="1309"/>
      <c r="T245" s="1309"/>
      <c r="U245" s="1309"/>
      <c r="V245" s="1309"/>
      <c r="W245" s="1309"/>
      <c r="X245" s="1309"/>
      <c r="Y245" s="1309"/>
      <c r="Z245" s="1309"/>
      <c r="AA245" s="1309"/>
      <c r="AB245" s="1309"/>
      <c r="AC245" s="1309"/>
      <c r="AD245" s="1309"/>
      <c r="AE245" s="1309"/>
      <c r="AF245" s="1309"/>
      <c r="AG245" s="1309"/>
      <c r="AH245" s="1207"/>
    </row>
    <row r="246" spans="1:34" x14ac:dyDescent="0.2">
      <c r="A246" s="1236"/>
      <c r="B246" s="1237"/>
      <c r="C246" s="1302"/>
      <c r="D246" s="1302"/>
      <c r="E246" s="1302"/>
      <c r="F246" s="1303"/>
      <c r="G246" s="1303"/>
      <c r="H246" s="1303"/>
      <c r="I246" s="1303"/>
      <c r="J246" s="1303"/>
      <c r="K246" s="1303"/>
      <c r="L246" s="1303"/>
      <c r="M246" s="1303"/>
      <c r="N246" s="1303"/>
      <c r="O246" s="1303"/>
      <c r="P246" s="1304"/>
      <c r="Q246" s="1303"/>
      <c r="R246" s="1303"/>
      <c r="S246" s="1303"/>
      <c r="T246" s="1303"/>
      <c r="U246" s="1303"/>
      <c r="V246" s="1303"/>
      <c r="W246" s="1303"/>
      <c r="X246" s="1303"/>
      <c r="Y246" s="1303"/>
      <c r="Z246" s="1303"/>
      <c r="AA246" s="1303"/>
      <c r="AB246" s="1303"/>
      <c r="AC246" s="1303"/>
      <c r="AD246" s="1303"/>
      <c r="AE246" s="1303"/>
      <c r="AF246" s="1303"/>
      <c r="AG246" s="1303"/>
      <c r="AH246" s="1207"/>
    </row>
    <row r="247" spans="1:34" x14ac:dyDescent="0.2">
      <c r="A247" s="1236" t="s">
        <v>14</v>
      </c>
      <c r="B247" s="1237"/>
      <c r="C247" s="1302">
        <f t="shared" ref="C247:AG247" si="28">C240+C243+C244</f>
        <v>-21648.97</v>
      </c>
      <c r="D247" s="1302">
        <f t="shared" si="28"/>
        <v>-21648.97</v>
      </c>
      <c r="E247" s="1302">
        <f t="shared" si="28"/>
        <v>-21648.97</v>
      </c>
      <c r="F247" s="1302">
        <f t="shared" si="28"/>
        <v>-21648.97</v>
      </c>
      <c r="G247" s="1302">
        <f t="shared" si="28"/>
        <v>-21648.97</v>
      </c>
      <c r="H247" s="1302">
        <f t="shared" si="28"/>
        <v>-21648.97</v>
      </c>
      <c r="I247" s="1302">
        <f t="shared" si="28"/>
        <v>-21648.97</v>
      </c>
      <c r="J247" s="1302">
        <f t="shared" si="28"/>
        <v>-21648.97</v>
      </c>
      <c r="K247" s="1302">
        <f t="shared" si="28"/>
        <v>-21648.97</v>
      </c>
      <c r="L247" s="1302">
        <f t="shared" si="28"/>
        <v>-21648.97</v>
      </c>
      <c r="M247" s="1302">
        <f t="shared" si="28"/>
        <v>-21648.97</v>
      </c>
      <c r="N247" s="1302">
        <f t="shared" si="28"/>
        <v>-21648.97</v>
      </c>
      <c r="O247" s="1302">
        <f t="shared" si="28"/>
        <v>-21648.97</v>
      </c>
      <c r="P247" s="1306">
        <f t="shared" si="28"/>
        <v>-21648.97</v>
      </c>
      <c r="Q247" s="1302">
        <f t="shared" si="28"/>
        <v>-21648.97</v>
      </c>
      <c r="R247" s="1302">
        <f t="shared" si="28"/>
        <v>-21648.97</v>
      </c>
      <c r="S247" s="1302">
        <f t="shared" si="28"/>
        <v>-21648.97</v>
      </c>
      <c r="T247" s="1302">
        <f t="shared" si="28"/>
        <v>-21648.97</v>
      </c>
      <c r="U247" s="1302">
        <f t="shared" si="28"/>
        <v>-21648.97</v>
      </c>
      <c r="V247" s="1302">
        <f t="shared" si="28"/>
        <v>-21648.97</v>
      </c>
      <c r="W247" s="1302">
        <f t="shared" si="28"/>
        <v>-21648.97</v>
      </c>
      <c r="X247" s="1302">
        <f t="shared" si="28"/>
        <v>-21648.97</v>
      </c>
      <c r="Y247" s="1302">
        <f t="shared" si="28"/>
        <v>-21648.97</v>
      </c>
      <c r="Z247" s="1302">
        <f t="shared" si="28"/>
        <v>-21648.97</v>
      </c>
      <c r="AA247" s="1302">
        <f t="shared" si="28"/>
        <v>-21648.97</v>
      </c>
      <c r="AB247" s="1302">
        <f t="shared" si="28"/>
        <v>-21648.97</v>
      </c>
      <c r="AC247" s="1302">
        <f t="shared" si="28"/>
        <v>-21648.97</v>
      </c>
      <c r="AD247" s="1302">
        <f t="shared" si="28"/>
        <v>-21648.97</v>
      </c>
      <c r="AE247" s="1302">
        <f t="shared" si="28"/>
        <v>-21648.97</v>
      </c>
      <c r="AF247" s="1302">
        <f t="shared" si="28"/>
        <v>-21648.97</v>
      </c>
      <c r="AG247" s="1302">
        <f t="shared" si="28"/>
        <v>-21648.97</v>
      </c>
      <c r="AH247" s="1207"/>
    </row>
    <row r="248" spans="1:34" x14ac:dyDescent="0.2">
      <c r="A248" s="1236"/>
      <c r="B248" s="1237"/>
      <c r="C248" s="1302"/>
      <c r="D248" s="1302"/>
      <c r="E248" s="1302"/>
      <c r="F248" s="1303"/>
      <c r="G248" s="1303"/>
      <c r="H248" s="1303"/>
      <c r="I248" s="1303"/>
      <c r="J248" s="1303"/>
      <c r="K248" s="1303"/>
      <c r="L248" s="1303"/>
      <c r="M248" s="1303"/>
      <c r="N248" s="1303"/>
      <c r="O248" s="1303"/>
      <c r="P248" s="1304"/>
      <c r="Q248" s="1303"/>
      <c r="R248" s="1303"/>
      <c r="S248" s="1303"/>
      <c r="T248" s="1303"/>
      <c r="U248" s="1303"/>
      <c r="V248" s="1303"/>
      <c r="W248" s="1303"/>
      <c r="X248" s="1303"/>
      <c r="Y248" s="1303"/>
      <c r="Z248" s="1303"/>
      <c r="AA248" s="1303"/>
      <c r="AB248" s="1303"/>
      <c r="AC248" s="1303"/>
      <c r="AD248" s="1303"/>
      <c r="AE248" s="1303"/>
      <c r="AF248" s="1303"/>
      <c r="AG248" s="1303"/>
      <c r="AH248" s="1207"/>
    </row>
    <row r="249" spans="1:34" ht="13.5" thickBot="1" x14ac:dyDescent="0.25">
      <c r="A249" s="1250"/>
      <c r="B249" s="1307"/>
      <c r="C249" s="1312"/>
      <c r="D249" s="1312"/>
      <c r="E249" s="1312"/>
      <c r="F249" s="1313"/>
      <c r="G249" s="1313"/>
      <c r="H249" s="1313"/>
      <c r="I249" s="1313"/>
      <c r="J249" s="1313"/>
      <c r="K249" s="1313"/>
      <c r="L249" s="1313"/>
      <c r="M249" s="1313"/>
      <c r="N249" s="1313"/>
      <c r="O249" s="1313"/>
      <c r="P249" s="1314"/>
      <c r="Q249" s="1313"/>
      <c r="R249" s="1313"/>
      <c r="S249" s="1313"/>
      <c r="T249" s="1313"/>
      <c r="U249" s="1313"/>
      <c r="V249" s="1313"/>
      <c r="W249" s="1313"/>
      <c r="X249" s="1313"/>
      <c r="Y249" s="1313"/>
      <c r="Z249" s="1313"/>
      <c r="AA249" s="1313"/>
      <c r="AB249" s="1313"/>
      <c r="AC249" s="1313"/>
      <c r="AD249" s="1313"/>
      <c r="AE249" s="1313"/>
      <c r="AF249" s="1313"/>
      <c r="AG249" s="1313"/>
      <c r="AH249" s="1207"/>
    </row>
    <row r="250" spans="1:34" x14ac:dyDescent="0.2">
      <c r="A250" s="1316"/>
      <c r="B250" s="1207"/>
      <c r="C250" s="1227"/>
      <c r="D250" s="1227"/>
      <c r="E250" s="1227"/>
      <c r="F250" s="1227"/>
      <c r="G250" s="1227"/>
      <c r="H250" s="1227"/>
      <c r="I250" s="1227"/>
      <c r="J250" s="1227"/>
      <c r="K250" s="1227"/>
      <c r="L250" s="1227"/>
      <c r="M250" s="1227"/>
      <c r="N250" s="1227"/>
      <c r="O250" s="1227"/>
      <c r="P250" s="1229"/>
      <c r="Q250" s="1227"/>
      <c r="R250" s="1227"/>
      <c r="S250" s="1227"/>
      <c r="T250" s="1227"/>
      <c r="U250" s="1227"/>
      <c r="V250" s="1227"/>
      <c r="W250" s="1227"/>
      <c r="X250" s="1227"/>
      <c r="Y250" s="1227"/>
      <c r="Z250" s="1227"/>
      <c r="AA250" s="1227"/>
      <c r="AB250" s="1227"/>
      <c r="AC250" s="1227"/>
      <c r="AD250" s="1227"/>
      <c r="AE250" s="1227"/>
      <c r="AF250" s="1227"/>
      <c r="AG250" s="1227"/>
      <c r="AH250" s="1227">
        <f>SUM(C250:AG250)</f>
        <v>0</v>
      </c>
    </row>
    <row r="251" spans="1:34" x14ac:dyDescent="0.2">
      <c r="A251" s="1316"/>
      <c r="B251" s="1207"/>
      <c r="C251" s="1219"/>
      <c r="D251" s="1219"/>
      <c r="E251" s="1219"/>
      <c r="F251" s="1219"/>
      <c r="G251" s="1220"/>
      <c r="H251" s="1219"/>
      <c r="I251" s="1219"/>
      <c r="J251" s="1219"/>
      <c r="K251" s="1219"/>
      <c r="L251" s="1220"/>
      <c r="M251" s="1220"/>
      <c r="N251" s="1221"/>
      <c r="O251" s="1220"/>
      <c r="P251" s="1221"/>
      <c r="Q251" s="1219"/>
      <c r="R251" s="1219"/>
      <c r="S251" s="1219"/>
      <c r="T251" s="1219"/>
      <c r="U251" s="1219"/>
      <c r="V251" s="1221"/>
      <c r="W251" s="1219"/>
      <c r="X251" s="1219"/>
      <c r="Y251" s="1219"/>
      <c r="Z251" s="1219"/>
      <c r="AA251" s="1384"/>
      <c r="AB251" s="1219"/>
      <c r="AC251" s="1219"/>
      <c r="AD251" s="1220"/>
      <c r="AE251" s="1219"/>
      <c r="AF251" s="1221"/>
      <c r="AG251" s="1219"/>
      <c r="AH251" s="1345"/>
    </row>
    <row r="252" spans="1:34" x14ac:dyDescent="0.2">
      <c r="A252" s="1207"/>
      <c r="B252" s="1207"/>
      <c r="C252" s="1207"/>
      <c r="D252" s="1219"/>
      <c r="E252" s="1347"/>
      <c r="F252" s="1207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8"/>
      <c r="Q252" s="1227"/>
      <c r="R252" s="1207"/>
      <c r="S252" s="1345"/>
      <c r="T252" s="1207"/>
      <c r="U252" s="1207"/>
      <c r="V252" s="1207"/>
      <c r="W252" s="1207"/>
      <c r="X252" s="1207"/>
      <c r="Y252" s="1345"/>
      <c r="Z252" s="1345"/>
      <c r="AA252" s="1345"/>
      <c r="AB252" s="1345"/>
      <c r="AC252" s="1345"/>
      <c r="AD252" s="1345"/>
      <c r="AE252" s="1345"/>
      <c r="AF252" s="1345"/>
      <c r="AG252" s="1345"/>
      <c r="AH252" s="1227">
        <f>SUM(C252:AG252)</f>
        <v>0</v>
      </c>
    </row>
    <row r="253" spans="1:34" x14ac:dyDescent="0.2">
      <c r="A253" s="1210" t="s">
        <v>415</v>
      </c>
      <c r="B253" s="1215">
        <f>B254+B255+B257</f>
        <v>425000</v>
      </c>
      <c r="C253" s="1207"/>
      <c r="D253" s="1207"/>
      <c r="E253" s="1207"/>
      <c r="F253" s="1207"/>
      <c r="G253" s="1207"/>
      <c r="H253" s="1207"/>
      <c r="I253" s="1207"/>
      <c r="J253" s="1207"/>
      <c r="K253" s="1392"/>
      <c r="L253" s="1207"/>
      <c r="M253" s="1207"/>
      <c r="N253" s="1207"/>
      <c r="O253" s="1207"/>
      <c r="P253" s="1208"/>
      <c r="Q253" s="1207"/>
      <c r="R253" s="1207"/>
      <c r="S253" s="1207"/>
      <c r="T253" s="1207"/>
      <c r="U253" s="1207"/>
      <c r="V253" s="1207"/>
      <c r="W253" s="1207"/>
      <c r="X253" s="1207"/>
      <c r="Y253" s="1207"/>
      <c r="Z253" s="1207"/>
      <c r="AA253" s="1384"/>
      <c r="AB253" s="1207"/>
      <c r="AC253" s="1207"/>
      <c r="AD253" s="1207"/>
      <c r="AE253" s="1207"/>
      <c r="AF253" s="1207"/>
      <c r="AG253" s="1207"/>
      <c r="AH253" s="1207"/>
    </row>
    <row r="254" spans="1:34" x14ac:dyDescent="0.2">
      <c r="A254" s="1365" t="s">
        <v>414</v>
      </c>
      <c r="B254" s="1219">
        <v>25000</v>
      </c>
      <c r="C254" s="1207"/>
      <c r="D254" s="1207"/>
      <c r="E254" s="1227"/>
      <c r="F254" s="1227"/>
      <c r="G254" s="1227"/>
      <c r="H254" s="1207"/>
      <c r="I254" s="1207"/>
      <c r="J254" s="1207"/>
      <c r="K254" s="1207"/>
      <c r="L254" s="1207"/>
      <c r="M254" s="1207"/>
      <c r="N254" s="1207"/>
      <c r="O254" s="1207"/>
      <c r="P254" s="1208"/>
      <c r="Q254" s="1207"/>
      <c r="R254" s="1207"/>
      <c r="S254" s="1207"/>
      <c r="T254" s="1207"/>
      <c r="U254" s="1227"/>
      <c r="V254" s="1207"/>
      <c r="W254" s="1207"/>
      <c r="X254" s="1207"/>
      <c r="Y254" s="1207"/>
      <c r="Z254" s="1207"/>
      <c r="AA254" s="1354"/>
      <c r="AB254" s="1207"/>
      <c r="AC254" s="1207"/>
      <c r="AD254" s="1207"/>
      <c r="AE254" s="1207"/>
      <c r="AF254" s="1207"/>
      <c r="AG254" s="1227"/>
      <c r="AH254" s="1207"/>
    </row>
    <row r="255" spans="1:34" x14ac:dyDescent="0.2">
      <c r="A255" s="1365" t="s">
        <v>287</v>
      </c>
      <c r="B255" s="1219">
        <v>300000</v>
      </c>
      <c r="C255" s="1207"/>
      <c r="D255" s="1207"/>
      <c r="E255" s="1207"/>
      <c r="F255" s="1207"/>
      <c r="G255" s="1207"/>
      <c r="H255" s="1207"/>
      <c r="I255" s="1207"/>
      <c r="J255" s="1207"/>
      <c r="K255" s="1207"/>
      <c r="L255" s="1207"/>
      <c r="M255" s="1207"/>
      <c r="N255" s="1207"/>
      <c r="O255" s="1207"/>
      <c r="P255" s="1208"/>
      <c r="Q255" s="1207"/>
      <c r="R255" s="1207"/>
      <c r="S255" s="1207"/>
      <c r="T255" s="1207"/>
      <c r="U255" s="1227"/>
      <c r="V255" s="1207"/>
      <c r="W255" s="1207"/>
      <c r="X255" s="1207"/>
      <c r="Y255" s="1207"/>
      <c r="Z255" s="1207"/>
      <c r="AA255" s="1207"/>
      <c r="AB255" s="1207"/>
      <c r="AC255" s="1207"/>
      <c r="AD255" s="1207"/>
      <c r="AE255" s="1207"/>
      <c r="AF255" s="1392"/>
      <c r="AG255" s="1207"/>
      <c r="AH255" s="1207"/>
    </row>
    <row r="256" spans="1:34" x14ac:dyDescent="0.2">
      <c r="A256" s="1316" t="s">
        <v>413</v>
      </c>
      <c r="B256" s="1219"/>
      <c r="C256" s="1207"/>
      <c r="D256" s="1207"/>
      <c r="E256" s="1207"/>
      <c r="F256" s="1207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8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07"/>
      <c r="AA256" s="1207"/>
      <c r="AB256" s="1207"/>
      <c r="AC256" s="1207"/>
      <c r="AD256" s="1207"/>
      <c r="AE256" s="1207"/>
      <c r="AF256" s="1207"/>
      <c r="AG256" s="1207"/>
      <c r="AH256" s="1207"/>
    </row>
    <row r="257" spans="1:34" x14ac:dyDescent="0.2">
      <c r="A257" s="1316" t="s">
        <v>441</v>
      </c>
      <c r="B257" s="1219">
        <v>100000</v>
      </c>
      <c r="C257" s="1207"/>
      <c r="D257" s="1207"/>
      <c r="E257" s="1207"/>
      <c r="F257" s="1207"/>
      <c r="G257" s="1207"/>
      <c r="H257" s="1207"/>
      <c r="I257" s="1207"/>
      <c r="J257" s="1207"/>
      <c r="K257" s="1207"/>
      <c r="L257" s="1207"/>
      <c r="M257" s="1207"/>
      <c r="N257" s="1207"/>
      <c r="O257" s="1207"/>
      <c r="P257" s="1208"/>
      <c r="Q257" s="1207"/>
      <c r="R257" s="1207"/>
      <c r="S257" s="1207"/>
      <c r="T257" s="1207"/>
      <c r="U257" s="1207"/>
      <c r="V257" s="1207"/>
      <c r="W257" s="1207"/>
      <c r="X257" s="1207"/>
      <c r="Y257" s="1207"/>
      <c r="Z257" s="1207"/>
      <c r="AA257" s="1207"/>
      <c r="AB257" s="1207"/>
      <c r="AC257" s="1207"/>
      <c r="AD257" s="1207"/>
      <c r="AE257" s="1207"/>
      <c r="AF257" s="1207"/>
      <c r="AG257" s="1207"/>
      <c r="AH257" s="1207"/>
    </row>
    <row r="258" spans="1:34" x14ac:dyDescent="0.2">
      <c r="A258" s="1207"/>
      <c r="B258" s="1207"/>
      <c r="C258" s="1207"/>
      <c r="D258" s="1207"/>
      <c r="E258" s="1207"/>
      <c r="F258" s="1207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8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07"/>
      <c r="AA258" s="1207"/>
      <c r="AB258" s="1207"/>
      <c r="AC258" s="1207"/>
      <c r="AD258" s="1207"/>
      <c r="AE258" s="1207"/>
      <c r="AF258" s="1207"/>
      <c r="AG258" s="1207"/>
      <c r="AH258" s="1207"/>
    </row>
    <row r="259" spans="1:34" x14ac:dyDescent="0.2">
      <c r="A259" s="1207"/>
      <c r="B259" s="1207"/>
      <c r="C259" s="1207"/>
      <c r="D259" s="1207"/>
      <c r="E259" s="1207"/>
      <c r="F259" s="1207"/>
      <c r="G259" s="1207"/>
      <c r="H259" s="1207"/>
      <c r="I259" s="1207"/>
      <c r="J259" s="1207"/>
      <c r="K259" s="1207"/>
      <c r="L259" s="1207"/>
      <c r="M259" s="1207"/>
      <c r="N259" s="1207"/>
      <c r="O259" s="1207"/>
      <c r="P259" s="1208"/>
      <c r="Q259" s="1207"/>
      <c r="R259" s="1207"/>
      <c r="S259" s="1207"/>
      <c r="T259" s="1207"/>
      <c r="U259" s="1207"/>
      <c r="V259" s="1207"/>
      <c r="W259" s="1207"/>
      <c r="X259" s="1207"/>
      <c r="Y259" s="1207"/>
      <c r="Z259" s="1207"/>
      <c r="AA259" s="1207"/>
      <c r="AB259" s="1207"/>
      <c r="AC259" s="1207"/>
      <c r="AD259" s="1207"/>
      <c r="AE259" s="1207"/>
      <c r="AF259" s="1207"/>
      <c r="AG259" s="1207"/>
      <c r="AH259" s="1207"/>
    </row>
    <row r="260" spans="1:34" ht="13.5" thickBot="1" x14ac:dyDescent="0.25">
      <c r="A260" s="1207"/>
      <c r="B260" s="1207"/>
      <c r="C260" s="1207"/>
      <c r="D260" s="1207"/>
      <c r="E260" s="1207"/>
      <c r="F260" s="1207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8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1207"/>
      <c r="AD260" s="1207"/>
      <c r="AE260" s="1207"/>
      <c r="AF260" s="1207"/>
      <c r="AG260" s="1207"/>
      <c r="AH260" s="1207"/>
    </row>
    <row r="261" spans="1:34" x14ac:dyDescent="0.2">
      <c r="A261" s="1233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34"/>
      <c r="O261" s="1234"/>
      <c r="P261" s="1235"/>
      <c r="Q261" s="1234"/>
      <c r="R261" s="1234"/>
      <c r="S261" s="1234"/>
      <c r="T261" s="1234"/>
      <c r="U261" s="1234"/>
      <c r="V261" s="1234"/>
      <c r="W261" s="1234"/>
      <c r="X261" s="1234"/>
      <c r="Y261" s="1234"/>
      <c r="Z261" s="1234"/>
      <c r="AA261" s="1234"/>
      <c r="AB261" s="1234"/>
      <c r="AC261" s="1234"/>
      <c r="AD261" s="1234"/>
      <c r="AE261" s="1234"/>
      <c r="AF261" s="1234"/>
      <c r="AG261" s="1234"/>
      <c r="AH261" s="1207"/>
    </row>
    <row r="262" spans="1:34" x14ac:dyDescent="0.2">
      <c r="A262" s="1236"/>
      <c r="B262" s="1237" t="s">
        <v>37</v>
      </c>
      <c r="C262" s="1237"/>
      <c r="D262" s="1237"/>
      <c r="E262" s="1238" t="s">
        <v>824</v>
      </c>
      <c r="F262" s="1239" t="s">
        <v>340</v>
      </c>
      <c r="G262" s="1563"/>
      <c r="H262" s="1239"/>
      <c r="I262" s="1239"/>
      <c r="J262" s="1239"/>
      <c r="K262" s="1239"/>
      <c r="L262" s="1239"/>
      <c r="M262" s="1239"/>
      <c r="N262" s="1239"/>
      <c r="O262" s="1239"/>
      <c r="P262" s="1240"/>
      <c r="Q262" s="1239"/>
      <c r="R262" s="1239"/>
      <c r="S262" s="1239"/>
      <c r="T262" s="1239"/>
      <c r="U262" s="1239"/>
      <c r="V262" s="1239"/>
      <c r="W262" s="1239"/>
      <c r="X262" s="1239"/>
      <c r="Y262" s="1239"/>
      <c r="Z262" s="1239"/>
      <c r="AA262" s="1239"/>
      <c r="AB262" s="1239"/>
      <c r="AC262" s="1239"/>
      <c r="AD262" s="1239"/>
      <c r="AE262" s="1239"/>
      <c r="AF262" s="1239"/>
      <c r="AG262" s="1239"/>
      <c r="AH262" s="1207"/>
    </row>
    <row r="263" spans="1:34" x14ac:dyDescent="0.2">
      <c r="A263" s="1236"/>
      <c r="B263" s="1237"/>
      <c r="C263" s="1237"/>
      <c r="D263" s="1237"/>
      <c r="E263" s="1237"/>
      <c r="F263" s="1237"/>
      <c r="G263" s="1237"/>
      <c r="H263" s="1237"/>
      <c r="I263" s="1237"/>
      <c r="J263" s="1237"/>
      <c r="K263" s="1237"/>
      <c r="L263" s="1237"/>
      <c r="M263" s="1237"/>
      <c r="N263" s="1237"/>
      <c r="O263" s="1237"/>
      <c r="P263" s="1241"/>
      <c r="Q263" s="1237"/>
      <c r="R263" s="1237"/>
      <c r="S263" s="1237"/>
      <c r="T263" s="1237"/>
      <c r="U263" s="1237"/>
      <c r="V263" s="1237"/>
      <c r="W263" s="1237"/>
      <c r="X263" s="1237"/>
      <c r="Y263" s="1237"/>
      <c r="Z263" s="1237"/>
      <c r="AA263" s="1237"/>
      <c r="AB263" s="1237"/>
      <c r="AC263" s="1237"/>
      <c r="AD263" s="1237"/>
      <c r="AE263" s="1237"/>
      <c r="AF263" s="1237"/>
      <c r="AG263" s="1237"/>
      <c r="AH263" s="1207"/>
    </row>
    <row r="264" spans="1:34" x14ac:dyDescent="0.2">
      <c r="A264" s="1236"/>
      <c r="B264" s="1237"/>
      <c r="C264" s="1239"/>
      <c r="D264" s="1239">
        <v>42587</v>
      </c>
      <c r="E264" s="1237"/>
      <c r="F264" s="1237"/>
      <c r="G264" s="1237"/>
      <c r="H264" s="1237"/>
      <c r="I264" s="1237"/>
      <c r="J264" s="1237"/>
      <c r="K264" s="1237"/>
      <c r="L264" s="1237"/>
      <c r="M264" s="1237"/>
      <c r="N264" s="1237"/>
      <c r="O264" s="1237"/>
      <c r="P264" s="1241"/>
      <c r="Q264" s="1237"/>
      <c r="R264" s="1237"/>
      <c r="S264" s="1237"/>
      <c r="T264" s="1237"/>
      <c r="U264" s="1237"/>
      <c r="V264" s="1237"/>
      <c r="W264" s="1237"/>
      <c r="X264" s="1237"/>
      <c r="Y264" s="1237"/>
      <c r="Z264" s="1237"/>
      <c r="AA264" s="1237"/>
      <c r="AB264" s="1237"/>
      <c r="AC264" s="1237"/>
      <c r="AD264" s="1237"/>
      <c r="AE264" s="1237"/>
      <c r="AF264" s="1237"/>
      <c r="AG264" s="1237"/>
      <c r="AH264" s="1207"/>
    </row>
    <row r="265" spans="1:34" x14ac:dyDescent="0.2">
      <c r="A265" s="1236"/>
      <c r="B265" s="1237"/>
      <c r="C265" s="1239"/>
      <c r="D265" s="1239"/>
      <c r="E265" s="1237"/>
      <c r="F265" s="1237"/>
      <c r="G265" s="1237"/>
      <c r="H265" s="1237"/>
      <c r="I265" s="1237"/>
      <c r="J265" s="1237"/>
      <c r="K265" s="1237"/>
      <c r="L265" s="1237"/>
      <c r="M265" s="1237"/>
      <c r="N265" s="1237"/>
      <c r="O265" s="1237"/>
      <c r="P265" s="1241"/>
      <c r="Q265" s="1237"/>
      <c r="R265" s="1237"/>
      <c r="S265" s="1237"/>
      <c r="T265" s="1237"/>
      <c r="U265" s="1237"/>
      <c r="V265" s="1237"/>
      <c r="W265" s="1237"/>
      <c r="X265" s="1237"/>
      <c r="Y265" s="1237"/>
      <c r="Z265" s="1237"/>
      <c r="AA265" s="1237"/>
      <c r="AB265" s="1237"/>
      <c r="AC265" s="1237"/>
      <c r="AD265" s="1237"/>
      <c r="AE265" s="1237"/>
      <c r="AF265" s="1237"/>
      <c r="AG265" s="1237"/>
      <c r="AH265" s="1207"/>
    </row>
    <row r="266" spans="1:34" ht="13.5" thickBot="1" x14ac:dyDescent="0.25">
      <c r="A266" s="1236"/>
      <c r="B266" s="1237"/>
      <c r="C266" s="1237"/>
      <c r="D266" s="1237"/>
      <c r="E266" s="1237"/>
      <c r="F266" s="1237"/>
      <c r="G266" s="1237"/>
      <c r="H266" s="1237"/>
      <c r="I266" s="1237"/>
      <c r="J266" s="1237"/>
      <c r="K266" s="1237"/>
      <c r="L266" s="1237"/>
      <c r="M266" s="1237"/>
      <c r="N266" s="1237"/>
      <c r="O266" s="1237"/>
      <c r="P266" s="1241"/>
      <c r="Q266" s="1237"/>
      <c r="R266" s="1237"/>
      <c r="S266" s="1237"/>
      <c r="T266" s="1237"/>
      <c r="U266" s="1237"/>
      <c r="V266" s="1237"/>
      <c r="W266" s="1237"/>
      <c r="X266" s="1237"/>
      <c r="Y266" s="1237"/>
      <c r="Z266" s="1237"/>
      <c r="AA266" s="1237"/>
      <c r="AB266" s="1237"/>
      <c r="AC266" s="1237"/>
      <c r="AD266" s="1237"/>
      <c r="AE266" s="1237"/>
      <c r="AF266" s="1237"/>
      <c r="AG266" s="1237"/>
      <c r="AH266" s="1207"/>
    </row>
    <row r="267" spans="1:34" ht="13.5" thickBot="1" x14ac:dyDescent="0.25">
      <c r="A267" s="1236"/>
      <c r="B267" s="1237"/>
      <c r="C267" s="1243"/>
      <c r="D267" s="1244" t="s">
        <v>16</v>
      </c>
      <c r="E267" s="1244"/>
      <c r="F267" s="1244"/>
      <c r="G267" s="1244"/>
      <c r="H267" s="1244"/>
      <c r="I267" s="1244"/>
      <c r="J267" s="1244"/>
      <c r="K267" s="1244"/>
      <c r="L267" s="1244"/>
      <c r="M267" s="1244"/>
      <c r="N267" s="1244"/>
      <c r="O267" s="1244"/>
      <c r="P267" s="1245"/>
      <c r="Q267" s="1244"/>
      <c r="R267" s="1244"/>
      <c r="S267" s="1244"/>
      <c r="T267" s="1244"/>
      <c r="U267" s="1244"/>
      <c r="V267" s="1244"/>
      <c r="W267" s="1244"/>
      <c r="X267" s="1244"/>
      <c r="Y267" s="1244"/>
      <c r="Z267" s="1244"/>
      <c r="AA267" s="1244"/>
      <c r="AB267" s="1244"/>
      <c r="AC267" s="1244"/>
      <c r="AD267" s="1244"/>
      <c r="AE267" s="1244"/>
      <c r="AF267" s="1244"/>
      <c r="AG267" s="1244"/>
      <c r="AH267" s="1207"/>
    </row>
    <row r="268" spans="1:34" ht="13.5" thickBot="1" x14ac:dyDescent="0.25">
      <c r="A268" s="1236"/>
      <c r="B268" s="1237"/>
      <c r="C268" s="1246" t="s">
        <v>452</v>
      </c>
      <c r="D268" s="1246" t="s">
        <v>453</v>
      </c>
      <c r="E268" s="1246" t="s">
        <v>434</v>
      </c>
      <c r="F268" s="1246" t="s">
        <v>390</v>
      </c>
      <c r="G268" s="1246" t="s">
        <v>454</v>
      </c>
      <c r="H268" s="1246" t="s">
        <v>455</v>
      </c>
      <c r="I268" s="1246" t="s">
        <v>456</v>
      </c>
      <c r="J268" s="1246" t="s">
        <v>457</v>
      </c>
      <c r="K268" s="1246" t="s">
        <v>458</v>
      </c>
      <c r="L268" s="1246" t="s">
        <v>216</v>
      </c>
      <c r="M268" s="1246" t="s">
        <v>459</v>
      </c>
      <c r="N268" s="1246" t="s">
        <v>297</v>
      </c>
      <c r="O268" s="1246" t="s">
        <v>211</v>
      </c>
      <c r="P268" s="1247" t="s">
        <v>270</v>
      </c>
      <c r="Q268" s="1246">
        <v>15</v>
      </c>
      <c r="R268" s="1246">
        <v>16</v>
      </c>
      <c r="S268" s="1246" t="s">
        <v>461</v>
      </c>
      <c r="T268" s="1246" t="s">
        <v>442</v>
      </c>
      <c r="U268" s="1246" t="s">
        <v>462</v>
      </c>
      <c r="V268" s="1246" t="s">
        <v>470</v>
      </c>
      <c r="W268" s="1246" t="s">
        <v>471</v>
      </c>
      <c r="X268" s="1246" t="s">
        <v>472</v>
      </c>
      <c r="Y268" s="1246" t="s">
        <v>463</v>
      </c>
      <c r="Z268" s="1246" t="s">
        <v>465</v>
      </c>
      <c r="AA268" s="1246" t="s">
        <v>466</v>
      </c>
      <c r="AB268" s="1246" t="s">
        <v>435</v>
      </c>
      <c r="AC268" s="1246" t="s">
        <v>467</v>
      </c>
      <c r="AD268" s="1246" t="s">
        <v>464</v>
      </c>
      <c r="AE268" s="1246" t="s">
        <v>429</v>
      </c>
      <c r="AF268" s="1246" t="s">
        <v>149</v>
      </c>
      <c r="AG268" s="1246" t="s">
        <v>210</v>
      </c>
      <c r="AH268" s="1207"/>
    </row>
    <row r="269" spans="1:34" x14ac:dyDescent="0.2">
      <c r="A269" s="1233"/>
      <c r="B269" s="1248"/>
      <c r="C269" s="1237"/>
      <c r="D269" s="1237"/>
      <c r="E269" s="1237"/>
      <c r="F269" s="1237"/>
      <c r="G269" s="1237"/>
      <c r="H269" s="1237"/>
      <c r="I269" s="1237"/>
      <c r="J269" s="1237"/>
      <c r="K269" s="1237"/>
      <c r="L269" s="1237"/>
      <c r="M269" s="1237"/>
      <c r="N269" s="1237"/>
      <c r="O269" s="1237"/>
      <c r="P269" s="1241"/>
      <c r="Q269" s="1237"/>
      <c r="R269" s="1237"/>
      <c r="S269" s="1237"/>
      <c r="T269" s="1237"/>
      <c r="U269" s="1237"/>
      <c r="V269" s="1237"/>
      <c r="W269" s="1237"/>
      <c r="X269" s="1237"/>
      <c r="Y269" s="1237"/>
      <c r="Z269" s="1237"/>
      <c r="AA269" s="1237"/>
      <c r="AB269" s="1237"/>
      <c r="AC269" s="1237"/>
      <c r="AD269" s="1237"/>
      <c r="AE269" s="1237"/>
      <c r="AF269" s="1237"/>
      <c r="AG269" s="1237"/>
      <c r="AH269" s="1207"/>
    </row>
    <row r="270" spans="1:34" x14ac:dyDescent="0.2">
      <c r="A270" s="1236" t="s">
        <v>0</v>
      </c>
      <c r="B270" s="1249">
        <v>-29341.437000000002</v>
      </c>
      <c r="C270" s="1237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41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07"/>
    </row>
    <row r="271" spans="1:34" ht="13.5" thickBot="1" x14ac:dyDescent="0.25">
      <c r="A271" s="1250"/>
      <c r="B271" s="1251"/>
      <c r="C271" s="1237"/>
      <c r="D271" s="1237"/>
      <c r="E271" s="1237"/>
      <c r="F271" s="1237"/>
      <c r="G271" s="1237"/>
      <c r="H271" s="1237"/>
      <c r="I271" s="1237"/>
      <c r="J271" s="1237"/>
      <c r="K271" s="1237"/>
      <c r="L271" s="1237"/>
      <c r="M271" s="1237"/>
      <c r="N271" s="1237"/>
      <c r="O271" s="1237"/>
      <c r="P271" s="1241"/>
      <c r="Q271" s="1237"/>
      <c r="R271" s="1237"/>
      <c r="S271" s="1237"/>
      <c r="T271" s="1237"/>
      <c r="U271" s="1237"/>
      <c r="V271" s="1237"/>
      <c r="W271" s="1237"/>
      <c r="X271" s="1237"/>
      <c r="Y271" s="1237"/>
      <c r="Z271" s="1237"/>
      <c r="AA271" s="1237"/>
      <c r="AB271" s="1237"/>
      <c r="AC271" s="1237"/>
      <c r="AD271" s="1237"/>
      <c r="AE271" s="1237"/>
      <c r="AF271" s="1237"/>
      <c r="AG271" s="1237"/>
      <c r="AH271" s="1207"/>
    </row>
    <row r="272" spans="1:34" x14ac:dyDescent="0.2">
      <c r="A272" s="1233"/>
      <c r="B272" s="1253"/>
      <c r="C272" s="1237"/>
      <c r="D272" s="1237"/>
      <c r="E272" s="1237"/>
      <c r="F272" s="1237"/>
      <c r="G272" s="1237"/>
      <c r="H272" s="1237"/>
      <c r="I272" s="1237"/>
      <c r="J272" s="1237"/>
      <c r="K272" s="1237"/>
      <c r="L272" s="1237"/>
      <c r="M272" s="1237"/>
      <c r="N272" s="1237"/>
      <c r="O272" s="1237"/>
      <c r="P272" s="1241"/>
      <c r="Q272" s="1237"/>
      <c r="R272" s="1237"/>
      <c r="S272" s="1237"/>
      <c r="T272" s="1237"/>
      <c r="U272" s="1237"/>
      <c r="V272" s="1237"/>
      <c r="W272" s="1237"/>
      <c r="X272" s="1237"/>
      <c r="Y272" s="1237"/>
      <c r="Z272" s="1237"/>
      <c r="AA272" s="1237"/>
      <c r="AB272" s="1237"/>
      <c r="AC272" s="1237"/>
      <c r="AD272" s="1237"/>
      <c r="AE272" s="1237"/>
      <c r="AF272" s="1237"/>
      <c r="AG272" s="1237"/>
      <c r="AH272" s="1207"/>
    </row>
    <row r="273" spans="1:34" x14ac:dyDescent="0.2">
      <c r="A273" s="1236" t="s">
        <v>1</v>
      </c>
      <c r="B273" s="1249">
        <f>B274+B275+B276</f>
        <v>0</v>
      </c>
      <c r="C273" s="1237"/>
      <c r="D273" s="1237"/>
      <c r="E273" s="1237"/>
      <c r="F273" s="1237"/>
      <c r="G273" s="1237"/>
      <c r="H273" s="1237"/>
      <c r="I273" s="1237"/>
      <c r="J273" s="1237"/>
      <c r="K273" s="1237"/>
      <c r="L273" s="1237"/>
      <c r="M273" s="1237"/>
      <c r="N273" s="1237"/>
      <c r="O273" s="1237"/>
      <c r="P273" s="1241"/>
      <c r="Q273" s="1237"/>
      <c r="R273" s="1237"/>
      <c r="S273" s="1237"/>
      <c r="T273" s="1237"/>
      <c r="U273" s="1237"/>
      <c r="V273" s="1237"/>
      <c r="W273" s="1237"/>
      <c r="X273" s="1237"/>
      <c r="Y273" s="1237"/>
      <c r="Z273" s="1237"/>
      <c r="AA273" s="1237"/>
      <c r="AB273" s="1237"/>
      <c r="AC273" s="1237"/>
      <c r="AD273" s="1237"/>
      <c r="AE273" s="1237"/>
      <c r="AF273" s="1237"/>
      <c r="AG273" s="1237"/>
      <c r="AH273" s="1207"/>
    </row>
    <row r="274" spans="1:34" x14ac:dyDescent="0.2">
      <c r="A274" s="1236" t="s">
        <v>38</v>
      </c>
      <c r="B274" s="1249">
        <f>C322</f>
        <v>0</v>
      </c>
      <c r="C274" s="1237"/>
      <c r="D274" s="1237"/>
      <c r="E274" s="1237"/>
      <c r="F274" s="1237"/>
      <c r="G274" s="1237"/>
      <c r="H274" s="1237"/>
      <c r="I274" s="1237"/>
      <c r="J274" s="1237"/>
      <c r="K274" s="1237"/>
      <c r="L274" s="1237"/>
      <c r="M274" s="1237"/>
      <c r="N274" s="1237"/>
      <c r="O274" s="1237"/>
      <c r="P274" s="1241"/>
      <c r="Q274" s="1237"/>
      <c r="R274" s="1237"/>
      <c r="S274" s="1237"/>
      <c r="T274" s="1237"/>
      <c r="U274" s="1237"/>
      <c r="V274" s="1237"/>
      <c r="W274" s="1237"/>
      <c r="X274" s="1237"/>
      <c r="Y274" s="1237"/>
      <c r="Z274" s="1237"/>
      <c r="AA274" s="1237"/>
      <c r="AB274" s="1237"/>
      <c r="AC274" s="1237"/>
      <c r="AD274" s="1237"/>
      <c r="AE274" s="1237"/>
      <c r="AF274" s="1237"/>
      <c r="AG274" s="1237"/>
      <c r="AH274" s="1207"/>
    </row>
    <row r="275" spans="1:34" x14ac:dyDescent="0.2">
      <c r="A275" s="1236" t="s">
        <v>39</v>
      </c>
      <c r="B275" s="1249">
        <f>C345</f>
        <v>0</v>
      </c>
      <c r="C275" s="1237"/>
      <c r="D275" s="1237"/>
      <c r="E275" s="1237"/>
      <c r="F275" s="1237"/>
      <c r="G275" s="1237"/>
      <c r="H275" s="1237"/>
      <c r="I275" s="1237"/>
      <c r="J275" s="1237"/>
      <c r="K275" s="1237"/>
      <c r="L275" s="1237"/>
      <c r="M275" s="1237"/>
      <c r="N275" s="1237"/>
      <c r="O275" s="1237"/>
      <c r="P275" s="1241"/>
      <c r="Q275" s="1237"/>
      <c r="R275" s="1237"/>
      <c r="S275" s="1237"/>
      <c r="T275" s="1237"/>
      <c r="U275" s="1237"/>
      <c r="V275" s="1237"/>
      <c r="W275" s="1237"/>
      <c r="X275" s="1237"/>
      <c r="Y275" s="1237"/>
      <c r="Z275" s="1237"/>
      <c r="AA275" s="1237"/>
      <c r="AB275" s="1237"/>
      <c r="AC275" s="1237"/>
      <c r="AD275" s="1237"/>
      <c r="AE275" s="1237"/>
      <c r="AF275" s="1237"/>
      <c r="AG275" s="1237"/>
      <c r="AH275" s="1207"/>
    </row>
    <row r="276" spans="1:34" x14ac:dyDescent="0.2">
      <c r="A276" s="1236" t="s">
        <v>3</v>
      </c>
      <c r="B276" s="1249"/>
      <c r="C276" s="1237"/>
      <c r="D276" s="1237"/>
      <c r="E276" s="1237"/>
      <c r="F276" s="1237"/>
      <c r="G276" s="1237"/>
      <c r="H276" s="1237"/>
      <c r="I276" s="1237"/>
      <c r="J276" s="1237"/>
      <c r="K276" s="1237"/>
      <c r="L276" s="1237"/>
      <c r="M276" s="1237"/>
      <c r="N276" s="1237"/>
      <c r="O276" s="1237"/>
      <c r="P276" s="1241"/>
      <c r="Q276" s="1237"/>
      <c r="R276" s="1237"/>
      <c r="S276" s="1237"/>
      <c r="T276" s="1237"/>
      <c r="U276" s="1237"/>
      <c r="V276" s="1237"/>
      <c r="W276" s="1237"/>
      <c r="X276" s="1237"/>
      <c r="Y276" s="1237"/>
      <c r="Z276" s="1237"/>
      <c r="AA276" s="1237"/>
      <c r="AB276" s="1237"/>
      <c r="AC276" s="1237"/>
      <c r="AD276" s="1237"/>
      <c r="AE276" s="1237"/>
      <c r="AF276" s="1237"/>
      <c r="AG276" s="1237"/>
      <c r="AH276" s="1207"/>
    </row>
    <row r="277" spans="1:34" ht="13.5" thickBot="1" x14ac:dyDescent="0.25">
      <c r="A277" s="1250"/>
      <c r="B277" s="1251"/>
      <c r="C277" s="1237"/>
      <c r="D277" s="1237"/>
      <c r="E277" s="1237"/>
      <c r="F277" s="1237"/>
      <c r="G277" s="1237"/>
      <c r="H277" s="1237"/>
      <c r="I277" s="1237"/>
      <c r="J277" s="1237"/>
      <c r="K277" s="1237"/>
      <c r="L277" s="1237"/>
      <c r="M277" s="1237"/>
      <c r="N277" s="1237"/>
      <c r="O277" s="1237"/>
      <c r="P277" s="1241"/>
      <c r="Q277" s="1237"/>
      <c r="R277" s="1237"/>
      <c r="S277" s="1237"/>
      <c r="T277" s="1237"/>
      <c r="U277" s="1237"/>
      <c r="V277" s="1237"/>
      <c r="W277" s="1237"/>
      <c r="X277" s="1237"/>
      <c r="Y277" s="1237"/>
      <c r="Z277" s="1237"/>
      <c r="AA277" s="1237"/>
      <c r="AB277" s="1237"/>
      <c r="AC277" s="1237"/>
      <c r="AD277" s="1237"/>
      <c r="AE277" s="1237"/>
      <c r="AF277" s="1237"/>
      <c r="AG277" s="1237"/>
      <c r="AH277" s="1207"/>
    </row>
    <row r="278" spans="1:34" x14ac:dyDescent="0.2">
      <c r="A278" s="1233"/>
      <c r="B278" s="1253"/>
      <c r="C278" s="1237"/>
      <c r="D278" s="1237"/>
      <c r="E278" s="1237"/>
      <c r="F278" s="1237"/>
      <c r="G278" s="1237"/>
      <c r="H278" s="1237"/>
      <c r="I278" s="1237"/>
      <c r="J278" s="1237"/>
      <c r="K278" s="1237"/>
      <c r="L278" s="1237"/>
      <c r="M278" s="1237"/>
      <c r="N278" s="1237"/>
      <c r="O278" s="1237"/>
      <c r="P278" s="1241"/>
      <c r="Q278" s="1237"/>
      <c r="R278" s="1237"/>
      <c r="S278" s="1237"/>
      <c r="T278" s="1237"/>
      <c r="U278" s="1237"/>
      <c r="V278" s="1237"/>
      <c r="W278" s="1237"/>
      <c r="X278" s="1237"/>
      <c r="Y278" s="1237"/>
      <c r="Z278" s="1237"/>
      <c r="AA278" s="1237"/>
      <c r="AB278" s="1237"/>
      <c r="AC278" s="1237"/>
      <c r="AD278" s="1237"/>
      <c r="AE278" s="1237"/>
      <c r="AF278" s="1237"/>
      <c r="AG278" s="1237"/>
      <c r="AH278" s="1207"/>
    </row>
    <row r="279" spans="1:34" x14ac:dyDescent="0.2">
      <c r="A279" s="1236" t="s">
        <v>4</v>
      </c>
      <c r="B279" s="1249">
        <f>B270-B273</f>
        <v>-29341.437000000002</v>
      </c>
      <c r="C279" s="1237"/>
      <c r="D279" s="1237"/>
      <c r="E279" s="1237"/>
      <c r="F279" s="1237"/>
      <c r="G279" s="1237"/>
      <c r="H279" s="1237"/>
      <c r="I279" s="1237"/>
      <c r="J279" s="1237"/>
      <c r="K279" s="1237"/>
      <c r="L279" s="1237"/>
      <c r="M279" s="1237"/>
      <c r="N279" s="1237"/>
      <c r="O279" s="1237"/>
      <c r="P279" s="1241"/>
      <c r="Q279" s="1237"/>
      <c r="R279" s="1237"/>
      <c r="S279" s="1237"/>
      <c r="T279" s="1237"/>
      <c r="U279" s="1237"/>
      <c r="V279" s="1237"/>
      <c r="W279" s="1237"/>
      <c r="X279" s="1237"/>
      <c r="Y279" s="1237"/>
      <c r="Z279" s="1237"/>
      <c r="AA279" s="1237"/>
      <c r="AB279" s="1237"/>
      <c r="AC279" s="1237"/>
      <c r="AD279" s="1237"/>
      <c r="AE279" s="1237"/>
      <c r="AF279" s="1237"/>
      <c r="AG279" s="1237"/>
      <c r="AH279" s="1207"/>
    </row>
    <row r="280" spans="1:34" ht="21" thickBot="1" x14ac:dyDescent="0.35">
      <c r="A280" s="1250"/>
      <c r="B280" s="1251"/>
      <c r="C280" s="1237"/>
      <c r="D280" s="1237"/>
      <c r="E280" s="1237"/>
      <c r="F280" s="1393"/>
      <c r="G280" s="1237"/>
      <c r="H280" s="1237"/>
      <c r="I280" s="1237"/>
      <c r="J280" s="1237"/>
      <c r="K280" s="1237"/>
      <c r="L280" s="1237"/>
      <c r="M280" s="1237"/>
      <c r="N280" s="1237"/>
      <c r="O280" s="1237"/>
      <c r="P280" s="1241"/>
      <c r="Q280" s="1237"/>
      <c r="R280" s="1237"/>
      <c r="S280" s="1237"/>
      <c r="T280" s="1237"/>
      <c r="U280" s="1237"/>
      <c r="V280" s="1237"/>
      <c r="W280" s="1237"/>
      <c r="X280" s="1237"/>
      <c r="Y280" s="1237"/>
      <c r="Z280" s="1237"/>
      <c r="AA280" s="1237"/>
      <c r="AB280" s="1237"/>
      <c r="AC280" s="1237"/>
      <c r="AD280" s="1237"/>
      <c r="AE280" s="1237"/>
      <c r="AF280" s="1237"/>
      <c r="AG280" s="1237"/>
      <c r="AH280" s="1207"/>
    </row>
    <row r="281" spans="1:34" x14ac:dyDescent="0.2">
      <c r="A281" s="1233"/>
      <c r="B281" s="1253"/>
      <c r="C281" s="1237"/>
      <c r="D281" s="1237"/>
      <c r="E281" s="1237"/>
      <c r="F281" s="1237"/>
      <c r="G281" s="1237"/>
      <c r="H281" s="1237"/>
      <c r="I281" s="1237"/>
      <c r="J281" s="1237"/>
      <c r="K281" s="1237"/>
      <c r="L281" s="1237"/>
      <c r="M281" s="1237"/>
      <c r="N281" s="1237"/>
      <c r="O281" s="1237"/>
      <c r="P281" s="1241"/>
      <c r="Q281" s="1237"/>
      <c r="R281" s="1237"/>
      <c r="S281" s="1237"/>
      <c r="T281" s="1237"/>
      <c r="U281" s="1237"/>
      <c r="V281" s="1237"/>
      <c r="W281" s="1237"/>
      <c r="X281" s="1237"/>
      <c r="Y281" s="1237"/>
      <c r="Z281" s="1237"/>
      <c r="AA281" s="1237"/>
      <c r="AB281" s="1237"/>
      <c r="AC281" s="1237"/>
      <c r="AD281" s="1237"/>
      <c r="AE281" s="1237"/>
      <c r="AF281" s="1237"/>
      <c r="AG281" s="1237"/>
      <c r="AH281" s="1207"/>
    </row>
    <row r="282" spans="1:34" x14ac:dyDescent="0.2">
      <c r="A282" s="1236" t="s">
        <v>17</v>
      </c>
      <c r="B282" s="1249"/>
      <c r="C282" s="1237"/>
      <c r="D282" s="1241"/>
      <c r="E282" s="1237"/>
      <c r="F282" s="1237"/>
      <c r="G282" s="1237"/>
      <c r="H282" s="1237"/>
      <c r="I282" s="1237"/>
      <c r="J282" s="1237"/>
      <c r="K282" s="1237"/>
      <c r="L282" s="1237"/>
      <c r="M282" s="1237"/>
      <c r="N282" s="1237"/>
      <c r="O282" s="1237"/>
      <c r="P282" s="1241"/>
      <c r="Q282" s="1237"/>
      <c r="R282" s="1237"/>
      <c r="S282" s="1237"/>
      <c r="T282" s="1237"/>
      <c r="U282" s="1237"/>
      <c r="V282" s="1237"/>
      <c r="W282" s="1237"/>
      <c r="X282" s="1237"/>
      <c r="Y282" s="1237"/>
      <c r="Z282" s="1237"/>
      <c r="AA282" s="1237"/>
      <c r="AB282" s="1237"/>
      <c r="AC282" s="1237"/>
      <c r="AD282" s="1237"/>
      <c r="AE282" s="1237"/>
      <c r="AF282" s="1237"/>
      <c r="AG282" s="1237"/>
      <c r="AH282" s="1207"/>
    </row>
    <row r="283" spans="1:34" ht="13.5" thickBot="1" x14ac:dyDescent="0.25">
      <c r="A283" s="1250"/>
      <c r="B283" s="1251"/>
      <c r="C283" s="1237"/>
      <c r="D283" s="1241"/>
      <c r="E283" s="1237"/>
      <c r="F283" s="1241"/>
      <c r="G283" s="1237"/>
      <c r="H283" s="1580" t="s">
        <v>1353</v>
      </c>
      <c r="I283" s="1237"/>
      <c r="J283" s="1237"/>
      <c r="K283" s="1237"/>
      <c r="L283" s="1237"/>
      <c r="M283" s="1237"/>
      <c r="N283" s="1237"/>
      <c r="O283" s="1237"/>
      <c r="P283" s="1241"/>
      <c r="Q283" s="1237"/>
      <c r="R283" s="1237"/>
      <c r="S283" s="1237"/>
      <c r="T283" s="1237"/>
      <c r="U283" s="1237"/>
      <c r="V283" s="1237"/>
      <c r="W283" s="1237"/>
      <c r="X283" s="1258"/>
      <c r="Y283" s="1237"/>
      <c r="Z283" s="1237"/>
      <c r="AA283" s="1237"/>
      <c r="AB283" s="1237"/>
      <c r="AC283" s="1237"/>
      <c r="AD283" s="1237"/>
      <c r="AE283" s="1237"/>
      <c r="AF283" s="1563"/>
      <c r="AG283" s="1237"/>
      <c r="AH283" s="1207"/>
    </row>
    <row r="284" spans="1:34" ht="23.25" customHeight="1" x14ac:dyDescent="0.3">
      <c r="A284" s="1233"/>
      <c r="B284" s="1253"/>
      <c r="D284" s="1579" t="s">
        <v>1353</v>
      </c>
      <c r="E284" s="1564"/>
      <c r="F284" s="1580" t="s">
        <v>1353</v>
      </c>
      <c r="G284" s="1564"/>
      <c r="H284" s="1563" t="s">
        <v>712</v>
      </c>
      <c r="I284" s="1370"/>
      <c r="J284" s="1237"/>
      <c r="K284" s="1394"/>
      <c r="L284" s="1237"/>
      <c r="M284" s="1749"/>
      <c r="N284" s="1749"/>
      <c r="O284" s="1749"/>
      <c r="P284" s="1749"/>
      <c r="Q284" s="1749"/>
      <c r="R284" s="1749"/>
      <c r="S284" s="1534"/>
      <c r="T284" s="1534"/>
      <c r="U284" s="1534"/>
      <c r="V284" s="1534"/>
      <c r="W284" s="1534"/>
      <c r="X284" s="1534"/>
      <c r="Y284" s="1563"/>
      <c r="Z284" s="1563"/>
      <c r="AA284" s="1563"/>
      <c r="AB284" s="1237"/>
      <c r="AC284" s="1237"/>
      <c r="AD284" s="1237"/>
      <c r="AE284" s="1237"/>
      <c r="AF284" s="1647" t="s">
        <v>1392</v>
      </c>
      <c r="AH284" s="1207"/>
    </row>
    <row r="285" spans="1:34" x14ac:dyDescent="0.2">
      <c r="A285" s="1236" t="s">
        <v>5</v>
      </c>
      <c r="B285" s="1249">
        <f>B279-B282</f>
        <v>-29341.437000000002</v>
      </c>
      <c r="C285" s="1392"/>
      <c r="D285" s="1212" t="s">
        <v>1395</v>
      </c>
      <c r="E285" s="1371" t="s">
        <v>1391</v>
      </c>
      <c r="F285" s="1212" t="s">
        <v>1282</v>
      </c>
      <c r="G285" s="1563"/>
      <c r="H285" s="1584" t="s">
        <v>198</v>
      </c>
      <c r="I285" s="1563"/>
      <c r="J285" s="1563"/>
      <c r="K285" s="1563"/>
      <c r="L285" s="1563"/>
      <c r="M285" s="1563"/>
      <c r="N285" s="1563"/>
      <c r="O285" s="1563"/>
      <c r="P285" s="1212"/>
      <c r="Q285" s="1370"/>
      <c r="R285" s="1563"/>
      <c r="T285" s="1563"/>
      <c r="U285" s="1563"/>
      <c r="V285" s="1563" t="s">
        <v>1349</v>
      </c>
      <c r="X285" s="1256"/>
      <c r="Y285" s="1563"/>
      <c r="Z285" s="1212"/>
      <c r="AA285" s="1212"/>
      <c r="AB285" s="1212"/>
      <c r="AC285" s="1395" t="s">
        <v>166</v>
      </c>
      <c r="AD285" s="1395" t="s">
        <v>1388</v>
      </c>
      <c r="AE285" s="1646" t="s">
        <v>921</v>
      </c>
      <c r="AF285" s="1370" t="s">
        <v>953</v>
      </c>
      <c r="AH285" s="1207"/>
    </row>
    <row r="286" spans="1:34" ht="13.5" thickBot="1" x14ac:dyDescent="0.25">
      <c r="A286" s="1250"/>
      <c r="B286" s="1251"/>
      <c r="C286" s="1237"/>
      <c r="D286" s="1241"/>
      <c r="E286" s="1237"/>
      <c r="F286" s="1241"/>
      <c r="G286" s="1237"/>
      <c r="H286" s="1241"/>
      <c r="I286" s="1237"/>
      <c r="J286" s="1237"/>
      <c r="K286" s="1237"/>
      <c r="L286" s="1237"/>
      <c r="M286" s="1563"/>
      <c r="N286" s="1237"/>
      <c r="O286" s="1237"/>
      <c r="P286" s="1241"/>
      <c r="Q286" s="1237"/>
      <c r="R286" s="1237"/>
      <c r="S286" s="1237"/>
      <c r="T286" s="1237"/>
      <c r="U286" s="1237"/>
      <c r="V286" s="1237"/>
      <c r="W286" s="1237"/>
      <c r="X286" s="1237"/>
      <c r="Y286" s="1237"/>
      <c r="Z286" s="1237"/>
      <c r="AA286" s="1237"/>
      <c r="AB286" s="1237"/>
      <c r="AC286" s="1237"/>
      <c r="AD286" s="1237"/>
      <c r="AE286" s="1237"/>
      <c r="AF286" s="1237"/>
      <c r="AG286" s="1237"/>
      <c r="AH286" s="1207"/>
    </row>
    <row r="287" spans="1:34" x14ac:dyDescent="0.2">
      <c r="A287" s="1269"/>
      <c r="B287" s="1237"/>
      <c r="C287" s="1270"/>
      <c r="D287" s="1578"/>
      <c r="E287" s="1272"/>
      <c r="F287" s="1273"/>
      <c r="G287" s="1271"/>
      <c r="H287" s="1273"/>
      <c r="I287" s="1271"/>
      <c r="J287" s="1271"/>
      <c r="K287" s="1271"/>
      <c r="L287" s="1271"/>
      <c r="M287" s="1271"/>
      <c r="N287" s="1271"/>
      <c r="O287" s="1271"/>
      <c r="P287" s="1273"/>
      <c r="Q287" s="1271"/>
      <c r="R287" s="1271"/>
      <c r="S287" s="1271"/>
      <c r="T287" s="1271"/>
      <c r="U287" s="1271"/>
      <c r="V287" s="1271"/>
      <c r="W287" s="1271"/>
      <c r="X287" s="1271"/>
      <c r="Y287" s="1271"/>
      <c r="Z287" s="1271"/>
      <c r="AA287" s="1271"/>
      <c r="AB287" s="1271"/>
      <c r="AC287" s="1271"/>
      <c r="AD287" s="1271"/>
      <c r="AE287" s="1271"/>
      <c r="AF287" s="1271"/>
      <c r="AG287" s="1271"/>
      <c r="AH287" s="1207"/>
    </row>
    <row r="288" spans="1:34" ht="13.5" thickBot="1" x14ac:dyDescent="0.25">
      <c r="A288" s="1274" t="s">
        <v>7</v>
      </c>
      <c r="B288" s="1237"/>
      <c r="C288" s="1275">
        <f t="shared" ref="C288:AG288" si="29">C289+C290+C291+C293+C292</f>
        <v>0</v>
      </c>
      <c r="D288" s="1276">
        <f t="shared" si="29"/>
        <v>0</v>
      </c>
      <c r="E288" s="1275">
        <f t="shared" si="29"/>
        <v>0</v>
      </c>
      <c r="F288" s="1276">
        <f t="shared" si="29"/>
        <v>0</v>
      </c>
      <c r="G288" s="1275">
        <f t="shared" si="29"/>
        <v>0</v>
      </c>
      <c r="H288" s="1276">
        <f t="shared" si="29"/>
        <v>0</v>
      </c>
      <c r="I288" s="1275">
        <f t="shared" si="29"/>
        <v>0</v>
      </c>
      <c r="J288" s="1275">
        <f t="shared" si="29"/>
        <v>0</v>
      </c>
      <c r="K288" s="1275">
        <f t="shared" si="29"/>
        <v>0</v>
      </c>
      <c r="L288" s="1275">
        <f t="shared" si="29"/>
        <v>0</v>
      </c>
      <c r="M288" s="1275">
        <f t="shared" si="29"/>
        <v>0</v>
      </c>
      <c r="N288" s="1275">
        <f t="shared" si="29"/>
        <v>0</v>
      </c>
      <c r="O288" s="1275">
        <f t="shared" si="29"/>
        <v>0</v>
      </c>
      <c r="P288" s="1276">
        <f t="shared" si="29"/>
        <v>0</v>
      </c>
      <c r="Q288" s="1275">
        <f t="shared" si="29"/>
        <v>0</v>
      </c>
      <c r="R288" s="1275">
        <f t="shared" si="29"/>
        <v>0</v>
      </c>
      <c r="S288" s="1275">
        <f t="shared" si="29"/>
        <v>0</v>
      </c>
      <c r="T288" s="1275">
        <f t="shared" si="29"/>
        <v>0</v>
      </c>
      <c r="U288" s="1275">
        <f t="shared" si="29"/>
        <v>0</v>
      </c>
      <c r="V288" s="1275">
        <f>V289+V290+V291+V293+V292</f>
        <v>0</v>
      </c>
      <c r="W288" s="1275">
        <f t="shared" si="29"/>
        <v>0</v>
      </c>
      <c r="X288" s="1275">
        <f t="shared" si="29"/>
        <v>0</v>
      </c>
      <c r="Y288" s="1275">
        <f t="shared" si="29"/>
        <v>0</v>
      </c>
      <c r="Z288" s="1275">
        <f t="shared" si="29"/>
        <v>0</v>
      </c>
      <c r="AA288" s="1275">
        <f t="shared" si="29"/>
        <v>0</v>
      </c>
      <c r="AB288" s="1275">
        <f t="shared" si="29"/>
        <v>0</v>
      </c>
      <c r="AC288" s="1275">
        <f t="shared" si="29"/>
        <v>0.17600000000675209</v>
      </c>
      <c r="AD288" s="1275">
        <f t="shared" si="29"/>
        <v>0</v>
      </c>
      <c r="AE288" s="1275">
        <f t="shared" si="29"/>
        <v>0</v>
      </c>
      <c r="AF288" s="1275">
        <f t="shared" si="29"/>
        <v>0</v>
      </c>
      <c r="AG288" s="1275">
        <f t="shared" si="29"/>
        <v>0</v>
      </c>
      <c r="AH288" s="1227">
        <f>SUM(C288:AG288)</f>
        <v>0.17600000000675209</v>
      </c>
    </row>
    <row r="289" spans="1:34" x14ac:dyDescent="0.2">
      <c r="A289" s="1274" t="s">
        <v>8</v>
      </c>
      <c r="B289" s="1389"/>
      <c r="C289" s="1302"/>
      <c r="D289" s="1306"/>
      <c r="E289" s="1396"/>
      <c r="F289" s="1304"/>
      <c r="G289" s="1303"/>
      <c r="H289" s="1304"/>
      <c r="I289" s="1319"/>
      <c r="J289" s="1303"/>
      <c r="K289" s="1303"/>
      <c r="L289" s="1303"/>
      <c r="M289" s="1303"/>
      <c r="N289" s="1303"/>
      <c r="O289" s="1303"/>
      <c r="P289" s="1304"/>
      <c r="Q289" s="1303"/>
      <c r="R289" s="1303"/>
      <c r="S289" s="1303"/>
      <c r="T289" s="1303"/>
      <c r="U289" s="1303"/>
      <c r="V289" s="1282"/>
      <c r="W289" s="1303"/>
      <c r="X289" s="1303"/>
      <c r="Y289" s="1303"/>
      <c r="Z289" s="1303"/>
      <c r="AA289" s="1303"/>
      <c r="AB289" s="1303"/>
      <c r="AC289" s="1303"/>
      <c r="AD289" s="1303"/>
      <c r="AE289" s="1303"/>
      <c r="AF289" s="1303"/>
      <c r="AG289" s="1397"/>
      <c r="AH289" s="1227">
        <f>SUM(C289:AG289)</f>
        <v>0</v>
      </c>
    </row>
    <row r="290" spans="1:34" x14ac:dyDescent="0.2">
      <c r="A290" s="1274" t="s">
        <v>9</v>
      </c>
      <c r="B290" s="1389"/>
      <c r="C290" s="1282"/>
      <c r="D290" s="1473"/>
      <c r="E290" s="1282"/>
      <c r="F290" s="1473"/>
      <c r="G290" s="1282"/>
      <c r="H290" s="1583">
        <v>-15120</v>
      </c>
      <c r="I290" s="1282"/>
      <c r="J290" s="1282"/>
      <c r="K290" s="1282"/>
      <c r="L290" s="1282"/>
      <c r="M290" s="1282"/>
      <c r="N290" s="1282"/>
      <c r="O290" s="1282"/>
      <c r="P290" s="1282"/>
      <c r="Q290" s="1282"/>
      <c r="R290" s="1282"/>
      <c r="S290" s="1282"/>
      <c r="T290" s="1282"/>
      <c r="U290" s="1282"/>
      <c r="V290" s="1282"/>
      <c r="W290" s="1282"/>
      <c r="X290" s="1282"/>
      <c r="Y290" s="1282"/>
      <c r="Z290" s="1282"/>
      <c r="AA290" s="1282"/>
      <c r="AB290" s="1282"/>
      <c r="AC290" s="1282"/>
      <c r="AD290" s="1282"/>
      <c r="AE290" s="1282"/>
      <c r="AF290" s="1282"/>
      <c r="AG290" s="1282"/>
      <c r="AH290" s="1227">
        <f>SUM(C290:AG290)</f>
        <v>-15120</v>
      </c>
    </row>
    <row r="291" spans="1:34" s="1289" customFormat="1" x14ac:dyDescent="0.2">
      <c r="A291" s="1285" t="s">
        <v>10</v>
      </c>
      <c r="B291" s="1372"/>
      <c r="C291" s="1398"/>
      <c r="D291" s="1374"/>
      <c r="E291" s="1374"/>
      <c r="F291" s="1375"/>
      <c r="G291" s="1375"/>
      <c r="H291" s="1399">
        <v>15120</v>
      </c>
      <c r="I291" s="1375"/>
      <c r="J291" s="1375"/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/>
      <c r="U291" s="1375"/>
      <c r="V291" s="1375"/>
      <c r="W291" s="1375"/>
      <c r="X291" s="1376"/>
      <c r="Y291" s="1375"/>
      <c r="Z291" s="1390"/>
      <c r="AA291" s="1399"/>
      <c r="AB291" s="1375"/>
      <c r="AC291" s="1375">
        <v>-113710</v>
      </c>
      <c r="AD291" s="1377"/>
      <c r="AE291" s="1375"/>
      <c r="AF291" s="1375"/>
      <c r="AG291" s="1375"/>
      <c r="AH291" s="1231">
        <f>SUM(C291:AG291)</f>
        <v>-98590</v>
      </c>
    </row>
    <row r="292" spans="1:34" s="1289" customFormat="1" x14ac:dyDescent="0.2">
      <c r="A292" s="1285" t="s">
        <v>356</v>
      </c>
      <c r="B292" s="1372"/>
      <c r="C292" s="1292"/>
      <c r="D292" s="1292"/>
      <c r="E292" s="1292"/>
      <c r="F292" s="1292"/>
      <c r="G292" s="1292"/>
      <c r="H292" s="1292">
        <v>63786</v>
      </c>
      <c r="I292" s="1292"/>
      <c r="J292" s="1292"/>
      <c r="K292" s="1292"/>
      <c r="L292" s="1292"/>
      <c r="M292" s="1292"/>
      <c r="N292" s="1292"/>
      <c r="O292" s="1292"/>
      <c r="P292" s="1292"/>
      <c r="Q292" s="1292"/>
      <c r="R292" s="1292"/>
      <c r="S292" s="1292"/>
      <c r="T292" s="1292"/>
      <c r="U292" s="1292"/>
      <c r="V292" s="1292"/>
      <c r="W292" s="1292"/>
      <c r="X292" s="1292"/>
      <c r="Y292" s="1292"/>
      <c r="Z292" s="1292"/>
      <c r="AA292" s="1292"/>
      <c r="AB292" s="1292"/>
      <c r="AC292" s="1292">
        <v>113710.17600000001</v>
      </c>
      <c r="AD292" s="1292"/>
      <c r="AE292" s="1292"/>
      <c r="AF292" s="1292"/>
      <c r="AG292" s="1292"/>
      <c r="AH292" s="1456">
        <f>SUM(C292:AG292)</f>
        <v>177496.17600000001</v>
      </c>
    </row>
    <row r="293" spans="1:34" x14ac:dyDescent="0.2">
      <c r="A293" s="1274" t="s">
        <v>11</v>
      </c>
      <c r="B293" s="1237"/>
      <c r="C293" s="1302"/>
      <c r="D293" s="1581"/>
      <c r="E293" s="1400"/>
      <c r="F293" s="1582"/>
      <c r="G293" s="1304"/>
      <c r="H293" s="1304">
        <v>-63786</v>
      </c>
      <c r="I293" s="1304"/>
      <c r="J293" s="1319"/>
      <c r="K293" s="1304"/>
      <c r="L293" s="1304"/>
      <c r="M293" s="1304"/>
      <c r="N293" s="1304"/>
      <c r="O293" s="1304"/>
      <c r="P293" s="1318"/>
      <c r="Q293" s="1282"/>
      <c r="R293" s="1304"/>
      <c r="S293" s="1318"/>
      <c r="T293" s="1304"/>
      <c r="U293" s="1304"/>
      <c r="V293" s="1282"/>
      <c r="W293" s="1319"/>
      <c r="X293" s="1317"/>
      <c r="Y293" s="1318"/>
      <c r="Z293" s="1319"/>
      <c r="AA293" s="1317"/>
      <c r="AB293" s="1319"/>
      <c r="AC293" s="1304"/>
      <c r="AD293" s="1319"/>
      <c r="AE293" s="1304"/>
      <c r="AF293" s="1473"/>
      <c r="AG293" s="1282"/>
      <c r="AH293" s="1207"/>
    </row>
    <row r="294" spans="1:34" ht="13.5" thickBot="1" x14ac:dyDescent="0.25">
      <c r="A294" s="1294"/>
      <c r="B294" s="1237"/>
      <c r="C294" s="1302"/>
      <c r="D294" s="1302"/>
      <c r="E294" s="1302"/>
      <c r="F294" s="1303"/>
      <c r="G294" s="1303"/>
      <c r="H294" s="1303"/>
      <c r="I294" s="1303"/>
      <c r="J294" s="1303"/>
      <c r="K294" s="1303"/>
      <c r="L294" s="1303"/>
      <c r="M294" s="1303"/>
      <c r="N294" s="1303"/>
      <c r="O294" s="1303"/>
      <c r="P294" s="1304"/>
      <c r="Q294" s="1303"/>
      <c r="R294" s="1303"/>
      <c r="S294" s="1303"/>
      <c r="T294" s="1303"/>
      <c r="U294" s="1303"/>
      <c r="V294" s="1303"/>
      <c r="W294" s="1303"/>
      <c r="X294" s="1303"/>
      <c r="Y294" s="1303"/>
      <c r="Z294" s="1303"/>
      <c r="AA294" s="1303"/>
      <c r="AB294" s="1303"/>
      <c r="AC294" s="1303"/>
      <c r="AD294" s="1303"/>
      <c r="AE294" s="1303"/>
      <c r="AF294" s="1303"/>
      <c r="AG294" s="1303"/>
      <c r="AH294" s="1207"/>
    </row>
    <row r="295" spans="1:34" x14ac:dyDescent="0.2">
      <c r="A295" s="1269"/>
      <c r="B295" s="1237"/>
      <c r="C295" s="1296"/>
      <c r="D295" s="1297"/>
      <c r="E295" s="1297"/>
      <c r="F295" s="1298"/>
      <c r="G295" s="1298"/>
      <c r="H295" s="1298"/>
      <c r="I295" s="1298"/>
      <c r="J295" s="1298"/>
      <c r="K295" s="1298"/>
      <c r="L295" s="1298"/>
      <c r="M295" s="1298"/>
      <c r="N295" s="1298"/>
      <c r="O295" s="1298"/>
      <c r="P295" s="1299"/>
      <c r="Q295" s="1298"/>
      <c r="R295" s="1298"/>
      <c r="S295" s="1298"/>
      <c r="T295" s="1298"/>
      <c r="U295" s="1298"/>
      <c r="V295" s="1298"/>
      <c r="W295" s="1298"/>
      <c r="X295" s="1298"/>
      <c r="Y295" s="1298"/>
      <c r="Z295" s="1298"/>
      <c r="AA295" s="1298"/>
      <c r="AB295" s="1298"/>
      <c r="AC295" s="1298"/>
      <c r="AD295" s="1298"/>
      <c r="AE295" s="1298"/>
      <c r="AF295" s="1298"/>
      <c r="AG295" s="1298"/>
      <c r="AH295" s="1207"/>
    </row>
    <row r="296" spans="1:34" ht="13.5" thickBot="1" x14ac:dyDescent="0.25">
      <c r="A296" s="1274" t="s">
        <v>12</v>
      </c>
      <c r="B296" s="1237"/>
      <c r="C296" s="1275">
        <f t="shared" ref="C296:AG296" si="30">C297</f>
        <v>0</v>
      </c>
      <c r="D296" s="1275">
        <f t="shared" si="30"/>
        <v>0</v>
      </c>
      <c r="E296" s="1275">
        <f t="shared" si="30"/>
        <v>0</v>
      </c>
      <c r="F296" s="1275">
        <f t="shared" si="30"/>
        <v>0</v>
      </c>
      <c r="G296" s="1275">
        <f t="shared" si="30"/>
        <v>0</v>
      </c>
      <c r="H296" s="1275">
        <f t="shared" si="30"/>
        <v>0</v>
      </c>
      <c r="I296" s="1275">
        <f t="shared" si="30"/>
        <v>0</v>
      </c>
      <c r="J296" s="1275">
        <f t="shared" si="30"/>
        <v>0</v>
      </c>
      <c r="K296" s="1275">
        <f t="shared" si="30"/>
        <v>0</v>
      </c>
      <c r="L296" s="1275">
        <f t="shared" si="30"/>
        <v>0</v>
      </c>
      <c r="M296" s="1275">
        <f t="shared" si="30"/>
        <v>0</v>
      </c>
      <c r="N296" s="1275">
        <f t="shared" si="30"/>
        <v>0</v>
      </c>
      <c r="O296" s="1275">
        <f t="shared" si="30"/>
        <v>0</v>
      </c>
      <c r="P296" s="1276">
        <f t="shared" si="30"/>
        <v>0</v>
      </c>
      <c r="Q296" s="1275">
        <f t="shared" si="30"/>
        <v>0</v>
      </c>
      <c r="R296" s="1275">
        <f t="shared" si="30"/>
        <v>0</v>
      </c>
      <c r="S296" s="1275">
        <f t="shared" si="30"/>
        <v>0</v>
      </c>
      <c r="T296" s="1275">
        <f t="shared" si="30"/>
        <v>0</v>
      </c>
      <c r="U296" s="1275">
        <f t="shared" si="30"/>
        <v>0</v>
      </c>
      <c r="V296" s="1275">
        <f t="shared" si="30"/>
        <v>0</v>
      </c>
      <c r="W296" s="1275">
        <f t="shared" si="30"/>
        <v>0</v>
      </c>
      <c r="X296" s="1275">
        <f t="shared" si="30"/>
        <v>0</v>
      </c>
      <c r="Y296" s="1275">
        <f t="shared" si="30"/>
        <v>0</v>
      </c>
      <c r="Z296" s="1275">
        <f t="shared" si="30"/>
        <v>0</v>
      </c>
      <c r="AA296" s="1275">
        <f t="shared" si="30"/>
        <v>0</v>
      </c>
      <c r="AB296" s="1275">
        <f t="shared" si="30"/>
        <v>0</v>
      </c>
      <c r="AC296" s="1275">
        <f t="shared" si="30"/>
        <v>0</v>
      </c>
      <c r="AD296" s="1275">
        <f t="shared" si="30"/>
        <v>0</v>
      </c>
      <c r="AE296" s="1275">
        <f t="shared" si="30"/>
        <v>0</v>
      </c>
      <c r="AF296" s="1275">
        <f t="shared" si="30"/>
        <v>0</v>
      </c>
      <c r="AG296" s="1275">
        <f t="shared" si="30"/>
        <v>0</v>
      </c>
      <c r="AH296" s="1207"/>
    </row>
    <row r="297" spans="1:34" x14ac:dyDescent="0.2">
      <c r="A297" s="1274" t="s">
        <v>8</v>
      </c>
      <c r="B297" s="1237"/>
      <c r="C297" s="1302"/>
      <c r="D297" s="1302"/>
      <c r="E297" s="1302"/>
      <c r="F297" s="1303"/>
      <c r="G297" s="1303"/>
      <c r="H297" s="1303"/>
      <c r="I297" s="1303"/>
      <c r="J297" s="1303"/>
      <c r="K297" s="1303"/>
      <c r="L297" s="1303"/>
      <c r="M297" s="1303"/>
      <c r="N297" s="1303"/>
      <c r="O297" s="1303"/>
      <c r="P297" s="1304"/>
      <c r="Q297" s="1303"/>
      <c r="R297" s="1303"/>
      <c r="S297" s="1303"/>
      <c r="T297" s="1303"/>
      <c r="U297" s="1303"/>
      <c r="V297" s="1303"/>
      <c r="W297" s="1303"/>
      <c r="X297" s="1303"/>
      <c r="Y297" s="1303"/>
      <c r="Z297" s="1303"/>
      <c r="AA297" s="1303"/>
      <c r="AB297" s="1303"/>
      <c r="AC297" s="1303"/>
      <c r="AD297" s="1303"/>
      <c r="AE297" s="1303"/>
      <c r="AF297" s="1303"/>
      <c r="AG297" s="1303"/>
      <c r="AH297" s="1207"/>
    </row>
    <row r="298" spans="1:34" x14ac:dyDescent="0.2">
      <c r="A298" s="1274" t="s">
        <v>775</v>
      </c>
      <c r="B298" s="1237"/>
      <c r="C298" s="1282"/>
      <c r="D298" s="1282"/>
      <c r="E298" s="1282"/>
      <c r="F298" s="1282">
        <v>7733.4180000000006</v>
      </c>
      <c r="G298" s="1282">
        <v>5276.87</v>
      </c>
      <c r="H298" s="1282">
        <v>1613.3920000000001</v>
      </c>
      <c r="I298" s="1282">
        <v>570.56299999999999</v>
      </c>
      <c r="J298" s="1282">
        <v>2989.779</v>
      </c>
      <c r="K298" s="1282"/>
      <c r="L298" s="1282">
        <v>12244.538</v>
      </c>
      <c r="M298" s="1282">
        <v>749.48199999999997</v>
      </c>
      <c r="N298" s="1282">
        <v>723.12199999999996</v>
      </c>
      <c r="O298" s="1282"/>
      <c r="P298" s="1282">
        <v>4898.6130000000003</v>
      </c>
      <c r="Q298" s="1282">
        <v>15417.216999999999</v>
      </c>
      <c r="R298" s="1282"/>
      <c r="S298" s="1282">
        <v>1351.7</v>
      </c>
      <c r="T298" s="1282">
        <v>1106.8689999999999</v>
      </c>
      <c r="U298" s="1282"/>
      <c r="V298" s="1282">
        <v>9484.4420000000009</v>
      </c>
      <c r="W298" s="1282">
        <v>467.36900000000003</v>
      </c>
      <c r="X298" s="1282"/>
      <c r="Y298" s="1282">
        <v>2532.71</v>
      </c>
      <c r="Z298" s="1282"/>
      <c r="AA298" s="1282">
        <v>13419.527999999998</v>
      </c>
      <c r="AB298" s="1282">
        <v>1359.5</v>
      </c>
      <c r="AC298" s="1282">
        <v>2385.1439999999998</v>
      </c>
      <c r="AD298" s="1282">
        <v>2469.6019999999999</v>
      </c>
      <c r="AE298" s="1282">
        <v>3184.1220000000003</v>
      </c>
      <c r="AF298" s="1282">
        <v>3454.6170000000002</v>
      </c>
      <c r="AG298" s="1282">
        <v>9661.4510000000009</v>
      </c>
      <c r="AH298" s="1455">
        <f>SUM(C298:AG298)</f>
        <v>103094.048</v>
      </c>
    </row>
    <row r="299" spans="1:34" ht="13.5" thickBot="1" x14ac:dyDescent="0.25">
      <c r="A299" s="1294"/>
      <c r="B299" s="1237"/>
      <c r="C299" s="1302"/>
      <c r="D299" s="1302"/>
      <c r="E299" s="1302"/>
      <c r="F299" s="1303"/>
      <c r="G299" s="1303"/>
      <c r="H299" s="1303"/>
      <c r="I299" s="1303"/>
      <c r="J299" s="1303"/>
      <c r="K299" s="1303"/>
      <c r="L299" s="1303"/>
      <c r="M299" s="1303"/>
      <c r="N299" s="1303"/>
      <c r="O299" s="1303"/>
      <c r="P299" s="1304"/>
      <c r="Q299" s="1303"/>
      <c r="R299" s="1303"/>
      <c r="S299" s="1303"/>
      <c r="T299" s="1303"/>
      <c r="U299" s="1303"/>
      <c r="V299" s="1303"/>
      <c r="W299" s="1303"/>
      <c r="X299" s="1303"/>
      <c r="Y299" s="1303"/>
      <c r="Z299" s="1303"/>
      <c r="AA299" s="1303"/>
      <c r="AB299" s="1303"/>
      <c r="AC299" s="1303"/>
      <c r="AD299" s="1303"/>
      <c r="AE299" s="1303"/>
      <c r="AF299" s="1303"/>
      <c r="AG299" s="1303"/>
      <c r="AH299" s="1207"/>
    </row>
    <row r="300" spans="1:34" x14ac:dyDescent="0.2">
      <c r="A300" s="1269"/>
      <c r="B300" s="1237"/>
      <c r="C300" s="1296"/>
      <c r="D300" s="1297"/>
      <c r="E300" s="1297"/>
      <c r="F300" s="1298"/>
      <c r="G300" s="1298"/>
      <c r="H300" s="1298"/>
      <c r="I300" s="1298"/>
      <c r="J300" s="1298"/>
      <c r="K300" s="1298"/>
      <c r="L300" s="1298"/>
      <c r="M300" s="1298"/>
      <c r="N300" s="1298"/>
      <c r="O300" s="1298"/>
      <c r="P300" s="1299"/>
      <c r="Q300" s="1298"/>
      <c r="R300" s="1298"/>
      <c r="S300" s="1298"/>
      <c r="T300" s="1298"/>
      <c r="U300" s="1298"/>
      <c r="V300" s="1298"/>
      <c r="W300" s="1298"/>
      <c r="X300" s="1298"/>
      <c r="Y300" s="1298"/>
      <c r="Z300" s="1298"/>
      <c r="AA300" s="1298"/>
      <c r="AB300" s="1298"/>
      <c r="AC300" s="1298"/>
      <c r="AD300" s="1298"/>
      <c r="AE300" s="1298"/>
      <c r="AF300" s="1298"/>
      <c r="AG300" s="1298"/>
      <c r="AH300" s="1207"/>
    </row>
    <row r="301" spans="1:34" x14ac:dyDescent="0.2">
      <c r="A301" s="1274" t="s">
        <v>13</v>
      </c>
      <c r="B301" s="1237"/>
      <c r="C301" s="1300">
        <f t="shared" ref="C301:AG301" si="31">C296-C288</f>
        <v>0</v>
      </c>
      <c r="D301" s="1300">
        <f t="shared" si="31"/>
        <v>0</v>
      </c>
      <c r="E301" s="1300">
        <f t="shared" si="31"/>
        <v>0</v>
      </c>
      <c r="F301" s="1300">
        <f t="shared" si="31"/>
        <v>0</v>
      </c>
      <c r="G301" s="1300">
        <f t="shared" si="31"/>
        <v>0</v>
      </c>
      <c r="H301" s="1300">
        <f t="shared" si="31"/>
        <v>0</v>
      </c>
      <c r="I301" s="1300">
        <f t="shared" si="31"/>
        <v>0</v>
      </c>
      <c r="J301" s="1300">
        <f t="shared" si="31"/>
        <v>0</v>
      </c>
      <c r="K301" s="1300">
        <f t="shared" si="31"/>
        <v>0</v>
      </c>
      <c r="L301" s="1300">
        <f t="shared" si="31"/>
        <v>0</v>
      </c>
      <c r="M301" s="1300">
        <f t="shared" si="31"/>
        <v>0</v>
      </c>
      <c r="N301" s="1300">
        <f t="shared" si="31"/>
        <v>0</v>
      </c>
      <c r="O301" s="1300">
        <f t="shared" si="31"/>
        <v>0</v>
      </c>
      <c r="P301" s="1301">
        <f t="shared" si="31"/>
        <v>0</v>
      </c>
      <c r="Q301" s="1300">
        <f t="shared" si="31"/>
        <v>0</v>
      </c>
      <c r="R301" s="1300">
        <f t="shared" si="31"/>
        <v>0</v>
      </c>
      <c r="S301" s="1300">
        <f t="shared" si="31"/>
        <v>0</v>
      </c>
      <c r="T301" s="1300">
        <f t="shared" si="31"/>
        <v>0</v>
      </c>
      <c r="U301" s="1300">
        <f t="shared" si="31"/>
        <v>0</v>
      </c>
      <c r="V301" s="1300">
        <f t="shared" si="31"/>
        <v>0</v>
      </c>
      <c r="W301" s="1300">
        <f t="shared" si="31"/>
        <v>0</v>
      </c>
      <c r="X301" s="1300">
        <f t="shared" si="31"/>
        <v>0</v>
      </c>
      <c r="Y301" s="1300">
        <f t="shared" si="31"/>
        <v>0</v>
      </c>
      <c r="Z301" s="1300">
        <f t="shared" si="31"/>
        <v>0</v>
      </c>
      <c r="AA301" s="1300">
        <f t="shared" si="31"/>
        <v>0</v>
      </c>
      <c r="AB301" s="1300">
        <f t="shared" si="31"/>
        <v>0</v>
      </c>
      <c r="AC301" s="1300">
        <f t="shared" si="31"/>
        <v>-0.17600000000675209</v>
      </c>
      <c r="AD301" s="1300">
        <f t="shared" si="31"/>
        <v>0</v>
      </c>
      <c r="AE301" s="1300">
        <f t="shared" si="31"/>
        <v>0</v>
      </c>
      <c r="AF301" s="1300">
        <f t="shared" si="31"/>
        <v>0</v>
      </c>
      <c r="AG301" s="1300">
        <f t="shared" si="31"/>
        <v>0</v>
      </c>
      <c r="AH301" s="1207"/>
    </row>
    <row r="302" spans="1:34" ht="13.5" thickBot="1" x14ac:dyDescent="0.25">
      <c r="A302" s="1274"/>
      <c r="B302" s="1237"/>
      <c r="C302" s="1300"/>
      <c r="D302" s="1302"/>
      <c r="E302" s="1302"/>
      <c r="F302" s="1303"/>
      <c r="G302" s="1303"/>
      <c r="H302" s="1303"/>
      <c r="I302" s="1303"/>
      <c r="J302" s="1303"/>
      <c r="K302" s="1303"/>
      <c r="L302" s="1303"/>
      <c r="M302" s="1303"/>
      <c r="N302" s="1303"/>
      <c r="O302" s="1303"/>
      <c r="P302" s="1304"/>
      <c r="Q302" s="1303"/>
      <c r="R302" s="1303"/>
      <c r="S302" s="1303"/>
      <c r="T302" s="1303"/>
      <c r="U302" s="1303"/>
      <c r="V302" s="1303"/>
      <c r="W302" s="1303"/>
      <c r="X302" s="1303"/>
      <c r="Y302" s="1303"/>
      <c r="Z302" s="1303"/>
      <c r="AA302" s="1303"/>
      <c r="AB302" s="1303"/>
      <c r="AC302" s="1303"/>
      <c r="AD302" s="1303"/>
      <c r="AE302" s="1303"/>
      <c r="AF302" s="1303"/>
      <c r="AG302" s="1303"/>
      <c r="AH302" s="1207"/>
    </row>
    <row r="303" spans="1:34" x14ac:dyDescent="0.2">
      <c r="A303" s="1233"/>
      <c r="B303" s="1234"/>
      <c r="C303" s="1305"/>
      <c r="D303" s="1297"/>
      <c r="E303" s="1297"/>
      <c r="F303" s="1298"/>
      <c r="G303" s="1298"/>
      <c r="H303" s="1298"/>
      <c r="I303" s="1298"/>
      <c r="J303" s="1298"/>
      <c r="K303" s="1298"/>
      <c r="L303" s="1298"/>
      <c r="M303" s="1298"/>
      <c r="N303" s="1298"/>
      <c r="O303" s="1298"/>
      <c r="P303" s="1299"/>
      <c r="Q303" s="1298"/>
      <c r="R303" s="1298"/>
      <c r="S303" s="1298"/>
      <c r="T303" s="1298"/>
      <c r="U303" s="1298"/>
      <c r="V303" s="1298"/>
      <c r="W303" s="1298"/>
      <c r="X303" s="1298"/>
      <c r="Y303" s="1298"/>
      <c r="Z303" s="1298"/>
      <c r="AA303" s="1298"/>
      <c r="AB303" s="1298"/>
      <c r="AC303" s="1298"/>
      <c r="AD303" s="1298"/>
      <c r="AE303" s="1298"/>
      <c r="AF303" s="1298"/>
      <c r="AG303" s="1298"/>
      <c r="AH303" s="1207"/>
    </row>
    <row r="304" spans="1:34" x14ac:dyDescent="0.2">
      <c r="A304" s="1236" t="s">
        <v>15</v>
      </c>
      <c r="B304" s="1237"/>
      <c r="C304" s="1302">
        <f>B285+C301</f>
        <v>-29341.437000000002</v>
      </c>
      <c r="D304" s="1302">
        <f t="shared" ref="D304:AG304" si="32">C311+D301</f>
        <v>-29341.437000000002</v>
      </c>
      <c r="E304" s="1302">
        <f t="shared" si="32"/>
        <v>-29341.437000000002</v>
      </c>
      <c r="F304" s="1302">
        <f t="shared" si="32"/>
        <v>-29341.437000000002</v>
      </c>
      <c r="G304" s="1302">
        <f t="shared" si="32"/>
        <v>-29341.437000000002</v>
      </c>
      <c r="H304" s="1302">
        <f t="shared" si="32"/>
        <v>-29341.437000000002</v>
      </c>
      <c r="I304" s="1302">
        <f t="shared" si="32"/>
        <v>-29341.437000000002</v>
      </c>
      <c r="J304" s="1302">
        <f t="shared" si="32"/>
        <v>-29341.437000000002</v>
      </c>
      <c r="K304" s="1302">
        <f t="shared" si="32"/>
        <v>-29341.437000000002</v>
      </c>
      <c r="L304" s="1302">
        <f t="shared" si="32"/>
        <v>-29341.437000000002</v>
      </c>
      <c r="M304" s="1302">
        <f t="shared" si="32"/>
        <v>-29341.437000000002</v>
      </c>
      <c r="N304" s="1302">
        <f t="shared" si="32"/>
        <v>-29341.437000000002</v>
      </c>
      <c r="O304" s="1302">
        <f t="shared" si="32"/>
        <v>-29341.437000000002</v>
      </c>
      <c r="P304" s="1306">
        <f t="shared" si="32"/>
        <v>-29341.437000000002</v>
      </c>
      <c r="Q304" s="1302">
        <f t="shared" si="32"/>
        <v>-29341.437000000002</v>
      </c>
      <c r="R304" s="1302">
        <f t="shared" si="32"/>
        <v>-29341.437000000002</v>
      </c>
      <c r="S304" s="1302">
        <f t="shared" si="32"/>
        <v>-29341.437000000002</v>
      </c>
      <c r="T304" s="1302">
        <f t="shared" si="32"/>
        <v>-29341.437000000002</v>
      </c>
      <c r="U304" s="1302">
        <f t="shared" si="32"/>
        <v>-29341.437000000002</v>
      </c>
      <c r="V304" s="1302">
        <f t="shared" si="32"/>
        <v>-29341.437000000002</v>
      </c>
      <c r="W304" s="1302">
        <f t="shared" si="32"/>
        <v>-29341.437000000002</v>
      </c>
      <c r="X304" s="1302">
        <f t="shared" si="32"/>
        <v>-29341.437000000002</v>
      </c>
      <c r="Y304" s="1302">
        <f t="shared" si="32"/>
        <v>-29341.437000000002</v>
      </c>
      <c r="Z304" s="1302">
        <f t="shared" si="32"/>
        <v>-29341.437000000002</v>
      </c>
      <c r="AA304" s="1302">
        <f t="shared" si="32"/>
        <v>-29341.437000000002</v>
      </c>
      <c r="AB304" s="1302">
        <f t="shared" si="32"/>
        <v>-29341.437000000002</v>
      </c>
      <c r="AC304" s="1302">
        <f t="shared" si="32"/>
        <v>-29341.613000000008</v>
      </c>
      <c r="AD304" s="1302">
        <f t="shared" si="32"/>
        <v>-29341.613000000008</v>
      </c>
      <c r="AE304" s="1302">
        <f t="shared" si="32"/>
        <v>-29341.613000000008</v>
      </c>
      <c r="AF304" s="1302">
        <f t="shared" si="32"/>
        <v>-29341.613000000008</v>
      </c>
      <c r="AG304" s="1302">
        <f t="shared" si="32"/>
        <v>-29341.613000000008</v>
      </c>
      <c r="AH304" s="1207"/>
    </row>
    <row r="305" spans="1:34" ht="13.5" thickBot="1" x14ac:dyDescent="0.25">
      <c r="A305" s="1250"/>
      <c r="B305" s="1307"/>
      <c r="C305" s="1308"/>
      <c r="D305" s="1308"/>
      <c r="E305" s="1308"/>
      <c r="F305" s="1309"/>
      <c r="G305" s="1309"/>
      <c r="H305" s="1309"/>
      <c r="I305" s="1309"/>
      <c r="J305" s="1309"/>
      <c r="K305" s="1309"/>
      <c r="L305" s="1309"/>
      <c r="M305" s="1309"/>
      <c r="N305" s="1309"/>
      <c r="O305" s="1309"/>
      <c r="P305" s="1310"/>
      <c r="Q305" s="1309"/>
      <c r="R305" s="1309"/>
      <c r="S305" s="1309"/>
      <c r="T305" s="1309"/>
      <c r="U305" s="1309"/>
      <c r="V305" s="1309"/>
      <c r="W305" s="1309"/>
      <c r="X305" s="1309"/>
      <c r="Y305" s="1309"/>
      <c r="Z305" s="1309"/>
      <c r="AA305" s="1309"/>
      <c r="AB305" s="1309"/>
      <c r="AC305" s="1309"/>
      <c r="AD305" s="1309"/>
      <c r="AE305" s="1309"/>
      <c r="AF305" s="1309"/>
      <c r="AG305" s="1309"/>
      <c r="AH305" s="1207"/>
    </row>
    <row r="306" spans="1:34" x14ac:dyDescent="0.2">
      <c r="A306" s="1233"/>
      <c r="B306" s="1234"/>
      <c r="C306" s="1297"/>
      <c r="D306" s="1297"/>
      <c r="E306" s="1297"/>
      <c r="F306" s="1298"/>
      <c r="G306" s="1298"/>
      <c r="H306" s="1298"/>
      <c r="I306" s="1298"/>
      <c r="J306" s="1298"/>
      <c r="K306" s="1298"/>
      <c r="L306" s="1298"/>
      <c r="M306" s="1298"/>
      <c r="N306" s="1298"/>
      <c r="O306" s="1298"/>
      <c r="P306" s="1299"/>
      <c r="Q306" s="1298"/>
      <c r="R306" s="1298"/>
      <c r="S306" s="1298"/>
      <c r="T306" s="1298"/>
      <c r="U306" s="1298"/>
      <c r="V306" s="1298"/>
      <c r="W306" s="1298"/>
      <c r="X306" s="1298"/>
      <c r="Y306" s="1298"/>
      <c r="Z306" s="1298"/>
      <c r="AA306" s="1298"/>
      <c r="AB306" s="1298"/>
      <c r="AC306" s="1298"/>
      <c r="AD306" s="1298"/>
      <c r="AE306" s="1298"/>
      <c r="AF306" s="1298"/>
      <c r="AG306" s="1298"/>
      <c r="AH306" s="1207"/>
    </row>
    <row r="307" spans="1:34" x14ac:dyDescent="0.2">
      <c r="A307" s="1236" t="s">
        <v>82</v>
      </c>
      <c r="B307" s="1237"/>
      <c r="C307" s="1302">
        <f t="shared" ref="C307:AG308" si="33">C315</f>
        <v>0</v>
      </c>
      <c r="D307" s="1302">
        <f t="shared" si="33"/>
        <v>0</v>
      </c>
      <c r="E307" s="1302">
        <f t="shared" si="33"/>
        <v>0</v>
      </c>
      <c r="F307" s="1302">
        <f t="shared" si="33"/>
        <v>0</v>
      </c>
      <c r="G307" s="1302">
        <f t="shared" si="33"/>
        <v>0</v>
      </c>
      <c r="H307" s="1302">
        <f t="shared" si="33"/>
        <v>0</v>
      </c>
      <c r="I307" s="1302">
        <f t="shared" si="33"/>
        <v>0</v>
      </c>
      <c r="J307" s="1302">
        <f t="shared" si="33"/>
        <v>0</v>
      </c>
      <c r="K307" s="1302">
        <f t="shared" si="33"/>
        <v>0</v>
      </c>
      <c r="L307" s="1302">
        <f t="shared" si="33"/>
        <v>0</v>
      </c>
      <c r="M307" s="1302">
        <f t="shared" si="33"/>
        <v>0</v>
      </c>
      <c r="N307" s="1302">
        <f t="shared" si="33"/>
        <v>0</v>
      </c>
      <c r="O307" s="1302">
        <f t="shared" si="33"/>
        <v>0</v>
      </c>
      <c r="P307" s="1306">
        <f t="shared" si="33"/>
        <v>0</v>
      </c>
      <c r="Q307" s="1302">
        <f t="shared" si="33"/>
        <v>0</v>
      </c>
      <c r="R307" s="1302">
        <f t="shared" si="33"/>
        <v>0</v>
      </c>
      <c r="S307" s="1302">
        <f t="shared" si="33"/>
        <v>0</v>
      </c>
      <c r="T307" s="1302">
        <f t="shared" si="33"/>
        <v>0</v>
      </c>
      <c r="U307" s="1302">
        <f t="shared" si="33"/>
        <v>0</v>
      </c>
      <c r="V307" s="1302">
        <f t="shared" si="33"/>
        <v>0</v>
      </c>
      <c r="W307" s="1302">
        <f t="shared" si="33"/>
        <v>0</v>
      </c>
      <c r="X307" s="1302">
        <f t="shared" si="33"/>
        <v>0</v>
      </c>
      <c r="Y307" s="1302">
        <f t="shared" si="33"/>
        <v>0</v>
      </c>
      <c r="Z307" s="1302">
        <f t="shared" si="33"/>
        <v>0</v>
      </c>
      <c r="AA307" s="1302">
        <f t="shared" si="33"/>
        <v>0</v>
      </c>
      <c r="AB307" s="1302">
        <f t="shared" si="33"/>
        <v>0</v>
      </c>
      <c r="AC307" s="1302">
        <f t="shared" si="33"/>
        <v>0</v>
      </c>
      <c r="AD307" s="1302">
        <f t="shared" si="33"/>
        <v>0</v>
      </c>
      <c r="AE307" s="1302">
        <f t="shared" si="33"/>
        <v>0</v>
      </c>
      <c r="AF307" s="1302">
        <f t="shared" si="33"/>
        <v>0</v>
      </c>
      <c r="AG307" s="1302">
        <f t="shared" si="33"/>
        <v>0</v>
      </c>
      <c r="AH307" s="1207"/>
    </row>
    <row r="308" spans="1:34" x14ac:dyDescent="0.2">
      <c r="A308" s="1236" t="s">
        <v>83</v>
      </c>
      <c r="B308" s="1237"/>
      <c r="C308" s="1306">
        <f t="shared" si="33"/>
        <v>0</v>
      </c>
      <c r="D308" s="1306">
        <f t="shared" si="33"/>
        <v>0</v>
      </c>
      <c r="E308" s="1306">
        <f t="shared" si="33"/>
        <v>0</v>
      </c>
      <c r="F308" s="1306">
        <f t="shared" si="33"/>
        <v>0</v>
      </c>
      <c r="G308" s="1306">
        <f t="shared" si="33"/>
        <v>0</v>
      </c>
      <c r="H308" s="1306">
        <f t="shared" si="33"/>
        <v>0</v>
      </c>
      <c r="I308" s="1306">
        <f t="shared" si="33"/>
        <v>0</v>
      </c>
      <c r="J308" s="1306">
        <f t="shared" si="33"/>
        <v>0</v>
      </c>
      <c r="K308" s="1306">
        <f t="shared" si="33"/>
        <v>0</v>
      </c>
      <c r="L308" s="1306">
        <f t="shared" si="33"/>
        <v>0</v>
      </c>
      <c r="M308" s="1306">
        <f t="shared" si="33"/>
        <v>0</v>
      </c>
      <c r="N308" s="1306">
        <f t="shared" si="33"/>
        <v>0</v>
      </c>
      <c r="O308" s="1306">
        <f t="shared" si="33"/>
        <v>0</v>
      </c>
      <c r="P308" s="1306">
        <f t="shared" si="33"/>
        <v>0</v>
      </c>
      <c r="Q308" s="1306">
        <f t="shared" si="33"/>
        <v>0</v>
      </c>
      <c r="R308" s="1306">
        <f t="shared" si="33"/>
        <v>0</v>
      </c>
      <c r="S308" s="1306">
        <f t="shared" si="33"/>
        <v>0</v>
      </c>
      <c r="T308" s="1306">
        <f t="shared" si="33"/>
        <v>0</v>
      </c>
      <c r="U308" s="1306">
        <f t="shared" si="33"/>
        <v>0</v>
      </c>
      <c r="V308" s="1306">
        <f t="shared" si="33"/>
        <v>0</v>
      </c>
      <c r="W308" s="1306">
        <f t="shared" si="33"/>
        <v>0</v>
      </c>
      <c r="X308" s="1306">
        <f t="shared" si="33"/>
        <v>0</v>
      </c>
      <c r="Y308" s="1306">
        <f t="shared" si="33"/>
        <v>0</v>
      </c>
      <c r="Z308" s="1306">
        <f t="shared" si="33"/>
        <v>0</v>
      </c>
      <c r="AA308" s="1306">
        <f t="shared" si="33"/>
        <v>0</v>
      </c>
      <c r="AB308" s="1306">
        <f t="shared" si="33"/>
        <v>0</v>
      </c>
      <c r="AC308" s="1306">
        <f t="shared" si="33"/>
        <v>0</v>
      </c>
      <c r="AD308" s="1306">
        <f t="shared" si="33"/>
        <v>0</v>
      </c>
      <c r="AE308" s="1306">
        <f t="shared" si="33"/>
        <v>0</v>
      </c>
      <c r="AF308" s="1306">
        <f t="shared" si="33"/>
        <v>0</v>
      </c>
      <c r="AG308" s="1306">
        <f t="shared" si="33"/>
        <v>0</v>
      </c>
      <c r="AH308" s="1207"/>
    </row>
    <row r="309" spans="1:34" ht="13.5" thickBot="1" x14ac:dyDescent="0.25">
      <c r="A309" s="1250"/>
      <c r="B309" s="1307"/>
      <c r="C309" s="1308"/>
      <c r="D309" s="1308"/>
      <c r="E309" s="1308"/>
      <c r="F309" s="1309"/>
      <c r="G309" s="1309"/>
      <c r="H309" s="1309"/>
      <c r="I309" s="1309"/>
      <c r="J309" s="1309"/>
      <c r="K309" s="1309"/>
      <c r="L309" s="1309"/>
      <c r="M309" s="1309"/>
      <c r="N309" s="1309"/>
      <c r="O309" s="1309"/>
      <c r="P309" s="1310"/>
      <c r="Q309" s="1309"/>
      <c r="R309" s="1309"/>
      <c r="S309" s="1309"/>
      <c r="T309" s="1309"/>
      <c r="U309" s="1309"/>
      <c r="V309" s="1309"/>
      <c r="W309" s="1309"/>
      <c r="X309" s="1309"/>
      <c r="Y309" s="1309"/>
      <c r="Z309" s="1309"/>
      <c r="AA309" s="1309"/>
      <c r="AB309" s="1309"/>
      <c r="AC309" s="1309"/>
      <c r="AD309" s="1309"/>
      <c r="AE309" s="1309"/>
      <c r="AF309" s="1309"/>
      <c r="AG309" s="1309"/>
      <c r="AH309" s="1207"/>
    </row>
    <row r="310" spans="1:34" x14ac:dyDescent="0.2">
      <c r="A310" s="1236"/>
      <c r="B310" s="1237"/>
      <c r="C310" s="1302"/>
      <c r="D310" s="1302"/>
      <c r="E310" s="1302"/>
      <c r="F310" s="1303"/>
      <c r="G310" s="1303"/>
      <c r="H310" s="1303"/>
      <c r="I310" s="1303"/>
      <c r="J310" s="1303"/>
      <c r="K310" s="1303"/>
      <c r="L310" s="1303"/>
      <c r="M310" s="1303"/>
      <c r="N310" s="1303"/>
      <c r="O310" s="1303"/>
      <c r="P310" s="1304"/>
      <c r="Q310" s="1303"/>
      <c r="R310" s="1303"/>
      <c r="S310" s="1303"/>
      <c r="T310" s="1303"/>
      <c r="U310" s="1303"/>
      <c r="V310" s="1303"/>
      <c r="W310" s="1303"/>
      <c r="X310" s="1303"/>
      <c r="Y310" s="1303"/>
      <c r="Z310" s="1303"/>
      <c r="AA310" s="1303"/>
      <c r="AB310" s="1303"/>
      <c r="AC310" s="1303"/>
      <c r="AD310" s="1303"/>
      <c r="AE310" s="1303"/>
      <c r="AF310" s="1303"/>
      <c r="AG310" s="1303"/>
      <c r="AH310" s="1207"/>
    </row>
    <row r="311" spans="1:34" x14ac:dyDescent="0.2">
      <c r="A311" s="1236" t="s">
        <v>14</v>
      </c>
      <c r="B311" s="1237"/>
      <c r="C311" s="1302">
        <f t="shared" ref="C311:AG311" si="34">C304+C307+C308</f>
        <v>-29341.437000000002</v>
      </c>
      <c r="D311" s="1302">
        <f t="shared" si="34"/>
        <v>-29341.437000000002</v>
      </c>
      <c r="E311" s="1302">
        <f t="shared" si="34"/>
        <v>-29341.437000000002</v>
      </c>
      <c r="F311" s="1302">
        <f t="shared" si="34"/>
        <v>-29341.437000000002</v>
      </c>
      <c r="G311" s="1302">
        <f t="shared" si="34"/>
        <v>-29341.437000000002</v>
      </c>
      <c r="H311" s="1302">
        <f t="shared" si="34"/>
        <v>-29341.437000000002</v>
      </c>
      <c r="I311" s="1302">
        <f t="shared" si="34"/>
        <v>-29341.437000000002</v>
      </c>
      <c r="J311" s="1302">
        <f t="shared" si="34"/>
        <v>-29341.437000000002</v>
      </c>
      <c r="K311" s="1302">
        <f t="shared" si="34"/>
        <v>-29341.437000000002</v>
      </c>
      <c r="L311" s="1302">
        <f t="shared" si="34"/>
        <v>-29341.437000000002</v>
      </c>
      <c r="M311" s="1302">
        <f t="shared" si="34"/>
        <v>-29341.437000000002</v>
      </c>
      <c r="N311" s="1302">
        <f t="shared" si="34"/>
        <v>-29341.437000000002</v>
      </c>
      <c r="O311" s="1302">
        <f t="shared" si="34"/>
        <v>-29341.437000000002</v>
      </c>
      <c r="P311" s="1306">
        <f t="shared" si="34"/>
        <v>-29341.437000000002</v>
      </c>
      <c r="Q311" s="1302">
        <f t="shared" si="34"/>
        <v>-29341.437000000002</v>
      </c>
      <c r="R311" s="1302">
        <f t="shared" si="34"/>
        <v>-29341.437000000002</v>
      </c>
      <c r="S311" s="1302">
        <f t="shared" si="34"/>
        <v>-29341.437000000002</v>
      </c>
      <c r="T311" s="1302">
        <f t="shared" si="34"/>
        <v>-29341.437000000002</v>
      </c>
      <c r="U311" s="1302">
        <f t="shared" si="34"/>
        <v>-29341.437000000002</v>
      </c>
      <c r="V311" s="1302">
        <f t="shared" si="34"/>
        <v>-29341.437000000002</v>
      </c>
      <c r="W311" s="1302">
        <f t="shared" si="34"/>
        <v>-29341.437000000002</v>
      </c>
      <c r="X311" s="1302">
        <f t="shared" si="34"/>
        <v>-29341.437000000002</v>
      </c>
      <c r="Y311" s="1302">
        <f t="shared" si="34"/>
        <v>-29341.437000000002</v>
      </c>
      <c r="Z311" s="1302">
        <f t="shared" si="34"/>
        <v>-29341.437000000002</v>
      </c>
      <c r="AA311" s="1302">
        <f t="shared" si="34"/>
        <v>-29341.437000000002</v>
      </c>
      <c r="AB311" s="1302">
        <f t="shared" si="34"/>
        <v>-29341.437000000002</v>
      </c>
      <c r="AC311" s="1302">
        <f t="shared" si="34"/>
        <v>-29341.613000000008</v>
      </c>
      <c r="AD311" s="1302">
        <f t="shared" si="34"/>
        <v>-29341.613000000008</v>
      </c>
      <c r="AE311" s="1302">
        <f t="shared" si="34"/>
        <v>-29341.613000000008</v>
      </c>
      <c r="AF311" s="1302">
        <f t="shared" si="34"/>
        <v>-29341.613000000008</v>
      </c>
      <c r="AG311" s="1302">
        <f t="shared" si="34"/>
        <v>-29341.613000000008</v>
      </c>
      <c r="AH311" s="1207"/>
    </row>
    <row r="312" spans="1:34" x14ac:dyDescent="0.2">
      <c r="A312" s="1236"/>
      <c r="B312" s="1237"/>
      <c r="C312" s="1302"/>
      <c r="D312" s="1302"/>
      <c r="E312" s="1302"/>
      <c r="F312" s="1303"/>
      <c r="G312" s="1303"/>
      <c r="H312" s="1303"/>
      <c r="I312" s="1303"/>
      <c r="J312" s="1303"/>
      <c r="K312" s="1303"/>
      <c r="L312" s="1303"/>
      <c r="M312" s="1303"/>
      <c r="N312" s="1303"/>
      <c r="O312" s="1303"/>
      <c r="P312" s="1304"/>
      <c r="Q312" s="1303"/>
      <c r="R312" s="1303"/>
      <c r="S312" s="1303"/>
      <c r="T312" s="1303"/>
      <c r="U312" s="1303"/>
      <c r="V312" s="1303"/>
      <c r="W312" s="1303"/>
      <c r="X312" s="1303"/>
      <c r="Y312" s="1303"/>
      <c r="Z312" s="1303"/>
      <c r="AA312" s="1303"/>
      <c r="AB312" s="1303"/>
      <c r="AC312" s="1303"/>
      <c r="AD312" s="1303"/>
      <c r="AE312" s="1303"/>
      <c r="AF312" s="1303"/>
      <c r="AG312" s="1303"/>
      <c r="AH312" s="1207"/>
    </row>
    <row r="313" spans="1:34" ht="13.5" thickBot="1" x14ac:dyDescent="0.25">
      <c r="A313" s="1250"/>
      <c r="B313" s="1307"/>
      <c r="C313" s="1312"/>
      <c r="D313" s="1312"/>
      <c r="E313" s="1312"/>
      <c r="F313" s="1313"/>
      <c r="G313" s="1313"/>
      <c r="H313" s="1313"/>
      <c r="I313" s="1313"/>
      <c r="J313" s="1313"/>
      <c r="K313" s="1313"/>
      <c r="L313" s="1313"/>
      <c r="M313" s="1313"/>
      <c r="N313" s="1313"/>
      <c r="O313" s="1313"/>
      <c r="P313" s="1314"/>
      <c r="Q313" s="1313"/>
      <c r="R313" s="1313"/>
      <c r="S313" s="1313"/>
      <c r="T313" s="1313"/>
      <c r="U313" s="1313"/>
      <c r="V313" s="1313"/>
      <c r="W313" s="1313"/>
      <c r="X313" s="1313"/>
      <c r="Y313" s="1313"/>
      <c r="Z313" s="1313"/>
      <c r="AA313" s="1313"/>
      <c r="AB313" s="1313"/>
      <c r="AC313" s="1313"/>
      <c r="AD313" s="1313"/>
      <c r="AE313" s="1313"/>
      <c r="AF313" s="1313"/>
      <c r="AG313" s="1313"/>
      <c r="AH313" s="1207"/>
    </row>
    <row r="314" spans="1:34" x14ac:dyDescent="0.2">
      <c r="A314" s="1316"/>
      <c r="B314" s="1207"/>
      <c r="C314" s="1227"/>
      <c r="D314" s="1227"/>
      <c r="E314" s="1227"/>
      <c r="F314" s="1227"/>
      <c r="G314" s="1227"/>
      <c r="H314" s="1227"/>
      <c r="I314" s="1227"/>
      <c r="J314" s="1227"/>
      <c r="K314" s="1227"/>
      <c r="L314" s="1227"/>
      <c r="M314" s="1227"/>
      <c r="N314" s="1227"/>
      <c r="O314" s="1227"/>
      <c r="P314" s="1229"/>
      <c r="Q314" s="1227"/>
      <c r="R314" s="1227"/>
      <c r="S314" s="1227"/>
      <c r="T314" s="1227"/>
      <c r="U314" s="1227"/>
      <c r="V314" s="1227"/>
      <c r="W314" s="1227"/>
      <c r="X314" s="1227"/>
      <c r="Y314" s="1227"/>
      <c r="Z314" s="1227"/>
      <c r="AA314" s="1227"/>
      <c r="AB314" s="1227"/>
      <c r="AC314" s="1227"/>
      <c r="AD314" s="1227"/>
      <c r="AE314" s="1227"/>
      <c r="AF314" s="1227"/>
      <c r="AG314" s="1227"/>
      <c r="AH314" s="1227">
        <f>SUM(C314:AG314)</f>
        <v>0</v>
      </c>
    </row>
    <row r="315" spans="1:34" x14ac:dyDescent="0.2">
      <c r="A315" s="1344"/>
      <c r="B315" s="1383"/>
      <c r="C315" s="1219"/>
      <c r="D315" s="1221"/>
      <c r="E315" s="1356"/>
      <c r="F315" s="1219"/>
      <c r="G315" s="1219"/>
      <c r="H315" s="1220"/>
      <c r="I315" s="1219"/>
      <c r="J315" s="1219"/>
      <c r="K315" s="1219"/>
      <c r="L315" s="1219"/>
      <c r="M315" s="1220"/>
      <c r="N315" s="1220"/>
      <c r="O315" s="1220"/>
      <c r="P315" s="1221"/>
      <c r="Q315" s="1219"/>
      <c r="R315" s="1219"/>
      <c r="S315" s="1219"/>
      <c r="T315" s="1219"/>
      <c r="U315" s="1219"/>
      <c r="V315" s="1219"/>
      <c r="W315" s="1220"/>
      <c r="X315" s="1220"/>
      <c r="Y315" s="1220"/>
      <c r="Z315" s="1220"/>
      <c r="AA315" s="1220"/>
      <c r="AB315" s="1220"/>
      <c r="AC315" s="1220"/>
      <c r="AD315" s="1221"/>
      <c r="AE315" s="1219"/>
      <c r="AF315" s="1219"/>
      <c r="AG315" s="1219"/>
      <c r="AH315" s="1227"/>
    </row>
    <row r="316" spans="1:34" x14ac:dyDescent="0.2">
      <c r="A316" s="1207"/>
      <c r="B316" s="1207"/>
      <c r="C316" s="1207"/>
      <c r="D316" s="1207"/>
      <c r="E316" s="134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1208"/>
      <c r="Q316" s="1207"/>
      <c r="R316" s="1207"/>
      <c r="S316" s="1207"/>
      <c r="T316" s="1207"/>
      <c r="U316" s="1207"/>
      <c r="V316" s="1207"/>
      <c r="W316" s="1207"/>
      <c r="X316" s="1207"/>
      <c r="Y316" s="1207"/>
      <c r="Z316" s="1207"/>
      <c r="AA316" s="1207"/>
      <c r="AB316" s="1207"/>
      <c r="AC316" s="1207"/>
      <c r="AD316" s="1207"/>
      <c r="AE316" s="1207"/>
      <c r="AF316" s="1207"/>
      <c r="AG316" s="1207"/>
      <c r="AH316" s="1227"/>
    </row>
    <row r="317" spans="1:34" x14ac:dyDescent="0.2">
      <c r="A317" s="1210" t="s">
        <v>415</v>
      </c>
      <c r="B317" s="1215">
        <f>B318+B319+B321+B320</f>
        <v>1020000</v>
      </c>
      <c r="C317" s="1367"/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1208"/>
      <c r="Q317" s="1207"/>
      <c r="R317" s="1207"/>
      <c r="S317" s="1207"/>
      <c r="T317" s="1207"/>
      <c r="U317" s="1401"/>
      <c r="V317" s="1220"/>
      <c r="W317" s="1227"/>
      <c r="X317" s="1207"/>
      <c r="Y317" s="1207"/>
      <c r="Z317" s="1207"/>
      <c r="AA317" s="1384"/>
      <c r="AB317" s="1207"/>
      <c r="AC317" s="1207"/>
      <c r="AD317" s="1207"/>
      <c r="AE317" s="1207"/>
      <c r="AF317" s="1207"/>
      <c r="AG317" s="1207"/>
      <c r="AH317" s="1207"/>
    </row>
    <row r="318" spans="1:34" x14ac:dyDescent="0.2">
      <c r="A318" s="1365" t="s">
        <v>414</v>
      </c>
      <c r="B318" s="1219">
        <v>20000</v>
      </c>
      <c r="C318" s="1207"/>
      <c r="D318" s="1207"/>
      <c r="E318" s="122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8"/>
      <c r="Q318" s="1207"/>
      <c r="R318" s="1207"/>
      <c r="S318" s="1207"/>
      <c r="T318" s="1207"/>
      <c r="U318" s="1230"/>
      <c r="V318" s="1230"/>
      <c r="W318" s="1207"/>
      <c r="X318" s="1207"/>
      <c r="Y318" s="1207"/>
      <c r="Z318" s="1207"/>
      <c r="AA318" s="1207"/>
      <c r="AB318" s="1207"/>
      <c r="AC318" s="1227"/>
      <c r="AD318" s="1227"/>
      <c r="AE318" s="1207"/>
      <c r="AF318" s="1207"/>
      <c r="AG318" s="1207"/>
      <c r="AH318" s="1207"/>
    </row>
    <row r="319" spans="1:34" x14ac:dyDescent="0.2">
      <c r="A319" s="1365" t="s">
        <v>287</v>
      </c>
      <c r="B319" s="1219">
        <v>600000</v>
      </c>
      <c r="C319" s="1207"/>
      <c r="D319" s="1207"/>
      <c r="E319" s="1207"/>
      <c r="F319" s="1207"/>
      <c r="G319" s="1207"/>
      <c r="H319" s="1207"/>
      <c r="I319" s="1207"/>
      <c r="J319" s="1207"/>
      <c r="K319" s="1227"/>
      <c r="L319" s="1207"/>
      <c r="M319" s="1207"/>
      <c r="N319" s="1207"/>
      <c r="O319" s="1207"/>
      <c r="P319" s="1208"/>
      <c r="Q319" s="1207"/>
      <c r="R319" s="1207"/>
      <c r="S319" s="1207"/>
      <c r="T319" s="1207"/>
      <c r="U319" s="1402"/>
      <c r="V319" s="1230"/>
      <c r="W319" s="1207"/>
      <c r="X319" s="1227"/>
      <c r="Y319" s="1207"/>
      <c r="Z319" s="1207"/>
      <c r="AA319" s="1207"/>
      <c r="AB319" s="1207"/>
      <c r="AC319" s="1207"/>
      <c r="AD319" s="1207"/>
      <c r="AE319" s="1207"/>
      <c r="AF319" s="1207"/>
      <c r="AG319" s="1207"/>
    </row>
    <row r="320" spans="1:34" x14ac:dyDescent="0.2">
      <c r="A320" s="1316" t="s">
        <v>413</v>
      </c>
      <c r="B320" s="1219">
        <v>200000</v>
      </c>
      <c r="C320" s="1207"/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8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07"/>
      <c r="AA320" s="1207"/>
      <c r="AB320" s="1207"/>
      <c r="AC320" s="1207"/>
      <c r="AD320" s="1207"/>
      <c r="AE320" s="1207"/>
      <c r="AF320" s="1207"/>
      <c r="AG320" s="1207"/>
    </row>
    <row r="321" spans="1:33" x14ac:dyDescent="0.2">
      <c r="A321" s="1316" t="s">
        <v>441</v>
      </c>
      <c r="B321" s="1219">
        <v>200000</v>
      </c>
      <c r="C321" s="1207"/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1208"/>
      <c r="Q321" s="1207"/>
      <c r="R321" s="1207"/>
      <c r="S321" s="1207"/>
      <c r="T321" s="1207"/>
      <c r="U321" s="1207"/>
      <c r="V321" s="1207"/>
      <c r="W321" s="1207"/>
      <c r="X321" s="1207"/>
      <c r="Y321" s="1207"/>
      <c r="Z321" s="1207"/>
      <c r="AA321" s="1207"/>
      <c r="AB321" s="1207"/>
      <c r="AC321" s="1207"/>
      <c r="AD321" s="1207"/>
      <c r="AE321" s="1207"/>
      <c r="AF321" s="1207"/>
      <c r="AG321" s="1207"/>
    </row>
    <row r="322" spans="1:33" x14ac:dyDescent="0.2">
      <c r="A322" s="1207"/>
      <c r="B322" s="1207"/>
      <c r="C322" s="1207"/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8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07"/>
      <c r="AA322" s="1207"/>
      <c r="AB322" s="1207"/>
      <c r="AC322" s="1207"/>
      <c r="AD322" s="1207"/>
      <c r="AE322" s="1207"/>
      <c r="AF322" s="1207"/>
      <c r="AG322" s="1207"/>
    </row>
    <row r="323" spans="1:33" x14ac:dyDescent="0.2">
      <c r="A323" s="1223" t="s">
        <v>449</v>
      </c>
      <c r="B323" s="1280"/>
      <c r="L323" s="1283"/>
    </row>
    <row r="324" spans="1:33" x14ac:dyDescent="0.2">
      <c r="AB324" s="1283"/>
      <c r="AC324" s="1283"/>
      <c r="AD324" s="1283"/>
      <c r="AE324" s="1283"/>
    </row>
    <row r="331" spans="1:33" ht="15" x14ac:dyDescent="0.2">
      <c r="A331" s="1403"/>
      <c r="B331" s="1404"/>
    </row>
    <row r="332" spans="1:33" ht="15" x14ac:dyDescent="0.2">
      <c r="A332" s="1403"/>
      <c r="B332" s="1404"/>
    </row>
    <row r="333" spans="1:33" ht="15" x14ac:dyDescent="0.2">
      <c r="A333" s="1403"/>
      <c r="B333" s="1404"/>
    </row>
    <row r="338" spans="1:2" s="1209" customFormat="1" ht="18" x14ac:dyDescent="0.25">
      <c r="A338" s="1751"/>
      <c r="B338" s="1751"/>
    </row>
    <row r="339" spans="1:2" s="1209" customFormat="1" x14ac:dyDescent="0.2">
      <c r="A339" s="1206"/>
      <c r="B339" s="1206"/>
    </row>
    <row r="341" spans="1:2" s="1209" customFormat="1" x14ac:dyDescent="0.2">
      <c r="A341" s="1223"/>
      <c r="B341" s="1280"/>
    </row>
    <row r="342" spans="1:2" s="1209" customFormat="1" x14ac:dyDescent="0.2">
      <c r="A342" s="1223"/>
      <c r="B342" s="1280"/>
    </row>
    <row r="343" spans="1:2" s="1209" customFormat="1" x14ac:dyDescent="0.2">
      <c r="A343" s="1223"/>
      <c r="B343" s="1280"/>
    </row>
    <row r="344" spans="1:2" s="1209" customFormat="1" x14ac:dyDescent="0.2">
      <c r="A344" s="1223"/>
      <c r="B344" s="1280"/>
    </row>
    <row r="345" spans="1:2" s="1209" customFormat="1" x14ac:dyDescent="0.2">
      <c r="A345" s="1223"/>
      <c r="B345" s="1280"/>
    </row>
    <row r="346" spans="1:2" s="1209" customFormat="1" x14ac:dyDescent="0.2">
      <c r="A346" s="1223"/>
      <c r="B346" s="1280"/>
    </row>
    <row r="347" spans="1:2" s="1209" customFormat="1" x14ac:dyDescent="0.2">
      <c r="A347" s="1223"/>
      <c r="B347" s="1280"/>
    </row>
    <row r="348" spans="1:2" s="1209" customFormat="1" x14ac:dyDescent="0.2">
      <c r="A348" s="1223"/>
      <c r="B348" s="1280"/>
    </row>
    <row r="349" spans="1:2" s="1209" customFormat="1" x14ac:dyDescent="0.2">
      <c r="A349" s="1223"/>
      <c r="B349" s="1280"/>
    </row>
    <row r="350" spans="1:2" s="1209" customFormat="1" x14ac:dyDescent="0.2">
      <c r="A350" s="1223"/>
      <c r="B350" s="1280"/>
    </row>
    <row r="351" spans="1:2" s="1209" customFormat="1" x14ac:dyDescent="0.2">
      <c r="A351" s="1223"/>
      <c r="B351" s="1280"/>
    </row>
    <row r="354" spans="2:2" s="1209" customFormat="1" x14ac:dyDescent="0.2">
      <c r="B354" s="1280"/>
    </row>
    <row r="355" spans="2:2" s="1209" customFormat="1" x14ac:dyDescent="0.2">
      <c r="B355" s="1280"/>
    </row>
    <row r="356" spans="2:2" s="1209" customFormat="1" x14ac:dyDescent="0.2">
      <c r="B356" s="1280"/>
    </row>
    <row r="358" spans="2:2" s="1209" customFormat="1" x14ac:dyDescent="0.2">
      <c r="B358" s="1405"/>
    </row>
  </sheetData>
  <mergeCells count="7">
    <mergeCell ref="A338:B338"/>
    <mergeCell ref="AC37:AD37"/>
    <mergeCell ref="I153:L153"/>
    <mergeCell ref="M153:U153"/>
    <mergeCell ref="V153:X153"/>
    <mergeCell ref="L220:M220"/>
    <mergeCell ref="M284:R284"/>
  </mergeCells>
  <pageMargins left="0.78740157480314965" right="0.78740157480314965" top="0.98425196850393704" bottom="0.98425196850393704" header="0.51181102362204722" footer="0.51181102362204722"/>
  <pageSetup paperSize="9" scale="34" fitToHeight="2" orientation="landscape" horizontalDpi="300" verticalDpi="30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358"/>
  <sheetViews>
    <sheetView topLeftCell="X22" workbookViewId="0">
      <pane ySplit="2355" topLeftCell="A151" activePane="bottomLeft"/>
      <selection activeCell="J26" sqref="J26"/>
      <selection pane="bottomLeft" activeCell="I37" sqref="I37"/>
    </sheetView>
  </sheetViews>
  <sheetFormatPr defaultColWidth="11.42578125" defaultRowHeight="12.75" x14ac:dyDescent="0.2"/>
  <cols>
    <col min="1" max="1" width="37.42578125" style="1209" customWidth="1"/>
    <col min="2" max="2" width="13.7109375" style="1209" customWidth="1"/>
    <col min="3" max="3" width="14" style="1209" customWidth="1"/>
    <col min="4" max="4" width="14.28515625" style="1209" customWidth="1"/>
    <col min="5" max="5" width="14.42578125" style="1209" bestFit="1" customWidth="1"/>
    <col min="6" max="6" width="12.7109375" style="1209" customWidth="1"/>
    <col min="7" max="7" width="13.85546875" style="1209" customWidth="1"/>
    <col min="8" max="8" width="13" style="1209" customWidth="1"/>
    <col min="9" max="9" width="11.7109375" style="1209" customWidth="1"/>
    <col min="10" max="11" width="10.85546875" style="1209" customWidth="1"/>
    <col min="12" max="12" width="11.85546875" style="1209" customWidth="1"/>
    <col min="13" max="13" width="10.85546875" style="1209" customWidth="1"/>
    <col min="14" max="14" width="10.28515625" style="1209" customWidth="1"/>
    <col min="15" max="15" width="10.85546875" style="1209" customWidth="1"/>
    <col min="16" max="16" width="10.85546875" style="1320" customWidth="1"/>
    <col min="17" max="17" width="12.28515625" style="1209" customWidth="1"/>
    <col min="18" max="18" width="11.85546875" style="1209" customWidth="1"/>
    <col min="19" max="19" width="11.42578125" style="1209"/>
    <col min="20" max="20" width="14" style="1209" customWidth="1"/>
    <col min="21" max="21" width="14.140625" style="1209" customWidth="1"/>
    <col min="22" max="22" width="11.85546875" style="1209" bestFit="1" customWidth="1"/>
    <col min="23" max="26" width="11.85546875" style="1209" customWidth="1"/>
    <col min="27" max="27" width="13.7109375" style="1209" customWidth="1"/>
    <col min="28" max="31" width="12.42578125" style="1209" customWidth="1"/>
    <col min="32" max="32" width="12" style="1209" customWidth="1"/>
    <col min="33" max="33" width="13.5703125" style="1209" customWidth="1"/>
    <col min="34" max="34" width="13.85546875" style="1209" bestFit="1" customWidth="1"/>
    <col min="35" max="35" width="11.85546875" style="1209" bestFit="1" customWidth="1"/>
    <col min="36" max="39" width="11.42578125" style="1209"/>
    <col min="40" max="40" width="13.85546875" style="1209" bestFit="1" customWidth="1"/>
    <col min="41" max="41" width="11.42578125" style="1209"/>
    <col min="42" max="42" width="13.85546875" style="1209" bestFit="1" customWidth="1"/>
    <col min="43" max="16384" width="11.42578125" style="1209"/>
  </cols>
  <sheetData>
    <row r="1" spans="1:36" x14ac:dyDescent="0.2">
      <c r="A1" s="1206" t="s">
        <v>693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8"/>
      <c r="Q1" s="1207"/>
      <c r="R1" s="1207"/>
      <c r="S1" s="1207"/>
      <c r="T1" s="1207"/>
      <c r="U1" s="1207"/>
      <c r="V1" s="1207"/>
      <c r="W1" s="1207"/>
      <c r="X1" s="1207"/>
      <c r="Y1" s="1207"/>
      <c r="Z1" s="1207"/>
      <c r="AA1" s="1207"/>
      <c r="AB1" s="1207"/>
      <c r="AC1" s="1207"/>
      <c r="AD1" s="1207"/>
      <c r="AE1" s="1207"/>
      <c r="AF1" s="1207"/>
      <c r="AG1" s="1207"/>
      <c r="AH1" s="1207"/>
    </row>
    <row r="2" spans="1:36" x14ac:dyDescent="0.2">
      <c r="A2" s="1210" t="s">
        <v>694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8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</row>
    <row r="3" spans="1:36" x14ac:dyDescent="0.2">
      <c r="A3" s="1210" t="s">
        <v>680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</row>
    <row r="4" spans="1:36" x14ac:dyDescent="0.2">
      <c r="A4" s="1207"/>
      <c r="B4" s="1207"/>
      <c r="C4" s="1526"/>
      <c r="D4" s="1526"/>
      <c r="E4" s="1526"/>
      <c r="F4" s="1526"/>
      <c r="G4" s="1526"/>
      <c r="H4" s="1526"/>
      <c r="I4" s="1526"/>
      <c r="J4" s="1526"/>
      <c r="K4" s="1526"/>
      <c r="L4" s="1526"/>
      <c r="M4" s="1526"/>
      <c r="N4" s="1526"/>
      <c r="O4" s="1526"/>
      <c r="P4" s="1212"/>
      <c r="Q4" s="1526"/>
      <c r="R4" s="1526"/>
      <c r="S4" s="1526"/>
      <c r="T4" s="1526"/>
      <c r="U4" s="1526"/>
      <c r="V4" s="1526"/>
      <c r="W4" s="1526"/>
      <c r="X4" s="1526"/>
      <c r="Y4" s="1526"/>
      <c r="Z4" s="1526"/>
      <c r="AA4" s="1526"/>
      <c r="AB4" s="1526"/>
      <c r="AC4" s="1526"/>
      <c r="AD4" s="1526"/>
      <c r="AE4" s="1526"/>
      <c r="AF4" s="1526"/>
      <c r="AG4" s="1526"/>
      <c r="AH4" s="1207"/>
    </row>
    <row r="5" spans="1:36" x14ac:dyDescent="0.2">
      <c r="A5" s="1213" t="s">
        <v>689</v>
      </c>
      <c r="B5" s="1214" t="s">
        <v>132</v>
      </c>
      <c r="C5" s="1215">
        <f t="shared" ref="C5:AG5" si="0">C6+C7+C8+C9</f>
        <v>-653479.55400000012</v>
      </c>
      <c r="D5" s="1215">
        <f t="shared" si="0"/>
        <v>-653479.55400000012</v>
      </c>
      <c r="E5" s="1215">
        <f t="shared" si="0"/>
        <v>-653479.48400000005</v>
      </c>
      <c r="F5" s="1215">
        <f t="shared" si="0"/>
        <v>-653479.48400000005</v>
      </c>
      <c r="G5" s="1215">
        <f t="shared" si="0"/>
        <v>-653479.48400000005</v>
      </c>
      <c r="H5" s="1215">
        <f t="shared" si="0"/>
        <v>-653479.48400000005</v>
      </c>
      <c r="I5" s="1215">
        <f t="shared" si="0"/>
        <v>-653479.48400000005</v>
      </c>
      <c r="J5" s="1216">
        <f t="shared" si="0"/>
        <v>-653479.48400000005</v>
      </c>
      <c r="K5" s="1216">
        <f t="shared" si="0"/>
        <v>-653479.48400000005</v>
      </c>
      <c r="L5" s="1215">
        <f t="shared" si="0"/>
        <v>-653479.48400000005</v>
      </c>
      <c r="M5" s="1215">
        <f t="shared" si="0"/>
        <v>-653479.48400000005</v>
      </c>
      <c r="N5" s="1215">
        <f t="shared" si="0"/>
        <v>-653479.48400000005</v>
      </c>
      <c r="O5" s="1215">
        <f t="shared" si="0"/>
        <v>-653479.85400000005</v>
      </c>
      <c r="P5" s="1217">
        <f t="shared" si="0"/>
        <v>-653479.85400000005</v>
      </c>
      <c r="Q5" s="1215">
        <f t="shared" si="0"/>
        <v>-653479.85400000005</v>
      </c>
      <c r="R5" s="1215">
        <f t="shared" si="0"/>
        <v>-653479.85400000005</v>
      </c>
      <c r="S5" s="1215">
        <f t="shared" si="0"/>
        <v>-653479.85400000005</v>
      </c>
      <c r="T5" s="1215">
        <f t="shared" si="0"/>
        <v>-653479.85400000005</v>
      </c>
      <c r="U5" s="1215">
        <f t="shared" si="0"/>
        <v>-653479.85400000005</v>
      </c>
      <c r="V5" s="1215">
        <f t="shared" si="0"/>
        <v>-653479.95900000003</v>
      </c>
      <c r="W5" s="1215">
        <f t="shared" si="0"/>
        <v>-662764.61200000008</v>
      </c>
      <c r="X5" s="1215">
        <f t="shared" si="0"/>
        <v>-662764.61200000008</v>
      </c>
      <c r="Y5" s="1215">
        <f t="shared" si="0"/>
        <v>-662764.61200000008</v>
      </c>
      <c r="Z5" s="1215">
        <f t="shared" si="0"/>
        <v>-662764.61200000008</v>
      </c>
      <c r="AA5" s="1215">
        <f t="shared" si="0"/>
        <v>-662764.61200000008</v>
      </c>
      <c r="AB5" s="1215">
        <f t="shared" si="0"/>
        <v>-662764.61200000008</v>
      </c>
      <c r="AC5" s="1215">
        <f t="shared" si="0"/>
        <v>-662764.61200000008</v>
      </c>
      <c r="AD5" s="1215">
        <f t="shared" si="0"/>
        <v>-665076.29900000012</v>
      </c>
      <c r="AE5" s="1215">
        <f t="shared" si="0"/>
        <v>-665076.29900000012</v>
      </c>
      <c r="AF5" s="1215">
        <f t="shared" si="0"/>
        <v>-665076.29900000012</v>
      </c>
      <c r="AG5" s="1215">
        <f t="shared" si="0"/>
        <v>-665076.29900000012</v>
      </c>
      <c r="AH5" s="1207"/>
    </row>
    <row r="6" spans="1:36" x14ac:dyDescent="0.2">
      <c r="A6" s="1218">
        <v>100000</v>
      </c>
      <c r="B6" s="1207" t="s">
        <v>690</v>
      </c>
      <c r="C6" s="1219">
        <f t="shared" ref="C6:AF6" si="1">C70</f>
        <v>-589759.30200000003</v>
      </c>
      <c r="D6" s="1219">
        <f t="shared" si="1"/>
        <v>-589759.30200000003</v>
      </c>
      <c r="E6" s="1219">
        <f t="shared" si="1"/>
        <v>-589759.30200000003</v>
      </c>
      <c r="F6" s="1219">
        <f t="shared" si="1"/>
        <v>-589759.30200000003</v>
      </c>
      <c r="G6" s="1219">
        <f t="shared" si="1"/>
        <v>-589759.30200000003</v>
      </c>
      <c r="H6" s="1219">
        <f t="shared" si="1"/>
        <v>-589759.30200000003</v>
      </c>
      <c r="I6" s="1219">
        <f t="shared" si="1"/>
        <v>-589759.30200000003</v>
      </c>
      <c r="J6" s="1220">
        <f t="shared" si="1"/>
        <v>-589759.30200000003</v>
      </c>
      <c r="K6" s="1220">
        <f t="shared" si="1"/>
        <v>-589759.30200000003</v>
      </c>
      <c r="L6" s="1219">
        <f t="shared" si="1"/>
        <v>-589759.30200000003</v>
      </c>
      <c r="M6" s="1219">
        <f t="shared" si="1"/>
        <v>-589759.30200000003</v>
      </c>
      <c r="N6" s="1219">
        <f t="shared" si="1"/>
        <v>-589759.30200000003</v>
      </c>
      <c r="O6" s="1219">
        <f t="shared" si="1"/>
        <v>-589759.30200000003</v>
      </c>
      <c r="P6" s="1221">
        <f t="shared" si="1"/>
        <v>-589759.30200000003</v>
      </c>
      <c r="Q6" s="1219">
        <f t="shared" si="1"/>
        <v>-589759.30200000003</v>
      </c>
      <c r="R6" s="1219">
        <f t="shared" si="1"/>
        <v>-589759.30200000003</v>
      </c>
      <c r="S6" s="1219">
        <f t="shared" si="1"/>
        <v>-589759.30200000003</v>
      </c>
      <c r="T6" s="1219">
        <f t="shared" si="1"/>
        <v>-589759.30200000003</v>
      </c>
      <c r="U6" s="1219">
        <f t="shared" si="1"/>
        <v>-589759.30200000003</v>
      </c>
      <c r="V6" s="1219">
        <f t="shared" si="1"/>
        <v>-589759.30200000003</v>
      </c>
      <c r="W6" s="1219">
        <f t="shared" si="1"/>
        <v>-589759.30200000003</v>
      </c>
      <c r="X6" s="1219">
        <f t="shared" si="1"/>
        <v>-589759.30200000003</v>
      </c>
      <c r="Y6" s="1219">
        <f t="shared" si="1"/>
        <v>-589759.30200000003</v>
      </c>
      <c r="Z6" s="1219">
        <f t="shared" si="1"/>
        <v>-589759.30200000003</v>
      </c>
      <c r="AA6" s="1219">
        <f t="shared" si="1"/>
        <v>-589759.30200000003</v>
      </c>
      <c r="AB6" s="1219">
        <f t="shared" si="1"/>
        <v>-589759.30200000003</v>
      </c>
      <c r="AC6" s="1219">
        <f t="shared" si="1"/>
        <v>-589759.30200000003</v>
      </c>
      <c r="AD6" s="1219">
        <f t="shared" si="1"/>
        <v>-592070.98900000006</v>
      </c>
      <c r="AE6" s="1219">
        <f t="shared" si="1"/>
        <v>-592070.98900000006</v>
      </c>
      <c r="AF6" s="1219">
        <f t="shared" si="1"/>
        <v>-592070.98900000006</v>
      </c>
      <c r="AG6" s="1219">
        <f>AG70</f>
        <v>-592070.98900000006</v>
      </c>
      <c r="AH6" s="1207"/>
    </row>
    <row r="7" spans="1:36" x14ac:dyDescent="0.2">
      <c r="A7" s="1218">
        <v>25000</v>
      </c>
      <c r="B7" s="1207" t="s">
        <v>666</v>
      </c>
      <c r="C7" s="1219">
        <f t="shared" ref="C7:AG7" si="2">C184</f>
        <v>-30622.870999999999</v>
      </c>
      <c r="D7" s="1219">
        <f t="shared" si="2"/>
        <v>-30622.870999999999</v>
      </c>
      <c r="E7" s="1219">
        <f t="shared" si="2"/>
        <v>-30622.870999999999</v>
      </c>
      <c r="F7" s="1219">
        <f t="shared" si="2"/>
        <v>-30622.870999999999</v>
      </c>
      <c r="G7" s="1219">
        <f t="shared" si="2"/>
        <v>-30622.870999999999</v>
      </c>
      <c r="H7" s="1219">
        <f t="shared" si="2"/>
        <v>-30622.870999999999</v>
      </c>
      <c r="I7" s="1219">
        <f t="shared" si="2"/>
        <v>-30622.870999999999</v>
      </c>
      <c r="J7" s="1220">
        <f t="shared" si="2"/>
        <v>-30622.870999999999</v>
      </c>
      <c r="K7" s="1220">
        <f t="shared" si="2"/>
        <v>-30622.870999999999</v>
      </c>
      <c r="L7" s="1219">
        <f t="shared" si="2"/>
        <v>-30622.870999999999</v>
      </c>
      <c r="M7" s="1219">
        <f t="shared" si="2"/>
        <v>-30622.870999999999</v>
      </c>
      <c r="N7" s="1219">
        <f t="shared" si="2"/>
        <v>-30622.870999999999</v>
      </c>
      <c r="O7" s="1219">
        <f t="shared" si="2"/>
        <v>-30622.870999999999</v>
      </c>
      <c r="P7" s="1221">
        <f t="shared" si="2"/>
        <v>-30622.870999999999</v>
      </c>
      <c r="Q7" s="1219">
        <f t="shared" si="2"/>
        <v>-30622.870999999999</v>
      </c>
      <c r="R7" s="1219">
        <f t="shared" si="2"/>
        <v>-30622.870999999999</v>
      </c>
      <c r="S7" s="1222">
        <f t="shared" si="2"/>
        <v>-30622.870999999999</v>
      </c>
      <c r="T7" s="1219">
        <f t="shared" si="2"/>
        <v>-30622.870999999999</v>
      </c>
      <c r="U7" s="1219">
        <f t="shared" si="2"/>
        <v>-30622.870999999999</v>
      </c>
      <c r="V7" s="1219">
        <f t="shared" si="2"/>
        <v>-30622.870999999999</v>
      </c>
      <c r="W7" s="1219">
        <f t="shared" si="2"/>
        <v>-30622.870999999999</v>
      </c>
      <c r="X7" s="1219">
        <f t="shared" si="2"/>
        <v>-30622.870999999999</v>
      </c>
      <c r="Y7" s="1219">
        <f t="shared" si="2"/>
        <v>-30622.870999999999</v>
      </c>
      <c r="Z7" s="1219">
        <f t="shared" si="2"/>
        <v>-30622.870999999999</v>
      </c>
      <c r="AA7" s="1219">
        <f t="shared" si="2"/>
        <v>-30622.870999999999</v>
      </c>
      <c r="AB7" s="1219">
        <f t="shared" si="2"/>
        <v>-30622.870999999999</v>
      </c>
      <c r="AC7" s="1219">
        <f t="shared" si="2"/>
        <v>-30622.870999999999</v>
      </c>
      <c r="AD7" s="1219">
        <f t="shared" si="2"/>
        <v>-30622.870999999999</v>
      </c>
      <c r="AE7" s="1219">
        <f t="shared" si="2"/>
        <v>-30622.870999999999</v>
      </c>
      <c r="AF7" s="1219">
        <f t="shared" si="2"/>
        <v>-30622.870999999999</v>
      </c>
      <c r="AG7" s="1219">
        <f t="shared" si="2"/>
        <v>-30622.870999999999</v>
      </c>
      <c r="AH7" s="1207"/>
    </row>
    <row r="8" spans="1:36" x14ac:dyDescent="0.2">
      <c r="A8" s="1218">
        <v>25000</v>
      </c>
      <c r="B8" s="1207" t="s">
        <v>667</v>
      </c>
      <c r="C8" s="1219">
        <f t="shared" ref="C8:AG8" si="3">C247</f>
        <v>-15385.451999999999</v>
      </c>
      <c r="D8" s="1219">
        <f t="shared" si="3"/>
        <v>-15385.451999999999</v>
      </c>
      <c r="E8" s="1219">
        <f t="shared" si="3"/>
        <v>-15385.381999999992</v>
      </c>
      <c r="F8" s="1219">
        <f t="shared" si="3"/>
        <v>-15385.381999999992</v>
      </c>
      <c r="G8" s="1219">
        <f t="shared" si="3"/>
        <v>-15385.381999999992</v>
      </c>
      <c r="H8" s="1219">
        <f t="shared" si="3"/>
        <v>-15385.381999999992</v>
      </c>
      <c r="I8" s="1222">
        <f t="shared" si="3"/>
        <v>-15385.381999999992</v>
      </c>
      <c r="J8" s="1220">
        <f t="shared" si="3"/>
        <v>-15385.381999999992</v>
      </c>
      <c r="K8" s="1220">
        <f t="shared" si="3"/>
        <v>-15385.381999999992</v>
      </c>
      <c r="L8" s="1219">
        <f t="shared" si="3"/>
        <v>-15385.381999999992</v>
      </c>
      <c r="M8" s="1219">
        <f t="shared" si="3"/>
        <v>-15385.381999999992</v>
      </c>
      <c r="N8" s="1219">
        <f t="shared" si="3"/>
        <v>-15385.381999999992</v>
      </c>
      <c r="O8" s="1219">
        <f t="shared" si="3"/>
        <v>-15385.381999999992</v>
      </c>
      <c r="P8" s="1221">
        <f t="shared" si="3"/>
        <v>-15385.381999999992</v>
      </c>
      <c r="Q8" s="1219">
        <f t="shared" si="3"/>
        <v>-15385.381999999992</v>
      </c>
      <c r="R8" s="1219">
        <f t="shared" si="3"/>
        <v>-15385.381999999992</v>
      </c>
      <c r="S8" s="1219">
        <f t="shared" si="3"/>
        <v>-15385.381999999992</v>
      </c>
      <c r="T8" s="1219">
        <f t="shared" si="3"/>
        <v>-15385.381999999992</v>
      </c>
      <c r="U8" s="1219">
        <f t="shared" si="3"/>
        <v>-15385.381999999992</v>
      </c>
      <c r="V8" s="1219">
        <f t="shared" si="3"/>
        <v>-15385.381999999992</v>
      </c>
      <c r="W8" s="1219">
        <f t="shared" si="3"/>
        <v>-24670.034999999993</v>
      </c>
      <c r="X8" s="1219">
        <f t="shared" si="3"/>
        <v>-24670.034999999993</v>
      </c>
      <c r="Y8" s="1219">
        <f t="shared" si="3"/>
        <v>-24670.034999999993</v>
      </c>
      <c r="Z8" s="1219">
        <f t="shared" si="3"/>
        <v>-24670.034999999993</v>
      </c>
      <c r="AA8" s="1219">
        <f t="shared" si="3"/>
        <v>-24670.034999999993</v>
      </c>
      <c r="AB8" s="1219">
        <f t="shared" si="3"/>
        <v>-24670.034999999993</v>
      </c>
      <c r="AC8" s="1219">
        <f t="shared" si="3"/>
        <v>-24670.034999999993</v>
      </c>
      <c r="AD8" s="1219">
        <f t="shared" si="3"/>
        <v>-24670.034999999993</v>
      </c>
      <c r="AE8" s="1219">
        <f t="shared" si="3"/>
        <v>-24670.034999999993</v>
      </c>
      <c r="AF8" s="1219">
        <f t="shared" si="3"/>
        <v>-24670.034999999993</v>
      </c>
      <c r="AG8" s="1219">
        <f t="shared" si="3"/>
        <v>-24670.034999999993</v>
      </c>
      <c r="AH8" s="1207"/>
      <c r="AJ8" s="1223"/>
    </row>
    <row r="9" spans="1:36" x14ac:dyDescent="0.2">
      <c r="A9" s="1218">
        <v>20000</v>
      </c>
      <c r="B9" s="1207" t="s">
        <v>691</v>
      </c>
      <c r="C9" s="1219">
        <f t="shared" ref="C9:AG9" si="4">C311</f>
        <v>-17711.929</v>
      </c>
      <c r="D9" s="1219">
        <f t="shared" si="4"/>
        <v>-17711.929</v>
      </c>
      <c r="E9" s="1219">
        <f t="shared" si="4"/>
        <v>-17711.929</v>
      </c>
      <c r="F9" s="1219">
        <f t="shared" si="4"/>
        <v>-17711.929</v>
      </c>
      <c r="G9" s="1222">
        <f t="shared" si="4"/>
        <v>-17711.929</v>
      </c>
      <c r="H9" s="1219">
        <f t="shared" si="4"/>
        <v>-17711.929</v>
      </c>
      <c r="I9" s="1219">
        <f t="shared" si="4"/>
        <v>-17711.929</v>
      </c>
      <c r="J9" s="1220">
        <f t="shared" si="4"/>
        <v>-17711.929</v>
      </c>
      <c r="K9" s="1220">
        <f t="shared" si="4"/>
        <v>-17711.929</v>
      </c>
      <c r="L9" s="1219">
        <f t="shared" si="4"/>
        <v>-17711.929</v>
      </c>
      <c r="M9" s="1219">
        <f t="shared" si="4"/>
        <v>-17711.929</v>
      </c>
      <c r="N9" s="1219">
        <f t="shared" si="4"/>
        <v>-17711.929</v>
      </c>
      <c r="O9" s="1219">
        <f t="shared" si="4"/>
        <v>-17712.299000000003</v>
      </c>
      <c r="P9" s="1221">
        <f t="shared" si="4"/>
        <v>-17712.299000000003</v>
      </c>
      <c r="Q9" s="1219">
        <f t="shared" si="4"/>
        <v>-17712.299000000003</v>
      </c>
      <c r="R9" s="1219">
        <f t="shared" si="4"/>
        <v>-17712.299000000003</v>
      </c>
      <c r="S9" s="1219">
        <f t="shared" si="4"/>
        <v>-17712.299000000003</v>
      </c>
      <c r="T9" s="1219">
        <f t="shared" si="4"/>
        <v>-17712.299000000003</v>
      </c>
      <c r="U9" s="1219">
        <f t="shared" si="4"/>
        <v>-17712.299000000003</v>
      </c>
      <c r="V9" s="1219">
        <f t="shared" si="4"/>
        <v>-17712.404000000002</v>
      </c>
      <c r="W9" s="1219">
        <f t="shared" si="4"/>
        <v>-17712.404000000002</v>
      </c>
      <c r="X9" s="1219">
        <f t="shared" si="4"/>
        <v>-17712.404000000002</v>
      </c>
      <c r="Y9" s="1219">
        <f t="shared" si="4"/>
        <v>-17712.404000000002</v>
      </c>
      <c r="Z9" s="1219">
        <f t="shared" si="4"/>
        <v>-17712.404000000002</v>
      </c>
      <c r="AA9" s="1219">
        <f t="shared" si="4"/>
        <v>-17712.404000000002</v>
      </c>
      <c r="AB9" s="1219">
        <f t="shared" si="4"/>
        <v>-17712.404000000002</v>
      </c>
      <c r="AC9" s="1219">
        <f t="shared" si="4"/>
        <v>-17712.404000000002</v>
      </c>
      <c r="AD9" s="1219">
        <f t="shared" si="4"/>
        <v>-17712.404000000002</v>
      </c>
      <c r="AE9" s="1219">
        <f t="shared" si="4"/>
        <v>-17712.404000000002</v>
      </c>
      <c r="AF9" s="1219">
        <f t="shared" si="4"/>
        <v>-17712.404000000002</v>
      </c>
      <c r="AG9" s="1219">
        <f t="shared" si="4"/>
        <v>-17712.404000000002</v>
      </c>
      <c r="AH9" s="1207"/>
    </row>
    <row r="10" spans="1:36" x14ac:dyDescent="0.2">
      <c r="A10" s="1213" t="s">
        <v>692</v>
      </c>
      <c r="B10" s="1214" t="s">
        <v>132</v>
      </c>
      <c r="C10" s="1224">
        <f t="shared" ref="C10:AG10" si="5">C11+C12+C13</f>
        <v>0</v>
      </c>
      <c r="D10" s="1224">
        <f t="shared" si="5"/>
        <v>1530.2</v>
      </c>
      <c r="E10" s="1224">
        <f t="shared" si="5"/>
        <v>6930.2620000000006</v>
      </c>
      <c r="F10" s="1224">
        <f t="shared" si="5"/>
        <v>0</v>
      </c>
      <c r="G10" s="1224">
        <f t="shared" si="5"/>
        <v>11831.349999999999</v>
      </c>
      <c r="H10" s="1224">
        <f t="shared" si="5"/>
        <v>0</v>
      </c>
      <c r="I10" s="1224">
        <f t="shared" si="5"/>
        <v>4070.5080000000003</v>
      </c>
      <c r="J10" s="1225">
        <f t="shared" si="5"/>
        <v>0</v>
      </c>
      <c r="K10" s="1225">
        <f t="shared" si="5"/>
        <v>2774.48</v>
      </c>
      <c r="L10" s="1224">
        <f t="shared" si="5"/>
        <v>27468.108</v>
      </c>
      <c r="M10" s="1224">
        <f t="shared" si="5"/>
        <v>0</v>
      </c>
      <c r="N10" s="1224">
        <f t="shared" si="5"/>
        <v>1997.556</v>
      </c>
      <c r="O10" s="1224">
        <f t="shared" si="5"/>
        <v>8963.9130000000005</v>
      </c>
      <c r="P10" s="1226">
        <f t="shared" si="5"/>
        <v>2447.4760000000001</v>
      </c>
      <c r="Q10" s="1224">
        <f t="shared" si="5"/>
        <v>21429.474000000002</v>
      </c>
      <c r="R10" s="1224">
        <f t="shared" si="5"/>
        <v>5787.8370000000004</v>
      </c>
      <c r="S10" s="1224">
        <f t="shared" si="5"/>
        <v>5169.8459999999995</v>
      </c>
      <c r="T10" s="1224">
        <f t="shared" si="5"/>
        <v>2341.3199999999997</v>
      </c>
      <c r="U10" s="1224">
        <f t="shared" si="5"/>
        <v>0</v>
      </c>
      <c r="V10" s="1224">
        <f t="shared" si="5"/>
        <v>9903.985999999999</v>
      </c>
      <c r="W10" s="1224">
        <f t="shared" si="5"/>
        <v>2758.88</v>
      </c>
      <c r="X10" s="1224">
        <f t="shared" si="5"/>
        <v>2224.5</v>
      </c>
      <c r="Y10" s="1224">
        <f t="shared" si="5"/>
        <v>0</v>
      </c>
      <c r="Z10" s="1224">
        <f t="shared" si="5"/>
        <v>4584.7979999999998</v>
      </c>
      <c r="AA10" s="1224">
        <f t="shared" si="5"/>
        <v>6838.5529999999999</v>
      </c>
      <c r="AB10" s="1224">
        <f t="shared" si="5"/>
        <v>0</v>
      </c>
      <c r="AC10" s="1224">
        <f t="shared" si="5"/>
        <v>1470.4</v>
      </c>
      <c r="AD10" s="1224">
        <f t="shared" si="5"/>
        <v>3412.9139999999998</v>
      </c>
      <c r="AE10" s="1224">
        <f t="shared" si="5"/>
        <v>7698.9279999999999</v>
      </c>
      <c r="AF10" s="1224">
        <f t="shared" si="5"/>
        <v>38275.243000000002</v>
      </c>
      <c r="AG10" s="1224">
        <f t="shared" si="5"/>
        <v>0</v>
      </c>
      <c r="AH10" s="1227">
        <f>SUM(C10:AG10)</f>
        <v>179910.53200000001</v>
      </c>
    </row>
    <row r="11" spans="1:36" x14ac:dyDescent="0.2">
      <c r="A11" s="1213"/>
      <c r="B11" s="1207" t="s">
        <v>666</v>
      </c>
      <c r="C11" s="1227">
        <f t="shared" ref="C11:AG11" si="6">C171</f>
        <v>0</v>
      </c>
      <c r="D11" s="1227">
        <f t="shared" si="6"/>
        <v>0</v>
      </c>
      <c r="E11" s="1227">
        <f t="shared" si="6"/>
        <v>0</v>
      </c>
      <c r="F11" s="1227">
        <f t="shared" si="6"/>
        <v>0</v>
      </c>
      <c r="G11" s="1227">
        <f t="shared" si="6"/>
        <v>7124.3329999999996</v>
      </c>
      <c r="H11" s="1227">
        <f t="shared" si="6"/>
        <v>0</v>
      </c>
      <c r="I11" s="1227">
        <f t="shared" si="6"/>
        <v>2333.5810000000001</v>
      </c>
      <c r="J11" s="1228">
        <f t="shared" si="6"/>
        <v>0</v>
      </c>
      <c r="K11" s="1228">
        <f t="shared" si="6"/>
        <v>0</v>
      </c>
      <c r="L11" s="1227">
        <f t="shared" si="6"/>
        <v>7023.9160000000002</v>
      </c>
      <c r="M11" s="1227">
        <f t="shared" si="6"/>
        <v>0</v>
      </c>
      <c r="N11" s="1227">
        <f t="shared" si="6"/>
        <v>0</v>
      </c>
      <c r="O11" s="1227">
        <f t="shared" si="6"/>
        <v>2000</v>
      </c>
      <c r="P11" s="1229">
        <f t="shared" si="6"/>
        <v>2447.4760000000001</v>
      </c>
      <c r="Q11" s="1227">
        <f t="shared" si="6"/>
        <v>2735.5479999999998</v>
      </c>
      <c r="R11" s="1227">
        <f t="shared" si="6"/>
        <v>1913.9590000000001</v>
      </c>
      <c r="S11" s="1227">
        <f t="shared" si="6"/>
        <v>2224.5</v>
      </c>
      <c r="T11" s="1227">
        <f t="shared" si="6"/>
        <v>0</v>
      </c>
      <c r="U11" s="1227">
        <f t="shared" si="6"/>
        <v>0</v>
      </c>
      <c r="V11" s="1227">
        <f t="shared" si="6"/>
        <v>1586.991</v>
      </c>
      <c r="W11" s="1227">
        <f t="shared" si="6"/>
        <v>0</v>
      </c>
      <c r="X11" s="1227">
        <f t="shared" si="6"/>
        <v>2224.5</v>
      </c>
      <c r="Y11" s="1227">
        <f t="shared" si="6"/>
        <v>0</v>
      </c>
      <c r="Z11" s="1227">
        <f t="shared" si="6"/>
        <v>3109.1979999999999</v>
      </c>
      <c r="AA11" s="1227">
        <f t="shared" si="6"/>
        <v>2978.8449999999998</v>
      </c>
      <c r="AB11" s="1227">
        <f t="shared" si="6"/>
        <v>0</v>
      </c>
      <c r="AC11" s="1227">
        <f t="shared" si="6"/>
        <v>0</v>
      </c>
      <c r="AD11" s="1227">
        <f t="shared" si="6"/>
        <v>0</v>
      </c>
      <c r="AE11" s="1227">
        <f t="shared" si="6"/>
        <v>632.31299999999999</v>
      </c>
      <c r="AF11" s="1227">
        <f t="shared" si="6"/>
        <v>6500</v>
      </c>
      <c r="AG11" s="1227">
        <f t="shared" si="6"/>
        <v>0</v>
      </c>
      <c r="AH11" s="1207"/>
    </row>
    <row r="12" spans="1:36" x14ac:dyDescent="0.2">
      <c r="A12" s="1213"/>
      <c r="B12" s="1207" t="s">
        <v>667</v>
      </c>
      <c r="C12" s="1227">
        <f t="shared" ref="C12:AG12" si="7">C234</f>
        <v>0</v>
      </c>
      <c r="D12" s="1227">
        <f t="shared" si="7"/>
        <v>0</v>
      </c>
      <c r="E12" s="1227">
        <f t="shared" si="7"/>
        <v>5051.5820000000003</v>
      </c>
      <c r="F12" s="1227">
        <f t="shared" si="7"/>
        <v>0</v>
      </c>
      <c r="G12" s="1227">
        <f t="shared" si="7"/>
        <v>847.06100000000004</v>
      </c>
      <c r="H12" s="1227">
        <f t="shared" si="7"/>
        <v>0</v>
      </c>
      <c r="I12" s="1227">
        <f t="shared" si="7"/>
        <v>0</v>
      </c>
      <c r="J12" s="1228">
        <f t="shared" si="7"/>
        <v>0</v>
      </c>
      <c r="K12" s="1228">
        <f t="shared" si="7"/>
        <v>0</v>
      </c>
      <c r="L12" s="1227">
        <f t="shared" si="7"/>
        <v>2805.3850000000002</v>
      </c>
      <c r="M12" s="1227">
        <f t="shared" si="7"/>
        <v>0</v>
      </c>
      <c r="N12" s="1227">
        <f t="shared" si="7"/>
        <v>0</v>
      </c>
      <c r="O12" s="1227">
        <f t="shared" si="7"/>
        <v>0</v>
      </c>
      <c r="P12" s="1229">
        <f t="shared" si="7"/>
        <v>0</v>
      </c>
      <c r="Q12" s="1227">
        <f t="shared" si="7"/>
        <v>2347.0610000000001</v>
      </c>
      <c r="R12" s="1227">
        <f t="shared" si="7"/>
        <v>0</v>
      </c>
      <c r="S12" s="1227">
        <f t="shared" si="7"/>
        <v>1000</v>
      </c>
      <c r="T12" s="1227">
        <f t="shared" si="7"/>
        <v>0</v>
      </c>
      <c r="U12" s="1227">
        <f t="shared" si="7"/>
        <v>0</v>
      </c>
      <c r="V12" s="1227">
        <f t="shared" si="7"/>
        <v>847.06100000000004</v>
      </c>
      <c r="W12" s="1227">
        <f t="shared" si="7"/>
        <v>0</v>
      </c>
      <c r="X12" s="1227">
        <f t="shared" si="7"/>
        <v>0</v>
      </c>
      <c r="Y12" s="1227">
        <f t="shared" si="7"/>
        <v>0</v>
      </c>
      <c r="Z12" s="1227">
        <f t="shared" si="7"/>
        <v>0</v>
      </c>
      <c r="AA12" s="1227">
        <f t="shared" si="7"/>
        <v>1082.867</v>
      </c>
      <c r="AB12" s="1227">
        <f t="shared" si="7"/>
        <v>0</v>
      </c>
      <c r="AC12" s="1227">
        <f t="shared" si="7"/>
        <v>0</v>
      </c>
      <c r="AD12" s="1227">
        <f t="shared" si="7"/>
        <v>0</v>
      </c>
      <c r="AE12" s="1227">
        <f t="shared" si="7"/>
        <v>2799.4960000000001</v>
      </c>
      <c r="AF12" s="1227">
        <f t="shared" si="7"/>
        <v>1032.569</v>
      </c>
      <c r="AG12" s="1227">
        <f t="shared" si="7"/>
        <v>0</v>
      </c>
      <c r="AH12" s="1207"/>
    </row>
    <row r="13" spans="1:36" x14ac:dyDescent="0.2">
      <c r="A13" s="1213"/>
      <c r="B13" s="1207" t="s">
        <v>691</v>
      </c>
      <c r="C13" s="1227">
        <f t="shared" ref="C13:AG13" si="8">C298</f>
        <v>0</v>
      </c>
      <c r="D13" s="1227">
        <f t="shared" si="8"/>
        <v>1530.2</v>
      </c>
      <c r="E13" s="1227">
        <f t="shared" si="8"/>
        <v>1878.68</v>
      </c>
      <c r="F13" s="1227">
        <f t="shared" si="8"/>
        <v>0</v>
      </c>
      <c r="G13" s="1227">
        <f t="shared" si="8"/>
        <v>3859.9560000000001</v>
      </c>
      <c r="H13" s="1227">
        <f t="shared" si="8"/>
        <v>0</v>
      </c>
      <c r="I13" s="1227">
        <f t="shared" si="8"/>
        <v>1736.9270000000001</v>
      </c>
      <c r="J13" s="1228">
        <f t="shared" si="8"/>
        <v>0</v>
      </c>
      <c r="K13" s="1228">
        <f t="shared" si="8"/>
        <v>2774.48</v>
      </c>
      <c r="L13" s="1227">
        <f t="shared" si="8"/>
        <v>17638.807000000001</v>
      </c>
      <c r="M13" s="1227">
        <f t="shared" si="8"/>
        <v>0</v>
      </c>
      <c r="N13" s="1227">
        <f t="shared" si="8"/>
        <v>1997.556</v>
      </c>
      <c r="O13" s="1227">
        <f t="shared" si="8"/>
        <v>6963.9130000000005</v>
      </c>
      <c r="P13" s="1229">
        <f t="shared" si="8"/>
        <v>0</v>
      </c>
      <c r="Q13" s="1227">
        <f t="shared" si="8"/>
        <v>16346.865</v>
      </c>
      <c r="R13" s="1227">
        <f t="shared" si="8"/>
        <v>3873.8780000000002</v>
      </c>
      <c r="S13" s="1227">
        <f t="shared" si="8"/>
        <v>1945.346</v>
      </c>
      <c r="T13" s="1227">
        <f t="shared" si="8"/>
        <v>2341.3199999999997</v>
      </c>
      <c r="U13" s="1227">
        <f t="shared" si="8"/>
        <v>0</v>
      </c>
      <c r="V13" s="1227">
        <f t="shared" si="8"/>
        <v>7469.9339999999993</v>
      </c>
      <c r="W13" s="1227">
        <f t="shared" si="8"/>
        <v>2758.88</v>
      </c>
      <c r="X13" s="1227">
        <f t="shared" si="8"/>
        <v>0</v>
      </c>
      <c r="Y13" s="1227">
        <f t="shared" si="8"/>
        <v>0</v>
      </c>
      <c r="Z13" s="1227">
        <f t="shared" si="8"/>
        <v>1475.6</v>
      </c>
      <c r="AA13" s="1227">
        <f t="shared" si="8"/>
        <v>2776.8409999999999</v>
      </c>
      <c r="AB13" s="1227">
        <f t="shared" si="8"/>
        <v>0</v>
      </c>
      <c r="AC13" s="1227">
        <f t="shared" si="8"/>
        <v>1470.4</v>
      </c>
      <c r="AD13" s="1227">
        <f t="shared" si="8"/>
        <v>3412.9139999999998</v>
      </c>
      <c r="AE13" s="1227">
        <f t="shared" si="8"/>
        <v>4267.1189999999997</v>
      </c>
      <c r="AF13" s="1227">
        <f t="shared" si="8"/>
        <v>30742.673999999999</v>
      </c>
      <c r="AG13" s="1227">
        <f t="shared" si="8"/>
        <v>0</v>
      </c>
      <c r="AH13" s="1207"/>
    </row>
    <row r="14" spans="1:36" x14ac:dyDescent="0.2">
      <c r="A14" s="1207"/>
      <c r="B14" s="1207"/>
      <c r="C14" s="1207"/>
      <c r="D14" s="1207"/>
      <c r="E14" s="1207"/>
      <c r="F14" s="1207"/>
      <c r="G14" s="1207"/>
      <c r="H14" s="1207"/>
      <c r="I14" s="1207"/>
      <c r="J14" s="1230"/>
      <c r="K14" s="1230"/>
      <c r="L14" s="1207"/>
      <c r="M14" s="1207"/>
      <c r="N14" s="1216"/>
      <c r="O14" s="1207"/>
      <c r="P14" s="1208"/>
      <c r="Q14" s="1207"/>
      <c r="R14" s="1207"/>
      <c r="S14" s="1207"/>
      <c r="T14" s="1207"/>
      <c r="U14" s="1216"/>
      <c r="V14" s="1207"/>
      <c r="W14" s="1207"/>
      <c r="X14" s="1207"/>
      <c r="Y14" s="1207"/>
      <c r="Z14" s="1207"/>
      <c r="AA14" s="1216"/>
      <c r="AB14" s="1207"/>
      <c r="AC14" s="1207"/>
      <c r="AD14" s="1207"/>
      <c r="AE14" s="1207"/>
      <c r="AF14" s="1207"/>
      <c r="AG14" s="1216"/>
      <c r="AH14" s="1231">
        <f>AG5+AH10</f>
        <v>-485165.76700000011</v>
      </c>
    </row>
    <row r="15" spans="1:36" ht="13.5" thickBot="1" x14ac:dyDescent="0.25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8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7"/>
      <c r="AF15" s="1207"/>
      <c r="AG15" s="1207"/>
      <c r="AH15" s="1232"/>
      <c r="AI15" s="1223"/>
    </row>
    <row r="16" spans="1:36" x14ac:dyDescent="0.2">
      <c r="A16" s="1233"/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5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2"/>
      <c r="AI16" s="1223"/>
    </row>
    <row r="17" spans="1:35" x14ac:dyDescent="0.2">
      <c r="A17" s="1236"/>
      <c r="B17" s="1237" t="s">
        <v>37</v>
      </c>
      <c r="C17" s="1237"/>
      <c r="D17" s="1237"/>
      <c r="E17" s="1238" t="s">
        <v>823</v>
      </c>
      <c r="F17" s="1239" t="s">
        <v>140</v>
      </c>
      <c r="G17" s="1239"/>
      <c r="H17" s="1526" t="s">
        <v>6</v>
      </c>
      <c r="I17" s="1239"/>
      <c r="J17" s="1239"/>
      <c r="K17" s="1239"/>
      <c r="L17" s="1239"/>
      <c r="M17" s="1239"/>
      <c r="N17" s="1239"/>
      <c r="O17" s="1239"/>
      <c r="P17" s="1240"/>
      <c r="Q17" s="1239"/>
      <c r="R17" s="1239"/>
      <c r="S17" s="1239"/>
      <c r="T17" s="1239"/>
      <c r="U17" s="1239"/>
      <c r="V17" s="1239"/>
      <c r="W17" s="1239"/>
      <c r="X17" s="1239"/>
      <c r="Y17" s="1239"/>
      <c r="AA17" s="1239"/>
      <c r="AB17" s="1239"/>
      <c r="AC17" s="1239"/>
      <c r="AD17" s="1239"/>
      <c r="AE17" s="1239"/>
      <c r="AF17" s="1239"/>
      <c r="AG17" s="1239"/>
      <c r="AH17" s="1232"/>
      <c r="AI17" s="1223"/>
    </row>
    <row r="18" spans="1:35" x14ac:dyDescent="0.2">
      <c r="A18" s="1236"/>
      <c r="B18" s="1237"/>
      <c r="C18" s="1237"/>
      <c r="D18" s="1239"/>
      <c r="E18" s="1237"/>
      <c r="F18" s="1237"/>
      <c r="G18" s="1237"/>
      <c r="H18" s="1237"/>
      <c r="I18" s="1237"/>
      <c r="J18" s="1237"/>
      <c r="K18" s="1237"/>
      <c r="L18" s="1237"/>
      <c r="M18" s="1237"/>
      <c r="N18" s="1237"/>
      <c r="O18" s="1237"/>
      <c r="P18" s="1241"/>
      <c r="Q18" s="1237"/>
      <c r="R18" s="1237"/>
      <c r="S18" s="1237"/>
      <c r="T18" s="1237"/>
      <c r="U18" s="1237"/>
      <c r="V18" s="1237"/>
      <c r="W18" s="1237"/>
      <c r="X18" s="1237"/>
      <c r="Y18" s="1237"/>
      <c r="Z18" s="1237"/>
      <c r="AA18" s="1237"/>
      <c r="AB18" s="1237"/>
      <c r="AC18" s="1237"/>
      <c r="AD18" s="1237"/>
      <c r="AE18" s="1237"/>
      <c r="AF18" s="1237"/>
      <c r="AG18" s="1237"/>
      <c r="AH18" s="1229"/>
    </row>
    <row r="19" spans="1:35" x14ac:dyDescent="0.2">
      <c r="A19" s="1242"/>
      <c r="B19" s="1239"/>
      <c r="C19" s="1239"/>
      <c r="D19" s="1238">
        <v>42572</v>
      </c>
      <c r="E19" s="1237"/>
      <c r="F19" s="1237"/>
      <c r="G19" s="1237"/>
      <c r="H19" s="1237"/>
      <c r="I19" s="1237"/>
      <c r="J19" s="1237"/>
      <c r="K19" s="1237"/>
      <c r="L19" s="1237"/>
      <c r="M19" s="1237"/>
      <c r="N19" s="1237"/>
      <c r="O19" s="1237"/>
      <c r="P19" s="1241"/>
      <c r="Q19" s="1237"/>
      <c r="R19" s="1237"/>
      <c r="S19" s="1237"/>
      <c r="T19" s="1237"/>
      <c r="U19" s="1237"/>
      <c r="V19" s="1237"/>
      <c r="W19" s="1237"/>
      <c r="X19" s="1237"/>
      <c r="Y19" s="1237"/>
      <c r="Z19" s="1237"/>
      <c r="AA19" s="1237"/>
      <c r="AB19" s="1237"/>
      <c r="AC19" s="1237"/>
      <c r="AD19" s="1237"/>
      <c r="AE19" s="1237"/>
      <c r="AF19" s="1237"/>
      <c r="AG19" s="1237"/>
      <c r="AH19" s="1207"/>
    </row>
    <row r="20" spans="1:35" x14ac:dyDescent="0.2">
      <c r="A20" s="1242"/>
      <c r="B20" s="1237"/>
      <c r="C20" s="1237"/>
      <c r="D20" s="1239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41"/>
      <c r="Q20" s="1237"/>
      <c r="R20" s="1237"/>
      <c r="S20" s="1237"/>
      <c r="T20" s="1237"/>
      <c r="U20" s="1237"/>
      <c r="V20" s="1237"/>
      <c r="W20" s="1237"/>
      <c r="X20" s="1237"/>
      <c r="Y20" s="1237"/>
      <c r="Z20" s="1237"/>
      <c r="AA20" s="1237"/>
      <c r="AB20" s="1237"/>
      <c r="AC20" s="1237"/>
      <c r="AD20" s="1237"/>
      <c r="AE20" s="1237"/>
      <c r="AF20" s="1237"/>
      <c r="AG20" s="1237"/>
      <c r="AH20" s="1207"/>
    </row>
    <row r="21" spans="1:35" ht="13.5" thickBot="1" x14ac:dyDescent="0.25">
      <c r="A21" s="1236"/>
      <c r="B21" s="1237"/>
      <c r="C21" s="1237"/>
      <c r="D21" s="1237"/>
      <c r="E21" s="1237"/>
      <c r="F21" s="1237"/>
      <c r="G21" s="1237"/>
      <c r="H21" s="1237"/>
      <c r="I21" s="1237"/>
      <c r="J21" s="1237"/>
      <c r="K21" s="1237"/>
      <c r="L21" s="1237"/>
      <c r="M21" s="1237"/>
      <c r="N21" s="1237"/>
      <c r="O21" s="1237"/>
      <c r="P21" s="1241"/>
      <c r="Q21" s="1237"/>
      <c r="R21" s="1237"/>
      <c r="S21" s="1237"/>
      <c r="T21" s="1237"/>
      <c r="U21" s="1237"/>
      <c r="V21" s="1237"/>
      <c r="W21" s="1237"/>
      <c r="X21" s="1237"/>
      <c r="Y21" s="1237"/>
      <c r="Z21" s="1237"/>
      <c r="AA21" s="1237"/>
      <c r="AB21" s="1237"/>
      <c r="AC21" s="1237"/>
      <c r="AD21" s="1237"/>
      <c r="AE21" s="1237"/>
      <c r="AF21" s="1237"/>
      <c r="AG21" s="1237"/>
      <c r="AH21" s="1207"/>
    </row>
    <row r="22" spans="1:35" ht="13.5" thickBot="1" x14ac:dyDescent="0.25">
      <c r="A22" s="1236"/>
      <c r="B22" s="1237"/>
      <c r="C22" s="1243"/>
      <c r="D22" s="1244" t="s">
        <v>16</v>
      </c>
      <c r="E22" s="1244"/>
      <c r="F22" s="1244"/>
      <c r="G22" s="1244"/>
      <c r="H22" s="1244"/>
      <c r="I22" s="1244"/>
      <c r="J22" s="1244"/>
      <c r="K22" s="1244"/>
      <c r="L22" s="1244"/>
      <c r="M22" s="1244"/>
      <c r="N22" s="1244"/>
      <c r="O22" s="1244"/>
      <c r="P22" s="1245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244"/>
      <c r="AE22" s="1244"/>
      <c r="AF22" s="1244"/>
      <c r="AG22" s="1244"/>
      <c r="AH22" s="1207"/>
    </row>
    <row r="23" spans="1:35" ht="13.5" thickBot="1" x14ac:dyDescent="0.25">
      <c r="A23" s="1236"/>
      <c r="B23" s="1237"/>
      <c r="C23" s="1246" t="s">
        <v>452</v>
      </c>
      <c r="D23" s="1246" t="s">
        <v>453</v>
      </c>
      <c r="E23" s="1246" t="s">
        <v>434</v>
      </c>
      <c r="F23" s="1246" t="s">
        <v>390</v>
      </c>
      <c r="G23" s="1246" t="s">
        <v>454</v>
      </c>
      <c r="H23" s="1246" t="s">
        <v>455</v>
      </c>
      <c r="I23" s="1246" t="s">
        <v>456</v>
      </c>
      <c r="J23" s="1246" t="s">
        <v>457</v>
      </c>
      <c r="K23" s="1246" t="s">
        <v>458</v>
      </c>
      <c r="L23" s="1246" t="s">
        <v>216</v>
      </c>
      <c r="M23" s="1246" t="s">
        <v>459</v>
      </c>
      <c r="N23" s="1246" t="s">
        <v>297</v>
      </c>
      <c r="O23" s="1246" t="s">
        <v>211</v>
      </c>
      <c r="P23" s="1247" t="s">
        <v>270</v>
      </c>
      <c r="Q23" s="1246" t="s">
        <v>490</v>
      </c>
      <c r="R23" s="1246" t="s">
        <v>460</v>
      </c>
      <c r="S23" s="1246" t="s">
        <v>461</v>
      </c>
      <c r="T23" s="1246" t="s">
        <v>442</v>
      </c>
      <c r="U23" s="1246" t="s">
        <v>462</v>
      </c>
      <c r="V23" s="1246" t="s">
        <v>470</v>
      </c>
      <c r="W23" s="1246" t="s">
        <v>471</v>
      </c>
      <c r="X23" s="1246" t="s">
        <v>472</v>
      </c>
      <c r="Y23" s="1246" t="s">
        <v>463</v>
      </c>
      <c r="Z23" s="1246" t="s">
        <v>465</v>
      </c>
      <c r="AA23" s="1246" t="s">
        <v>466</v>
      </c>
      <c r="AB23" s="1246" t="s">
        <v>435</v>
      </c>
      <c r="AC23" s="1246" t="s">
        <v>467</v>
      </c>
      <c r="AD23" s="1246" t="s">
        <v>464</v>
      </c>
      <c r="AE23" s="1246" t="s">
        <v>429</v>
      </c>
      <c r="AF23" s="1246" t="s">
        <v>149</v>
      </c>
      <c r="AG23" s="1246" t="s">
        <v>210</v>
      </c>
      <c r="AH23" s="1207"/>
    </row>
    <row r="24" spans="1:35" x14ac:dyDescent="0.2">
      <c r="A24" s="1233"/>
      <c r="B24" s="1248"/>
      <c r="C24" s="1237"/>
      <c r="D24" s="1237"/>
      <c r="E24" s="1237"/>
      <c r="F24" s="1237"/>
      <c r="G24" s="1237"/>
      <c r="H24" s="1237"/>
      <c r="I24" s="1237"/>
      <c r="J24" s="1237"/>
      <c r="K24" s="1237"/>
      <c r="L24" s="1237"/>
      <c r="M24" s="1237"/>
      <c r="N24" s="1237"/>
      <c r="O24" s="1237"/>
      <c r="P24" s="1241"/>
      <c r="Q24" s="1237"/>
      <c r="R24" s="1237"/>
      <c r="S24" s="1237"/>
      <c r="T24" s="1237"/>
      <c r="U24" s="1237"/>
      <c r="V24" s="1237"/>
      <c r="W24" s="1237"/>
      <c r="X24" s="1237"/>
      <c r="Y24" s="1237"/>
      <c r="Z24" s="1237"/>
      <c r="AA24" s="1237"/>
      <c r="AB24" s="1237"/>
      <c r="AC24" s="1237"/>
      <c r="AD24" s="1237"/>
      <c r="AE24" s="1237"/>
      <c r="AF24" s="1237"/>
      <c r="AG24" s="1237"/>
      <c r="AH24" s="1207"/>
    </row>
    <row r="25" spans="1:35" x14ac:dyDescent="0.2">
      <c r="A25" s="1236" t="s">
        <v>0</v>
      </c>
      <c r="B25" s="1249">
        <v>-593260.06400000001</v>
      </c>
      <c r="C25" s="1237"/>
      <c r="D25" s="1237"/>
      <c r="E25" s="1237"/>
      <c r="F25" s="1237"/>
      <c r="G25" s="1237"/>
      <c r="H25" s="1237"/>
      <c r="I25" s="1237"/>
      <c r="J25" s="1237"/>
      <c r="K25" s="1237"/>
      <c r="L25" s="1237"/>
      <c r="M25" s="1237"/>
      <c r="N25" s="1237"/>
      <c r="O25" s="1237"/>
      <c r="P25" s="1241"/>
      <c r="Q25" s="1237"/>
      <c r="R25" s="1237"/>
      <c r="S25" s="1237"/>
      <c r="T25" s="1237"/>
      <c r="U25" s="1237"/>
      <c r="V25" s="1237"/>
      <c r="W25" s="1237"/>
      <c r="X25" s="1237"/>
      <c r="Y25" s="1237"/>
      <c r="Z25" s="1237"/>
      <c r="AA25" s="1237"/>
      <c r="AB25" s="1237"/>
      <c r="AC25" s="1237"/>
      <c r="AD25" s="1237"/>
      <c r="AE25" s="1237"/>
      <c r="AF25" s="1237"/>
      <c r="AG25" s="1237"/>
      <c r="AH25" s="1207"/>
    </row>
    <row r="26" spans="1:35" ht="13.5" thickBot="1" x14ac:dyDescent="0.25">
      <c r="A26" s="1250"/>
      <c r="B26" s="1251"/>
      <c r="C26" s="1237"/>
      <c r="D26" s="1237"/>
      <c r="E26" s="1237"/>
      <c r="F26" s="1237"/>
      <c r="G26" s="1252"/>
      <c r="H26" s="1237"/>
      <c r="I26" s="1237"/>
      <c r="J26" s="1237"/>
      <c r="K26" s="1237"/>
      <c r="L26" s="1237"/>
      <c r="M26" s="1237"/>
      <c r="N26" s="1237"/>
      <c r="O26" s="1237"/>
      <c r="P26" s="1241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07"/>
    </row>
    <row r="27" spans="1:35" x14ac:dyDescent="0.2">
      <c r="A27" s="1233"/>
      <c r="B27" s="1253"/>
      <c r="C27" s="1237"/>
      <c r="D27" s="1237"/>
      <c r="E27" s="1237"/>
      <c r="F27" s="1237"/>
      <c r="G27" s="1237"/>
      <c r="H27" s="1237"/>
      <c r="I27" s="1237"/>
      <c r="J27" s="1237"/>
      <c r="K27" s="1237"/>
      <c r="L27" s="1237"/>
      <c r="M27" s="1237"/>
      <c r="N27" s="1237"/>
      <c r="O27" s="1237"/>
      <c r="P27" s="1241"/>
      <c r="Q27" s="1237"/>
      <c r="R27" s="1237"/>
      <c r="S27" s="1237"/>
      <c r="T27" s="1237"/>
      <c r="U27" s="1237"/>
      <c r="V27" s="1237"/>
      <c r="W27" s="1237"/>
      <c r="X27" s="1237"/>
      <c r="Y27" s="1237"/>
      <c r="Z27" s="1237"/>
      <c r="AA27" s="1237"/>
      <c r="AB27" s="1237"/>
      <c r="AC27" s="1237"/>
      <c r="AD27" s="1237"/>
      <c r="AE27" s="1237"/>
      <c r="AF27" s="1237"/>
      <c r="AG27" s="1237"/>
      <c r="AH27" s="1207"/>
    </row>
    <row r="28" spans="1:35" x14ac:dyDescent="0.2">
      <c r="A28" s="1236" t="s">
        <v>1</v>
      </c>
      <c r="B28" s="1249">
        <f>B29+B30+B31</f>
        <v>8178.7620000000006</v>
      </c>
      <c r="C28" s="1237"/>
      <c r="D28" s="1237"/>
      <c r="E28" s="1237"/>
      <c r="F28" s="1237"/>
      <c r="G28" s="1237"/>
      <c r="H28" s="1237"/>
      <c r="I28" s="1237"/>
      <c r="J28" s="1237"/>
      <c r="K28" s="1237"/>
      <c r="L28" s="1237"/>
      <c r="M28" s="1237"/>
      <c r="N28" s="1237"/>
      <c r="O28" s="1237"/>
      <c r="P28" s="1241"/>
      <c r="Q28" s="1237"/>
      <c r="R28" s="1237"/>
      <c r="S28" s="1237"/>
      <c r="T28" s="1237"/>
      <c r="U28" s="1237"/>
      <c r="V28" s="1237"/>
      <c r="W28" s="1237"/>
      <c r="X28" s="1237"/>
      <c r="Y28" s="1237"/>
      <c r="Z28" s="1237"/>
      <c r="AA28" s="1237"/>
      <c r="AB28" s="1237"/>
      <c r="AC28" s="1237"/>
      <c r="AD28" s="1237"/>
      <c r="AE28" s="1237"/>
      <c r="AF28" s="1237"/>
      <c r="AG28" s="1237"/>
      <c r="AH28" s="1207"/>
    </row>
    <row r="29" spans="1:35" x14ac:dyDescent="0.2">
      <c r="A29" s="1236" t="s">
        <v>38</v>
      </c>
      <c r="B29" s="1249">
        <f>C82</f>
        <v>8178.7620000000006</v>
      </c>
      <c r="C29" s="1237"/>
      <c r="D29" s="1237"/>
      <c r="E29" s="1237"/>
      <c r="F29" s="1237"/>
      <c r="G29" s="1237"/>
      <c r="H29" s="1237"/>
      <c r="I29" s="1237"/>
      <c r="J29" s="1237"/>
      <c r="K29" s="1237"/>
      <c r="L29" s="1237"/>
      <c r="M29" s="1237"/>
      <c r="N29" s="1237"/>
      <c r="O29" s="1237"/>
      <c r="P29" s="1241"/>
      <c r="Q29" s="1237"/>
      <c r="R29" s="1237"/>
      <c r="S29" s="1237"/>
      <c r="T29" s="1237"/>
      <c r="U29" s="1237"/>
      <c r="V29" s="1237"/>
      <c r="W29" s="1237"/>
      <c r="X29" s="1237"/>
      <c r="Y29" s="1237"/>
      <c r="Z29" s="1237"/>
      <c r="AA29" s="1237"/>
      <c r="AB29" s="1237"/>
      <c r="AC29" s="1237"/>
      <c r="AD29" s="1237"/>
      <c r="AE29" s="1237"/>
      <c r="AF29" s="1237"/>
      <c r="AG29" s="1237"/>
      <c r="AH29" s="1207"/>
    </row>
    <row r="30" spans="1:35" x14ac:dyDescent="0.2">
      <c r="A30" s="1236" t="s">
        <v>39</v>
      </c>
      <c r="B30" s="1249"/>
      <c r="C30" s="1237"/>
      <c r="D30" s="1237"/>
      <c r="E30" s="1237"/>
      <c r="F30" s="1237"/>
      <c r="G30" s="1237"/>
      <c r="H30" s="1237"/>
      <c r="I30" s="1237"/>
      <c r="J30" s="1237"/>
      <c r="K30" s="1237"/>
      <c r="L30" s="1237"/>
      <c r="M30" s="1237"/>
      <c r="N30" s="1237"/>
      <c r="O30" s="1237"/>
      <c r="P30" s="1241"/>
      <c r="Q30" s="1237"/>
      <c r="R30" s="1237"/>
      <c r="S30" s="1237"/>
      <c r="T30" s="1237"/>
      <c r="U30" s="1237"/>
      <c r="V30" s="1237"/>
      <c r="W30" s="1237"/>
      <c r="X30" s="1237"/>
      <c r="Y30" s="1237"/>
      <c r="Z30" s="1237"/>
      <c r="AA30" s="1237"/>
      <c r="AB30" s="1237"/>
      <c r="AC30" s="1237"/>
      <c r="AD30" s="1237"/>
      <c r="AE30" s="1237"/>
      <c r="AF30" s="1237"/>
      <c r="AG30" s="1237"/>
      <c r="AH30" s="1207"/>
    </row>
    <row r="31" spans="1:35" x14ac:dyDescent="0.2">
      <c r="A31" s="1236" t="s">
        <v>3</v>
      </c>
      <c r="B31" s="1249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41"/>
      <c r="Q31" s="1237"/>
      <c r="R31" s="1237"/>
      <c r="S31" s="1237"/>
      <c r="T31" s="1237"/>
      <c r="U31" s="1237"/>
      <c r="V31" s="1237"/>
      <c r="W31" s="1237"/>
      <c r="X31" s="1237"/>
      <c r="Y31" s="1237"/>
      <c r="Z31" s="1237"/>
      <c r="AA31" s="1237"/>
      <c r="AB31" s="1237"/>
      <c r="AC31" s="1237"/>
      <c r="AD31" s="1237"/>
      <c r="AE31" s="1237"/>
      <c r="AF31" s="1237"/>
      <c r="AG31" s="1237"/>
      <c r="AH31" s="1207"/>
    </row>
    <row r="32" spans="1:35" ht="13.5" thickBot="1" x14ac:dyDescent="0.25">
      <c r="A32" s="1250"/>
      <c r="B32" s="1251"/>
      <c r="C32" s="1237"/>
      <c r="D32" s="1237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41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37"/>
      <c r="AE32" s="1237"/>
      <c r="AF32" s="1237"/>
      <c r="AG32" s="1237"/>
      <c r="AH32" s="1207"/>
    </row>
    <row r="33" spans="1:40" ht="18" x14ac:dyDescent="0.25">
      <c r="A33" s="1233"/>
      <c r="B33" s="1253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  <c r="M33" s="1237"/>
      <c r="N33" s="1237"/>
      <c r="O33" s="1254"/>
      <c r="P33" s="1241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37"/>
      <c r="AE33" s="1237"/>
      <c r="AF33" s="1237"/>
      <c r="AG33" s="1237"/>
      <c r="AH33" s="1207"/>
    </row>
    <row r="34" spans="1:40" ht="18" x14ac:dyDescent="0.25">
      <c r="A34" s="1236" t="s">
        <v>4</v>
      </c>
      <c r="B34" s="1249">
        <f>B25+B28</f>
        <v>-585081.30200000003</v>
      </c>
      <c r="C34" s="1237"/>
      <c r="D34" s="1237"/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54"/>
      <c r="P34" s="1241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37"/>
      <c r="AE34" s="1237"/>
      <c r="AF34" s="1237"/>
      <c r="AG34" s="1237"/>
      <c r="AH34" s="1207"/>
    </row>
    <row r="35" spans="1:40" ht="18.75" thickBot="1" x14ac:dyDescent="0.3">
      <c r="A35" s="1250"/>
      <c r="B35" s="1251"/>
      <c r="C35" s="1237"/>
      <c r="D35" s="1237"/>
      <c r="E35" s="1237"/>
      <c r="F35" s="1237"/>
      <c r="G35" s="1237"/>
      <c r="H35" s="1237"/>
      <c r="I35" s="1237"/>
      <c r="K35" s="1237"/>
      <c r="L35" s="1237"/>
      <c r="M35" s="1237"/>
      <c r="N35" s="1237"/>
      <c r="O35" s="1254"/>
      <c r="P35" s="1241"/>
      <c r="Q35" s="1237"/>
      <c r="R35" s="1237"/>
      <c r="S35" s="1237"/>
      <c r="T35" s="1237"/>
      <c r="U35" s="1237"/>
      <c r="V35" s="1237"/>
      <c r="W35" s="1237"/>
      <c r="X35" s="1237"/>
      <c r="Y35" s="1237"/>
      <c r="Z35" s="1237"/>
      <c r="AA35" s="1237"/>
      <c r="AB35" s="1237"/>
      <c r="AC35" s="1237"/>
      <c r="AD35" s="1237"/>
      <c r="AE35" s="1237"/>
      <c r="AF35" s="1237"/>
      <c r="AG35" s="1237"/>
      <c r="AH35" s="1207"/>
    </row>
    <row r="36" spans="1:40" x14ac:dyDescent="0.2">
      <c r="A36" s="1233"/>
      <c r="B36" s="1253"/>
      <c r="C36" s="1237"/>
      <c r="D36" s="1237"/>
      <c r="E36" s="1237"/>
      <c r="F36" s="1237"/>
      <c r="G36" s="1237"/>
      <c r="H36" s="1237"/>
      <c r="I36" s="1237"/>
      <c r="J36" s="1237"/>
      <c r="K36" s="1237"/>
      <c r="L36" s="1237"/>
      <c r="M36" s="1237"/>
      <c r="N36" s="1237"/>
      <c r="O36" s="1237"/>
      <c r="P36" s="1241"/>
      <c r="Q36" s="1237"/>
      <c r="R36" s="1237"/>
      <c r="S36" s="1237"/>
      <c r="T36" s="1237"/>
      <c r="U36" s="1237"/>
      <c r="V36" s="1237"/>
      <c r="W36" s="1237"/>
      <c r="X36" s="1237"/>
      <c r="Y36" s="1237"/>
      <c r="Z36" s="1237"/>
      <c r="AA36" s="1237"/>
      <c r="AB36" s="1237"/>
      <c r="AC36" s="1237"/>
      <c r="AD36" s="1237"/>
      <c r="AE36" s="1237"/>
      <c r="AF36" s="1237"/>
      <c r="AG36" s="1237"/>
      <c r="AH36" s="1207"/>
    </row>
    <row r="37" spans="1:40" ht="18" x14ac:dyDescent="0.25">
      <c r="A37" s="1236" t="s">
        <v>913</v>
      </c>
      <c r="B37" s="1249"/>
      <c r="C37" s="1237"/>
      <c r="D37" s="1237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12"/>
      <c r="Q37" s="1526"/>
      <c r="R37" s="1237"/>
      <c r="S37" s="1255"/>
      <c r="T37" s="1237"/>
      <c r="U37" s="1237"/>
      <c r="V37" s="1237"/>
      <c r="W37" s="1237"/>
      <c r="X37" s="1237"/>
      <c r="Y37" s="1237"/>
      <c r="Z37" s="1237"/>
      <c r="AA37" s="1237"/>
      <c r="AB37" s="1237"/>
      <c r="AC37" s="1748"/>
      <c r="AD37" s="1748"/>
      <c r="AE37" s="1237"/>
      <c r="AF37" s="1237"/>
      <c r="AG37" s="1237"/>
      <c r="AH37" s="1207"/>
    </row>
    <row r="38" spans="1:40" ht="13.5" thickBot="1" x14ac:dyDescent="0.25">
      <c r="A38" s="1250"/>
      <c r="B38" s="1251"/>
      <c r="C38" s="1237"/>
      <c r="D38" s="1237"/>
      <c r="E38" s="1526"/>
      <c r="F38" s="1237"/>
      <c r="G38" s="1237"/>
      <c r="H38" s="1526"/>
      <c r="I38" s="1237"/>
      <c r="J38" s="1237"/>
      <c r="K38" s="1241"/>
      <c r="L38" s="1237"/>
      <c r="M38" s="1526"/>
      <c r="N38" s="1237"/>
      <c r="O38" s="1237"/>
      <c r="P38" s="1241"/>
      <c r="Q38" s="1237"/>
      <c r="R38" s="1237"/>
      <c r="S38" s="1237"/>
      <c r="T38" s="1237"/>
      <c r="U38" s="1237"/>
      <c r="V38" s="1237"/>
      <c r="W38" s="1237"/>
      <c r="X38" s="1237"/>
      <c r="Y38" s="1237"/>
      <c r="Z38" s="1237"/>
      <c r="AA38" s="1237"/>
      <c r="AB38" s="1237"/>
      <c r="AC38" s="1237"/>
      <c r="AD38" s="1237"/>
      <c r="AE38" s="1237"/>
      <c r="AF38" s="1237"/>
      <c r="AG38" s="1237"/>
      <c r="AH38" s="1207"/>
    </row>
    <row r="39" spans="1:40" x14ac:dyDescent="0.2">
      <c r="A39" s="1233"/>
      <c r="B39" s="1253"/>
      <c r="C39" s="1256"/>
      <c r="D39" s="1525"/>
      <c r="E39" s="1525"/>
      <c r="F39" s="1237"/>
      <c r="G39" s="1237"/>
      <c r="H39" s="1525"/>
      <c r="I39" s="1237"/>
      <c r="J39" s="1237"/>
      <c r="K39" s="1237"/>
      <c r="L39" s="1237"/>
      <c r="M39" s="1526"/>
      <c r="N39" s="1237"/>
      <c r="O39" s="1258"/>
      <c r="P39" s="1212"/>
      <c r="Q39" s="1212"/>
      <c r="R39" s="1237"/>
      <c r="S39" s="1526"/>
      <c r="T39" s="1237"/>
      <c r="U39" s="1259"/>
      <c r="V39" s="1259"/>
      <c r="W39" s="1259"/>
      <c r="X39" s="1259"/>
      <c r="Y39" s="1260"/>
      <c r="Z39" s="1259"/>
      <c r="AA39" s="1261"/>
      <c r="AB39" s="1259"/>
      <c r="AC39" s="1260"/>
      <c r="AD39" s="1259"/>
      <c r="AE39" s="1259"/>
      <c r="AF39" s="1259"/>
      <c r="AG39" s="1259"/>
      <c r="AH39" s="1207"/>
    </row>
    <row r="40" spans="1:40" x14ac:dyDescent="0.2">
      <c r="A40" s="1236" t="s">
        <v>5</v>
      </c>
      <c r="B40" s="1249">
        <f>B34-B37</f>
        <v>-585081.30200000003</v>
      </c>
      <c r="C40" s="1256" t="s">
        <v>206</v>
      </c>
      <c r="D40" s="1526" t="s">
        <v>172</v>
      </c>
      <c r="E40" s="1256"/>
      <c r="F40" s="1526"/>
      <c r="G40" s="1560" t="s">
        <v>1295</v>
      </c>
      <c r="H40" s="1526"/>
      <c r="I40" s="1526"/>
      <c r="J40" s="1526" t="s">
        <v>208</v>
      </c>
      <c r="K40" s="1526"/>
      <c r="L40" s="1262"/>
      <c r="M40" s="1212" t="s">
        <v>166</v>
      </c>
      <c r="N40" s="1512"/>
      <c r="O40" s="1511"/>
      <c r="P40" s="1212"/>
      <c r="Q40" s="1212"/>
      <c r="R40" s="1526"/>
      <c r="S40" s="1212"/>
      <c r="T40" s="1212" t="s">
        <v>248</v>
      </c>
      <c r="U40" s="1212"/>
      <c r="V40" s="1263"/>
      <c r="W40" s="1212"/>
      <c r="X40" s="1526"/>
      <c r="Y40" s="1212" t="s">
        <v>478</v>
      </c>
      <c r="Z40" s="1212"/>
      <c r="AA40" s="1264"/>
      <c r="AB40" s="1212" t="s">
        <v>185</v>
      </c>
      <c r="AC40" s="1212"/>
      <c r="AD40" s="1266" t="s">
        <v>1381</v>
      </c>
      <c r="AE40" s="1267"/>
      <c r="AF40" s="1268"/>
      <c r="AG40" s="1267"/>
      <c r="AH40" s="1207"/>
    </row>
    <row r="41" spans="1:40" ht="13.5" thickBot="1" x14ac:dyDescent="0.25">
      <c r="A41" s="1250"/>
      <c r="B41" s="1251"/>
      <c r="C41" s="1237"/>
      <c r="D41" s="1237"/>
      <c r="E41" s="1237"/>
      <c r="F41" s="1237"/>
      <c r="G41" s="1237"/>
      <c r="H41" s="1237"/>
      <c r="I41" s="1237"/>
      <c r="J41" s="1237"/>
      <c r="K41" s="1237"/>
      <c r="L41" s="1526"/>
      <c r="M41" s="1237"/>
      <c r="N41" s="1237"/>
      <c r="O41" s="1237"/>
      <c r="P41" s="1241"/>
      <c r="Q41" s="1237"/>
      <c r="R41" s="1237"/>
      <c r="S41" s="1237"/>
      <c r="T41" s="1237"/>
      <c r="U41" s="1237"/>
      <c r="V41" s="1237"/>
      <c r="W41" s="1237"/>
      <c r="X41" s="1237"/>
      <c r="Y41" s="1237"/>
      <c r="Z41" s="1237"/>
      <c r="AA41" s="1237"/>
      <c r="AB41" s="1237"/>
      <c r="AC41" s="1237"/>
      <c r="AD41" s="1237"/>
      <c r="AE41" s="1237"/>
      <c r="AF41" s="1237"/>
      <c r="AG41" s="1237"/>
      <c r="AH41" s="1207"/>
    </row>
    <row r="42" spans="1:40" x14ac:dyDescent="0.2">
      <c r="A42" s="1269"/>
      <c r="B42" s="1237"/>
      <c r="C42" s="1270"/>
      <c r="D42" s="1271"/>
      <c r="E42" s="1272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3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  <c r="AB42" s="1271"/>
      <c r="AC42" s="1271"/>
      <c r="AD42" s="1271"/>
      <c r="AE42" s="1271"/>
      <c r="AF42" s="1271"/>
      <c r="AG42" s="1271"/>
      <c r="AH42" s="1227">
        <f t="shared" ref="AH42:AH58" si="9">SUM(C42:AG42)</f>
        <v>0</v>
      </c>
    </row>
    <row r="43" spans="1:40" ht="13.5" thickBot="1" x14ac:dyDescent="0.25">
      <c r="A43" s="1274" t="s">
        <v>914</v>
      </c>
      <c r="B43" s="1237"/>
      <c r="C43" s="1275">
        <f t="shared" ref="C43:AG43" si="10">C44+C45+C48+C52+C51+C49+C50+C46+C47</f>
        <v>4678</v>
      </c>
      <c r="D43" s="1275">
        <f t="shared" si="10"/>
        <v>0</v>
      </c>
      <c r="E43" s="1275">
        <f t="shared" si="10"/>
        <v>0</v>
      </c>
      <c r="F43" s="1275">
        <f t="shared" si="10"/>
        <v>0</v>
      </c>
      <c r="G43" s="1275">
        <f t="shared" si="10"/>
        <v>0</v>
      </c>
      <c r="H43" s="1275">
        <f t="shared" si="10"/>
        <v>0</v>
      </c>
      <c r="I43" s="1275">
        <f t="shared" si="10"/>
        <v>0</v>
      </c>
      <c r="J43" s="1275">
        <f t="shared" si="10"/>
        <v>0</v>
      </c>
      <c r="K43" s="1275">
        <f t="shared" si="10"/>
        <v>0</v>
      </c>
      <c r="L43" s="1275">
        <f t="shared" si="10"/>
        <v>0</v>
      </c>
      <c r="M43" s="1275">
        <f t="shared" si="10"/>
        <v>0</v>
      </c>
      <c r="N43" s="1275">
        <f t="shared" si="10"/>
        <v>0</v>
      </c>
      <c r="O43" s="1275">
        <f t="shared" si="10"/>
        <v>0</v>
      </c>
      <c r="P43" s="1276">
        <f t="shared" si="10"/>
        <v>0</v>
      </c>
      <c r="Q43" s="1275">
        <f t="shared" si="10"/>
        <v>0</v>
      </c>
      <c r="R43" s="1275">
        <f t="shared" si="10"/>
        <v>0</v>
      </c>
      <c r="S43" s="1275">
        <f t="shared" si="10"/>
        <v>0</v>
      </c>
      <c r="T43" s="1275">
        <f t="shared" si="10"/>
        <v>0</v>
      </c>
      <c r="U43" s="1275">
        <f t="shared" si="10"/>
        <v>0</v>
      </c>
      <c r="V43" s="1275">
        <f t="shared" si="10"/>
        <v>0</v>
      </c>
      <c r="W43" s="1275">
        <f t="shared" si="10"/>
        <v>0</v>
      </c>
      <c r="X43" s="1275">
        <f t="shared" si="10"/>
        <v>0</v>
      </c>
      <c r="Y43" s="1275">
        <f t="shared" si="10"/>
        <v>0</v>
      </c>
      <c r="Z43" s="1275">
        <f t="shared" si="10"/>
        <v>3.637978807091713E-12</v>
      </c>
      <c r="AA43" s="1275">
        <f t="shared" si="10"/>
        <v>1.8189894035458565E-12</v>
      </c>
      <c r="AB43" s="1275">
        <f t="shared" si="10"/>
        <v>5.4569682106375694E-12</v>
      </c>
      <c r="AC43" s="1275">
        <f t="shared" si="10"/>
        <v>0</v>
      </c>
      <c r="AD43" s="1275">
        <f t="shared" si="10"/>
        <v>2311.6869999999994</v>
      </c>
      <c r="AE43" s="1275">
        <f t="shared" si="10"/>
        <v>-8.1854523159563541E-12</v>
      </c>
      <c r="AF43" s="1275">
        <f t="shared" si="10"/>
        <v>-2.5465851649641991E-11</v>
      </c>
      <c r="AG43" s="1275">
        <f t="shared" si="10"/>
        <v>0</v>
      </c>
      <c r="AH43" s="1227">
        <f t="shared" si="9"/>
        <v>6989.6869999999772</v>
      </c>
    </row>
    <row r="44" spans="1:40" x14ac:dyDescent="0.2">
      <c r="A44" s="1274" t="s">
        <v>8</v>
      </c>
      <c r="B44" s="1237"/>
      <c r="C44" s="1282">
        <v>1766</v>
      </c>
      <c r="D44" s="1282"/>
      <c r="E44" s="1282">
        <f>6901.45-6901.45</f>
        <v>0</v>
      </c>
      <c r="F44" s="1282"/>
      <c r="G44" s="1282">
        <f>37138.08-2188.08-11550-17800-5600</f>
        <v>0</v>
      </c>
      <c r="H44" s="1282"/>
      <c r="I44" s="1282"/>
      <c r="J44" s="1282">
        <f>546.528-546.528</f>
        <v>0</v>
      </c>
      <c r="K44" s="1282"/>
      <c r="L44" s="1282">
        <f>42616.248-7300-11775.127-17850-5691.121</f>
        <v>0</v>
      </c>
      <c r="M44" s="1282">
        <f>5300-5300</f>
        <v>0</v>
      </c>
      <c r="N44" s="1282"/>
      <c r="O44" s="1282">
        <f>6920-6920</f>
        <v>0</v>
      </c>
      <c r="P44" s="1282"/>
      <c r="Q44" s="1282">
        <f>18060.41-7620-10440.41</f>
        <v>0</v>
      </c>
      <c r="R44" s="1282"/>
      <c r="S44" s="1282">
        <f>18350+2601.479-2601.479-18350</f>
        <v>0</v>
      </c>
      <c r="T44" s="1282">
        <f>7339.748-7339.748</f>
        <v>0</v>
      </c>
      <c r="U44" s="1282"/>
      <c r="V44" s="1282">
        <f>29603.621-748.081+38986.482-630.271-7350-5636.952-10000-5238.317-38986.482</f>
        <v>0</v>
      </c>
      <c r="W44" s="1282">
        <f>18400+3682.076-3682.076</f>
        <v>18400</v>
      </c>
      <c r="X44" s="1282">
        <f>11214.159+4950-7168.073-4950-4046.086</f>
        <v>0</v>
      </c>
      <c r="Y44" s="1282"/>
      <c r="Z44" s="1282">
        <f>18450</f>
        <v>18450</v>
      </c>
      <c r="AA44" s="1282">
        <f>41717.257-2267.257-14100-5400-9950-10000</f>
        <v>0</v>
      </c>
      <c r="AB44" s="1282"/>
      <c r="AC44" s="1282">
        <v>18500</v>
      </c>
      <c r="AD44" s="1282">
        <f>14053.021-14053.021</f>
        <v>0</v>
      </c>
      <c r="AE44" s="1282"/>
      <c r="AF44" s="1282">
        <f>140270.112-2494.411-2531.039-3481.056-10000-4212.033-6769.678-14000-944.674-6457.615-9990.409-5326.888-4853.869-4750</f>
        <v>64458.439999999988</v>
      </c>
      <c r="AG44" s="1282"/>
      <c r="AH44" s="1455">
        <f t="shared" si="9"/>
        <v>121574.43999999999</v>
      </c>
      <c r="AN44" s="1280">
        <v>9918.1650000000009</v>
      </c>
    </row>
    <row r="45" spans="1:40" x14ac:dyDescent="0.2">
      <c r="A45" s="1274" t="s">
        <v>703</v>
      </c>
      <c r="B45" s="1237"/>
      <c r="C45" s="1282">
        <v>2912</v>
      </c>
      <c r="D45" s="1282"/>
      <c r="E45" s="1282">
        <f>20675.934-3025.934-17650</f>
        <v>0</v>
      </c>
      <c r="F45" s="1282">
        <f>1548.957-1548.957</f>
        <v>0</v>
      </c>
      <c r="G45" s="1282">
        <f>34554.363-1275.863-1708.691-6280.204-7560-9760.052-7969.553</f>
        <v>0</v>
      </c>
      <c r="H45" s="1282">
        <f>23406.502-1406.502-5000-17000</f>
        <v>0</v>
      </c>
      <c r="I45" s="1282"/>
      <c r="J45" s="1282"/>
      <c r="K45" s="1282">
        <f>17800-17800</f>
        <v>0</v>
      </c>
      <c r="L45" s="1282">
        <f>19977.018-9301.493-3653.753-1881.772-5140</f>
        <v>0</v>
      </c>
      <c r="M45" s="1282"/>
      <c r="N45" s="1282">
        <f>16564.448-16000-564.448</f>
        <v>0</v>
      </c>
      <c r="O45" s="1282"/>
      <c r="P45" s="1282">
        <f>11693.579-6550-5143.579</f>
        <v>0</v>
      </c>
      <c r="Q45" s="1282">
        <f>26564.617-993.522-1017.001-8354.094-16200</f>
        <v>0</v>
      </c>
      <c r="R45" s="1282">
        <f>753.718-753.718</f>
        <v>0</v>
      </c>
      <c r="S45" s="1282">
        <f>1374.515-877.849-496.666</f>
        <v>0</v>
      </c>
      <c r="T45" s="1282"/>
      <c r="U45" s="1282">
        <f>23634.68-7950-15684.68</f>
        <v>0</v>
      </c>
      <c r="V45" s="1282">
        <f>64186.899-1063.694-1530.087-1723.232-2137.272-3211.712-4000-4500-5000-5500-5580.07-6209.958-6900-8730.874</f>
        <v>8100.0000000000036</v>
      </c>
      <c r="W45" s="1282">
        <f>33290.319-2915.118-22300-8075.201</f>
        <v>0</v>
      </c>
      <c r="X45" s="1282">
        <f>7793.439-7352.089-441.35</f>
        <v>0</v>
      </c>
      <c r="Y45" s="1282">
        <f>3170.671-2759-411.671</f>
        <v>0</v>
      </c>
      <c r="Z45" s="1282">
        <f>50452.379-4046.812-22350-8045.869-5471.011-713.163-7900-1925.524</f>
        <v>3.1832314562052488E-12</v>
      </c>
      <c r="AA45" s="1282">
        <f>39609.016-4150-4200-5434.402-5150-6130</f>
        <v>14544.614000000001</v>
      </c>
      <c r="AB45" s="1282">
        <f>28208.917-329.708-2564.812-3321.94-9549.691-2908.072-1784.694</f>
        <v>7750.0000000000055</v>
      </c>
      <c r="AC45" s="1282">
        <f>64919.331-1249.319-1643.035-1669.671-3570.528-3648.432-6653.505-6964.638-7943.545-9176.658</f>
        <v>22399.999999999996</v>
      </c>
      <c r="AD45" s="1282">
        <f>7743.633-638.408-2086.791-2706.747</f>
        <v>2311.6869999999994</v>
      </c>
      <c r="AE45" s="1282">
        <f>35088.242-1723.658-1084.026-1406.286-2012.134-3125.292-4050-7720.833-8620.58</f>
        <v>5345.4329999999918</v>
      </c>
      <c r="AF45" s="1282">
        <f>95819.985-889.629-2479.113-2940.27-3241.906-3697.596-4022.727-4040.85-4132.851-4577.255-5000-5120.228-5150.604-7500-7930.753-8004.945-5132.227</f>
        <v>21959.030999999988</v>
      </c>
      <c r="AG45" s="1282"/>
      <c r="AH45" s="1455">
        <f t="shared" si="9"/>
        <v>85322.764999999985</v>
      </c>
      <c r="AI45" s="1283">
        <f>+AH45+AH44</f>
        <v>206897.20499999996</v>
      </c>
      <c r="AJ45" s="1283"/>
      <c r="AN45" s="1280">
        <v>788.89499999999998</v>
      </c>
    </row>
    <row r="46" spans="1:40" s="1596" customFormat="1" x14ac:dyDescent="0.2">
      <c r="A46" s="1591" t="s">
        <v>704</v>
      </c>
      <c r="B46" s="1592"/>
      <c r="C46" s="1593">
        <f>4464.729-976.579-3488.15</f>
        <v>0</v>
      </c>
      <c r="D46" s="1593"/>
      <c r="E46" s="1593"/>
      <c r="F46" s="1593"/>
      <c r="G46" s="1593"/>
      <c r="H46" s="1593"/>
      <c r="I46" s="1593"/>
      <c r="J46" s="1593"/>
      <c r="K46" s="1593"/>
      <c r="L46" s="1593"/>
      <c r="M46" s="1593"/>
      <c r="N46" s="1593"/>
      <c r="O46" s="1593"/>
      <c r="P46" s="1593"/>
      <c r="Q46" s="1593"/>
      <c r="R46" s="1593"/>
      <c r="S46" s="1593"/>
      <c r="T46" s="1593"/>
      <c r="U46" s="1593"/>
      <c r="V46" s="1593"/>
      <c r="W46" s="1593">
        <v>-18400</v>
      </c>
      <c r="X46" s="1593"/>
      <c r="Y46" s="1593"/>
      <c r="Z46" s="1593">
        <v>-18450</v>
      </c>
      <c r="AA46" s="1593"/>
      <c r="AB46" s="1593"/>
      <c r="AC46" s="1593">
        <v>-18500</v>
      </c>
      <c r="AD46" s="1593"/>
      <c r="AE46" s="1593"/>
      <c r="AF46" s="1593">
        <f>-7485.229-21973.211</f>
        <v>-29458.44</v>
      </c>
      <c r="AG46" s="1593"/>
      <c r="AH46" s="1595">
        <f t="shared" si="9"/>
        <v>-84808.44</v>
      </c>
      <c r="AN46" s="1597"/>
    </row>
    <row r="47" spans="1:40" x14ac:dyDescent="0.2">
      <c r="A47" s="1274" t="s">
        <v>705</v>
      </c>
      <c r="B47" s="1237"/>
      <c r="C47" s="1529"/>
      <c r="D47" s="1284"/>
      <c r="E47" s="1284"/>
      <c r="F47" s="1284"/>
      <c r="G47" s="1284"/>
      <c r="H47" s="1284"/>
      <c r="I47" s="1284"/>
      <c r="J47" s="1284"/>
      <c r="K47" s="1284"/>
      <c r="L47" s="1284"/>
      <c r="M47" s="1284"/>
      <c r="N47" s="1284"/>
      <c r="O47" s="1284"/>
      <c r="P47" s="1284"/>
      <c r="Q47" s="1284"/>
      <c r="R47" s="1284"/>
      <c r="S47" s="1284"/>
      <c r="T47" s="1284"/>
      <c r="U47" s="1284"/>
      <c r="V47" s="1282">
        <v>24442.09</v>
      </c>
      <c r="W47" s="1284"/>
      <c r="X47" s="1284"/>
      <c r="Y47" s="1284"/>
      <c r="Z47" s="1284"/>
      <c r="AA47" s="1284"/>
      <c r="AB47" s="1284"/>
      <c r="AC47" s="1284"/>
      <c r="AD47" s="1284"/>
      <c r="AE47" s="1284"/>
      <c r="AF47" s="1284"/>
      <c r="AG47" s="1284"/>
      <c r="AH47" s="1455">
        <f t="shared" si="9"/>
        <v>24442.09</v>
      </c>
      <c r="AI47" s="1283"/>
      <c r="AJ47" s="1283"/>
      <c r="AN47" s="1280"/>
    </row>
    <row r="48" spans="1:40" s="1289" customFormat="1" x14ac:dyDescent="0.2">
      <c r="A48" s="1285" t="s">
        <v>10</v>
      </c>
      <c r="B48" s="1286"/>
      <c r="C48" s="1287"/>
      <c r="D48" s="1493"/>
      <c r="E48" s="1287"/>
      <c r="F48" s="1287"/>
      <c r="G48" s="1287"/>
      <c r="H48" s="1287"/>
      <c r="I48" s="1287"/>
      <c r="J48" s="1493"/>
      <c r="K48" s="1287"/>
      <c r="L48" s="1287"/>
      <c r="M48" s="1494"/>
      <c r="N48" s="1493"/>
      <c r="O48" s="1287"/>
      <c r="P48" s="1287"/>
      <c r="Q48" s="1287"/>
      <c r="R48" s="1287"/>
      <c r="S48" s="1287"/>
      <c r="T48" s="1493"/>
      <c r="U48" s="1287"/>
      <c r="V48" s="1287"/>
      <c r="W48" s="1287"/>
      <c r="X48" s="1287"/>
      <c r="Y48" s="1493"/>
      <c r="Z48" s="1287"/>
      <c r="AA48" s="1287"/>
      <c r="AB48" s="1522"/>
      <c r="AC48" s="1493"/>
      <c r="AD48" s="1287"/>
      <c r="AE48" s="1287"/>
      <c r="AF48" s="1287"/>
      <c r="AG48" s="1287"/>
      <c r="AH48" s="1456">
        <f t="shared" si="9"/>
        <v>0</v>
      </c>
      <c r="AI48" s="1288"/>
      <c r="AN48" s="1290">
        <v>6347.85</v>
      </c>
    </row>
    <row r="49" spans="1:40" s="1289" customFormat="1" x14ac:dyDescent="0.2">
      <c r="A49" s="1285" t="s">
        <v>356</v>
      </c>
      <c r="B49" s="1291"/>
      <c r="C49" s="1292"/>
      <c r="D49" s="1292"/>
      <c r="E49" s="1292"/>
      <c r="F49" s="1292"/>
      <c r="G49" s="1292"/>
      <c r="H49" s="1292"/>
      <c r="I49" s="1292"/>
      <c r="J49" s="1292"/>
      <c r="K49" s="1292"/>
      <c r="L49" s="1292"/>
      <c r="M49" s="1466"/>
      <c r="N49" s="1292"/>
      <c r="O49" s="1292"/>
      <c r="P49" s="1292"/>
      <c r="Q49" s="1292"/>
      <c r="R49" s="1292"/>
      <c r="S49" s="1292"/>
      <c r="T49" s="1292"/>
      <c r="U49" s="1292"/>
      <c r="V49" s="1292"/>
      <c r="W49" s="1292"/>
      <c r="X49" s="1292"/>
      <c r="Y49" s="1292"/>
      <c r="Z49" s="1292"/>
      <c r="AA49" s="1292"/>
      <c r="AB49" s="1292"/>
      <c r="AC49" s="1292"/>
      <c r="AD49" s="1292"/>
      <c r="AE49" s="1292"/>
      <c r="AF49" s="1292"/>
      <c r="AG49" s="1292"/>
      <c r="AH49" s="1456">
        <f t="shared" si="9"/>
        <v>0</v>
      </c>
      <c r="AN49" s="1290">
        <v>6249.5020000000004</v>
      </c>
    </row>
    <row r="50" spans="1:40" s="1320" customFormat="1" x14ac:dyDescent="0.2">
      <c r="A50" s="1530" t="s">
        <v>357</v>
      </c>
      <c r="B50" s="1241"/>
      <c r="C50" s="1473"/>
      <c r="D50" s="1473"/>
      <c r="E50" s="1473"/>
      <c r="F50" s="1473"/>
      <c r="G50" s="1473"/>
      <c r="H50" s="1473"/>
      <c r="I50" s="1473"/>
      <c r="J50" s="1473">
        <f>20773.804-20773.804</f>
        <v>0</v>
      </c>
      <c r="K50" s="1473"/>
      <c r="L50" s="1473"/>
      <c r="M50" s="1473"/>
      <c r="N50" s="1473"/>
      <c r="O50" s="1473"/>
      <c r="P50" s="1473">
        <f>17984.514-17984.514</f>
        <v>0</v>
      </c>
      <c r="Q50" s="1473">
        <f>9708.382-9708.382</f>
        <v>0</v>
      </c>
      <c r="R50" s="1473"/>
      <c r="S50" s="1473"/>
      <c r="T50" s="1473"/>
      <c r="U50" s="1473"/>
      <c r="V50" s="1473"/>
      <c r="W50" s="1473"/>
      <c r="X50" s="1473"/>
      <c r="Y50" s="1473"/>
      <c r="Z50" s="1473"/>
      <c r="AA50" s="1473"/>
      <c r="AB50" s="1473"/>
      <c r="AC50" s="1473"/>
      <c r="AD50" s="1473"/>
      <c r="AE50" s="1473"/>
      <c r="AF50" s="1473"/>
      <c r="AG50" s="1473"/>
      <c r="AH50" s="1531">
        <f t="shared" si="9"/>
        <v>0</v>
      </c>
      <c r="AN50" s="1355">
        <v>2246.556</v>
      </c>
    </row>
    <row r="51" spans="1:40" s="1320" customFormat="1" x14ac:dyDescent="0.2">
      <c r="A51" s="1530" t="s">
        <v>41</v>
      </c>
      <c r="B51" s="1241"/>
      <c r="C51" s="1473"/>
      <c r="D51" s="1473"/>
      <c r="E51" s="1473"/>
      <c r="F51" s="1473"/>
      <c r="G51" s="1473"/>
      <c r="H51" s="1473"/>
      <c r="I51" s="1473"/>
      <c r="J51" s="1473"/>
      <c r="K51" s="1473"/>
      <c r="L51" s="1473"/>
      <c r="M51" s="1473"/>
      <c r="N51" s="1473"/>
      <c r="O51" s="1473"/>
      <c r="P51" s="1473"/>
      <c r="Q51" s="1473"/>
      <c r="R51" s="1473"/>
      <c r="S51" s="1473"/>
      <c r="T51" s="1473"/>
      <c r="U51" s="1473"/>
      <c r="V51" s="1473"/>
      <c r="W51" s="1473"/>
      <c r="X51" s="1473"/>
      <c r="Y51" s="1473"/>
      <c r="Z51" s="1473"/>
      <c r="AA51" s="1473"/>
      <c r="AB51" s="1473"/>
      <c r="AC51" s="1473"/>
      <c r="AD51" s="1473"/>
      <c r="AE51" s="1473"/>
      <c r="AF51" s="1473"/>
      <c r="AG51" s="1473"/>
      <c r="AH51" s="1531">
        <f t="shared" si="9"/>
        <v>0</v>
      </c>
      <c r="AN51" s="1355"/>
    </row>
    <row r="52" spans="1:40" s="1596" customFormat="1" x14ac:dyDescent="0.2">
      <c r="A52" s="1591" t="s">
        <v>11</v>
      </c>
      <c r="B52" s="1592"/>
      <c r="C52" s="1593">
        <f>16883.457-4573.171-4573.171-5397.344-2339.771</f>
        <v>0</v>
      </c>
      <c r="D52" s="1594"/>
      <c r="E52" s="1594"/>
      <c r="F52" s="1594"/>
      <c r="G52" s="1594"/>
      <c r="H52" s="1594"/>
      <c r="I52" s="1594"/>
      <c r="J52" s="1594"/>
      <c r="K52" s="1594"/>
      <c r="L52" s="1594"/>
      <c r="M52" s="1594"/>
      <c r="N52" s="1594"/>
      <c r="O52" s="1594"/>
      <c r="P52" s="1594"/>
      <c r="Q52" s="1594"/>
      <c r="R52" s="1594"/>
      <c r="S52" s="1594"/>
      <c r="T52" s="1594"/>
      <c r="U52" s="1594"/>
      <c r="V52" s="1594">
        <f>-24442.09-8100</f>
        <v>-32542.09</v>
      </c>
      <c r="W52" s="1594"/>
      <c r="X52" s="1594"/>
      <c r="Y52" s="1594"/>
      <c r="Z52" s="1594"/>
      <c r="AA52" s="1594">
        <f>-8000-6544.614</f>
        <v>-14544.614</v>
      </c>
      <c r="AB52" s="1594">
        <v>-7750</v>
      </c>
      <c r="AC52" s="1594">
        <v>-22400</v>
      </c>
      <c r="AD52" s="1594"/>
      <c r="AE52" s="1594">
        <v>-5345.433</v>
      </c>
      <c r="AF52" s="1594">
        <f>-7759.031-8050-6150-35000</f>
        <v>-56959.031000000003</v>
      </c>
      <c r="AG52" s="1594"/>
      <c r="AH52" s="1595">
        <f t="shared" si="9"/>
        <v>-139541.16800000001</v>
      </c>
      <c r="AN52" s="1597">
        <v>4028.1610000000001</v>
      </c>
    </row>
    <row r="53" spans="1:40" ht="13.5" thickBot="1" x14ac:dyDescent="0.25">
      <c r="A53" s="1294"/>
      <c r="B53" s="1237"/>
      <c r="C53" s="1295"/>
      <c r="D53" s="1295"/>
      <c r="E53" s="1295"/>
      <c r="F53" s="1295"/>
      <c r="G53" s="1295"/>
      <c r="H53" s="1295"/>
      <c r="I53" s="1295"/>
      <c r="J53" s="1295"/>
      <c r="K53" s="1295"/>
      <c r="L53" s="1295"/>
      <c r="M53" s="1295"/>
      <c r="N53" s="1295"/>
      <c r="O53" s="1295"/>
      <c r="P53" s="1295"/>
      <c r="Q53" s="1295"/>
      <c r="R53" s="1295"/>
      <c r="S53" s="1295"/>
      <c r="T53" s="1295"/>
      <c r="U53" s="1295"/>
      <c r="V53" s="1295"/>
      <c r="W53" s="1295"/>
      <c r="X53" s="1295"/>
      <c r="Y53" s="1295"/>
      <c r="Z53" s="1295"/>
      <c r="AA53" s="1295"/>
      <c r="AB53" s="1295"/>
      <c r="AC53" s="1295"/>
      <c r="AD53" s="1295"/>
      <c r="AE53" s="1295"/>
      <c r="AF53" s="1295"/>
      <c r="AG53" s="1295"/>
      <c r="AH53" s="1227">
        <f t="shared" si="9"/>
        <v>0</v>
      </c>
      <c r="AI53" s="1283"/>
      <c r="AJ53" s="1289"/>
      <c r="AN53" s="1280">
        <v>5501.3969999999999</v>
      </c>
    </row>
    <row r="54" spans="1:40" x14ac:dyDescent="0.2">
      <c r="A54" s="1269"/>
      <c r="B54" s="1237"/>
      <c r="C54" s="1296"/>
      <c r="D54" s="1297"/>
      <c r="E54" s="1297"/>
      <c r="F54" s="1298"/>
      <c r="G54" s="1298"/>
      <c r="H54" s="1298"/>
      <c r="I54" s="1298"/>
      <c r="J54" s="1298"/>
      <c r="K54" s="1298"/>
      <c r="L54" s="1298"/>
      <c r="M54" s="1298"/>
      <c r="N54" s="1298"/>
      <c r="O54" s="1298"/>
      <c r="P54" s="1299"/>
      <c r="Q54" s="1298"/>
      <c r="R54" s="1298"/>
      <c r="S54" s="1298"/>
      <c r="T54" s="1298"/>
      <c r="U54" s="1298"/>
      <c r="V54" s="1298"/>
      <c r="W54" s="1298"/>
      <c r="X54" s="1298"/>
      <c r="Y54" s="1298"/>
      <c r="Z54" s="1298"/>
      <c r="AA54" s="1298"/>
      <c r="AB54" s="1298"/>
      <c r="AC54" s="1298"/>
      <c r="AD54" s="1298"/>
      <c r="AE54" s="1298"/>
      <c r="AF54" s="1298"/>
      <c r="AG54" s="1298"/>
      <c r="AH54" s="1227">
        <f t="shared" si="9"/>
        <v>0</v>
      </c>
      <c r="AJ54" s="1289"/>
      <c r="AN54" s="1280">
        <v>3325.74</v>
      </c>
    </row>
    <row r="55" spans="1:40" ht="13.5" thickBot="1" x14ac:dyDescent="0.25">
      <c r="A55" s="1274" t="s">
        <v>12</v>
      </c>
      <c r="B55" s="1237"/>
      <c r="C55" s="1275">
        <f t="shared" ref="C55:AG55" si="11">C56</f>
        <v>0</v>
      </c>
      <c r="D55" s="1275">
        <f t="shared" si="11"/>
        <v>0</v>
      </c>
      <c r="E55" s="1275">
        <f t="shared" si="11"/>
        <v>0</v>
      </c>
      <c r="F55" s="1275">
        <f t="shared" si="11"/>
        <v>0</v>
      </c>
      <c r="G55" s="1275">
        <f t="shared" si="11"/>
        <v>0</v>
      </c>
      <c r="H55" s="1275">
        <f t="shared" si="11"/>
        <v>0</v>
      </c>
      <c r="I55" s="1275">
        <f t="shared" si="11"/>
        <v>0</v>
      </c>
      <c r="J55" s="1275">
        <f t="shared" si="11"/>
        <v>0</v>
      </c>
      <c r="K55" s="1275">
        <f t="shared" si="11"/>
        <v>0</v>
      </c>
      <c r="L55" s="1275">
        <f t="shared" si="11"/>
        <v>0</v>
      </c>
      <c r="M55" s="1276">
        <f t="shared" si="11"/>
        <v>0</v>
      </c>
      <c r="N55" s="1276">
        <f t="shared" si="11"/>
        <v>0</v>
      </c>
      <c r="O55" s="1276">
        <f t="shared" si="11"/>
        <v>0</v>
      </c>
      <c r="P55" s="1276">
        <f t="shared" si="11"/>
        <v>0</v>
      </c>
      <c r="Q55" s="1275">
        <f t="shared" si="11"/>
        <v>0</v>
      </c>
      <c r="R55" s="1275">
        <f t="shared" si="11"/>
        <v>0</v>
      </c>
      <c r="S55" s="1275">
        <f t="shared" si="11"/>
        <v>0</v>
      </c>
      <c r="T55" s="1275">
        <f t="shared" si="11"/>
        <v>0</v>
      </c>
      <c r="U55" s="1275">
        <f t="shared" si="11"/>
        <v>0</v>
      </c>
      <c r="V55" s="1275">
        <f t="shared" si="11"/>
        <v>0</v>
      </c>
      <c r="W55" s="1275">
        <f t="shared" si="11"/>
        <v>0</v>
      </c>
      <c r="X55" s="1275">
        <f t="shared" si="11"/>
        <v>0</v>
      </c>
      <c r="Y55" s="1275">
        <f t="shared" si="11"/>
        <v>0</v>
      </c>
      <c r="Z55" s="1275">
        <f t="shared" si="11"/>
        <v>0</v>
      </c>
      <c r="AA55" s="1275">
        <f t="shared" si="11"/>
        <v>0</v>
      </c>
      <c r="AB55" s="1275">
        <f t="shared" si="11"/>
        <v>0</v>
      </c>
      <c r="AC55" s="1275">
        <f t="shared" si="11"/>
        <v>0</v>
      </c>
      <c r="AD55" s="1275">
        <f t="shared" si="11"/>
        <v>0</v>
      </c>
      <c r="AE55" s="1275">
        <f t="shared" si="11"/>
        <v>0</v>
      </c>
      <c r="AF55" s="1275">
        <f t="shared" si="11"/>
        <v>0</v>
      </c>
      <c r="AG55" s="1275">
        <f t="shared" si="11"/>
        <v>0</v>
      </c>
      <c r="AH55" s="1227">
        <f t="shared" si="9"/>
        <v>0</v>
      </c>
      <c r="AN55" s="1280">
        <v>9717.5709999999999</v>
      </c>
    </row>
    <row r="56" spans="1:40" x14ac:dyDescent="0.2">
      <c r="A56" s="1274" t="s">
        <v>8</v>
      </c>
      <c r="B56" s="1237"/>
      <c r="C56" s="1282"/>
      <c r="D56" s="1282"/>
      <c r="E56" s="1282"/>
      <c r="F56" s="1282"/>
      <c r="G56" s="1282"/>
      <c r="H56" s="1282"/>
      <c r="I56" s="1282"/>
      <c r="J56" s="1282"/>
      <c r="K56" s="1282"/>
      <c r="L56" s="1282"/>
      <c r="M56" s="1282"/>
      <c r="N56" s="1282"/>
      <c r="O56" s="1282"/>
      <c r="P56" s="1282"/>
      <c r="Q56" s="1282"/>
      <c r="R56" s="1282"/>
      <c r="S56" s="1282"/>
      <c r="T56" s="1282"/>
      <c r="U56" s="1282"/>
      <c r="V56" s="1282"/>
      <c r="W56" s="1282"/>
      <c r="X56" s="1282"/>
      <c r="Y56" s="1282"/>
      <c r="Z56" s="1282"/>
      <c r="AA56" s="1282"/>
      <c r="AB56" s="1282"/>
      <c r="AC56" s="1282"/>
      <c r="AD56" s="1282"/>
      <c r="AE56" s="1282"/>
      <c r="AF56" s="1282"/>
      <c r="AG56" s="1473"/>
      <c r="AH56" s="1455">
        <f t="shared" si="9"/>
        <v>0</v>
      </c>
      <c r="AN56" s="1280">
        <v>673.17700000000002</v>
      </c>
    </row>
    <row r="57" spans="1:40" x14ac:dyDescent="0.2">
      <c r="A57" s="1274" t="s">
        <v>215</v>
      </c>
      <c r="B57" s="1237"/>
      <c r="C57" s="1282">
        <v>12015.671</v>
      </c>
      <c r="D57" s="1282">
        <v>2350</v>
      </c>
      <c r="E57" s="1282">
        <v>1645.097</v>
      </c>
      <c r="F57" s="1282">
        <v>3050</v>
      </c>
      <c r="G57" s="1282">
        <v>3734.19</v>
      </c>
      <c r="H57" s="1282">
        <v>2160</v>
      </c>
      <c r="I57" s="1282">
        <v>850</v>
      </c>
      <c r="J57" s="1282">
        <v>8081.7520000000004</v>
      </c>
      <c r="K57" s="1282"/>
      <c r="L57" s="1282">
        <v>14064.154999999999</v>
      </c>
      <c r="M57" s="1282">
        <v>4847.973</v>
      </c>
      <c r="N57" s="1282">
        <v>4400</v>
      </c>
      <c r="O57" s="1282">
        <v>4708.8909999999996</v>
      </c>
      <c r="P57" s="1282">
        <v>1100</v>
      </c>
      <c r="Q57" s="1282">
        <v>35972.660999999993</v>
      </c>
      <c r="R57" s="1282">
        <v>2990.8760000000002</v>
      </c>
      <c r="S57" s="1282">
        <v>1910</v>
      </c>
      <c r="T57" s="1282">
        <v>6819.1630000000005</v>
      </c>
      <c r="U57" s="1282"/>
      <c r="V57" s="1282">
        <v>8812.1790000000001</v>
      </c>
      <c r="W57" s="1282">
        <v>1910.518</v>
      </c>
      <c r="X57" s="1282">
        <v>7494.3069999999998</v>
      </c>
      <c r="Y57" s="1282">
        <v>1742.18</v>
      </c>
      <c r="Z57" s="1282">
        <v>1060</v>
      </c>
      <c r="AA57" s="1282">
        <v>19213.509999999998</v>
      </c>
      <c r="AB57" s="1282"/>
      <c r="AC57" s="1282">
        <v>2338.6800000000003</v>
      </c>
      <c r="AD57" s="1282">
        <v>3227.5410000000002</v>
      </c>
      <c r="AE57" s="1282">
        <v>2628.7049999999999</v>
      </c>
      <c r="AF57" s="1282">
        <v>107995.599</v>
      </c>
      <c r="AG57" s="1473"/>
      <c r="AH57" s="1455">
        <f>SUM(C57:AG57)</f>
        <v>267123.64799999999</v>
      </c>
      <c r="AI57" s="1283"/>
      <c r="AN57" s="1280">
        <v>4534.4949999999999</v>
      </c>
    </row>
    <row r="58" spans="1:40" ht="13.5" thickBot="1" x14ac:dyDescent="0.25">
      <c r="A58" s="1294"/>
      <c r="B58" s="1237"/>
      <c r="C58" s="1295"/>
      <c r="D58" s="1295"/>
      <c r="E58" s="1295"/>
      <c r="F58" s="1295"/>
      <c r="G58" s="1295"/>
      <c r="H58" s="1295"/>
      <c r="I58" s="1295"/>
      <c r="J58" s="1295"/>
      <c r="K58" s="1295"/>
      <c r="L58" s="1295"/>
      <c r="M58" s="1295"/>
      <c r="N58" s="1295"/>
      <c r="O58" s="1295"/>
      <c r="P58" s="1295"/>
      <c r="Q58" s="1295"/>
      <c r="R58" s="1295"/>
      <c r="S58" s="1295"/>
      <c r="T58" s="1295"/>
      <c r="U58" s="1295"/>
      <c r="V58" s="1295"/>
      <c r="W58" s="1295"/>
      <c r="X58" s="1295"/>
      <c r="Y58" s="1295"/>
      <c r="Z58" s="1295"/>
      <c r="AA58" s="1295"/>
      <c r="AB58" s="1295"/>
      <c r="AC58" s="1295"/>
      <c r="AD58" s="1295"/>
      <c r="AE58" s="1295"/>
      <c r="AF58" s="1295"/>
      <c r="AG58" s="1295"/>
      <c r="AH58" s="1227">
        <f t="shared" si="9"/>
        <v>0</v>
      </c>
      <c r="AN58" s="1280">
        <v>2827.3519999999999</v>
      </c>
    </row>
    <row r="59" spans="1:40" x14ac:dyDescent="0.2">
      <c r="A59" s="1269"/>
      <c r="B59" s="1237"/>
      <c r="C59" s="1296"/>
      <c r="D59" s="1297"/>
      <c r="E59" s="1297"/>
      <c r="F59" s="1298"/>
      <c r="G59" s="1298"/>
      <c r="H59" s="1298"/>
      <c r="I59" s="1298"/>
      <c r="J59" s="1298"/>
      <c r="K59" s="1298"/>
      <c r="L59" s="1298"/>
      <c r="M59" s="1298"/>
      <c r="N59" s="1298"/>
      <c r="O59" s="1298"/>
      <c r="P59" s="1299"/>
      <c r="Q59" s="1298"/>
      <c r="R59" s="1298"/>
      <c r="S59" s="1298"/>
      <c r="T59" s="1298"/>
      <c r="U59" s="1298"/>
      <c r="V59" s="1298"/>
      <c r="W59" s="1298"/>
      <c r="X59" s="1298"/>
      <c r="Y59" s="1298"/>
      <c r="Z59" s="1298"/>
      <c r="AA59" s="1298"/>
      <c r="AB59" s="1298"/>
      <c r="AC59" s="1298"/>
      <c r="AD59" s="1298"/>
      <c r="AE59" s="1298"/>
      <c r="AF59" s="1298"/>
      <c r="AG59" s="1298"/>
      <c r="AH59" s="1207"/>
      <c r="AJ59" s="1209">
        <f>18755+17890+17700+17800</f>
        <v>72145</v>
      </c>
      <c r="AN59" s="1280">
        <v>1850.7819999999999</v>
      </c>
    </row>
    <row r="60" spans="1:40" x14ac:dyDescent="0.2">
      <c r="A60" s="1274" t="s">
        <v>915</v>
      </c>
      <c r="B60" s="1237"/>
      <c r="C60" s="1300">
        <f t="shared" ref="C60:AG60" si="12">C55-C43</f>
        <v>-4678</v>
      </c>
      <c r="D60" s="1300">
        <f t="shared" si="12"/>
        <v>0</v>
      </c>
      <c r="E60" s="1300">
        <f t="shared" si="12"/>
        <v>0</v>
      </c>
      <c r="F60" s="1300">
        <f t="shared" si="12"/>
        <v>0</v>
      </c>
      <c r="G60" s="1300">
        <f t="shared" si="12"/>
        <v>0</v>
      </c>
      <c r="H60" s="1300">
        <f t="shared" si="12"/>
        <v>0</v>
      </c>
      <c r="I60" s="1300">
        <f t="shared" si="12"/>
        <v>0</v>
      </c>
      <c r="J60" s="1300">
        <f t="shared" si="12"/>
        <v>0</v>
      </c>
      <c r="K60" s="1300">
        <f t="shared" si="12"/>
        <v>0</v>
      </c>
      <c r="L60" s="1300">
        <f t="shared" si="12"/>
        <v>0</v>
      </c>
      <c r="M60" s="1300">
        <f t="shared" si="12"/>
        <v>0</v>
      </c>
      <c r="N60" s="1300">
        <f t="shared" si="12"/>
        <v>0</v>
      </c>
      <c r="O60" s="1300">
        <f t="shared" si="12"/>
        <v>0</v>
      </c>
      <c r="P60" s="1301">
        <f t="shared" si="12"/>
        <v>0</v>
      </c>
      <c r="Q60" s="1300">
        <f t="shared" si="12"/>
        <v>0</v>
      </c>
      <c r="R60" s="1300">
        <f t="shared" si="12"/>
        <v>0</v>
      </c>
      <c r="S60" s="1300">
        <f t="shared" si="12"/>
        <v>0</v>
      </c>
      <c r="T60" s="1300">
        <f t="shared" si="12"/>
        <v>0</v>
      </c>
      <c r="U60" s="1300">
        <f t="shared" si="12"/>
        <v>0</v>
      </c>
      <c r="V60" s="1300">
        <f t="shared" si="12"/>
        <v>0</v>
      </c>
      <c r="W60" s="1300">
        <f t="shared" si="12"/>
        <v>0</v>
      </c>
      <c r="X60" s="1300">
        <f t="shared" si="12"/>
        <v>0</v>
      </c>
      <c r="Y60" s="1300">
        <f t="shared" si="12"/>
        <v>0</v>
      </c>
      <c r="Z60" s="1300">
        <f t="shared" si="12"/>
        <v>-3.637978807091713E-12</v>
      </c>
      <c r="AA60" s="1300">
        <f t="shared" si="12"/>
        <v>-1.8189894035458565E-12</v>
      </c>
      <c r="AB60" s="1300">
        <f t="shared" si="12"/>
        <v>-5.4569682106375694E-12</v>
      </c>
      <c r="AC60" s="1300">
        <f t="shared" si="12"/>
        <v>0</v>
      </c>
      <c r="AD60" s="1300">
        <f t="shared" si="12"/>
        <v>-2311.6869999999994</v>
      </c>
      <c r="AE60" s="1300">
        <f t="shared" si="12"/>
        <v>8.1854523159563541E-12</v>
      </c>
      <c r="AF60" s="1300">
        <f t="shared" si="12"/>
        <v>2.5465851649641991E-11</v>
      </c>
      <c r="AG60" s="1300">
        <f t="shared" si="12"/>
        <v>0</v>
      </c>
      <c r="AH60" s="1207"/>
      <c r="AJ60" s="1209">
        <f>AJ59+67000</f>
        <v>139145</v>
      </c>
      <c r="AL60" s="1283"/>
      <c r="AN60" s="1280">
        <v>915.26599999999996</v>
      </c>
    </row>
    <row r="61" spans="1:40" ht="13.5" thickBot="1" x14ac:dyDescent="0.25">
      <c r="A61" s="1274"/>
      <c r="B61" s="1237"/>
      <c r="C61" s="1300"/>
      <c r="D61" s="1302"/>
      <c r="E61" s="1302"/>
      <c r="F61" s="1303"/>
      <c r="G61" s="1303"/>
      <c r="H61" s="1303"/>
      <c r="I61" s="1303"/>
      <c r="J61" s="1303"/>
      <c r="K61" s="1303"/>
      <c r="L61" s="1303"/>
      <c r="M61" s="1303"/>
      <c r="N61" s="1303"/>
      <c r="O61" s="1303"/>
      <c r="P61" s="1304"/>
      <c r="Q61" s="1303"/>
      <c r="R61" s="1303"/>
      <c r="S61" s="1303"/>
      <c r="T61" s="1303"/>
      <c r="U61" s="1303"/>
      <c r="V61" s="1303"/>
      <c r="W61" s="1303"/>
      <c r="X61" s="1303"/>
      <c r="Y61" s="1303"/>
      <c r="Z61" s="1303"/>
      <c r="AA61" s="1303"/>
      <c r="AB61" s="1303"/>
      <c r="AC61" s="1303"/>
      <c r="AD61" s="1303"/>
      <c r="AE61" s="1303"/>
      <c r="AF61" s="1303"/>
      <c r="AG61" s="1303"/>
      <c r="AH61" s="1207"/>
      <c r="AN61" s="1280">
        <v>15000</v>
      </c>
    </row>
    <row r="62" spans="1:40" x14ac:dyDescent="0.2">
      <c r="A62" s="1233"/>
      <c r="B62" s="1234"/>
      <c r="C62" s="1305"/>
      <c r="D62" s="1297"/>
      <c r="E62" s="1297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9"/>
      <c r="Q62" s="1298"/>
      <c r="R62" s="1298"/>
      <c r="S62" s="1298"/>
      <c r="T62" s="1298"/>
      <c r="U62" s="1298"/>
      <c r="V62" s="1298"/>
      <c r="W62" s="1298"/>
      <c r="X62" s="1298"/>
      <c r="Y62" s="1298"/>
      <c r="Z62" s="1298"/>
      <c r="AA62" s="1298"/>
      <c r="AB62" s="1298"/>
      <c r="AC62" s="1298"/>
      <c r="AD62" s="1298"/>
      <c r="AE62" s="1298"/>
      <c r="AF62" s="1298"/>
      <c r="AG62" s="1298"/>
      <c r="AH62" s="1207"/>
      <c r="AN62" s="1280">
        <v>14101.822</v>
      </c>
    </row>
    <row r="63" spans="1:40" x14ac:dyDescent="0.2">
      <c r="A63" s="1236" t="s">
        <v>15</v>
      </c>
      <c r="B63" s="1237"/>
      <c r="C63" s="1302">
        <f>B40+C60</f>
        <v>-589759.30200000003</v>
      </c>
      <c r="D63" s="1302">
        <f t="shared" ref="D63:AG63" si="13">C70+D60</f>
        <v>-589759.30200000003</v>
      </c>
      <c r="E63" s="1302">
        <f t="shared" si="13"/>
        <v>-589759.30200000003</v>
      </c>
      <c r="F63" s="1302">
        <f t="shared" si="13"/>
        <v>-589759.30200000003</v>
      </c>
      <c r="G63" s="1302">
        <f t="shared" si="13"/>
        <v>-589759.30200000003</v>
      </c>
      <c r="H63" s="1302">
        <f t="shared" si="13"/>
        <v>-589759.30200000003</v>
      </c>
      <c r="I63" s="1302">
        <f t="shared" si="13"/>
        <v>-589759.30200000003</v>
      </c>
      <c r="J63" s="1302">
        <f t="shared" si="13"/>
        <v>-589759.30200000003</v>
      </c>
      <c r="K63" s="1302">
        <f t="shared" si="13"/>
        <v>-589759.30200000003</v>
      </c>
      <c r="L63" s="1302">
        <f t="shared" si="13"/>
        <v>-589759.30200000003</v>
      </c>
      <c r="M63" s="1302">
        <f t="shared" si="13"/>
        <v>-589759.30200000003</v>
      </c>
      <c r="N63" s="1302">
        <f t="shared" si="13"/>
        <v>-589759.30200000003</v>
      </c>
      <c r="O63" s="1302">
        <f t="shared" si="13"/>
        <v>-589759.30200000003</v>
      </c>
      <c r="P63" s="1306">
        <f t="shared" si="13"/>
        <v>-589759.30200000003</v>
      </c>
      <c r="Q63" s="1302">
        <f t="shared" si="13"/>
        <v>-589759.30200000003</v>
      </c>
      <c r="R63" s="1302">
        <f t="shared" si="13"/>
        <v>-589759.30200000003</v>
      </c>
      <c r="S63" s="1302">
        <f t="shared" si="13"/>
        <v>-589759.30200000003</v>
      </c>
      <c r="T63" s="1302">
        <f t="shared" si="13"/>
        <v>-589759.30200000003</v>
      </c>
      <c r="U63" s="1302">
        <f t="shared" si="13"/>
        <v>-589759.30200000003</v>
      </c>
      <c r="V63" s="1302">
        <f t="shared" si="13"/>
        <v>-589759.30200000003</v>
      </c>
      <c r="W63" s="1302">
        <f t="shared" si="13"/>
        <v>-589759.30200000003</v>
      </c>
      <c r="X63" s="1302">
        <f t="shared" si="13"/>
        <v>-589759.30200000003</v>
      </c>
      <c r="Y63" s="1302">
        <f t="shared" si="13"/>
        <v>-589759.30200000003</v>
      </c>
      <c r="Z63" s="1302">
        <f t="shared" si="13"/>
        <v>-589759.30200000003</v>
      </c>
      <c r="AA63" s="1302">
        <f t="shared" si="13"/>
        <v>-589759.30200000003</v>
      </c>
      <c r="AB63" s="1302">
        <f t="shared" si="13"/>
        <v>-589759.30200000003</v>
      </c>
      <c r="AC63" s="1302">
        <f t="shared" si="13"/>
        <v>-589759.30200000003</v>
      </c>
      <c r="AD63" s="1302">
        <f t="shared" si="13"/>
        <v>-592070.98900000006</v>
      </c>
      <c r="AE63" s="1302">
        <f t="shared" si="13"/>
        <v>-592070.98900000006</v>
      </c>
      <c r="AF63" s="1302">
        <f t="shared" si="13"/>
        <v>-592070.98900000006</v>
      </c>
      <c r="AG63" s="1302">
        <f t="shared" si="13"/>
        <v>-592070.98900000006</v>
      </c>
      <c r="AH63" s="1207"/>
      <c r="AN63" s="1280">
        <v>1397.2449999999999</v>
      </c>
    </row>
    <row r="64" spans="1:40" ht="13.5" thickBot="1" x14ac:dyDescent="0.25">
      <c r="A64" s="1250"/>
      <c r="B64" s="1307"/>
      <c r="C64" s="1308"/>
      <c r="D64" s="1308"/>
      <c r="E64" s="1308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10"/>
      <c r="Q64" s="1309"/>
      <c r="R64" s="1309"/>
      <c r="S64" s="1309"/>
      <c r="T64" s="1309"/>
      <c r="U64" s="1309"/>
      <c r="V64" s="1309"/>
      <c r="W64" s="1309"/>
      <c r="X64" s="1309"/>
      <c r="Y64" s="1309"/>
      <c r="Z64" s="1309"/>
      <c r="AA64" s="1309"/>
      <c r="AB64" s="1309"/>
      <c r="AC64" s="1309"/>
      <c r="AD64" s="1309"/>
      <c r="AE64" s="1309"/>
      <c r="AF64" s="1309"/>
      <c r="AG64" s="1309"/>
      <c r="AH64" s="1207"/>
      <c r="AN64" s="1280">
        <v>1322.63</v>
      </c>
    </row>
    <row r="65" spans="1:40" x14ac:dyDescent="0.2">
      <c r="A65" s="1233"/>
      <c r="B65" s="1234"/>
      <c r="C65" s="1297"/>
      <c r="D65" s="1297"/>
      <c r="E65" s="1297"/>
      <c r="F65" s="1298"/>
      <c r="G65" s="1298"/>
      <c r="H65" s="1298"/>
      <c r="I65" s="1298"/>
      <c r="J65" s="1298"/>
      <c r="K65" s="1298"/>
      <c r="L65" s="1298"/>
      <c r="M65" s="1298"/>
      <c r="N65" s="1298"/>
      <c r="O65" s="1298"/>
      <c r="P65" s="1299"/>
      <c r="Q65" s="1298"/>
      <c r="R65" s="1298"/>
      <c r="S65" s="1298"/>
      <c r="T65" s="1298"/>
      <c r="U65" s="1298"/>
      <c r="V65" s="1298"/>
      <c r="W65" s="1298"/>
      <c r="X65" s="1298"/>
      <c r="Y65" s="1298"/>
      <c r="Z65" s="1298"/>
      <c r="AA65" s="1298"/>
      <c r="AB65" s="1298"/>
      <c r="AC65" s="1298"/>
      <c r="AD65" s="1298"/>
      <c r="AE65" s="1298"/>
      <c r="AF65" s="1298"/>
      <c r="AG65" s="1298"/>
      <c r="AH65" s="1227">
        <f>SUM(C65:AG65)</f>
        <v>0</v>
      </c>
      <c r="AN65" s="1280">
        <v>1747.816</v>
      </c>
    </row>
    <row r="66" spans="1:40" x14ac:dyDescent="0.2">
      <c r="A66" s="1236" t="s">
        <v>82</v>
      </c>
      <c r="B66" s="1237"/>
      <c r="C66" s="1302">
        <f t="shared" ref="C66:AG67" si="14">C74</f>
        <v>0</v>
      </c>
      <c r="D66" s="1302">
        <f t="shared" si="14"/>
        <v>0</v>
      </c>
      <c r="E66" s="1302">
        <f t="shared" si="14"/>
        <v>0</v>
      </c>
      <c r="F66" s="1302">
        <f t="shared" si="14"/>
        <v>0</v>
      </c>
      <c r="G66" s="1302">
        <f t="shared" si="14"/>
        <v>0</v>
      </c>
      <c r="H66" s="1302">
        <f t="shared" si="14"/>
        <v>0</v>
      </c>
      <c r="I66" s="1302">
        <f t="shared" si="14"/>
        <v>0</v>
      </c>
      <c r="J66" s="1302">
        <f t="shared" si="14"/>
        <v>0</v>
      </c>
      <c r="K66" s="1302">
        <f t="shared" si="14"/>
        <v>0</v>
      </c>
      <c r="L66" s="1302">
        <f t="shared" si="14"/>
        <v>0</v>
      </c>
      <c r="M66" s="1302">
        <f t="shared" si="14"/>
        <v>0</v>
      </c>
      <c r="N66" s="1302">
        <f t="shared" si="14"/>
        <v>0</v>
      </c>
      <c r="O66" s="1302">
        <f t="shared" si="14"/>
        <v>0</v>
      </c>
      <c r="P66" s="1306">
        <f t="shared" si="14"/>
        <v>0</v>
      </c>
      <c r="Q66" s="1302">
        <f t="shared" si="14"/>
        <v>0</v>
      </c>
      <c r="R66" s="1302">
        <f t="shared" si="14"/>
        <v>0</v>
      </c>
      <c r="S66" s="1302">
        <f t="shared" si="14"/>
        <v>0</v>
      </c>
      <c r="T66" s="1302">
        <f t="shared" si="14"/>
        <v>0</v>
      </c>
      <c r="U66" s="1302">
        <f t="shared" si="14"/>
        <v>0</v>
      </c>
      <c r="V66" s="1302">
        <f t="shared" si="14"/>
        <v>0</v>
      </c>
      <c r="W66" s="1302">
        <f t="shared" si="14"/>
        <v>0</v>
      </c>
      <c r="X66" s="1302">
        <f t="shared" si="14"/>
        <v>0</v>
      </c>
      <c r="Y66" s="1302">
        <f t="shared" si="14"/>
        <v>0</v>
      </c>
      <c r="Z66" s="1302">
        <f t="shared" si="14"/>
        <v>0</v>
      </c>
      <c r="AA66" s="1302">
        <f t="shared" si="14"/>
        <v>0</v>
      </c>
      <c r="AB66" s="1302">
        <f t="shared" si="14"/>
        <v>0</v>
      </c>
      <c r="AC66" s="1302">
        <f t="shared" si="14"/>
        <v>0</v>
      </c>
      <c r="AD66" s="1302">
        <f t="shared" si="14"/>
        <v>0</v>
      </c>
      <c r="AE66" s="1302">
        <f t="shared" si="14"/>
        <v>0</v>
      </c>
      <c r="AF66" s="1302">
        <f t="shared" si="14"/>
        <v>0</v>
      </c>
      <c r="AG66" s="1302">
        <f t="shared" si="14"/>
        <v>0</v>
      </c>
      <c r="AH66" s="1207"/>
      <c r="AN66" s="1280">
        <v>1021.722</v>
      </c>
    </row>
    <row r="67" spans="1:40" x14ac:dyDescent="0.2">
      <c r="A67" s="1236" t="s">
        <v>83</v>
      </c>
      <c r="B67" s="1237"/>
      <c r="C67" s="1306">
        <f t="shared" si="14"/>
        <v>0</v>
      </c>
      <c r="D67" s="1306">
        <f t="shared" si="14"/>
        <v>0</v>
      </c>
      <c r="E67" s="1306">
        <f t="shared" si="14"/>
        <v>0</v>
      </c>
      <c r="F67" s="1306">
        <f t="shared" si="14"/>
        <v>0</v>
      </c>
      <c r="G67" s="1306">
        <f t="shared" si="14"/>
        <v>0</v>
      </c>
      <c r="H67" s="1306">
        <f t="shared" si="14"/>
        <v>0</v>
      </c>
      <c r="I67" s="1306">
        <f t="shared" si="14"/>
        <v>0</v>
      </c>
      <c r="J67" s="1306">
        <f t="shared" si="14"/>
        <v>0</v>
      </c>
      <c r="K67" s="1306">
        <f t="shared" si="14"/>
        <v>0</v>
      </c>
      <c r="L67" s="1306">
        <f t="shared" si="14"/>
        <v>0</v>
      </c>
      <c r="M67" s="1306">
        <f t="shared" si="14"/>
        <v>0</v>
      </c>
      <c r="N67" s="1306">
        <f t="shared" si="14"/>
        <v>0</v>
      </c>
      <c r="O67" s="1306">
        <f t="shared" si="14"/>
        <v>0</v>
      </c>
      <c r="P67" s="1306">
        <f t="shared" si="14"/>
        <v>0</v>
      </c>
      <c r="Q67" s="1306">
        <f t="shared" si="14"/>
        <v>0</v>
      </c>
      <c r="R67" s="1306">
        <f t="shared" si="14"/>
        <v>0</v>
      </c>
      <c r="S67" s="1306">
        <f t="shared" si="14"/>
        <v>0</v>
      </c>
      <c r="T67" s="1306">
        <f t="shared" si="14"/>
        <v>0</v>
      </c>
      <c r="U67" s="1306">
        <f t="shared" si="14"/>
        <v>0</v>
      </c>
      <c r="V67" s="1306">
        <f t="shared" si="14"/>
        <v>0</v>
      </c>
      <c r="W67" s="1306">
        <f t="shared" si="14"/>
        <v>0</v>
      </c>
      <c r="X67" s="1306">
        <f t="shared" si="14"/>
        <v>0</v>
      </c>
      <c r="Y67" s="1306">
        <f t="shared" si="14"/>
        <v>0</v>
      </c>
      <c r="Z67" s="1306">
        <f t="shared" si="14"/>
        <v>0</v>
      </c>
      <c r="AA67" s="1306">
        <f t="shared" si="14"/>
        <v>0</v>
      </c>
      <c r="AB67" s="1306">
        <f t="shared" si="14"/>
        <v>0</v>
      </c>
      <c r="AC67" s="1306">
        <f t="shared" si="14"/>
        <v>0</v>
      </c>
      <c r="AD67" s="1306">
        <f t="shared" si="14"/>
        <v>0</v>
      </c>
      <c r="AE67" s="1306">
        <f t="shared" si="14"/>
        <v>0</v>
      </c>
      <c r="AF67" s="1306">
        <f t="shared" si="14"/>
        <v>0</v>
      </c>
      <c r="AG67" s="1306">
        <f t="shared" si="14"/>
        <v>0</v>
      </c>
      <c r="AH67" s="1207"/>
      <c r="AN67" s="1280">
        <v>4000</v>
      </c>
    </row>
    <row r="68" spans="1:40" ht="13.5" thickBot="1" x14ac:dyDescent="0.25">
      <c r="A68" s="1250"/>
      <c r="B68" s="1307"/>
      <c r="C68" s="1308"/>
      <c r="D68" s="1308"/>
      <c r="E68" s="1308"/>
      <c r="F68" s="1309"/>
      <c r="G68" s="1309"/>
      <c r="H68" s="1309"/>
      <c r="I68" s="1309"/>
      <c r="J68" s="1309"/>
      <c r="K68" s="1309"/>
      <c r="L68" s="1309"/>
      <c r="M68" s="1309"/>
      <c r="N68" s="1309"/>
      <c r="O68" s="1309"/>
      <c r="P68" s="1310"/>
      <c r="Q68" s="1309"/>
      <c r="R68" s="1309"/>
      <c r="S68" s="1309"/>
      <c r="T68" s="1309"/>
      <c r="U68" s="1309"/>
      <c r="V68" s="1309"/>
      <c r="W68" s="1309"/>
      <c r="X68" s="1309"/>
      <c r="Y68" s="1309"/>
      <c r="Z68" s="1309"/>
      <c r="AA68" s="1309"/>
      <c r="AB68" s="1309"/>
      <c r="AC68" s="1309"/>
      <c r="AD68" s="1309"/>
      <c r="AE68" s="1309"/>
      <c r="AF68" s="1309"/>
      <c r="AG68" s="1309"/>
      <c r="AH68" s="1207"/>
      <c r="AN68" s="1280"/>
    </row>
    <row r="69" spans="1:40" x14ac:dyDescent="0.2">
      <c r="A69" s="1236"/>
      <c r="B69" s="1237"/>
      <c r="C69" s="1302"/>
      <c r="D69" s="1302"/>
      <c r="E69" s="1302"/>
      <c r="F69" s="1303"/>
      <c r="G69" s="1303"/>
      <c r="H69" s="1303"/>
      <c r="I69" s="1303"/>
      <c r="J69" s="1303"/>
      <c r="K69" s="1303"/>
      <c r="L69" s="1303"/>
      <c r="M69" s="1303"/>
      <c r="N69" s="1303"/>
      <c r="O69" s="1303"/>
      <c r="P69" s="1304"/>
      <c r="Q69" s="1303"/>
      <c r="R69" s="1303"/>
      <c r="S69" s="1303"/>
      <c r="T69" s="1303"/>
      <c r="U69" s="1303"/>
      <c r="V69" s="1303"/>
      <c r="W69" s="1303"/>
      <c r="X69" s="1303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207"/>
      <c r="AN69" s="1280">
        <v>1616.846</v>
      </c>
    </row>
    <row r="70" spans="1:40" x14ac:dyDescent="0.2">
      <c r="A70" s="1236" t="s">
        <v>14</v>
      </c>
      <c r="B70" s="1237"/>
      <c r="C70" s="1302">
        <f t="shared" ref="C70:AG70" si="15">C63+C66+C67</f>
        <v>-589759.30200000003</v>
      </c>
      <c r="D70" s="1302">
        <f t="shared" si="15"/>
        <v>-589759.30200000003</v>
      </c>
      <c r="E70" s="1302">
        <f t="shared" si="15"/>
        <v>-589759.30200000003</v>
      </c>
      <c r="F70" s="1302">
        <f t="shared" si="15"/>
        <v>-589759.30200000003</v>
      </c>
      <c r="G70" s="1302">
        <f t="shared" si="15"/>
        <v>-589759.30200000003</v>
      </c>
      <c r="H70" s="1302">
        <f t="shared" si="15"/>
        <v>-589759.30200000003</v>
      </c>
      <c r="I70" s="1302">
        <f t="shared" si="15"/>
        <v>-589759.30200000003</v>
      </c>
      <c r="J70" s="1302">
        <f t="shared" si="15"/>
        <v>-589759.30200000003</v>
      </c>
      <c r="K70" s="1302">
        <f t="shared" si="15"/>
        <v>-589759.30200000003</v>
      </c>
      <c r="L70" s="1302">
        <f t="shared" si="15"/>
        <v>-589759.30200000003</v>
      </c>
      <c r="M70" s="1302">
        <f t="shared" si="15"/>
        <v>-589759.30200000003</v>
      </c>
      <c r="N70" s="1302">
        <f t="shared" si="15"/>
        <v>-589759.30200000003</v>
      </c>
      <c r="O70" s="1302">
        <f t="shared" si="15"/>
        <v>-589759.30200000003</v>
      </c>
      <c r="P70" s="1306">
        <f t="shared" si="15"/>
        <v>-589759.30200000003</v>
      </c>
      <c r="Q70" s="1302">
        <f t="shared" si="15"/>
        <v>-589759.30200000003</v>
      </c>
      <c r="R70" s="1302">
        <f t="shared" si="15"/>
        <v>-589759.30200000003</v>
      </c>
      <c r="S70" s="1302">
        <f t="shared" si="15"/>
        <v>-589759.30200000003</v>
      </c>
      <c r="T70" s="1302">
        <f t="shared" si="15"/>
        <v>-589759.30200000003</v>
      </c>
      <c r="U70" s="1302">
        <f t="shared" si="15"/>
        <v>-589759.30200000003</v>
      </c>
      <c r="V70" s="1302">
        <f t="shared" si="15"/>
        <v>-589759.30200000003</v>
      </c>
      <c r="W70" s="1302">
        <f t="shared" si="15"/>
        <v>-589759.30200000003</v>
      </c>
      <c r="X70" s="1302">
        <f t="shared" si="15"/>
        <v>-589759.30200000003</v>
      </c>
      <c r="Y70" s="1302">
        <f t="shared" si="15"/>
        <v>-589759.30200000003</v>
      </c>
      <c r="Z70" s="1302">
        <f t="shared" si="15"/>
        <v>-589759.30200000003</v>
      </c>
      <c r="AA70" s="1302">
        <f t="shared" si="15"/>
        <v>-589759.30200000003</v>
      </c>
      <c r="AB70" s="1302">
        <f t="shared" si="15"/>
        <v>-589759.30200000003</v>
      </c>
      <c r="AC70" s="1302">
        <f t="shared" si="15"/>
        <v>-589759.30200000003</v>
      </c>
      <c r="AD70" s="1302">
        <f t="shared" si="15"/>
        <v>-592070.98900000006</v>
      </c>
      <c r="AE70" s="1302">
        <f t="shared" si="15"/>
        <v>-592070.98900000006</v>
      </c>
      <c r="AF70" s="1302">
        <f t="shared" si="15"/>
        <v>-592070.98900000006</v>
      </c>
      <c r="AG70" s="1302">
        <f t="shared" si="15"/>
        <v>-592070.98900000006</v>
      </c>
      <c r="AH70" s="1311"/>
      <c r="AN70" s="1280">
        <v>7523.0129999999999</v>
      </c>
    </row>
    <row r="71" spans="1:40" x14ac:dyDescent="0.2">
      <c r="A71" s="1236"/>
      <c r="B71" s="1237"/>
      <c r="C71" s="1302"/>
      <c r="D71" s="1302"/>
      <c r="E71" s="1302"/>
      <c r="F71" s="1303"/>
      <c r="G71" s="1303"/>
      <c r="H71" s="1303"/>
      <c r="I71" s="1303"/>
      <c r="J71" s="1303"/>
      <c r="K71" s="1303"/>
      <c r="L71" s="1303"/>
      <c r="M71" s="1303"/>
      <c r="N71" s="1303"/>
      <c r="O71" s="1303"/>
      <c r="P71" s="1304"/>
      <c r="Q71" s="1303"/>
      <c r="R71" s="1303"/>
      <c r="S71" s="1303"/>
      <c r="T71" s="1303"/>
      <c r="U71" s="1303"/>
      <c r="V71" s="1303"/>
      <c r="W71" s="1303"/>
      <c r="X71" s="1303"/>
      <c r="Y71" s="1303"/>
      <c r="Z71" s="1303"/>
      <c r="AA71" s="1303"/>
      <c r="AB71" s="1303"/>
      <c r="AC71" s="1303"/>
      <c r="AD71" s="1303"/>
      <c r="AE71" s="1303"/>
      <c r="AF71" s="1303"/>
      <c r="AG71" s="1303"/>
      <c r="AH71" s="1207"/>
      <c r="AN71" s="1280">
        <v>716.57600000000002</v>
      </c>
    </row>
    <row r="72" spans="1:40" ht="13.5" thickBot="1" x14ac:dyDescent="0.25">
      <c r="A72" s="1250"/>
      <c r="B72" s="1307"/>
      <c r="C72" s="1312"/>
      <c r="D72" s="1312"/>
      <c r="E72" s="1312"/>
      <c r="F72" s="1313"/>
      <c r="G72" s="1313"/>
      <c r="H72" s="1313"/>
      <c r="I72" s="1313"/>
      <c r="J72" s="1313"/>
      <c r="K72" s="1313"/>
      <c r="L72" s="1313"/>
      <c r="M72" s="1313"/>
      <c r="N72" s="1313"/>
      <c r="O72" s="1313"/>
      <c r="P72" s="1314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207"/>
      <c r="AN72" s="1315">
        <v>1326.8</v>
      </c>
    </row>
    <row r="73" spans="1:40" x14ac:dyDescent="0.2">
      <c r="A73" s="1316"/>
      <c r="B73" s="1207"/>
      <c r="C73" s="1227"/>
      <c r="D73" s="1227"/>
      <c r="E73" s="1227"/>
      <c r="F73" s="1227"/>
      <c r="G73" s="1227"/>
      <c r="H73" s="1317"/>
      <c r="I73" s="1317"/>
      <c r="J73" s="1317"/>
      <c r="K73" s="1317"/>
      <c r="L73" s="1317"/>
      <c r="M73" s="1317"/>
      <c r="N73" s="1317"/>
      <c r="O73" s="1317"/>
      <c r="P73" s="1318"/>
      <c r="Q73" s="1317"/>
      <c r="R73" s="1317"/>
      <c r="S73" s="1317"/>
      <c r="T73" s="1317"/>
      <c r="U73" s="1317"/>
      <c r="V73" s="1317"/>
      <c r="W73" s="1317"/>
      <c r="X73" s="1317"/>
      <c r="Y73" s="1317"/>
      <c r="Z73" s="1317"/>
      <c r="AA73" s="1317"/>
      <c r="AB73" s="1317"/>
      <c r="AC73" s="1317"/>
      <c r="AD73" s="1317"/>
      <c r="AE73" s="1317"/>
      <c r="AF73" s="1317"/>
      <c r="AG73" s="1317"/>
      <c r="AH73" s="1207"/>
      <c r="AN73" s="1315">
        <v>4180.9530000000004</v>
      </c>
    </row>
    <row r="74" spans="1:40" x14ac:dyDescent="0.2">
      <c r="A74" s="1316" t="s">
        <v>40</v>
      </c>
      <c r="B74" s="1207"/>
      <c r="C74" s="1303"/>
      <c r="D74" s="1303"/>
      <c r="E74" s="1303"/>
      <c r="F74" s="1303"/>
      <c r="G74" s="1303"/>
      <c r="H74" s="1303"/>
      <c r="I74" s="1303"/>
      <c r="J74" s="1303"/>
      <c r="K74" s="1303"/>
      <c r="L74" s="1303"/>
      <c r="M74" s="1303"/>
      <c r="N74" s="1303"/>
      <c r="O74" s="1303"/>
      <c r="P74" s="1303"/>
      <c r="Q74" s="1303">
        <f t="shared" ref="Q74" si="16">+M51</f>
        <v>0</v>
      </c>
      <c r="R74" s="1303"/>
      <c r="S74" s="1303"/>
      <c r="T74" s="1303"/>
      <c r="U74" s="1303"/>
      <c r="V74" s="1303"/>
      <c r="W74" s="1303"/>
      <c r="X74" s="1303"/>
      <c r="Y74" s="1303"/>
      <c r="Z74" s="1303"/>
      <c r="AA74" s="1303"/>
      <c r="AB74" s="1303"/>
      <c r="AC74" s="1303"/>
      <c r="AD74" s="1303"/>
      <c r="AE74" s="1303"/>
      <c r="AF74" s="1303"/>
      <c r="AG74" s="1303"/>
      <c r="AH74" s="1227">
        <f>SUM(C74:AG74)</f>
        <v>0</v>
      </c>
      <c r="AI74" s="1320"/>
      <c r="AJ74" s="1320"/>
      <c r="AK74" s="1321"/>
      <c r="AN74" s="1315">
        <v>2761.194</v>
      </c>
    </row>
    <row r="75" spans="1:40" x14ac:dyDescent="0.2">
      <c r="A75" s="1316" t="s">
        <v>42</v>
      </c>
      <c r="B75" s="1207"/>
      <c r="C75" s="1303"/>
      <c r="D75" s="1303"/>
      <c r="E75" s="1303"/>
      <c r="F75" s="1319"/>
      <c r="G75" s="1319"/>
      <c r="H75" s="1319"/>
      <c r="I75" s="1319"/>
      <c r="J75" s="1319"/>
      <c r="K75" s="1319"/>
      <c r="L75" s="1319"/>
      <c r="M75" s="1319"/>
      <c r="N75" s="1319"/>
      <c r="O75" s="1319"/>
      <c r="P75" s="1319"/>
      <c r="Q75" s="1319"/>
      <c r="R75" s="1319"/>
      <c r="S75" s="1319"/>
      <c r="T75" s="1319"/>
      <c r="U75" s="1319"/>
      <c r="V75" s="1319"/>
      <c r="W75" s="1319"/>
      <c r="X75" s="1319"/>
      <c r="Y75" s="1319"/>
      <c r="Z75" s="1319"/>
      <c r="AA75" s="1319"/>
      <c r="AB75" s="1319"/>
      <c r="AC75" s="1319"/>
      <c r="AD75" s="1319"/>
      <c r="AE75" s="1319"/>
      <c r="AF75" s="1319"/>
      <c r="AG75" s="1319"/>
      <c r="AH75" s="1227">
        <f>SUM(C75:AG75)</f>
        <v>0</v>
      </c>
      <c r="AI75" s="1320"/>
      <c r="AJ75" s="1320"/>
      <c r="AK75" s="1321"/>
      <c r="AN75" s="1315">
        <v>6804.6840000000002</v>
      </c>
    </row>
    <row r="76" spans="1:40" ht="13.5" thickBot="1" x14ac:dyDescent="0.25">
      <c r="A76" s="1316"/>
      <c r="B76" s="1207"/>
      <c r="C76" s="1219"/>
      <c r="D76" s="1219"/>
      <c r="E76" s="1219"/>
      <c r="F76" s="1219"/>
      <c r="G76" s="1220"/>
      <c r="H76" s="1322"/>
      <c r="I76" s="1219"/>
      <c r="J76" s="1219"/>
      <c r="K76" s="1219"/>
      <c r="L76" s="1219"/>
      <c r="M76" s="1219"/>
      <c r="N76" s="1219"/>
      <c r="O76" s="1219"/>
      <c r="P76" s="1221"/>
      <c r="Q76" s="1219"/>
      <c r="R76" s="1219"/>
      <c r="S76" s="1219"/>
      <c r="T76" s="1219"/>
      <c r="U76" s="1219"/>
      <c r="V76" s="1322"/>
      <c r="W76" s="1322"/>
      <c r="X76" s="1219"/>
      <c r="Y76" s="1219"/>
      <c r="Z76" s="1219"/>
      <c r="AA76" s="1219"/>
      <c r="AB76" s="1219"/>
      <c r="AC76" s="1219"/>
      <c r="AD76" s="1219"/>
      <c r="AE76" s="1219"/>
      <c r="AF76" s="1219"/>
      <c r="AG76" s="1219"/>
      <c r="AH76" s="1207"/>
      <c r="AI76" s="1320"/>
      <c r="AJ76" s="1320"/>
      <c r="AK76" s="1321"/>
      <c r="AN76" s="1315">
        <v>14590.134</v>
      </c>
    </row>
    <row r="77" spans="1:40" x14ac:dyDescent="0.2">
      <c r="A77" s="1323" t="s">
        <v>495</v>
      </c>
      <c r="B77" s="1324" t="s">
        <v>509</v>
      </c>
      <c r="C77" s="1325"/>
      <c r="D77" s="1326"/>
      <c r="E77" s="1326"/>
      <c r="F77" s="1326"/>
      <c r="G77" s="1327"/>
      <c r="H77" s="1328"/>
      <c r="I77" s="1326"/>
      <c r="J77" s="1326"/>
      <c r="K77" s="1326"/>
      <c r="L77" s="1326"/>
      <c r="M77" s="1326"/>
      <c r="N77" s="1326"/>
      <c r="O77" s="1326"/>
      <c r="P77" s="1329"/>
      <c r="Q77" s="1326"/>
      <c r="R77" s="1326"/>
      <c r="S77" s="1326"/>
      <c r="T77" s="1326"/>
      <c r="U77" s="1326"/>
      <c r="V77" s="1328"/>
      <c r="W77" s="1328"/>
      <c r="X77" s="1326"/>
      <c r="Y77" s="1326"/>
      <c r="Z77" s="1326"/>
      <c r="AA77" s="1326"/>
      <c r="AB77" s="1326"/>
      <c r="AC77" s="1326"/>
      <c r="AD77" s="1326"/>
      <c r="AE77" s="1326"/>
      <c r="AF77" s="1326"/>
      <c r="AG77" s="1326"/>
      <c r="AH77" s="1330">
        <f>SUM(C77:AG77)</f>
        <v>0</v>
      </c>
      <c r="AI77" s="1320"/>
      <c r="AJ77" s="1320"/>
      <c r="AK77" s="1321"/>
      <c r="AN77" s="1280">
        <v>1034.9559999999999</v>
      </c>
    </row>
    <row r="78" spans="1:40" ht="13.5" thickBot="1" x14ac:dyDescent="0.25">
      <c r="A78" s="1331" t="s">
        <v>697</v>
      </c>
      <c r="B78" s="1332" t="s">
        <v>510</v>
      </c>
      <c r="C78" s="1333"/>
      <c r="D78" s="1334"/>
      <c r="E78" s="1334"/>
      <c r="F78" s="1334"/>
      <c r="G78" s="1334"/>
      <c r="H78" s="1335"/>
      <c r="I78" s="1336"/>
      <c r="J78" s="1334"/>
      <c r="K78" s="1334"/>
      <c r="L78" s="1335"/>
      <c r="M78" s="1334"/>
      <c r="N78" s="1334"/>
      <c r="O78" s="1334"/>
      <c r="P78" s="1337"/>
      <c r="Q78" s="1335"/>
      <c r="R78" s="1334"/>
      <c r="S78" s="1334"/>
      <c r="T78" s="1334"/>
      <c r="U78" s="1334"/>
      <c r="V78" s="1335"/>
      <c r="W78" s="1334"/>
      <c r="X78" s="1334"/>
      <c r="Y78" s="1334"/>
      <c r="Z78" s="1334"/>
      <c r="AA78" s="1335"/>
      <c r="AB78" s="1334"/>
      <c r="AC78" s="1334"/>
      <c r="AD78" s="1334"/>
      <c r="AE78" s="1334"/>
      <c r="AF78" s="1334"/>
      <c r="AG78" s="1334"/>
      <c r="AH78" s="1338">
        <f>SUM(C78:AG78)</f>
        <v>0</v>
      </c>
      <c r="AI78" s="1320"/>
      <c r="AJ78" s="1320"/>
      <c r="AK78" s="1321"/>
      <c r="AN78" s="1280"/>
    </row>
    <row r="79" spans="1:40" x14ac:dyDescent="0.2">
      <c r="A79" s="1323" t="s">
        <v>495</v>
      </c>
      <c r="B79" s="1324" t="s">
        <v>509</v>
      </c>
      <c r="C79" s="1339"/>
      <c r="D79" s="1339"/>
      <c r="E79" s="1339"/>
      <c r="F79" s="1339"/>
      <c r="G79" s="1339"/>
      <c r="H79" s="1340"/>
      <c r="I79" s="1341"/>
      <c r="J79" s="1339"/>
      <c r="K79" s="1339"/>
      <c r="L79" s="1340"/>
      <c r="M79" s="1339"/>
      <c r="N79" s="1339"/>
      <c r="O79" s="1339"/>
      <c r="P79" s="1342"/>
      <c r="Q79" s="1340"/>
      <c r="R79" s="1339"/>
      <c r="S79" s="1339"/>
      <c r="T79" s="1339"/>
      <c r="U79" s="1339"/>
      <c r="V79" s="1340"/>
      <c r="W79" s="1339"/>
      <c r="X79" s="1339"/>
      <c r="Y79" s="1339"/>
      <c r="Z79" s="1339"/>
      <c r="AA79" s="1340"/>
      <c r="AB79" s="1339"/>
      <c r="AC79" s="1339"/>
      <c r="AD79" s="1339"/>
      <c r="AE79" s="1339"/>
      <c r="AF79" s="1339"/>
      <c r="AG79" s="1339"/>
      <c r="AH79" s="1330">
        <f>SUM(C79:AG79)</f>
        <v>0</v>
      </c>
      <c r="AI79" s="1320"/>
      <c r="AJ79" s="1320"/>
      <c r="AK79" s="1321"/>
      <c r="AN79" s="1280"/>
    </row>
    <row r="80" spans="1:40" ht="13.5" thickBot="1" x14ac:dyDescent="0.25">
      <c r="A80" s="1331" t="s">
        <v>696</v>
      </c>
      <c r="B80" s="1332" t="s">
        <v>510</v>
      </c>
      <c r="C80" s="1339"/>
      <c r="D80" s="1339"/>
      <c r="E80" s="1339"/>
      <c r="F80" s="1339"/>
      <c r="G80" s="1339"/>
      <c r="H80" s="1340"/>
      <c r="I80" s="1341"/>
      <c r="J80" s="1339"/>
      <c r="K80" s="1339"/>
      <c r="L80" s="1340"/>
      <c r="M80" s="1339"/>
      <c r="N80" s="1339"/>
      <c r="O80" s="1339"/>
      <c r="P80" s="1342"/>
      <c r="Q80" s="1340"/>
      <c r="R80" s="1339"/>
      <c r="S80" s="1339"/>
      <c r="T80" s="1339"/>
      <c r="U80" s="1339"/>
      <c r="V80" s="1340"/>
      <c r="W80" s="1339"/>
      <c r="X80" s="1339"/>
      <c r="Y80" s="1339"/>
      <c r="Z80" s="1339"/>
      <c r="AA80" s="1340"/>
      <c r="AB80" s="1339"/>
      <c r="AC80" s="1339"/>
      <c r="AD80" s="1339"/>
      <c r="AE80" s="1339"/>
      <c r="AF80" s="1339"/>
      <c r="AG80" s="1339"/>
      <c r="AH80" s="1343"/>
      <c r="AI80" s="1320"/>
      <c r="AJ80" s="1320"/>
      <c r="AK80" s="1321"/>
      <c r="AN80" s="1280"/>
    </row>
    <row r="81" spans="1:43" x14ac:dyDescent="0.2">
      <c r="A81" s="1344"/>
      <c r="B81" s="1230"/>
      <c r="C81" s="1228"/>
      <c r="D81" s="1228"/>
      <c r="E81" s="1228"/>
      <c r="F81" s="1228"/>
      <c r="G81" s="1228"/>
      <c r="H81" s="1228"/>
      <c r="I81" s="1228"/>
      <c r="J81" s="1228"/>
      <c r="K81" s="1228"/>
      <c r="L81" s="1228"/>
      <c r="M81" s="1228"/>
      <c r="N81" s="1228"/>
      <c r="O81" s="1228"/>
      <c r="P81" s="1229"/>
      <c r="Q81" s="1228"/>
      <c r="R81" s="1228"/>
      <c r="S81" s="1228"/>
      <c r="T81" s="1228"/>
      <c r="U81" s="1228"/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320"/>
      <c r="AJ81" s="1320"/>
      <c r="AK81" s="1321"/>
      <c r="AN81" s="1280">
        <v>2000</v>
      </c>
    </row>
    <row r="82" spans="1:43" s="1321" customFormat="1" x14ac:dyDescent="0.2">
      <c r="A82" s="1236" t="s">
        <v>2</v>
      </c>
      <c r="B82" s="1207"/>
      <c r="C82" s="1345">
        <f>SUM(C84:C121)</f>
        <v>8178.7620000000006</v>
      </c>
      <c r="D82" s="1227"/>
      <c r="E82" s="1346"/>
      <c r="F82" s="1227"/>
      <c r="G82" s="1347"/>
      <c r="H82" s="1228"/>
      <c r="I82" s="1227"/>
      <c r="J82" s="1227"/>
      <c r="K82" s="1227"/>
      <c r="L82" s="1227"/>
      <c r="M82" s="1228"/>
      <c r="N82" s="1228"/>
      <c r="O82" s="1228"/>
      <c r="P82" s="1229"/>
      <c r="Q82" s="1228"/>
      <c r="R82" s="1228"/>
      <c r="S82" s="1228"/>
      <c r="T82" s="1227"/>
      <c r="U82" s="1227"/>
      <c r="V82" s="1227"/>
      <c r="W82" s="1227"/>
      <c r="X82" s="1227"/>
      <c r="Y82" s="1227"/>
      <c r="Z82" s="1227"/>
      <c r="AA82" s="1227"/>
      <c r="AB82" s="1227"/>
      <c r="AC82" s="1227"/>
      <c r="AD82" s="1227"/>
      <c r="AE82" s="1228"/>
      <c r="AF82" s="1227"/>
      <c r="AG82" s="1227"/>
      <c r="AH82" s="1207"/>
      <c r="AN82" s="1348">
        <v>2358.498</v>
      </c>
    </row>
    <row r="83" spans="1:43" s="1321" customFormat="1" x14ac:dyDescent="0.2">
      <c r="A83" s="1237"/>
      <c r="B83" s="1207"/>
      <c r="C83" s="1345"/>
      <c r="D83" s="1207"/>
      <c r="E83" s="1207"/>
      <c r="F83" s="1207"/>
      <c r="G83" s="1349"/>
      <c r="H83" s="1207"/>
      <c r="I83" s="1207"/>
      <c r="J83" s="1207"/>
      <c r="K83" s="1207"/>
      <c r="L83" s="1207"/>
      <c r="M83" s="1207"/>
      <c r="N83" s="1207"/>
      <c r="O83" s="1207"/>
      <c r="P83" s="1208"/>
      <c r="Q83" s="1207"/>
      <c r="R83" s="1207"/>
      <c r="S83" s="1207"/>
      <c r="T83" s="1207"/>
      <c r="U83" s="1207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N83" s="1348">
        <v>1458.3630000000001</v>
      </c>
    </row>
    <row r="84" spans="1:43" s="1321" customFormat="1" x14ac:dyDescent="0.2">
      <c r="A84" s="1207" t="s">
        <v>30</v>
      </c>
      <c r="B84" s="1350">
        <v>42415</v>
      </c>
      <c r="C84" s="1351"/>
      <c r="D84" s="1208"/>
      <c r="E84" s="1207"/>
      <c r="F84" s="1207"/>
      <c r="G84" s="1349"/>
      <c r="H84" s="1207"/>
      <c r="I84" s="1207"/>
      <c r="J84" s="1207"/>
      <c r="K84" s="1352"/>
      <c r="L84" s="1208"/>
      <c r="M84" s="1229"/>
      <c r="N84" s="1207"/>
      <c r="O84" s="1207"/>
      <c r="P84" s="1208"/>
      <c r="Q84" s="1207"/>
      <c r="R84" s="1207"/>
      <c r="S84" s="1207"/>
      <c r="T84" s="1207"/>
      <c r="U84" s="1207"/>
      <c r="V84" s="1207"/>
      <c r="W84" s="1207"/>
      <c r="X84" s="1207"/>
      <c r="Y84" s="1207"/>
      <c r="Z84" s="1207"/>
      <c r="AA84" s="1207"/>
      <c r="AB84" s="1207"/>
      <c r="AC84" s="1207"/>
      <c r="AD84" s="1207"/>
      <c r="AE84" s="1207"/>
      <c r="AF84" s="1207"/>
      <c r="AG84" s="1207"/>
      <c r="AH84" s="1207"/>
      <c r="AN84" s="1315">
        <v>718.548</v>
      </c>
    </row>
    <row r="85" spans="1:43" s="1321" customFormat="1" x14ac:dyDescent="0.2">
      <c r="A85" s="1207"/>
      <c r="B85" s="1350">
        <v>42255</v>
      </c>
      <c r="C85" s="1351"/>
      <c r="D85" s="1208"/>
      <c r="F85" s="1207"/>
      <c r="G85" s="1353"/>
      <c r="H85" s="1207"/>
      <c r="I85" s="1207"/>
      <c r="J85" s="1207"/>
      <c r="K85" s="1208"/>
      <c r="L85" s="1208"/>
      <c r="M85" s="1208"/>
      <c r="N85" s="1207"/>
      <c r="O85" s="1207"/>
      <c r="P85" s="1208"/>
      <c r="Q85" s="1207"/>
      <c r="R85" s="1207"/>
      <c r="S85" s="1207"/>
      <c r="T85" s="1207"/>
      <c r="U85" s="1207"/>
      <c r="V85" s="1207"/>
      <c r="W85" s="1207"/>
      <c r="X85" s="1207"/>
      <c r="Y85" s="1207"/>
      <c r="Z85" s="1207"/>
      <c r="AA85" s="1207"/>
      <c r="AB85" s="1207"/>
      <c r="AC85" s="1207"/>
      <c r="AD85" s="1207"/>
      <c r="AE85" s="1207"/>
      <c r="AF85" s="1207"/>
      <c r="AG85" s="1207"/>
      <c r="AH85" s="1207"/>
      <c r="AN85" s="1315">
        <v>1820.952</v>
      </c>
    </row>
    <row r="86" spans="1:43" x14ac:dyDescent="0.2">
      <c r="A86" s="1207"/>
      <c r="B86" s="1350">
        <v>42248</v>
      </c>
      <c r="C86" s="1345"/>
      <c r="D86" s="1354"/>
      <c r="E86" s="1207"/>
      <c r="F86" s="1207"/>
      <c r="G86" s="1353"/>
      <c r="H86" s="1207"/>
      <c r="I86" s="1207"/>
      <c r="J86" s="1207"/>
      <c r="K86" s="1352"/>
      <c r="L86" s="1208"/>
      <c r="M86" s="1208"/>
      <c r="N86" s="1207"/>
      <c r="O86" s="1207"/>
      <c r="P86" s="1208"/>
      <c r="Q86" s="1207"/>
      <c r="R86" s="1207"/>
      <c r="S86" s="1207"/>
      <c r="T86" s="1207"/>
      <c r="U86" s="1207"/>
      <c r="V86" s="1207"/>
      <c r="W86" s="1207"/>
      <c r="X86" s="1207"/>
      <c r="Y86" s="1207"/>
      <c r="Z86" s="1207"/>
      <c r="AA86" s="1207"/>
      <c r="AB86" s="1207"/>
      <c r="AC86" s="1207"/>
      <c r="AD86" s="1207"/>
      <c r="AE86" s="1207"/>
      <c r="AF86" s="1207"/>
      <c r="AG86" s="1207"/>
      <c r="AH86" s="1207"/>
      <c r="AI86" s="1355"/>
      <c r="AJ86" s="1320"/>
      <c r="AN86" s="1315">
        <v>2110.3739999999998</v>
      </c>
      <c r="AP86" s="1209">
        <v>1701.6279999999999</v>
      </c>
      <c r="AQ86" s="1209" t="s">
        <v>491</v>
      </c>
    </row>
    <row r="87" spans="1:43" x14ac:dyDescent="0.2">
      <c r="A87" s="1207"/>
      <c r="B87" s="1350">
        <v>42248</v>
      </c>
      <c r="C87" s="1356"/>
      <c r="D87" s="1345"/>
      <c r="E87" s="1357"/>
      <c r="F87" s="1207"/>
      <c r="G87" s="1349"/>
      <c r="H87" s="1207"/>
      <c r="I87" s="1207"/>
      <c r="J87" s="1207"/>
      <c r="K87" s="1207"/>
      <c r="L87" s="1207"/>
      <c r="M87" s="1207"/>
      <c r="N87" s="1207"/>
      <c r="O87" s="1207"/>
      <c r="P87" s="1208"/>
      <c r="Q87" s="1207"/>
      <c r="R87" s="1207"/>
      <c r="S87" s="1207"/>
      <c r="T87" s="1207"/>
      <c r="U87" s="1207"/>
      <c r="V87" s="1207"/>
      <c r="W87" s="1207"/>
      <c r="X87" s="1207"/>
      <c r="Y87" s="1207"/>
      <c r="Z87" s="1207"/>
      <c r="AA87" s="1207"/>
      <c r="AB87" s="1207"/>
      <c r="AC87" s="1207"/>
      <c r="AD87" s="1207"/>
      <c r="AE87" s="1207"/>
      <c r="AF87" s="1207"/>
      <c r="AG87" s="1207"/>
      <c r="AH87" s="1207"/>
      <c r="AI87" s="1280"/>
      <c r="AN87" s="1315">
        <v>2000</v>
      </c>
      <c r="AP87" s="1209">
        <v>5818.643</v>
      </c>
      <c r="AQ87" s="1209" t="s">
        <v>492</v>
      </c>
    </row>
    <row r="88" spans="1:43" x14ac:dyDescent="0.2">
      <c r="A88" s="1207" t="s">
        <v>31</v>
      </c>
      <c r="B88" s="1350">
        <v>42543</v>
      </c>
      <c r="C88" s="1358"/>
      <c r="D88" s="1354"/>
      <c r="E88" s="1354"/>
      <c r="F88" s="1354"/>
      <c r="G88" s="1349"/>
      <c r="H88" s="1207"/>
      <c r="I88" s="1207"/>
      <c r="J88" s="1207"/>
      <c r="K88" s="1207"/>
      <c r="L88" s="1207"/>
      <c r="M88" s="1207"/>
      <c r="N88" s="1207"/>
      <c r="O88" s="1207"/>
      <c r="P88" s="1208"/>
      <c r="Q88" s="1207"/>
      <c r="R88" s="1207"/>
      <c r="S88" s="1207"/>
      <c r="T88" s="1207"/>
      <c r="U88" s="1207"/>
      <c r="V88" s="1207"/>
      <c r="W88" s="1207"/>
      <c r="X88" s="1207"/>
      <c r="Y88" s="1207"/>
      <c r="Z88" s="1207"/>
      <c r="AA88" s="1207"/>
      <c r="AB88" s="1207"/>
      <c r="AC88" s="1207"/>
      <c r="AD88" s="1207"/>
      <c r="AE88" s="1207"/>
      <c r="AF88" s="1207"/>
      <c r="AG88" s="1207"/>
      <c r="AH88" s="1207"/>
      <c r="AI88" s="1280"/>
      <c r="AN88" s="1315">
        <v>1841.7439999999999</v>
      </c>
    </row>
    <row r="89" spans="1:43" x14ac:dyDescent="0.2">
      <c r="A89" s="1207"/>
      <c r="B89" s="1350">
        <v>42550</v>
      </c>
      <c r="C89" s="1354"/>
      <c r="D89" s="1354"/>
      <c r="E89" s="1354"/>
      <c r="F89" s="1207"/>
      <c r="G89" s="1353"/>
      <c r="H89" s="1207"/>
      <c r="I89" s="1207"/>
      <c r="J89" s="1207"/>
      <c r="K89" s="1207"/>
      <c r="L89" s="1207"/>
      <c r="M89" s="1207"/>
      <c r="N89" s="1207"/>
      <c r="O89" s="1207"/>
      <c r="P89" s="1208"/>
      <c r="Q89" s="1207"/>
      <c r="R89" s="1207"/>
      <c r="S89" s="1207"/>
      <c r="T89" s="1207"/>
      <c r="U89" s="1207"/>
      <c r="V89" s="1207"/>
      <c r="W89" s="1207"/>
      <c r="X89" s="1207"/>
      <c r="Y89" s="1207"/>
      <c r="Z89" s="1207"/>
      <c r="AA89" s="1207"/>
      <c r="AB89" s="1207"/>
      <c r="AC89" s="1207"/>
      <c r="AD89" s="1207"/>
      <c r="AE89" s="1207"/>
      <c r="AF89" s="1207"/>
      <c r="AG89" s="1207"/>
      <c r="AH89" s="1207"/>
      <c r="AI89" s="1280"/>
      <c r="AN89" s="1315">
        <v>747.24800000000005</v>
      </c>
    </row>
    <row r="90" spans="1:43" x14ac:dyDescent="0.2">
      <c r="A90" s="1207"/>
      <c r="B90" s="1350">
        <v>42551</v>
      </c>
      <c r="C90" s="1359"/>
      <c r="D90" s="1354"/>
      <c r="E90" s="1357"/>
      <c r="F90" s="1207"/>
      <c r="G90" s="1360"/>
      <c r="H90" s="1207"/>
      <c r="I90" s="1207"/>
      <c r="J90" s="1207"/>
      <c r="K90" s="1207"/>
      <c r="L90" s="1207"/>
      <c r="M90" s="1207"/>
      <c r="N90" s="1207"/>
      <c r="O90" s="1207"/>
      <c r="P90" s="1208"/>
      <c r="Q90" s="1207"/>
      <c r="R90" s="1207"/>
      <c r="S90" s="1207"/>
      <c r="T90" s="1207"/>
      <c r="U90" s="1207"/>
      <c r="V90" s="1207"/>
      <c r="W90" s="1207"/>
      <c r="X90" s="1207"/>
      <c r="Y90" s="1207"/>
      <c r="Z90" s="1207"/>
      <c r="AA90" s="1207"/>
      <c r="AB90" s="1207"/>
      <c r="AC90" s="1207"/>
      <c r="AD90" s="1207"/>
      <c r="AE90" s="1207"/>
      <c r="AF90" s="1207"/>
      <c r="AG90" s="1207"/>
      <c r="AH90" s="1207"/>
      <c r="AI90" s="1280"/>
      <c r="AN90" s="1315">
        <v>4413.4639999999999</v>
      </c>
    </row>
    <row r="91" spans="1:43" x14ac:dyDescent="0.2">
      <c r="A91" s="1207"/>
      <c r="B91" s="1350">
        <v>42538</v>
      </c>
      <c r="C91" s="1358"/>
      <c r="D91" s="1354"/>
      <c r="E91" s="1354"/>
      <c r="F91" s="1207"/>
      <c r="G91" s="1360"/>
      <c r="H91" s="1207"/>
      <c r="I91" s="1207"/>
      <c r="J91" s="1207"/>
      <c r="K91" s="1207"/>
      <c r="L91" s="1207"/>
      <c r="M91" s="1207"/>
      <c r="N91" s="1207"/>
      <c r="O91" s="1207"/>
      <c r="P91" s="1208"/>
      <c r="Q91" s="1207"/>
      <c r="R91" s="1207"/>
      <c r="S91" s="1207"/>
      <c r="T91" s="1207"/>
      <c r="U91" s="1207"/>
      <c r="V91" s="1207"/>
      <c r="W91" s="1207"/>
      <c r="X91" s="1207"/>
      <c r="Y91" s="1207"/>
      <c r="Z91" s="1207"/>
      <c r="AA91" s="1207"/>
      <c r="AB91" s="1207"/>
      <c r="AC91" s="1207"/>
      <c r="AD91" s="1207"/>
      <c r="AE91" s="1207"/>
      <c r="AF91" s="1207"/>
      <c r="AG91" s="1207"/>
      <c r="AH91" s="1207"/>
      <c r="AN91" s="1315">
        <v>1836.3130000000001</v>
      </c>
    </row>
    <row r="92" spans="1:43" x14ac:dyDescent="0.2">
      <c r="A92" s="1207"/>
      <c r="B92" s="1350">
        <v>42549</v>
      </c>
      <c r="C92" s="1358"/>
      <c r="D92" s="1354"/>
      <c r="E92" s="1354"/>
      <c r="F92" s="1207"/>
      <c r="G92" s="1207"/>
      <c r="H92" s="1207"/>
      <c r="I92" s="1207"/>
      <c r="J92" s="1207"/>
      <c r="K92" s="1207"/>
      <c r="L92" s="1207"/>
      <c r="M92" s="1207"/>
      <c r="N92" s="1207"/>
      <c r="O92" s="1207"/>
      <c r="P92" s="1208"/>
      <c r="Q92" s="1207"/>
      <c r="R92" s="1207"/>
      <c r="S92" s="1207"/>
      <c r="T92" s="1207"/>
      <c r="U92" s="1207"/>
      <c r="V92" s="1207"/>
      <c r="W92" s="1207"/>
      <c r="X92" s="1207"/>
      <c r="Y92" s="1207"/>
      <c r="Z92" s="1207"/>
      <c r="AA92" s="1207"/>
      <c r="AB92" s="1207"/>
      <c r="AC92" s="1207"/>
      <c r="AD92" s="1207"/>
      <c r="AE92" s="1207"/>
      <c r="AF92" s="1207"/>
      <c r="AG92" s="1207"/>
      <c r="AH92" s="1207"/>
      <c r="AN92" s="1315">
        <v>8000</v>
      </c>
    </row>
    <row r="93" spans="1:43" x14ac:dyDescent="0.2">
      <c r="A93" s="1207"/>
      <c r="B93" s="1350">
        <v>42543</v>
      </c>
      <c r="C93" s="1363"/>
      <c r="D93" s="1354"/>
      <c r="E93" s="1354"/>
      <c r="F93" s="1207"/>
      <c r="G93" s="1207"/>
      <c r="H93" s="1207"/>
      <c r="I93" s="1207"/>
      <c r="J93" s="1207"/>
      <c r="K93" s="1207"/>
      <c r="L93" s="1207"/>
      <c r="M93" s="1207"/>
      <c r="N93" s="1207"/>
      <c r="O93" s="1207"/>
      <c r="P93" s="1208"/>
      <c r="Q93" s="1207"/>
      <c r="R93" s="1207"/>
      <c r="S93" s="1207"/>
      <c r="T93" s="1207"/>
      <c r="U93" s="1207"/>
      <c r="V93" s="1207"/>
      <c r="W93" s="1207"/>
      <c r="X93" s="1207"/>
      <c r="Y93" s="1207"/>
      <c r="Z93" s="1207"/>
      <c r="AA93" s="1207"/>
      <c r="AB93" s="1207"/>
      <c r="AC93" s="1207"/>
      <c r="AD93" s="1207"/>
      <c r="AE93" s="1207"/>
      <c r="AF93" s="1207"/>
      <c r="AG93" s="1207"/>
      <c r="AH93" s="1207"/>
      <c r="AN93" s="1280">
        <f>SUM(AN44:AN92)</f>
        <v>167376.80400000003</v>
      </c>
      <c r="AP93" s="1361">
        <f>AN93+AP86+AP87</f>
        <v>174897.07500000004</v>
      </c>
    </row>
    <row r="94" spans="1:43" x14ac:dyDescent="0.2">
      <c r="A94" s="1207"/>
      <c r="B94" s="1350">
        <v>42542</v>
      </c>
      <c r="C94" s="1363"/>
      <c r="D94" s="1354"/>
      <c r="E94" s="1354"/>
      <c r="F94" s="1207"/>
      <c r="G94" s="1207"/>
      <c r="H94" s="1207"/>
      <c r="I94" s="1207"/>
      <c r="J94" s="1207"/>
      <c r="K94" s="1207"/>
      <c r="L94" s="1207"/>
      <c r="M94" s="1207"/>
      <c r="N94" s="1207"/>
      <c r="O94" s="1207"/>
      <c r="P94" s="1208"/>
      <c r="Q94" s="1207"/>
      <c r="R94" s="1207"/>
      <c r="S94" s="1207"/>
      <c r="T94" s="1207"/>
      <c r="U94" s="1207"/>
      <c r="V94" s="1207"/>
      <c r="W94" s="1207"/>
      <c r="X94" s="1207"/>
      <c r="Y94" s="1207"/>
      <c r="Z94" s="1207"/>
      <c r="AA94" s="1207"/>
      <c r="AB94" s="1207"/>
      <c r="AC94" s="1207"/>
      <c r="AD94" s="1207"/>
      <c r="AE94" s="1207"/>
      <c r="AF94" s="1207"/>
      <c r="AG94" s="1207"/>
      <c r="AH94" s="1207"/>
      <c r="AN94" s="1280"/>
      <c r="AP94" s="1361"/>
    </row>
    <row r="95" spans="1:43" x14ac:dyDescent="0.2">
      <c r="A95" s="1207"/>
      <c r="B95" s="1350">
        <v>42544</v>
      </c>
      <c r="C95" s="1363"/>
      <c r="D95" s="1354"/>
      <c r="E95" s="1354"/>
      <c r="F95" s="1207"/>
      <c r="G95" s="1207"/>
      <c r="H95" s="1207"/>
      <c r="I95" s="1207"/>
      <c r="J95" s="1207"/>
      <c r="K95" s="1207"/>
      <c r="L95" s="1207"/>
      <c r="M95" s="1207"/>
      <c r="N95" s="1207"/>
      <c r="O95" s="1207"/>
      <c r="P95" s="1208"/>
      <c r="Q95" s="1207"/>
      <c r="R95" s="1207"/>
      <c r="S95" s="1207"/>
      <c r="T95" s="1207"/>
      <c r="U95" s="1207"/>
      <c r="V95" s="1207"/>
      <c r="W95" s="1207"/>
      <c r="X95" s="1207"/>
      <c r="Y95" s="1207"/>
      <c r="Z95" s="1207"/>
      <c r="AA95" s="1207"/>
      <c r="AB95" s="1207"/>
      <c r="AC95" s="1207"/>
      <c r="AD95" s="1207"/>
      <c r="AE95" s="1207"/>
      <c r="AF95" s="1207"/>
      <c r="AG95" s="1207"/>
      <c r="AH95" s="1207"/>
      <c r="AN95" s="1280"/>
      <c r="AP95" s="1361"/>
    </row>
    <row r="96" spans="1:43" x14ac:dyDescent="0.2">
      <c r="A96" s="1207"/>
      <c r="B96" s="1350">
        <v>42546</v>
      </c>
      <c r="C96" s="1363"/>
      <c r="D96" s="1354"/>
      <c r="E96" s="1354"/>
      <c r="F96" s="1207"/>
      <c r="G96" s="1207"/>
      <c r="H96" s="1207"/>
      <c r="I96" s="1207"/>
      <c r="J96" s="1207"/>
      <c r="K96" s="1207"/>
      <c r="L96" s="1207"/>
      <c r="M96" s="1207"/>
      <c r="N96" s="1207"/>
      <c r="O96" s="1207"/>
      <c r="P96" s="1208"/>
      <c r="Q96" s="1207"/>
      <c r="R96" s="1207"/>
      <c r="S96" s="1207"/>
      <c r="T96" s="1207"/>
      <c r="U96" s="1207"/>
      <c r="V96" s="1207"/>
      <c r="W96" s="1207"/>
      <c r="X96" s="1207"/>
      <c r="Y96" s="1207"/>
      <c r="Z96" s="1207"/>
      <c r="AA96" s="1207"/>
      <c r="AB96" s="1207"/>
      <c r="AC96" s="1207"/>
      <c r="AD96" s="1207"/>
      <c r="AE96" s="1207"/>
      <c r="AF96" s="1207"/>
      <c r="AG96" s="1207"/>
      <c r="AH96" s="1207"/>
      <c r="AN96" s="1280"/>
      <c r="AP96" s="1361"/>
    </row>
    <row r="97" spans="1:42" x14ac:dyDescent="0.2">
      <c r="A97" s="1207"/>
      <c r="B97" s="1350">
        <v>42547</v>
      </c>
      <c r="C97" s="1363"/>
      <c r="D97" s="1354"/>
      <c r="E97" s="1354"/>
      <c r="F97" s="1207"/>
      <c r="G97" s="1207"/>
      <c r="H97" s="1207"/>
      <c r="I97" s="1207"/>
      <c r="J97" s="1207"/>
      <c r="K97" s="1207"/>
      <c r="L97" s="1207"/>
      <c r="M97" s="1207"/>
      <c r="N97" s="1207"/>
      <c r="O97" s="1207"/>
      <c r="P97" s="1208"/>
      <c r="Q97" s="1207"/>
      <c r="R97" s="1207"/>
      <c r="S97" s="1207"/>
      <c r="T97" s="1207"/>
      <c r="U97" s="1207"/>
      <c r="V97" s="1207"/>
      <c r="W97" s="1207"/>
      <c r="X97" s="1207"/>
      <c r="Y97" s="1207"/>
      <c r="Z97" s="1207"/>
      <c r="AA97" s="1207"/>
      <c r="AB97" s="1207"/>
      <c r="AC97" s="1207"/>
      <c r="AD97" s="1207"/>
      <c r="AE97" s="1207"/>
      <c r="AF97" s="1207"/>
      <c r="AG97" s="1207"/>
      <c r="AH97" s="1207"/>
      <c r="AN97" s="1280"/>
      <c r="AP97" s="1361"/>
    </row>
    <row r="98" spans="1:42" x14ac:dyDescent="0.2">
      <c r="A98" s="1207"/>
      <c r="B98" s="1350">
        <v>42548</v>
      </c>
      <c r="C98" s="1363"/>
      <c r="D98" s="1354"/>
      <c r="E98" s="1354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8"/>
      <c r="Q98" s="1207"/>
      <c r="R98" s="1207"/>
      <c r="S98" s="1207"/>
      <c r="T98" s="1207"/>
      <c r="U98" s="1207"/>
      <c r="V98" s="1207"/>
      <c r="W98" s="1207"/>
      <c r="X98" s="1207"/>
      <c r="Y98" s="1207"/>
      <c r="Z98" s="1207"/>
      <c r="AA98" s="1207"/>
      <c r="AB98" s="1207"/>
      <c r="AC98" s="1207"/>
      <c r="AD98" s="1207"/>
      <c r="AE98" s="1207"/>
      <c r="AF98" s="1207"/>
      <c r="AG98" s="1207"/>
      <c r="AH98" s="1207"/>
      <c r="AN98" s="1280"/>
      <c r="AP98" s="1361"/>
    </row>
    <row r="99" spans="1:42" x14ac:dyDescent="0.2">
      <c r="A99" s="1207"/>
      <c r="B99" s="1350">
        <v>42549</v>
      </c>
      <c r="C99" s="1363"/>
      <c r="D99" s="1354"/>
      <c r="E99" s="1354"/>
      <c r="F99" s="1207"/>
      <c r="G99" s="1207"/>
      <c r="H99" s="1207"/>
      <c r="I99" s="1207"/>
      <c r="J99" s="1207"/>
      <c r="K99" s="1207"/>
      <c r="L99" s="1207"/>
      <c r="M99" s="1207"/>
      <c r="N99" s="1207"/>
      <c r="O99" s="1207"/>
      <c r="P99" s="1208"/>
      <c r="Q99" s="1207"/>
      <c r="R99" s="1207"/>
      <c r="S99" s="1207"/>
      <c r="T99" s="1207"/>
      <c r="U99" s="1207"/>
      <c r="V99" s="1207"/>
      <c r="W99" s="1207"/>
      <c r="X99" s="1207"/>
      <c r="Y99" s="1207"/>
      <c r="Z99" s="1207"/>
      <c r="AA99" s="1207"/>
      <c r="AB99" s="1207"/>
      <c r="AC99" s="1207"/>
      <c r="AD99" s="1207"/>
      <c r="AE99" s="1207"/>
      <c r="AF99" s="1207"/>
      <c r="AG99" s="1207"/>
      <c r="AH99" s="1207"/>
      <c r="AN99" s="1280"/>
      <c r="AP99" s="1361"/>
    </row>
    <row r="100" spans="1:42" x14ac:dyDescent="0.2">
      <c r="A100" s="1207"/>
      <c r="B100" s="1350">
        <v>42550</v>
      </c>
      <c r="C100" s="1363"/>
      <c r="D100" s="1354"/>
      <c r="E100" s="1354"/>
      <c r="F100" s="1207"/>
      <c r="G100" s="1207"/>
      <c r="H100" s="1207"/>
      <c r="I100" s="1207"/>
      <c r="J100" s="1207"/>
      <c r="K100" s="1207"/>
      <c r="L100" s="1207"/>
      <c r="M100" s="1207"/>
      <c r="N100" s="1207"/>
      <c r="O100" s="1207"/>
      <c r="P100" s="1208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07"/>
      <c r="AA100" s="1207"/>
      <c r="AB100" s="1207"/>
      <c r="AC100" s="1207"/>
      <c r="AD100" s="1207"/>
      <c r="AE100" s="1207"/>
      <c r="AF100" s="1207"/>
      <c r="AG100" s="1207"/>
      <c r="AH100" s="1207"/>
      <c r="AN100" s="1280"/>
      <c r="AP100" s="1361"/>
    </row>
    <row r="101" spans="1:42" x14ac:dyDescent="0.2">
      <c r="A101" s="1207"/>
      <c r="B101" s="1350">
        <v>42551</v>
      </c>
      <c r="C101" s="1363"/>
      <c r="D101" s="1354"/>
      <c r="E101" s="1354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8"/>
      <c r="Q101" s="1207"/>
      <c r="R101" s="1207"/>
      <c r="S101" s="1207"/>
      <c r="T101" s="1207"/>
      <c r="U101" s="1207"/>
      <c r="V101" s="1207"/>
      <c r="W101" s="1207"/>
      <c r="X101" s="1207"/>
      <c r="Y101" s="1207"/>
      <c r="Z101" s="1207"/>
      <c r="AA101" s="1207"/>
      <c r="AB101" s="1207"/>
      <c r="AC101" s="1207"/>
      <c r="AD101" s="1207"/>
      <c r="AE101" s="1207"/>
      <c r="AF101" s="1207"/>
      <c r="AG101" s="1207"/>
      <c r="AH101" s="1207"/>
      <c r="AN101" s="1280"/>
      <c r="AP101" s="1361"/>
    </row>
    <row r="102" spans="1:42" x14ac:dyDescent="0.2">
      <c r="A102" s="1207"/>
      <c r="B102" s="1350">
        <v>42550</v>
      </c>
      <c r="C102" s="1364"/>
      <c r="D102" s="1354"/>
      <c r="E102" s="1354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8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07"/>
      <c r="AA102" s="1207"/>
      <c r="AB102" s="1207"/>
      <c r="AC102" s="1207"/>
      <c r="AD102" s="1207"/>
      <c r="AE102" s="1207"/>
      <c r="AF102" s="1207"/>
      <c r="AG102" s="1207"/>
      <c r="AH102" s="1207"/>
      <c r="AN102" s="1280"/>
      <c r="AP102" s="1361"/>
    </row>
    <row r="103" spans="1:42" x14ac:dyDescent="0.2">
      <c r="A103" s="1207"/>
      <c r="B103" s="1350">
        <v>42576</v>
      </c>
      <c r="C103" s="1364"/>
      <c r="D103" s="1354"/>
      <c r="E103" s="1354"/>
      <c r="F103" s="1207"/>
      <c r="G103" s="1207"/>
      <c r="H103" s="1207"/>
      <c r="I103" s="1207"/>
      <c r="J103" s="1207"/>
      <c r="K103" s="1207"/>
      <c r="L103" s="1207"/>
      <c r="M103" s="1207"/>
      <c r="N103" s="1207"/>
      <c r="O103" s="1207"/>
      <c r="P103" s="1208"/>
      <c r="Q103" s="1207"/>
      <c r="R103" s="1207"/>
      <c r="S103" s="1207"/>
      <c r="T103" s="1207"/>
      <c r="U103" s="1207"/>
      <c r="V103" s="1207"/>
      <c r="W103" s="1207"/>
      <c r="X103" s="1207"/>
      <c r="Y103" s="1207"/>
      <c r="Z103" s="1207"/>
      <c r="AA103" s="1207"/>
      <c r="AB103" s="1207"/>
      <c r="AC103" s="1207"/>
      <c r="AD103" s="1207"/>
      <c r="AE103" s="1207"/>
      <c r="AF103" s="1207"/>
      <c r="AG103" s="1207"/>
      <c r="AH103" s="1207"/>
      <c r="AN103" s="1280"/>
      <c r="AP103" s="1361"/>
    </row>
    <row r="104" spans="1:42" x14ac:dyDescent="0.2">
      <c r="A104" s="1207"/>
      <c r="B104" s="1350">
        <v>42542</v>
      </c>
      <c r="C104" s="1364"/>
      <c r="D104" s="1354"/>
      <c r="E104" s="1354"/>
      <c r="F104" s="1207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8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07"/>
      <c r="AA104" s="1207"/>
      <c r="AB104" s="1207"/>
      <c r="AC104" s="1207"/>
      <c r="AD104" s="1207"/>
      <c r="AE104" s="1207"/>
      <c r="AF104" s="1207"/>
      <c r="AG104" s="1207"/>
      <c r="AH104" s="1207"/>
      <c r="AN104" s="1280"/>
      <c r="AP104" s="1361"/>
    </row>
    <row r="105" spans="1:42" x14ac:dyDescent="0.2">
      <c r="A105" s="1207"/>
      <c r="B105" s="1350">
        <v>42538</v>
      </c>
      <c r="C105" s="1364"/>
      <c r="D105" s="1354"/>
      <c r="E105" s="1354"/>
      <c r="F105" s="1207"/>
      <c r="G105" s="1207"/>
      <c r="H105" s="1207"/>
      <c r="I105" s="1207"/>
      <c r="J105" s="1207"/>
      <c r="K105" s="1207"/>
      <c r="L105" s="1207"/>
      <c r="M105" s="1207"/>
      <c r="N105" s="1207"/>
      <c r="O105" s="1207"/>
      <c r="P105" s="1208"/>
      <c r="Q105" s="1207"/>
      <c r="R105" s="1207"/>
      <c r="S105" s="1207"/>
      <c r="T105" s="1207"/>
      <c r="U105" s="1207"/>
      <c r="V105" s="1207"/>
      <c r="W105" s="1207"/>
      <c r="X105" s="1207"/>
      <c r="Y105" s="1207"/>
      <c r="Z105" s="1207"/>
      <c r="AA105" s="1207"/>
      <c r="AB105" s="1207"/>
      <c r="AC105" s="1207"/>
      <c r="AD105" s="1207"/>
      <c r="AE105" s="1207"/>
      <c r="AF105" s="1207"/>
      <c r="AG105" s="1207"/>
      <c r="AH105" s="1207"/>
      <c r="AN105" s="1280"/>
      <c r="AP105" s="1361"/>
    </row>
    <row r="106" spans="1:42" x14ac:dyDescent="0.2">
      <c r="A106" s="1207"/>
      <c r="B106" s="1350">
        <v>42545</v>
      </c>
      <c r="C106" s="1364"/>
      <c r="D106" s="1354"/>
      <c r="E106" s="1354"/>
      <c r="F106" s="1207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8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07"/>
      <c r="AA106" s="1207"/>
      <c r="AB106" s="1207"/>
      <c r="AC106" s="1207"/>
      <c r="AD106" s="1207"/>
      <c r="AE106" s="1207"/>
      <c r="AF106" s="1207"/>
      <c r="AG106" s="1207"/>
      <c r="AH106" s="1207"/>
      <c r="AN106" s="1280"/>
      <c r="AP106" s="1361"/>
    </row>
    <row r="107" spans="1:42" x14ac:dyDescent="0.2">
      <c r="A107" s="1207"/>
      <c r="B107" s="1350">
        <v>42521</v>
      </c>
      <c r="C107" s="1364">
        <v>7316.4530000000004</v>
      </c>
      <c r="D107" s="1354"/>
      <c r="E107" s="1354"/>
      <c r="F107" s="1207"/>
      <c r="G107" s="1207"/>
      <c r="H107" s="1207"/>
      <c r="I107" s="1207"/>
      <c r="J107" s="1207"/>
      <c r="K107" s="1207"/>
      <c r="L107" s="1207"/>
      <c r="M107" s="1207"/>
      <c r="N107" s="1207"/>
      <c r="O107" s="1207"/>
      <c r="P107" s="1208"/>
      <c r="Q107" s="1207"/>
      <c r="R107" s="1207"/>
      <c r="S107" s="1207"/>
      <c r="T107" s="1207"/>
      <c r="U107" s="1207"/>
      <c r="V107" s="1207"/>
      <c r="W107" s="1207"/>
      <c r="X107" s="1207"/>
      <c r="Y107" s="1207"/>
      <c r="Z107" s="1207"/>
      <c r="AA107" s="1207"/>
      <c r="AB107" s="1207"/>
      <c r="AC107" s="1207"/>
      <c r="AD107" s="1207"/>
      <c r="AE107" s="1207"/>
      <c r="AF107" s="1207"/>
      <c r="AG107" s="1207"/>
      <c r="AH107" s="1207"/>
      <c r="AN107" s="1280"/>
      <c r="AP107" s="1361"/>
    </row>
    <row r="108" spans="1:42" x14ac:dyDescent="0.2">
      <c r="A108" s="1207" t="s">
        <v>436</v>
      </c>
      <c r="B108" s="1350">
        <v>42349</v>
      </c>
      <c r="C108" s="1358"/>
      <c r="D108" s="1354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8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N108" s="1280"/>
    </row>
    <row r="109" spans="1:42" x14ac:dyDescent="0.2">
      <c r="A109" s="1365" t="s">
        <v>33</v>
      </c>
      <c r="B109" s="1350">
        <v>42551</v>
      </c>
      <c r="C109" s="1351"/>
      <c r="D109" s="1354"/>
      <c r="E109" s="1207"/>
      <c r="F109" s="1207"/>
      <c r="G109" s="1346"/>
      <c r="H109" s="1354"/>
      <c r="I109" s="1207"/>
      <c r="J109" s="1207"/>
      <c r="K109" s="1207"/>
      <c r="L109" s="1207"/>
      <c r="M109" s="1207"/>
      <c r="N109" s="1207"/>
      <c r="O109" s="1207"/>
      <c r="P109" s="1208"/>
      <c r="Q109" s="1207"/>
      <c r="R109" s="1207"/>
      <c r="S109" s="1207"/>
      <c r="T109" s="1207"/>
      <c r="U109" s="1207"/>
      <c r="V109" s="1207"/>
      <c r="W109" s="1207"/>
      <c r="X109" s="1207"/>
      <c r="Y109" s="1207"/>
      <c r="Z109" s="1207"/>
      <c r="AA109" s="1207"/>
      <c r="AB109" s="1207"/>
      <c r="AC109" s="1207"/>
      <c r="AD109" s="1207"/>
      <c r="AE109" s="1207"/>
      <c r="AF109" s="1207"/>
      <c r="AG109" s="1207"/>
      <c r="AH109" s="1207"/>
      <c r="AN109" s="1280">
        <v>222914.55799999999</v>
      </c>
    </row>
    <row r="110" spans="1:42" x14ac:dyDescent="0.2">
      <c r="A110" s="1365" t="s">
        <v>33</v>
      </c>
      <c r="B110" s="1350">
        <v>42543</v>
      </c>
      <c r="C110" s="1351"/>
      <c r="D110" s="1354"/>
      <c r="E110" s="1351"/>
      <c r="F110" s="121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8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07"/>
      <c r="AA110" s="1207"/>
      <c r="AB110" s="1207"/>
      <c r="AC110" s="1207"/>
      <c r="AD110" s="1207"/>
      <c r="AE110" s="1207"/>
      <c r="AF110" s="1207"/>
      <c r="AG110" s="1207"/>
      <c r="AH110" s="1207"/>
    </row>
    <row r="111" spans="1:42" x14ac:dyDescent="0.2">
      <c r="A111" s="1365" t="s">
        <v>33</v>
      </c>
      <c r="B111" s="1350">
        <v>42545</v>
      </c>
      <c r="C111" s="1351"/>
      <c r="D111" s="1207"/>
      <c r="E111" s="1350"/>
      <c r="F111" s="1219"/>
      <c r="G111" s="1207"/>
      <c r="H111" s="1207"/>
      <c r="I111" s="1207"/>
      <c r="J111" s="1207"/>
      <c r="K111" s="1207"/>
      <c r="L111" s="1207"/>
      <c r="M111" s="1207"/>
      <c r="N111" s="1207"/>
      <c r="O111" s="1207"/>
      <c r="P111" s="1208"/>
      <c r="Q111" s="1207"/>
      <c r="R111" s="1207"/>
      <c r="S111" s="1207"/>
      <c r="T111" s="1207"/>
      <c r="U111" s="1207"/>
      <c r="V111" s="1207"/>
      <c r="W111" s="1207"/>
      <c r="X111" s="1207"/>
      <c r="Y111" s="1207"/>
      <c r="Z111" s="1207"/>
      <c r="AA111" s="1207"/>
      <c r="AB111" s="1207"/>
      <c r="AC111" s="1207"/>
      <c r="AD111" s="1207"/>
      <c r="AE111" s="1207"/>
      <c r="AF111" s="1207"/>
      <c r="AG111" s="1207"/>
      <c r="AH111" s="1207"/>
      <c r="AN111" s="1361">
        <f>AN109-AN93</f>
        <v>55537.753999999957</v>
      </c>
    </row>
    <row r="112" spans="1:42" x14ac:dyDescent="0.2">
      <c r="A112" s="1365" t="s">
        <v>33</v>
      </c>
      <c r="B112" s="1350">
        <v>42537</v>
      </c>
      <c r="C112" s="1351"/>
      <c r="D112" s="1207"/>
      <c r="E112" s="1350"/>
      <c r="F112" s="121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8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07"/>
      <c r="AA112" s="1207"/>
      <c r="AB112" s="1207"/>
      <c r="AC112" s="1207"/>
      <c r="AD112" s="1207"/>
      <c r="AE112" s="1207"/>
      <c r="AF112" s="1207"/>
      <c r="AG112" s="1207"/>
      <c r="AH112" s="1207"/>
    </row>
    <row r="113" spans="1:34" x14ac:dyDescent="0.2">
      <c r="A113" s="1365" t="s">
        <v>33</v>
      </c>
      <c r="B113" s="1350">
        <v>42541</v>
      </c>
      <c r="C113" s="1351"/>
      <c r="D113" s="1207"/>
      <c r="E113" s="1207"/>
      <c r="F113" s="1207"/>
      <c r="G113" s="1207"/>
      <c r="H113" s="1207"/>
      <c r="I113" s="1207"/>
      <c r="J113" s="1207"/>
      <c r="K113" s="1207"/>
      <c r="L113" s="1207"/>
      <c r="M113" s="1207"/>
      <c r="N113" s="1207"/>
      <c r="O113" s="1207"/>
      <c r="P113" s="1208"/>
      <c r="Q113" s="1207"/>
      <c r="R113" s="1207"/>
      <c r="S113" s="1207"/>
      <c r="T113" s="1207"/>
      <c r="U113" s="1207"/>
      <c r="V113" s="1207"/>
      <c r="W113" s="1207"/>
      <c r="X113" s="1207"/>
      <c r="Y113" s="1207"/>
      <c r="Z113" s="1207"/>
      <c r="AA113" s="1207"/>
      <c r="AB113" s="1207"/>
      <c r="AC113" s="1207"/>
      <c r="AD113" s="1207"/>
      <c r="AE113" s="1207"/>
      <c r="AF113" s="1207"/>
      <c r="AG113" s="1207"/>
      <c r="AH113" s="1207"/>
    </row>
    <row r="114" spans="1:34" x14ac:dyDescent="0.2">
      <c r="A114" s="1365" t="s">
        <v>32</v>
      </c>
      <c r="B114" s="1350">
        <v>42460</v>
      </c>
      <c r="C114" s="1351"/>
      <c r="D114" s="1207"/>
      <c r="E114" s="1354"/>
      <c r="F114" s="1207"/>
      <c r="G114" s="1207"/>
      <c r="H114" s="1207"/>
      <c r="I114" s="1207"/>
      <c r="J114" s="1207"/>
      <c r="K114" s="1207"/>
      <c r="L114" s="1207"/>
      <c r="M114" s="1207"/>
      <c r="N114" s="1207"/>
      <c r="O114" s="1207"/>
      <c r="P114" s="1208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07"/>
      <c r="AA114" s="1207"/>
      <c r="AB114" s="1207"/>
      <c r="AC114" s="1207"/>
      <c r="AD114" s="1207"/>
      <c r="AE114" s="1207"/>
      <c r="AF114" s="1207"/>
      <c r="AG114" s="1207"/>
      <c r="AH114" s="1207"/>
    </row>
    <row r="115" spans="1:34" x14ac:dyDescent="0.2">
      <c r="A115" s="1365" t="s">
        <v>32</v>
      </c>
      <c r="B115" s="1350">
        <v>42467</v>
      </c>
      <c r="C115" s="1351"/>
      <c r="D115" s="1354"/>
      <c r="E115" s="1354"/>
      <c r="F115" s="1207"/>
      <c r="G115" s="1207"/>
      <c r="H115" s="1207"/>
      <c r="I115" s="1207"/>
      <c r="J115" s="1207">
        <f>24165.977+17526.36+16476.836+14571.607+12079.388+11730.643+11437.58+11195.5+10981.575+10085.751+8343.843+7695.007+7536.159+7497.649+7256.424+7057.79+6577.924+6055.367+5930.943+5706.365+5160.01+4870.019+4388.726+4385.556+4225.635+3724.223+2996.588+2629.746+2546.68+2000+1840.333+1369.134-68060.588</f>
        <v>181984.75000000006</v>
      </c>
      <c r="K115" s="1207"/>
      <c r="L115" s="1207"/>
      <c r="M115" s="1207"/>
      <c r="N115" s="1207"/>
      <c r="O115" s="1207"/>
      <c r="P115" s="1208"/>
      <c r="Q115" s="1207"/>
      <c r="R115" s="1207"/>
      <c r="S115" s="1207"/>
      <c r="T115" s="1207"/>
      <c r="U115" s="1207"/>
      <c r="V115" s="1207"/>
      <c r="W115" s="1207"/>
      <c r="X115" s="1207"/>
      <c r="Y115" s="1207"/>
      <c r="Z115" s="1207"/>
      <c r="AA115" s="1207"/>
      <c r="AB115" s="1207"/>
      <c r="AC115" s="1207"/>
      <c r="AD115" s="1207"/>
      <c r="AE115" s="1207"/>
      <c r="AF115" s="1207"/>
      <c r="AG115" s="1207"/>
      <c r="AH115" s="1207"/>
    </row>
    <row r="116" spans="1:34" x14ac:dyDescent="0.2">
      <c r="A116" s="1365" t="s">
        <v>33</v>
      </c>
      <c r="B116" s="1350">
        <v>42467</v>
      </c>
      <c r="C116" s="1351"/>
      <c r="D116" s="1207"/>
      <c r="E116" s="1207"/>
      <c r="F116" s="1207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8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07"/>
      <c r="AA116" s="1207"/>
      <c r="AB116" s="1207"/>
      <c r="AC116" s="1207"/>
      <c r="AD116" s="1207"/>
      <c r="AE116" s="1207"/>
      <c r="AF116" s="1207"/>
      <c r="AG116" s="1207"/>
      <c r="AH116" s="1207"/>
    </row>
    <row r="117" spans="1:34" x14ac:dyDescent="0.2">
      <c r="A117" s="1365" t="s">
        <v>32</v>
      </c>
      <c r="B117" s="1350">
        <v>42468</v>
      </c>
      <c r="C117" s="1351"/>
      <c r="D117" s="1207"/>
      <c r="E117" s="1354"/>
      <c r="F117" s="1207"/>
      <c r="G117" s="1207"/>
      <c r="H117" s="1207"/>
      <c r="I117" s="1207"/>
      <c r="J117" s="1207"/>
      <c r="K117" s="1207"/>
      <c r="L117" s="1207"/>
      <c r="M117" s="1207"/>
      <c r="N117" s="1207"/>
      <c r="O117" s="1207"/>
      <c r="P117" s="1208"/>
      <c r="Q117" s="1207"/>
      <c r="R117" s="1207"/>
      <c r="S117" s="1207"/>
      <c r="T117" s="1207"/>
      <c r="U117" s="1207"/>
      <c r="V117" s="1207"/>
      <c r="W117" s="1207"/>
      <c r="X117" s="1207"/>
      <c r="Y117" s="1207"/>
      <c r="Z117" s="1207"/>
      <c r="AA117" s="1207"/>
      <c r="AB117" s="1207"/>
      <c r="AC117" s="1207"/>
      <c r="AD117" s="1207"/>
      <c r="AE117" s="1207"/>
      <c r="AF117" s="1207"/>
      <c r="AG117" s="1207"/>
      <c r="AH117" s="1207"/>
    </row>
    <row r="118" spans="1:34" x14ac:dyDescent="0.2">
      <c r="A118" s="1365" t="s">
        <v>33</v>
      </c>
      <c r="B118" s="1350">
        <v>42471</v>
      </c>
      <c r="C118" s="1351"/>
      <c r="D118" s="1366"/>
      <c r="E118" s="1207"/>
      <c r="F118" s="1207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8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07"/>
      <c r="AA118" s="1207"/>
      <c r="AB118" s="1207"/>
      <c r="AC118" s="1207"/>
      <c r="AD118" s="1207"/>
      <c r="AE118" s="1207"/>
      <c r="AF118" s="1207"/>
      <c r="AG118" s="1207"/>
      <c r="AH118" s="1207"/>
    </row>
    <row r="119" spans="1:34" x14ac:dyDescent="0.2">
      <c r="A119" s="1365" t="s">
        <v>33</v>
      </c>
      <c r="B119" s="1350">
        <v>42248</v>
      </c>
      <c r="C119" s="1351"/>
      <c r="D119" s="1207"/>
      <c r="E119" s="1366"/>
      <c r="F119" s="1207"/>
      <c r="G119" s="1207"/>
      <c r="H119" s="1207"/>
      <c r="I119" s="1207"/>
      <c r="J119" s="1207"/>
      <c r="K119" s="1207"/>
      <c r="L119" s="1207"/>
      <c r="M119" s="1207"/>
      <c r="N119" s="1207"/>
      <c r="O119" s="1207"/>
      <c r="P119" s="1208"/>
      <c r="Q119" s="1207"/>
      <c r="R119" s="1207"/>
      <c r="S119" s="1207"/>
      <c r="T119" s="1207"/>
      <c r="U119" s="1207"/>
      <c r="V119" s="1207"/>
      <c r="W119" s="1207"/>
      <c r="X119" s="1207"/>
      <c r="Y119" s="1207"/>
      <c r="Z119" s="1207"/>
      <c r="AA119" s="1207"/>
      <c r="AB119" s="1207"/>
      <c r="AC119" s="1207"/>
      <c r="AD119" s="1207"/>
      <c r="AE119" s="1207"/>
      <c r="AF119" s="1207"/>
      <c r="AG119" s="1207"/>
      <c r="AH119" s="1207"/>
    </row>
    <row r="120" spans="1:34" x14ac:dyDescent="0.2">
      <c r="A120" s="1365" t="s">
        <v>32</v>
      </c>
      <c r="B120" s="1350">
        <v>42251</v>
      </c>
      <c r="C120" s="1367"/>
      <c r="D120" s="1207"/>
      <c r="E120" s="1354"/>
      <c r="F120" s="1207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8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</row>
    <row r="121" spans="1:34" x14ac:dyDescent="0.2">
      <c r="A121" s="1316" t="s">
        <v>1283</v>
      </c>
      <c r="B121" s="1350">
        <v>42506</v>
      </c>
      <c r="C121" s="1351">
        <v>862.30899999999997</v>
      </c>
      <c r="D121" s="1207"/>
      <c r="E121" s="1207"/>
      <c r="F121" s="1207"/>
      <c r="G121" s="1354"/>
      <c r="H121" s="1354"/>
      <c r="I121" s="1207"/>
      <c r="J121" s="1207"/>
      <c r="K121" s="1207"/>
      <c r="L121" s="1207"/>
      <c r="M121" s="1207"/>
      <c r="N121" s="1207"/>
      <c r="O121" s="1207"/>
      <c r="P121" s="1208"/>
      <c r="Q121" s="1207"/>
      <c r="R121" s="1207"/>
      <c r="S121" s="1207"/>
      <c r="T121" s="1207"/>
      <c r="U121" s="1207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</row>
    <row r="122" spans="1:34" x14ac:dyDescent="0.2">
      <c r="A122" s="1207"/>
      <c r="B122" s="1350"/>
      <c r="C122" s="1345"/>
      <c r="D122" s="1207"/>
      <c r="E122" s="1207"/>
      <c r="F122" s="1207"/>
      <c r="G122" s="1354"/>
      <c r="H122" s="1207"/>
      <c r="I122" s="1207"/>
      <c r="J122" s="1207"/>
      <c r="K122" s="1207"/>
      <c r="L122" s="1207"/>
      <c r="M122" s="1207"/>
      <c r="N122" s="1207"/>
      <c r="O122" s="1207"/>
      <c r="P122" s="1208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07"/>
      <c r="AA122" s="1207"/>
      <c r="AB122" s="1207"/>
      <c r="AC122" s="1207"/>
      <c r="AD122" s="1207"/>
      <c r="AE122" s="1207"/>
      <c r="AF122" s="1207"/>
      <c r="AG122" s="1207"/>
      <c r="AH122" s="1207"/>
    </row>
    <row r="123" spans="1:34" x14ac:dyDescent="0.2">
      <c r="A123" s="1207"/>
      <c r="B123" s="1350"/>
      <c r="C123" s="1207"/>
      <c r="D123" s="1207"/>
      <c r="E123" s="1207"/>
      <c r="F123" s="1207"/>
      <c r="G123" s="1207"/>
      <c r="H123" s="1367"/>
      <c r="I123" s="1207"/>
      <c r="J123" s="1207"/>
      <c r="K123" s="1207"/>
      <c r="L123" s="1207"/>
      <c r="M123" s="1207"/>
      <c r="N123" s="1207"/>
      <c r="O123" s="1207"/>
      <c r="P123" s="1208"/>
      <c r="Q123" s="1207"/>
      <c r="R123" s="1207"/>
      <c r="S123" s="1207"/>
      <c r="T123" s="1207"/>
      <c r="U123" s="1207"/>
      <c r="V123" s="1207"/>
      <c r="W123" s="1207"/>
      <c r="X123" s="1207"/>
      <c r="Y123" s="1207"/>
      <c r="Z123" s="1207"/>
      <c r="AA123" s="1207"/>
      <c r="AB123" s="1207"/>
      <c r="AC123" s="1207"/>
      <c r="AD123" s="1207"/>
      <c r="AE123" s="1207"/>
      <c r="AF123" s="1207"/>
      <c r="AG123" s="1207"/>
      <c r="AH123" s="1207"/>
    </row>
    <row r="124" spans="1:34" x14ac:dyDescent="0.2">
      <c r="A124" s="1207"/>
      <c r="B124" s="1350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8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07"/>
      <c r="AA124" s="1207"/>
      <c r="AB124" s="1207"/>
      <c r="AC124" s="1207"/>
      <c r="AD124" s="1207"/>
      <c r="AE124" s="1207"/>
      <c r="AF124" s="1207"/>
      <c r="AG124" s="1207"/>
      <c r="AH124" s="1207"/>
    </row>
    <row r="125" spans="1:34" x14ac:dyDescent="0.2">
      <c r="A125" s="1316"/>
      <c r="B125" s="1350"/>
      <c r="C125" s="1345"/>
      <c r="D125" s="1207"/>
      <c r="E125" s="1207"/>
      <c r="F125" s="1207"/>
      <c r="G125" s="1207"/>
      <c r="H125" s="1207"/>
      <c r="I125" s="1207"/>
      <c r="J125" s="1207"/>
      <c r="K125" s="1207"/>
      <c r="L125" s="1207"/>
      <c r="M125" s="1207"/>
      <c r="N125" s="1207"/>
      <c r="O125" s="1207"/>
      <c r="P125" s="1208"/>
      <c r="Q125" s="1207"/>
      <c r="R125" s="1207"/>
      <c r="S125" s="1207"/>
      <c r="T125" s="1207"/>
      <c r="U125" s="1207"/>
      <c r="V125" s="1207"/>
      <c r="W125" s="1207"/>
      <c r="X125" s="1207"/>
      <c r="Y125" s="1207"/>
      <c r="Z125" s="1207"/>
      <c r="AA125" s="1207"/>
      <c r="AB125" s="1207"/>
      <c r="AC125" s="1207"/>
      <c r="AD125" s="1207"/>
      <c r="AE125" s="1207"/>
      <c r="AF125" s="1207"/>
      <c r="AG125" s="1207"/>
      <c r="AH125" s="1207"/>
    </row>
    <row r="126" spans="1:34" x14ac:dyDescent="0.2">
      <c r="A126" s="1316"/>
      <c r="B126" s="1350"/>
      <c r="C126" s="1345"/>
      <c r="D126" s="1207"/>
      <c r="E126" s="1207"/>
      <c r="F126" s="1207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8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07"/>
      <c r="AA126" s="1207"/>
      <c r="AB126" s="1207"/>
      <c r="AC126" s="1207"/>
      <c r="AD126" s="1207"/>
      <c r="AE126" s="1207"/>
      <c r="AF126" s="1207"/>
      <c r="AG126" s="1207"/>
      <c r="AH126" s="1207"/>
    </row>
    <row r="127" spans="1:34" x14ac:dyDescent="0.2">
      <c r="A127" s="1207"/>
      <c r="B127" s="1207"/>
      <c r="C127" s="1207"/>
      <c r="D127" s="1207"/>
      <c r="E127" s="1207"/>
      <c r="F127" s="1207"/>
      <c r="G127" s="1207"/>
      <c r="H127" s="1207"/>
      <c r="I127" s="1207"/>
      <c r="J127" s="1207"/>
      <c r="K127" s="1207"/>
      <c r="L127" s="1207"/>
      <c r="M127" s="1207"/>
      <c r="N127" s="1207"/>
      <c r="O127" s="1207"/>
      <c r="P127" s="1208"/>
      <c r="Q127" s="1207"/>
      <c r="R127" s="1207"/>
      <c r="S127" s="1207"/>
      <c r="T127" s="1207"/>
      <c r="U127" s="1207"/>
      <c r="V127" s="1207"/>
      <c r="W127" s="1207"/>
      <c r="X127" s="1207"/>
      <c r="Y127" s="1207"/>
      <c r="Z127" s="1207"/>
      <c r="AA127" s="1207"/>
      <c r="AB127" s="1207"/>
      <c r="AC127" s="1207"/>
      <c r="AD127" s="1207"/>
      <c r="AE127" s="1207"/>
      <c r="AF127" s="1207"/>
      <c r="AG127" s="1207"/>
      <c r="AH127" s="1207"/>
    </row>
    <row r="128" spans="1:34" x14ac:dyDescent="0.2">
      <c r="A128" s="1207"/>
      <c r="B128" s="1207"/>
      <c r="C128" s="1207"/>
      <c r="D128" s="1207"/>
      <c r="E128" s="1207"/>
      <c r="F128" s="1207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8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07"/>
      <c r="AA128" s="1207"/>
      <c r="AB128" s="1207"/>
      <c r="AC128" s="1207"/>
      <c r="AD128" s="1207"/>
      <c r="AE128" s="1207"/>
      <c r="AF128" s="1207"/>
      <c r="AG128" s="1207"/>
      <c r="AH128" s="1207"/>
    </row>
    <row r="129" spans="1:34" x14ac:dyDescent="0.2">
      <c r="A129" s="1207"/>
      <c r="B129" s="1207"/>
      <c r="C129" s="1207"/>
      <c r="D129" s="1207"/>
      <c r="E129" s="1207"/>
      <c r="F129" s="1207"/>
      <c r="G129" s="1207"/>
      <c r="H129" s="1207"/>
      <c r="I129" s="1207"/>
      <c r="J129" s="1207"/>
      <c r="K129" s="1207"/>
      <c r="L129" s="1207"/>
      <c r="M129" s="1207"/>
      <c r="N129" s="1207"/>
      <c r="O129" s="1207"/>
      <c r="P129" s="1208"/>
      <c r="Q129" s="1207"/>
      <c r="R129" s="1207"/>
      <c r="S129" s="1207"/>
      <c r="T129" s="1207"/>
      <c r="U129" s="1207"/>
      <c r="V129" s="1207"/>
      <c r="W129" s="1207"/>
      <c r="X129" s="1207"/>
      <c r="Y129" s="1207"/>
      <c r="Z129" s="1207"/>
      <c r="AA129" s="1207"/>
      <c r="AB129" s="1207"/>
      <c r="AC129" s="1207"/>
      <c r="AD129" s="1207"/>
      <c r="AE129" s="1207"/>
      <c r="AF129" s="1207"/>
      <c r="AG129" s="1207"/>
      <c r="AH129" s="1207"/>
    </row>
    <row r="130" spans="1:34" x14ac:dyDescent="0.2">
      <c r="A130" s="1207"/>
      <c r="B130" s="1207"/>
      <c r="C130" s="1207"/>
      <c r="D130" s="1207"/>
      <c r="E130" s="1207"/>
      <c r="F130" s="1207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8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07"/>
      <c r="AA130" s="1207"/>
      <c r="AB130" s="1207"/>
      <c r="AC130" s="1207"/>
      <c r="AD130" s="1207"/>
      <c r="AE130" s="1207"/>
      <c r="AF130" s="1207"/>
      <c r="AG130" s="1207"/>
      <c r="AH130" s="1207"/>
    </row>
    <row r="131" spans="1:34" ht="13.5" thickBot="1" x14ac:dyDescent="0.25">
      <c r="A131" s="1207"/>
      <c r="B131" s="1207"/>
      <c r="C131" s="1207"/>
      <c r="D131" s="1207"/>
      <c r="E131" s="1207"/>
      <c r="F131" s="1207"/>
      <c r="G131" s="1207"/>
      <c r="H131" s="1207"/>
      <c r="I131" s="1207"/>
      <c r="J131" s="1207"/>
      <c r="K131" s="1207"/>
      <c r="L131" s="1207"/>
      <c r="M131" s="1207"/>
      <c r="N131" s="1207"/>
      <c r="O131" s="1207"/>
      <c r="P131" s="1208"/>
      <c r="Q131" s="1207"/>
      <c r="R131" s="1207"/>
      <c r="S131" s="1207"/>
      <c r="T131" s="1207"/>
      <c r="U131" s="1207"/>
      <c r="V131" s="1207"/>
      <c r="W131" s="1207"/>
      <c r="X131" s="1207"/>
      <c r="Y131" s="1207"/>
      <c r="Z131" s="1207"/>
      <c r="AA131" s="1207"/>
      <c r="AB131" s="1207"/>
      <c r="AC131" s="1207"/>
      <c r="AD131" s="1207"/>
      <c r="AE131" s="1207"/>
      <c r="AF131" s="1207"/>
      <c r="AG131" s="1207"/>
      <c r="AH131" s="1207"/>
    </row>
    <row r="132" spans="1:34" x14ac:dyDescent="0.2">
      <c r="A132" s="1233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34"/>
      <c r="O132" s="1234"/>
      <c r="P132" s="1235"/>
      <c r="Q132" s="1234"/>
      <c r="R132" s="1234"/>
      <c r="S132" s="1234"/>
      <c r="T132" s="1234"/>
      <c r="U132" s="1234"/>
      <c r="V132" s="1234"/>
      <c r="W132" s="1234"/>
      <c r="X132" s="1234"/>
      <c r="Y132" s="1234"/>
      <c r="Z132" s="1234"/>
      <c r="AA132" s="1234"/>
      <c r="AB132" s="1234"/>
      <c r="AC132" s="1234"/>
      <c r="AD132" s="1234"/>
      <c r="AE132" s="1234"/>
      <c r="AF132" s="1234"/>
      <c r="AG132" s="1234"/>
      <c r="AH132" s="1207"/>
    </row>
    <row r="133" spans="1:34" x14ac:dyDescent="0.2">
      <c r="A133" s="1236"/>
      <c r="B133" s="1237" t="s">
        <v>37</v>
      </c>
      <c r="C133" s="1237"/>
      <c r="D133" s="1237"/>
      <c r="E133" s="1238" t="s">
        <v>823</v>
      </c>
      <c r="F133" s="1239" t="s">
        <v>95</v>
      </c>
      <c r="G133" s="1526" t="s">
        <v>6</v>
      </c>
      <c r="H133" s="1239"/>
      <c r="I133" s="1239"/>
      <c r="J133" s="1239"/>
      <c r="K133" s="1239"/>
      <c r="L133" s="1239"/>
      <c r="M133" s="1239"/>
      <c r="N133" s="1239"/>
      <c r="O133" s="1239"/>
      <c r="P133" s="1240"/>
      <c r="Q133" s="1239"/>
      <c r="R133" s="1239"/>
      <c r="S133" s="1239"/>
      <c r="T133" s="1239"/>
      <c r="U133" s="1239"/>
      <c r="V133" s="1239"/>
      <c r="W133" s="1239"/>
      <c r="X133" s="1239"/>
      <c r="Y133" s="1239"/>
      <c r="Z133" s="1239"/>
      <c r="AA133" s="1239"/>
      <c r="AB133" s="1239"/>
      <c r="AC133" s="1239"/>
      <c r="AD133" s="1239"/>
      <c r="AE133" s="1239"/>
      <c r="AF133" s="1239"/>
      <c r="AG133" s="1239"/>
      <c r="AH133" s="1207"/>
    </row>
    <row r="134" spans="1:34" x14ac:dyDescent="0.2">
      <c r="A134" s="1236"/>
      <c r="B134" s="1237"/>
      <c r="C134" s="1237"/>
      <c r="D134" s="1239"/>
      <c r="E134" s="1237"/>
      <c r="F134" s="1237"/>
      <c r="G134" s="1237"/>
      <c r="H134" s="1237"/>
      <c r="I134" s="1237"/>
      <c r="J134" s="1237"/>
      <c r="K134" s="1237"/>
      <c r="L134" s="1237"/>
      <c r="M134" s="1237"/>
      <c r="N134" s="1237"/>
      <c r="O134" s="1237"/>
      <c r="P134" s="1241"/>
      <c r="Q134" s="1237"/>
      <c r="R134" s="1237"/>
      <c r="S134" s="1237"/>
      <c r="T134" s="1237"/>
      <c r="U134" s="1237"/>
      <c r="V134" s="1237"/>
      <c r="W134" s="1237"/>
      <c r="X134" s="1237"/>
      <c r="Y134" s="1237"/>
      <c r="Z134" s="1237"/>
      <c r="AA134" s="1237"/>
      <c r="AB134" s="1237"/>
      <c r="AC134" s="1237"/>
      <c r="AD134" s="1237"/>
      <c r="AE134" s="1237"/>
      <c r="AF134" s="1237"/>
      <c r="AG134" s="1237"/>
      <c r="AH134" s="1207"/>
    </row>
    <row r="135" spans="1:34" x14ac:dyDescent="0.2">
      <c r="A135" s="1368"/>
      <c r="B135" s="1237"/>
      <c r="C135" s="1239"/>
      <c r="D135" s="1239">
        <v>42560</v>
      </c>
      <c r="E135" s="1237"/>
      <c r="F135" s="1237"/>
      <c r="G135" s="1237"/>
      <c r="H135" s="1237"/>
      <c r="I135" s="1237"/>
      <c r="J135" s="1237"/>
      <c r="K135" s="1237"/>
      <c r="L135" s="1237"/>
      <c r="M135" s="1237"/>
      <c r="N135" s="1237"/>
      <c r="O135" s="1237"/>
      <c r="P135" s="1241"/>
      <c r="Q135" s="1237"/>
      <c r="R135" s="1237"/>
      <c r="S135" s="1237"/>
      <c r="T135" s="1237"/>
      <c r="U135" s="1237"/>
      <c r="V135" s="1237"/>
      <c r="W135" s="1237"/>
      <c r="X135" s="1237"/>
      <c r="Y135" s="1237"/>
      <c r="Z135" s="1237"/>
      <c r="AA135" s="1237"/>
      <c r="AB135" s="1237"/>
      <c r="AC135" s="1237"/>
      <c r="AD135" s="1237"/>
      <c r="AE135" s="1237"/>
      <c r="AF135" s="1237"/>
      <c r="AG135" s="1237"/>
      <c r="AH135" s="1207"/>
    </row>
    <row r="136" spans="1:34" x14ac:dyDescent="0.2">
      <c r="A136" s="1236"/>
      <c r="B136" s="1237"/>
      <c r="C136" s="1239"/>
      <c r="D136" s="1239"/>
      <c r="E136" s="1237"/>
      <c r="F136" s="1237"/>
      <c r="G136" s="1237"/>
      <c r="H136" s="1237"/>
      <c r="I136" s="1237"/>
      <c r="J136" s="1237"/>
      <c r="K136" s="1237"/>
      <c r="L136" s="1237"/>
      <c r="M136" s="1237"/>
      <c r="N136" s="1237"/>
      <c r="O136" s="1237"/>
      <c r="P136" s="1241"/>
      <c r="Q136" s="1237"/>
      <c r="R136" s="1237"/>
      <c r="S136" s="1237"/>
      <c r="T136" s="1237"/>
      <c r="U136" s="1237"/>
      <c r="V136" s="1237"/>
      <c r="W136" s="1237"/>
      <c r="X136" s="1237"/>
      <c r="Y136" s="1237"/>
      <c r="Z136" s="1237"/>
      <c r="AA136" s="1237"/>
      <c r="AB136" s="1237"/>
      <c r="AC136" s="1237"/>
      <c r="AD136" s="1237"/>
      <c r="AE136" s="1237"/>
      <c r="AF136" s="1237"/>
      <c r="AG136" s="1237"/>
      <c r="AH136" s="1207"/>
    </row>
    <row r="137" spans="1:34" ht="13.5" thickBot="1" x14ac:dyDescent="0.25">
      <c r="A137" s="1236"/>
      <c r="B137" s="1237"/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1237"/>
      <c r="M137" s="1237"/>
      <c r="N137" s="1237"/>
      <c r="O137" s="1237"/>
      <c r="P137" s="1241"/>
      <c r="Q137" s="1237"/>
      <c r="R137" s="1237"/>
      <c r="S137" s="1237"/>
      <c r="T137" s="1237"/>
      <c r="U137" s="1237"/>
      <c r="V137" s="1237"/>
      <c r="W137" s="1237"/>
      <c r="X137" s="1237"/>
      <c r="Y137" s="1237"/>
      <c r="Z137" s="1237"/>
      <c r="AA137" s="1237"/>
      <c r="AB137" s="1237"/>
      <c r="AC137" s="1237"/>
      <c r="AD137" s="1237"/>
      <c r="AE137" s="1237"/>
      <c r="AF137" s="1237"/>
      <c r="AG137" s="1237"/>
      <c r="AH137" s="1207"/>
    </row>
    <row r="138" spans="1:34" ht="13.5" thickBot="1" x14ac:dyDescent="0.25">
      <c r="A138" s="1236"/>
      <c r="B138" s="1237"/>
      <c r="C138" s="1243"/>
      <c r="D138" s="1244" t="s">
        <v>16</v>
      </c>
      <c r="E138" s="1244"/>
      <c r="F138" s="1244"/>
      <c r="G138" s="1244"/>
      <c r="H138" s="1244"/>
      <c r="I138" s="1244"/>
      <c r="J138" s="1244"/>
      <c r="K138" s="1244"/>
      <c r="L138" s="1244"/>
      <c r="M138" s="1244"/>
      <c r="N138" s="1244"/>
      <c r="O138" s="1244"/>
      <c r="P138" s="1245"/>
      <c r="Q138" s="1244"/>
      <c r="R138" s="1244"/>
      <c r="S138" s="1244"/>
      <c r="T138" s="1244"/>
      <c r="U138" s="1244"/>
      <c r="V138" s="1244"/>
      <c r="W138" s="1244"/>
      <c r="X138" s="1244"/>
      <c r="Y138" s="1244"/>
      <c r="Z138" s="1244"/>
      <c r="AA138" s="1244"/>
      <c r="AB138" s="1244"/>
      <c r="AC138" s="1244"/>
      <c r="AD138" s="1244"/>
      <c r="AE138" s="1244"/>
      <c r="AF138" s="1244"/>
      <c r="AG138" s="1244"/>
      <c r="AH138" s="1207"/>
    </row>
    <row r="139" spans="1:34" ht="13.5" thickBot="1" x14ac:dyDescent="0.25">
      <c r="A139" s="1236"/>
      <c r="B139" s="1237"/>
      <c r="C139" s="1246" t="s">
        <v>452</v>
      </c>
      <c r="D139" s="1246" t="s">
        <v>453</v>
      </c>
      <c r="E139" s="1246" t="s">
        <v>434</v>
      </c>
      <c r="F139" s="1246" t="s">
        <v>390</v>
      </c>
      <c r="G139" s="1246" t="s">
        <v>454</v>
      </c>
      <c r="H139" s="1246" t="s">
        <v>455</v>
      </c>
      <c r="I139" s="1246" t="s">
        <v>456</v>
      </c>
      <c r="J139" s="1246" t="s">
        <v>457</v>
      </c>
      <c r="K139" s="1246" t="s">
        <v>458</v>
      </c>
      <c r="L139" s="1246" t="s">
        <v>216</v>
      </c>
      <c r="M139" s="1246" t="s">
        <v>459</v>
      </c>
      <c r="N139" s="1246" t="s">
        <v>297</v>
      </c>
      <c r="O139" s="1246" t="s">
        <v>211</v>
      </c>
      <c r="P139" s="1247" t="s">
        <v>270</v>
      </c>
      <c r="Q139" s="1246">
        <v>15</v>
      </c>
      <c r="R139" s="1246">
        <v>16</v>
      </c>
      <c r="S139" s="1246" t="s">
        <v>461</v>
      </c>
      <c r="T139" s="1246" t="s">
        <v>442</v>
      </c>
      <c r="U139" s="1246" t="s">
        <v>462</v>
      </c>
      <c r="V139" s="1246" t="s">
        <v>470</v>
      </c>
      <c r="W139" s="1246" t="s">
        <v>471</v>
      </c>
      <c r="X139" s="1246" t="s">
        <v>472</v>
      </c>
      <c r="Y139" s="1246" t="s">
        <v>463</v>
      </c>
      <c r="Z139" s="1246" t="s">
        <v>465</v>
      </c>
      <c r="AA139" s="1246" t="s">
        <v>466</v>
      </c>
      <c r="AB139" s="1246" t="s">
        <v>435</v>
      </c>
      <c r="AC139" s="1246" t="s">
        <v>467</v>
      </c>
      <c r="AD139" s="1246" t="s">
        <v>464</v>
      </c>
      <c r="AE139" s="1246" t="s">
        <v>429</v>
      </c>
      <c r="AF139" s="1246" t="s">
        <v>149</v>
      </c>
      <c r="AG139" s="1246" t="s">
        <v>210</v>
      </c>
      <c r="AH139" s="1207"/>
    </row>
    <row r="140" spans="1:34" x14ac:dyDescent="0.2">
      <c r="A140" s="1233"/>
      <c r="B140" s="1248"/>
      <c r="C140" s="1237"/>
      <c r="D140" s="1237"/>
      <c r="E140" s="1237"/>
      <c r="F140" s="1237"/>
      <c r="G140" s="1237"/>
      <c r="H140" s="1237"/>
      <c r="I140" s="1237"/>
      <c r="J140" s="1237"/>
      <c r="K140" s="1237"/>
      <c r="L140" s="1237"/>
      <c r="M140" s="1237"/>
      <c r="N140" s="1237"/>
      <c r="O140" s="1237"/>
      <c r="P140" s="1241"/>
      <c r="Q140" s="1237"/>
      <c r="R140" s="1237"/>
      <c r="S140" s="1237"/>
      <c r="T140" s="1237"/>
      <c r="U140" s="1237"/>
      <c r="V140" s="1237"/>
      <c r="W140" s="1237"/>
      <c r="X140" s="1237"/>
      <c r="Y140" s="1237"/>
      <c r="Z140" s="1237"/>
      <c r="AA140" s="1237"/>
      <c r="AB140" s="1237"/>
      <c r="AC140" s="1237"/>
      <c r="AD140" s="1237"/>
      <c r="AE140" s="1237"/>
      <c r="AF140" s="1237"/>
      <c r="AG140" s="1237"/>
      <c r="AH140" s="1207"/>
    </row>
    <row r="141" spans="1:34" x14ac:dyDescent="0.2">
      <c r="A141" s="1236" t="s">
        <v>0</v>
      </c>
      <c r="B141" s="1249">
        <v>-30622.870999999999</v>
      </c>
      <c r="C141" s="1237"/>
      <c r="D141" s="1237"/>
      <c r="E141" s="1237"/>
      <c r="F141" s="1237"/>
      <c r="G141" s="1237"/>
      <c r="H141" s="1237"/>
      <c r="I141" s="1237"/>
      <c r="J141" s="1237"/>
      <c r="K141" s="1237"/>
      <c r="L141" s="1237"/>
      <c r="M141" s="1237"/>
      <c r="N141" s="1237"/>
      <c r="O141" s="1237"/>
      <c r="P141" s="1241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07"/>
    </row>
    <row r="142" spans="1:34" ht="13.5" thickBot="1" x14ac:dyDescent="0.25">
      <c r="A142" s="1250"/>
      <c r="B142" s="1251"/>
      <c r="C142" s="1237"/>
      <c r="D142" s="1237"/>
      <c r="E142" s="1237"/>
      <c r="F142" s="1237"/>
      <c r="G142" s="1237"/>
      <c r="H142" s="1237"/>
      <c r="I142" s="1237"/>
      <c r="J142" s="1237"/>
      <c r="K142" s="1237"/>
      <c r="L142" s="1237"/>
      <c r="M142" s="1237"/>
      <c r="N142" s="1237"/>
      <c r="O142" s="1237"/>
      <c r="P142" s="1241"/>
      <c r="Q142" s="1237"/>
      <c r="R142" s="1237"/>
      <c r="S142" s="1237"/>
      <c r="T142" s="1237"/>
      <c r="U142" s="1237"/>
      <c r="V142" s="1237"/>
      <c r="W142" s="1237"/>
      <c r="X142" s="1237"/>
      <c r="Y142" s="1237"/>
      <c r="Z142" s="1237"/>
      <c r="AA142" s="1237"/>
      <c r="AB142" s="1237"/>
      <c r="AC142" s="1237"/>
      <c r="AD142" s="1237"/>
      <c r="AE142" s="1237"/>
      <c r="AF142" s="1237"/>
      <c r="AG142" s="1237"/>
      <c r="AH142" s="1207"/>
    </row>
    <row r="143" spans="1:34" x14ac:dyDescent="0.2">
      <c r="A143" s="1233"/>
      <c r="B143" s="1253"/>
      <c r="C143" s="1237"/>
      <c r="D143" s="1237"/>
      <c r="E143" s="1237"/>
      <c r="F143" s="1237"/>
      <c r="G143" s="1237"/>
      <c r="H143" s="1237"/>
      <c r="I143" s="1237"/>
      <c r="J143" s="1237"/>
      <c r="K143" s="1237"/>
      <c r="L143" s="1237"/>
      <c r="M143" s="1237"/>
      <c r="N143" s="1237"/>
      <c r="O143" s="1237"/>
      <c r="P143" s="1241"/>
      <c r="Q143" s="1237"/>
      <c r="R143" s="1237"/>
      <c r="S143" s="1237"/>
      <c r="T143" s="1237"/>
      <c r="U143" s="1237"/>
      <c r="V143" s="1237"/>
      <c r="W143" s="1237"/>
      <c r="X143" s="1237"/>
      <c r="Y143" s="1237"/>
      <c r="Z143" s="1237"/>
      <c r="AA143" s="1237"/>
      <c r="AB143" s="1237"/>
      <c r="AC143" s="1237"/>
      <c r="AD143" s="1237"/>
      <c r="AE143" s="1237"/>
      <c r="AF143" s="1237"/>
      <c r="AG143" s="1237"/>
      <c r="AH143" s="1207"/>
    </row>
    <row r="144" spans="1:34" x14ac:dyDescent="0.2">
      <c r="A144" s="1236" t="s">
        <v>1</v>
      </c>
      <c r="B144" s="1249">
        <f>B145+B146+B147</f>
        <v>0</v>
      </c>
      <c r="C144" s="1237"/>
      <c r="D144" s="1237"/>
      <c r="E144" s="1237"/>
      <c r="F144" s="1237"/>
      <c r="G144" s="1237"/>
      <c r="H144" s="1237"/>
      <c r="I144" s="1237"/>
      <c r="J144" s="1237"/>
      <c r="K144" s="1237"/>
      <c r="L144" s="1237"/>
      <c r="M144" s="1237"/>
      <c r="N144" s="1237"/>
      <c r="O144" s="1237"/>
      <c r="P144" s="1241"/>
      <c r="Q144" s="1237"/>
      <c r="R144" s="1237"/>
      <c r="S144" s="1237"/>
      <c r="T144" s="1237"/>
      <c r="U144" s="1237"/>
      <c r="V144" s="1237"/>
      <c r="W144" s="1237"/>
      <c r="X144" s="1237"/>
      <c r="Y144" s="1237"/>
      <c r="Z144" s="1237"/>
      <c r="AA144" s="1237"/>
      <c r="AB144" s="1237"/>
      <c r="AC144" s="1237"/>
      <c r="AD144" s="1237"/>
      <c r="AE144" s="1237"/>
      <c r="AF144" s="1237"/>
      <c r="AG144" s="1237"/>
      <c r="AH144" s="1207"/>
    </row>
    <row r="145" spans="1:34" x14ac:dyDescent="0.2">
      <c r="A145" s="1236" t="s">
        <v>38</v>
      </c>
      <c r="B145" s="1249">
        <f>C195</f>
        <v>0</v>
      </c>
      <c r="C145" s="1237"/>
      <c r="D145" s="1237"/>
      <c r="E145" s="1237"/>
      <c r="F145" s="1237"/>
      <c r="G145" s="1237"/>
      <c r="H145" s="1237"/>
      <c r="I145" s="1237"/>
      <c r="J145" s="1237"/>
      <c r="K145" s="1237"/>
      <c r="L145" s="1237"/>
      <c r="M145" s="1237"/>
      <c r="N145" s="1237"/>
      <c r="O145" s="1237"/>
      <c r="P145" s="1241"/>
      <c r="Q145" s="1237"/>
      <c r="R145" s="1237"/>
      <c r="S145" s="1237"/>
      <c r="T145" s="1237"/>
      <c r="U145" s="1237"/>
      <c r="V145" s="1237"/>
      <c r="W145" s="1237"/>
      <c r="X145" s="1237"/>
      <c r="Y145" s="1237"/>
      <c r="Z145" s="1237"/>
      <c r="AA145" s="1237"/>
      <c r="AB145" s="1237"/>
      <c r="AC145" s="1237"/>
      <c r="AD145" s="1237"/>
      <c r="AE145" s="1237"/>
      <c r="AF145" s="1237"/>
      <c r="AG145" s="1237"/>
      <c r="AH145" s="1207"/>
    </row>
    <row r="146" spans="1:34" x14ac:dyDescent="0.2">
      <c r="A146" s="1236" t="s">
        <v>39</v>
      </c>
      <c r="B146" s="1249">
        <f>C215</f>
        <v>0</v>
      </c>
      <c r="C146" s="1237"/>
      <c r="D146" s="1237"/>
      <c r="E146" s="1237"/>
      <c r="F146" s="1237"/>
      <c r="G146" s="1237"/>
      <c r="H146" s="1237"/>
      <c r="I146" s="1237"/>
      <c r="J146" s="1237"/>
      <c r="K146" s="1237"/>
      <c r="L146" s="1237"/>
      <c r="M146" s="1237"/>
      <c r="N146" s="1237"/>
      <c r="O146" s="1237"/>
      <c r="P146" s="1241"/>
      <c r="Q146" s="1237"/>
      <c r="R146" s="1237"/>
      <c r="S146" s="1237"/>
      <c r="T146" s="1237"/>
      <c r="U146" s="1237"/>
      <c r="V146" s="1237"/>
      <c r="W146" s="1237"/>
      <c r="X146" s="1237"/>
      <c r="Y146" s="1237"/>
      <c r="Z146" s="1237"/>
      <c r="AA146" s="1237"/>
      <c r="AB146" s="1237"/>
      <c r="AC146" s="1237"/>
      <c r="AD146" s="1237"/>
      <c r="AE146" s="1237"/>
      <c r="AF146" s="1237"/>
      <c r="AG146" s="1237"/>
      <c r="AH146" s="1207"/>
    </row>
    <row r="147" spans="1:34" x14ac:dyDescent="0.2">
      <c r="A147" s="1236" t="s">
        <v>3</v>
      </c>
      <c r="B147" s="1249"/>
      <c r="C147" s="1237"/>
      <c r="D147" s="1237"/>
      <c r="E147" s="1237"/>
      <c r="F147" s="1237"/>
      <c r="G147" s="1237"/>
      <c r="H147" s="1237"/>
      <c r="I147" s="1237"/>
      <c r="J147" s="1237"/>
      <c r="K147" s="1237"/>
      <c r="L147" s="1237"/>
      <c r="M147" s="1237"/>
      <c r="N147" s="1237"/>
      <c r="O147" s="1237"/>
      <c r="P147" s="1241"/>
      <c r="Q147" s="1237"/>
      <c r="R147" s="1237"/>
      <c r="S147" s="1237"/>
      <c r="T147" s="1237"/>
      <c r="U147" s="1237"/>
      <c r="V147" s="1237"/>
      <c r="W147" s="1237"/>
      <c r="X147" s="1237"/>
      <c r="Y147" s="1237"/>
      <c r="Z147" s="1237"/>
      <c r="AA147" s="1237"/>
      <c r="AB147" s="1237"/>
      <c r="AC147" s="1237"/>
      <c r="AD147" s="1237"/>
      <c r="AE147" s="1237"/>
      <c r="AF147" s="1237"/>
      <c r="AG147" s="1237"/>
      <c r="AH147" s="1207"/>
    </row>
    <row r="148" spans="1:34" ht="13.5" thickBot="1" x14ac:dyDescent="0.25">
      <c r="A148" s="1250"/>
      <c r="B148" s="1251"/>
      <c r="C148" s="1237"/>
      <c r="D148" s="1237"/>
      <c r="E148" s="1237"/>
      <c r="F148" s="1237"/>
      <c r="G148" s="1237"/>
      <c r="H148" s="1237"/>
      <c r="I148" s="1237"/>
      <c r="J148" s="1237"/>
      <c r="K148" s="1237"/>
      <c r="L148" s="1237"/>
      <c r="M148" s="1237"/>
      <c r="N148" s="1237"/>
      <c r="O148" s="1237"/>
      <c r="P148" s="1241"/>
      <c r="Q148" s="1237"/>
      <c r="R148" s="1237"/>
      <c r="S148" s="1237"/>
      <c r="T148" s="1237"/>
      <c r="U148" s="1237"/>
      <c r="V148" s="1237"/>
      <c r="W148" s="1237"/>
      <c r="X148" s="1237"/>
      <c r="Y148" s="1237"/>
      <c r="Z148" s="1237"/>
      <c r="AA148" s="1237"/>
      <c r="AB148" s="1237"/>
      <c r="AC148" s="1237"/>
      <c r="AD148" s="1237"/>
      <c r="AE148" s="1237"/>
      <c r="AF148" s="1237"/>
      <c r="AG148" s="1237"/>
      <c r="AH148" s="1207"/>
    </row>
    <row r="149" spans="1:34" x14ac:dyDescent="0.2">
      <c r="A149" s="1233"/>
      <c r="B149" s="1253"/>
      <c r="C149" s="1237"/>
      <c r="D149" s="1237"/>
      <c r="E149" s="1237"/>
      <c r="F149" s="1237"/>
      <c r="G149" s="1237"/>
      <c r="H149" s="1237"/>
      <c r="I149" s="1237"/>
      <c r="J149" s="1237"/>
      <c r="K149" s="1237"/>
      <c r="L149" s="1237"/>
      <c r="M149" s="1237"/>
      <c r="N149" s="1237"/>
      <c r="O149" s="1237"/>
      <c r="P149" s="1241"/>
      <c r="Q149" s="1237"/>
      <c r="R149" s="1237"/>
      <c r="S149" s="1237"/>
      <c r="T149" s="1237"/>
      <c r="U149" s="1237"/>
      <c r="V149" s="1237"/>
      <c r="W149" s="1237"/>
      <c r="X149" s="1237"/>
      <c r="Y149" s="1237"/>
      <c r="Z149" s="1237"/>
      <c r="AA149" s="1237"/>
      <c r="AB149" s="1237"/>
      <c r="AC149" s="1237"/>
      <c r="AD149" s="1237"/>
      <c r="AE149" s="1237"/>
      <c r="AF149" s="1237"/>
      <c r="AG149" s="1237"/>
      <c r="AH149" s="1207"/>
    </row>
    <row r="150" spans="1:34" x14ac:dyDescent="0.2">
      <c r="A150" s="1236" t="s">
        <v>4</v>
      </c>
      <c r="B150" s="1249">
        <f>B141+B144</f>
        <v>-30622.870999999999</v>
      </c>
      <c r="C150" s="1237"/>
      <c r="D150" s="1237"/>
      <c r="E150" s="1237"/>
      <c r="F150" s="1237"/>
      <c r="G150" s="1237"/>
      <c r="H150" s="1237"/>
      <c r="I150" s="1237"/>
      <c r="J150" s="1237"/>
      <c r="K150" s="1237"/>
      <c r="L150" s="1237"/>
      <c r="M150" s="1237"/>
      <c r="N150" s="1237"/>
      <c r="O150" s="1237"/>
      <c r="P150" s="1241"/>
      <c r="Q150" s="1237"/>
      <c r="R150" s="1237"/>
      <c r="S150" s="1237"/>
      <c r="T150" s="1237"/>
      <c r="U150" s="1237"/>
      <c r="V150" s="1237"/>
      <c r="W150" s="1237"/>
      <c r="X150" s="1237"/>
      <c r="Y150" s="1237"/>
      <c r="Z150" s="1237"/>
      <c r="AA150" s="1237"/>
      <c r="AB150" s="1237"/>
      <c r="AC150" s="1237"/>
      <c r="AD150" s="1237"/>
      <c r="AE150" s="1237"/>
      <c r="AF150" s="1237"/>
      <c r="AG150" s="1237"/>
      <c r="AH150" s="1207"/>
    </row>
    <row r="151" spans="1:34" ht="13.5" thickBot="1" x14ac:dyDescent="0.25">
      <c r="A151" s="1250"/>
      <c r="B151" s="1251"/>
      <c r="C151" s="1237"/>
      <c r="D151" s="1237"/>
      <c r="E151" s="1237"/>
      <c r="F151" s="1237"/>
      <c r="G151" s="1237"/>
      <c r="H151" s="1237"/>
      <c r="I151" s="1237"/>
      <c r="J151" s="1237"/>
      <c r="K151" s="1237"/>
      <c r="L151" s="1237"/>
      <c r="M151" s="1237"/>
      <c r="N151" s="1237"/>
      <c r="O151" s="1237"/>
      <c r="P151" s="1241"/>
      <c r="Q151" s="1237"/>
      <c r="R151" s="1237"/>
      <c r="S151" s="1237"/>
      <c r="T151" s="1237"/>
      <c r="U151" s="1237"/>
      <c r="V151" s="1237"/>
      <c r="W151" s="1237"/>
      <c r="X151" s="1237"/>
      <c r="Y151" s="1237"/>
      <c r="Z151" s="1237"/>
      <c r="AA151" s="1237"/>
      <c r="AB151" s="1237"/>
      <c r="AC151" s="1237"/>
      <c r="AD151" s="1237"/>
      <c r="AE151" s="1237"/>
      <c r="AF151" s="1237"/>
      <c r="AG151" s="1237"/>
      <c r="AH151" s="1207"/>
    </row>
    <row r="152" spans="1:34" x14ac:dyDescent="0.2">
      <c r="A152" s="1233"/>
      <c r="B152" s="1253"/>
      <c r="C152" s="1237"/>
      <c r="D152" s="1237"/>
      <c r="E152" s="1237"/>
      <c r="F152" s="1237"/>
      <c r="G152" s="1237"/>
      <c r="H152" s="1237"/>
      <c r="I152" s="1237"/>
      <c r="J152" s="1237"/>
      <c r="K152" s="1237"/>
      <c r="L152" s="1237"/>
      <c r="M152" s="1237"/>
      <c r="N152" s="1237"/>
      <c r="O152" s="1237"/>
      <c r="P152" s="1241"/>
      <c r="Q152" s="1237"/>
      <c r="R152" s="1237"/>
      <c r="S152" s="1237"/>
      <c r="T152" s="1237"/>
      <c r="U152" s="1237"/>
      <c r="V152" s="1237"/>
      <c r="W152" s="1237"/>
      <c r="X152" s="1237"/>
      <c r="Y152" s="1237"/>
      <c r="Z152" s="1237"/>
      <c r="AA152" s="1237"/>
      <c r="AB152" s="1237"/>
      <c r="AC152" s="1237"/>
      <c r="AD152" s="1237"/>
      <c r="AE152" s="1237"/>
      <c r="AF152" s="1237"/>
      <c r="AG152" s="1237"/>
      <c r="AH152" s="1207"/>
    </row>
    <row r="153" spans="1:34" ht="20.25" x14ac:dyDescent="0.3">
      <c r="A153" s="1236" t="s">
        <v>17</v>
      </c>
      <c r="B153" s="1249"/>
      <c r="C153" s="1237"/>
      <c r="D153" s="1237"/>
      <c r="E153" s="1237"/>
      <c r="F153" s="1237"/>
      <c r="G153" s="1237"/>
      <c r="H153" s="1237"/>
      <c r="I153" s="1749"/>
      <c r="J153" s="1749"/>
      <c r="K153" s="1749"/>
      <c r="L153" s="1749"/>
      <c r="M153" s="1748"/>
      <c r="N153" s="1748"/>
      <c r="O153" s="1748"/>
      <c r="P153" s="1748"/>
      <c r="Q153" s="1748"/>
      <c r="R153" s="1748"/>
      <c r="S153" s="1748"/>
      <c r="T153" s="1748"/>
      <c r="U153" s="1748"/>
      <c r="V153" s="1752"/>
      <c r="W153" s="1752"/>
      <c r="X153" s="1752"/>
      <c r="Y153" s="1237"/>
      <c r="Z153" s="1237"/>
      <c r="AA153" s="1237"/>
      <c r="AB153" s="1237"/>
      <c r="AC153" s="1237"/>
      <c r="AD153" s="1237"/>
      <c r="AE153" s="1237"/>
      <c r="AF153" s="1237"/>
      <c r="AG153" s="1237"/>
      <c r="AH153" s="1207"/>
    </row>
    <row r="154" spans="1:34" ht="13.5" thickBot="1" x14ac:dyDescent="0.25">
      <c r="A154" s="1250"/>
      <c r="B154" s="1251"/>
      <c r="C154" s="1237"/>
      <c r="D154" s="1237"/>
      <c r="E154" s="1237"/>
      <c r="F154" s="1237"/>
      <c r="G154" s="1237"/>
      <c r="H154" s="1237"/>
      <c r="I154" s="1237"/>
      <c r="J154" s="1237"/>
      <c r="K154" s="1237"/>
      <c r="L154" s="1237"/>
      <c r="M154" s="1237"/>
      <c r="N154" s="1237"/>
      <c r="O154" s="1237"/>
      <c r="P154" s="1241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07"/>
    </row>
    <row r="155" spans="1:34" x14ac:dyDescent="0.2">
      <c r="A155" s="1233"/>
      <c r="B155" s="1253"/>
      <c r="C155" s="1237"/>
      <c r="D155" s="1369"/>
      <c r="E155" s="1237"/>
      <c r="F155" s="1237"/>
      <c r="G155" s="1237"/>
      <c r="H155" s="1237"/>
      <c r="I155" s="1237"/>
      <c r="J155" s="1237"/>
      <c r="K155" s="1237"/>
      <c r="L155" s="1237"/>
      <c r="M155" s="1237"/>
      <c r="N155" s="1237"/>
      <c r="O155" s="1237"/>
      <c r="P155" s="1241"/>
      <c r="Q155" s="1237"/>
      <c r="R155" s="1237"/>
      <c r="S155" s="1237"/>
      <c r="T155" s="1237"/>
      <c r="U155" s="1526"/>
      <c r="V155" s="1237"/>
      <c r="W155" s="1237"/>
      <c r="X155" s="1237"/>
      <c r="Y155" s="1237"/>
      <c r="Z155" s="1526"/>
      <c r="AA155" s="1237"/>
      <c r="AB155" s="1237"/>
      <c r="AC155" s="1369"/>
      <c r="AD155" s="1237"/>
      <c r="AF155" s="1237"/>
      <c r="AG155" s="1237"/>
      <c r="AH155" s="1207"/>
    </row>
    <row r="156" spans="1:34" x14ac:dyDescent="0.2">
      <c r="A156" s="1236" t="s">
        <v>5</v>
      </c>
      <c r="B156" s="1249">
        <f>B150-B153</f>
        <v>-30622.870999999999</v>
      </c>
      <c r="C156" s="1526"/>
      <c r="D156" s="1528" t="s">
        <v>1191</v>
      </c>
      <c r="E156" s="1370"/>
      <c r="F156" s="1526"/>
      <c r="G156" s="1256"/>
      <c r="H156" s="1526"/>
      <c r="I156" s="1526"/>
      <c r="J156" s="1237"/>
      <c r="K156" s="1526"/>
      <c r="L156" s="1526" t="s">
        <v>603</v>
      </c>
      <c r="M156" s="1526"/>
      <c r="N156" s="1237" t="s">
        <v>815</v>
      </c>
      <c r="O156" s="1526"/>
      <c r="P156" s="1212"/>
      <c r="Q156" s="1526"/>
      <c r="R156" s="1526"/>
      <c r="S156" s="1526"/>
      <c r="T156" s="1256"/>
      <c r="U156" s="1526"/>
      <c r="V156" s="1526"/>
      <c r="W156" s="1526"/>
      <c r="X156" s="1526"/>
      <c r="Y156" s="1526"/>
      <c r="Z156" s="1526"/>
      <c r="AA156" s="1526"/>
      <c r="AB156" s="1526"/>
      <c r="AC156" s="1371"/>
      <c r="AD156" s="1526"/>
      <c r="AE156" s="1223"/>
      <c r="AF156" s="1526"/>
      <c r="AG156" s="1526"/>
      <c r="AH156" s="1207"/>
    </row>
    <row r="157" spans="1:34" ht="13.5" thickBot="1" x14ac:dyDescent="0.25">
      <c r="A157" s="1250"/>
      <c r="B157" s="1251"/>
      <c r="C157" s="1237"/>
      <c r="D157" s="1237"/>
      <c r="E157" s="1237"/>
      <c r="F157" s="1237"/>
      <c r="G157" s="1237"/>
      <c r="H157" s="1237"/>
      <c r="I157" s="1237"/>
      <c r="J157" s="1237"/>
      <c r="K157" s="1237"/>
      <c r="L157" s="1237"/>
      <c r="M157" s="1237"/>
      <c r="N157" s="1237"/>
      <c r="O157" s="1237"/>
      <c r="P157" s="1212"/>
      <c r="Q157" s="1526"/>
      <c r="R157" s="1526"/>
      <c r="S157" s="1526"/>
      <c r="T157" s="1526"/>
      <c r="U157" s="1526"/>
      <c r="V157" s="1526"/>
      <c r="W157" s="1526"/>
      <c r="X157" s="1526"/>
      <c r="Y157" s="1526"/>
      <c r="Z157" s="1526"/>
      <c r="AA157" s="1526"/>
      <c r="AB157" s="1526"/>
      <c r="AC157" s="1526"/>
      <c r="AD157" s="1526"/>
      <c r="AE157" s="1526"/>
      <c r="AF157" s="1526"/>
      <c r="AG157" s="1526"/>
      <c r="AH157" s="1207"/>
    </row>
    <row r="158" spans="1:34" x14ac:dyDescent="0.2">
      <c r="A158" s="1269"/>
      <c r="B158" s="1237"/>
      <c r="C158" s="1270"/>
      <c r="D158" s="1272"/>
      <c r="E158" s="1272"/>
      <c r="F158" s="1271"/>
      <c r="G158" s="1271"/>
      <c r="H158" s="1271"/>
      <c r="I158" s="1271"/>
      <c r="J158" s="1271"/>
      <c r="K158" s="1271"/>
      <c r="L158" s="1271"/>
      <c r="M158" s="1271"/>
      <c r="N158" s="1271"/>
      <c r="O158" s="1271"/>
      <c r="P158" s="1273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07"/>
    </row>
    <row r="159" spans="1:34" ht="13.5" thickBot="1" x14ac:dyDescent="0.25">
      <c r="A159" s="1274" t="s">
        <v>7</v>
      </c>
      <c r="B159" s="1237"/>
      <c r="C159" s="1275">
        <f t="shared" ref="C159:AG159" si="17">C160+C161+C162+C166+C165+C163+C164</f>
        <v>0</v>
      </c>
      <c r="D159" s="1275">
        <f t="shared" si="17"/>
        <v>0</v>
      </c>
      <c r="E159" s="1275">
        <f t="shared" si="17"/>
        <v>0</v>
      </c>
      <c r="F159" s="1275">
        <f t="shared" si="17"/>
        <v>0</v>
      </c>
      <c r="G159" s="1275">
        <f t="shared" si="17"/>
        <v>0</v>
      </c>
      <c r="H159" s="1275">
        <f t="shared" si="17"/>
        <v>0</v>
      </c>
      <c r="I159" s="1275">
        <f t="shared" si="17"/>
        <v>0</v>
      </c>
      <c r="J159" s="1275">
        <f t="shared" si="17"/>
        <v>0</v>
      </c>
      <c r="K159" s="1275">
        <f t="shared" si="17"/>
        <v>0</v>
      </c>
      <c r="L159" s="1275">
        <f t="shared" si="17"/>
        <v>0</v>
      </c>
      <c r="M159" s="1275">
        <f t="shared" si="17"/>
        <v>0</v>
      </c>
      <c r="N159" s="1275">
        <f t="shared" si="17"/>
        <v>0</v>
      </c>
      <c r="O159" s="1275">
        <f t="shared" si="17"/>
        <v>0</v>
      </c>
      <c r="P159" s="1276">
        <f t="shared" si="17"/>
        <v>0</v>
      </c>
      <c r="Q159" s="1275">
        <f t="shared" si="17"/>
        <v>0</v>
      </c>
      <c r="R159" s="1275">
        <f t="shared" si="17"/>
        <v>0</v>
      </c>
      <c r="S159" s="1275">
        <f t="shared" si="17"/>
        <v>0</v>
      </c>
      <c r="T159" s="1275">
        <f t="shared" si="17"/>
        <v>0</v>
      </c>
      <c r="U159" s="1275">
        <f t="shared" si="17"/>
        <v>0</v>
      </c>
      <c r="V159" s="1275">
        <f t="shared" si="17"/>
        <v>0</v>
      </c>
      <c r="W159" s="1275">
        <f t="shared" si="17"/>
        <v>0</v>
      </c>
      <c r="X159" s="1275">
        <f t="shared" si="17"/>
        <v>0</v>
      </c>
      <c r="Y159" s="1275">
        <f t="shared" si="17"/>
        <v>0</v>
      </c>
      <c r="Z159" s="1275">
        <f t="shared" si="17"/>
        <v>0</v>
      </c>
      <c r="AA159" s="1275">
        <f t="shared" si="17"/>
        <v>0</v>
      </c>
      <c r="AB159" s="1275">
        <f t="shared" si="17"/>
        <v>0</v>
      </c>
      <c r="AC159" s="1275">
        <f t="shared" si="17"/>
        <v>0</v>
      </c>
      <c r="AD159" s="1275">
        <f t="shared" si="17"/>
        <v>0</v>
      </c>
      <c r="AE159" s="1275">
        <f t="shared" si="17"/>
        <v>0</v>
      </c>
      <c r="AF159" s="1275">
        <f t="shared" si="17"/>
        <v>0</v>
      </c>
      <c r="AG159" s="1275">
        <f t="shared" si="17"/>
        <v>0</v>
      </c>
      <c r="AH159" s="1227">
        <f t="shared" ref="AH159:AH167" si="18">SUM(C159:AG159)</f>
        <v>0</v>
      </c>
    </row>
    <row r="160" spans="1:34" x14ac:dyDescent="0.2">
      <c r="A160" s="1274" t="s">
        <v>8</v>
      </c>
      <c r="B160" s="1237"/>
      <c r="C160" s="1302"/>
      <c r="D160" s="1302"/>
      <c r="E160" s="1302"/>
      <c r="F160" s="1303"/>
      <c r="G160" s="1303"/>
      <c r="H160" s="1303"/>
      <c r="I160" s="1303"/>
      <c r="J160" s="1303"/>
      <c r="K160" s="1303"/>
      <c r="L160" s="1303"/>
      <c r="M160" s="1303"/>
      <c r="N160" s="1303"/>
      <c r="O160" s="1303"/>
      <c r="P160" s="1304"/>
      <c r="Q160" s="1303"/>
      <c r="R160" s="1303"/>
      <c r="S160" s="1303"/>
      <c r="T160" s="1303"/>
      <c r="U160" s="1303"/>
      <c r="V160" s="1303"/>
      <c r="W160" s="1303"/>
      <c r="X160" s="1303"/>
      <c r="Y160" s="1303"/>
      <c r="Z160" s="1303"/>
      <c r="AA160" s="1303"/>
      <c r="AB160" s="1303"/>
      <c r="AC160" s="1303"/>
      <c r="AD160" s="1303"/>
      <c r="AE160" s="1303"/>
      <c r="AF160" s="1303"/>
      <c r="AG160" s="1303"/>
      <c r="AH160" s="1227">
        <f t="shared" si="18"/>
        <v>0</v>
      </c>
    </row>
    <row r="161" spans="1:35" x14ac:dyDescent="0.2">
      <c r="A161" s="1274" t="s">
        <v>9</v>
      </c>
      <c r="B161" s="1237"/>
      <c r="C161" s="1302"/>
      <c r="D161" s="1302"/>
      <c r="E161" s="1302"/>
      <c r="F161" s="1303"/>
      <c r="G161" s="1303"/>
      <c r="H161" s="1303"/>
      <c r="I161" s="1303"/>
      <c r="J161" s="1303"/>
      <c r="K161" s="1303"/>
      <c r="L161" s="1303"/>
      <c r="M161" s="1303"/>
      <c r="N161" s="1303"/>
      <c r="O161" s="1303"/>
      <c r="P161" s="1304"/>
      <c r="Q161" s="1303"/>
      <c r="R161" s="1303"/>
      <c r="S161" s="1303"/>
      <c r="T161" s="1303"/>
      <c r="U161" s="1303"/>
      <c r="V161" s="1303"/>
      <c r="W161" s="1303"/>
      <c r="X161" s="1303"/>
      <c r="Y161" s="1303"/>
      <c r="Z161" s="1303"/>
      <c r="AA161" s="1303"/>
      <c r="AB161" s="1303"/>
      <c r="AC161" s="1303"/>
      <c r="AD161" s="1303"/>
      <c r="AE161" s="1303"/>
      <c r="AF161" s="1303"/>
      <c r="AG161" s="1303"/>
      <c r="AH161" s="1227">
        <f t="shared" si="18"/>
        <v>0</v>
      </c>
    </row>
    <row r="162" spans="1:35" s="1289" customFormat="1" x14ac:dyDescent="0.2">
      <c r="A162" s="1285" t="s">
        <v>10</v>
      </c>
      <c r="B162" s="1372"/>
      <c r="C162" s="1292"/>
      <c r="D162" s="1292"/>
      <c r="E162" s="1374"/>
      <c r="F162" s="1375"/>
      <c r="G162" s="1376"/>
      <c r="H162" s="1375"/>
      <c r="I162" s="1375"/>
      <c r="J162" s="1375"/>
      <c r="K162" s="1375"/>
      <c r="L162" s="1375"/>
      <c r="M162" s="1375"/>
      <c r="N162" s="1375"/>
      <c r="O162" s="1375"/>
      <c r="P162" s="1375"/>
      <c r="Q162" s="1375"/>
      <c r="R162" s="1375"/>
      <c r="S162" s="1375"/>
      <c r="T162" s="1376"/>
      <c r="U162" s="1375"/>
      <c r="V162" s="1375"/>
      <c r="W162" s="1375"/>
      <c r="X162" s="1375"/>
      <c r="Y162" s="1375"/>
      <c r="Z162" s="1375"/>
      <c r="AA162" s="1375"/>
      <c r="AB162" s="1375"/>
      <c r="AC162" s="1375"/>
      <c r="AD162" s="1375"/>
      <c r="AE162" s="1378"/>
      <c r="AF162" s="1375"/>
      <c r="AG162" s="1375"/>
      <c r="AH162" s="1231">
        <f t="shared" si="18"/>
        <v>0</v>
      </c>
    </row>
    <row r="163" spans="1:35" s="1289" customFormat="1" x14ac:dyDescent="0.2">
      <c r="A163" s="1285" t="s">
        <v>356</v>
      </c>
      <c r="B163" s="1372"/>
      <c r="C163" s="1492"/>
      <c r="D163" s="1492"/>
      <c r="E163" s="1492"/>
      <c r="F163" s="1492"/>
      <c r="G163" s="1492"/>
      <c r="H163" s="1492"/>
      <c r="I163" s="1492"/>
      <c r="J163" s="1492"/>
      <c r="K163" s="1292"/>
      <c r="L163" s="1492"/>
      <c r="M163" s="1492"/>
      <c r="N163" s="1492"/>
      <c r="O163" s="1492"/>
      <c r="P163" s="1492"/>
      <c r="Q163" s="1492"/>
      <c r="R163" s="1492"/>
      <c r="S163" s="1492"/>
      <c r="T163" s="1492"/>
      <c r="U163" s="1492"/>
      <c r="V163" s="1492"/>
      <c r="W163" s="1492"/>
      <c r="X163" s="1292"/>
      <c r="Y163" s="1292"/>
      <c r="Z163" s="1292"/>
      <c r="AA163" s="1292"/>
      <c r="AB163" s="1492"/>
      <c r="AC163" s="1492"/>
      <c r="AD163" s="1492"/>
      <c r="AE163" s="1492"/>
      <c r="AF163" s="1492"/>
      <c r="AG163" s="1492"/>
      <c r="AH163" s="1231">
        <f t="shared" si="18"/>
        <v>0</v>
      </c>
    </row>
    <row r="164" spans="1:35" x14ac:dyDescent="0.2">
      <c r="A164" s="1274" t="s">
        <v>357</v>
      </c>
      <c r="B164" s="1237"/>
      <c r="C164" s="1306"/>
      <c r="D164" s="1302"/>
      <c r="E164" s="1306"/>
      <c r="F164" s="1303"/>
      <c r="G164" s="1303"/>
      <c r="H164" s="1304"/>
      <c r="I164" s="1304"/>
      <c r="J164" s="1304"/>
      <c r="K164" s="1304"/>
      <c r="L164" s="1304"/>
      <c r="M164" s="1304"/>
      <c r="N164" s="1304"/>
      <c r="O164" s="1304"/>
      <c r="P164" s="1304"/>
      <c r="Q164" s="1304"/>
      <c r="R164" s="1304"/>
      <c r="S164" s="1304"/>
      <c r="T164" s="1304"/>
      <c r="U164" s="1304"/>
      <c r="V164" s="1304"/>
      <c r="W164" s="1304"/>
      <c r="X164" s="1304"/>
      <c r="Y164" s="1304"/>
      <c r="Z164" s="1304"/>
      <c r="AA164" s="1304"/>
      <c r="AB164" s="1304"/>
      <c r="AC164" s="1304"/>
      <c r="AD164" s="1304"/>
      <c r="AE164" s="1304"/>
      <c r="AF164" s="1304"/>
      <c r="AG164" s="1304"/>
      <c r="AH164" s="1227">
        <f t="shared" si="18"/>
        <v>0</v>
      </c>
    </row>
    <row r="165" spans="1:35" x14ac:dyDescent="0.2">
      <c r="A165" s="1274" t="s">
        <v>41</v>
      </c>
      <c r="B165" s="1237"/>
      <c r="C165" s="1306"/>
      <c r="D165" s="1302"/>
      <c r="E165" s="1306"/>
      <c r="F165" s="1303"/>
      <c r="G165" s="1303"/>
      <c r="H165" s="1304"/>
      <c r="I165" s="1304"/>
      <c r="J165" s="1304"/>
      <c r="K165" s="1304"/>
      <c r="L165" s="1304"/>
      <c r="M165" s="1304"/>
      <c r="N165" s="1304"/>
      <c r="O165" s="1304"/>
      <c r="P165" s="1304"/>
      <c r="Q165" s="1304"/>
      <c r="R165" s="1304"/>
      <c r="S165" s="1304"/>
      <c r="T165" s="1304"/>
      <c r="U165" s="1304"/>
      <c r="V165" s="1304"/>
      <c r="W165" s="1304"/>
      <c r="X165" s="1304"/>
      <c r="Y165" s="1304"/>
      <c r="Z165" s="1304"/>
      <c r="AA165" s="1304"/>
      <c r="AB165" s="1304"/>
      <c r="AC165" s="1304"/>
      <c r="AD165" s="1304"/>
      <c r="AE165" s="1304"/>
      <c r="AF165" s="1304"/>
      <c r="AG165" s="1304"/>
      <c r="AH165" s="1227">
        <f t="shared" si="18"/>
        <v>0</v>
      </c>
    </row>
    <row r="166" spans="1:35" x14ac:dyDescent="0.2">
      <c r="A166" s="1274" t="s">
        <v>11</v>
      </c>
      <c r="B166" s="1237"/>
      <c r="C166" s="1302"/>
      <c r="D166" s="1306"/>
      <c r="E166" s="1306"/>
      <c r="F166" s="1304"/>
      <c r="G166" s="1304"/>
      <c r="H166" s="1304"/>
      <c r="I166" s="1304"/>
      <c r="J166" s="1304"/>
      <c r="K166" s="1304"/>
      <c r="L166" s="1304"/>
      <c r="M166" s="1304"/>
      <c r="N166" s="1304"/>
      <c r="O166" s="1304"/>
      <c r="P166" s="1304"/>
      <c r="Q166" s="1304"/>
      <c r="R166" s="1304"/>
      <c r="S166" s="1304"/>
      <c r="T166" s="1304"/>
      <c r="U166" s="1304"/>
      <c r="V166" s="1304"/>
      <c r="W166" s="1304"/>
      <c r="X166" s="1304"/>
      <c r="Y166" s="1304"/>
      <c r="Z166" s="1304"/>
      <c r="AA166" s="1304"/>
      <c r="AB166" s="1318"/>
      <c r="AC166" s="1304"/>
      <c r="AD166" s="1304"/>
      <c r="AE166" s="1304"/>
      <c r="AF166" s="1304"/>
      <c r="AG166" s="1304"/>
      <c r="AH166" s="1227">
        <f t="shared" si="18"/>
        <v>0</v>
      </c>
    </row>
    <row r="167" spans="1:35" ht="13.5" thickBot="1" x14ac:dyDescent="0.25">
      <c r="A167" s="1294"/>
      <c r="B167" s="1237"/>
      <c r="C167" s="1302"/>
      <c r="D167" s="1302"/>
      <c r="E167" s="1302"/>
      <c r="F167" s="1303"/>
      <c r="G167" s="1303"/>
      <c r="H167" s="1303"/>
      <c r="I167" s="1303"/>
      <c r="J167" s="1303"/>
      <c r="K167" s="1303"/>
      <c r="L167" s="1303"/>
      <c r="M167" s="1303"/>
      <c r="N167" s="1303"/>
      <c r="O167" s="1303"/>
      <c r="P167" s="1304"/>
      <c r="Q167" s="1303"/>
      <c r="R167" s="1303"/>
      <c r="S167" s="1303"/>
      <c r="T167" s="1303"/>
      <c r="U167" s="1303"/>
      <c r="V167" s="1303"/>
      <c r="W167" s="1303"/>
      <c r="X167" s="1303"/>
      <c r="Y167" s="1303"/>
      <c r="Z167" s="1303"/>
      <c r="AA167" s="1303"/>
      <c r="AB167" s="1303"/>
      <c r="AC167" s="1303"/>
      <c r="AD167" s="1303"/>
      <c r="AE167" s="1303"/>
      <c r="AF167" s="1303"/>
      <c r="AG167" s="1303"/>
      <c r="AH167" s="1227">
        <f t="shared" si="18"/>
        <v>0</v>
      </c>
    </row>
    <row r="168" spans="1:35" x14ac:dyDescent="0.2">
      <c r="A168" s="1269"/>
      <c r="B168" s="1237"/>
      <c r="C168" s="1296"/>
      <c r="D168" s="1297"/>
      <c r="E168" s="1297"/>
      <c r="F168" s="1298"/>
      <c r="G168" s="1298"/>
      <c r="H168" s="1298"/>
      <c r="I168" s="1298"/>
      <c r="J168" s="1298"/>
      <c r="K168" s="1298"/>
      <c r="L168" s="1298"/>
      <c r="M168" s="1298"/>
      <c r="N168" s="1298"/>
      <c r="O168" s="1298"/>
      <c r="P168" s="1299"/>
      <c r="Q168" s="1298"/>
      <c r="R168" s="1298"/>
      <c r="S168" s="1298"/>
      <c r="T168" s="1298"/>
      <c r="U168" s="1298"/>
      <c r="V168" s="1298"/>
      <c r="W168" s="1298"/>
      <c r="X168" s="1298"/>
      <c r="Y168" s="1298"/>
      <c r="Z168" s="1298"/>
      <c r="AA168" s="1298"/>
      <c r="AB168" s="1298"/>
      <c r="AC168" s="1298"/>
      <c r="AD168" s="1298"/>
      <c r="AE168" s="1298"/>
      <c r="AF168" s="1298"/>
      <c r="AG168" s="1298"/>
      <c r="AH168" s="1207"/>
    </row>
    <row r="169" spans="1:35" ht="13.5" thickBot="1" x14ac:dyDescent="0.25">
      <c r="A169" s="1274" t="s">
        <v>12</v>
      </c>
      <c r="B169" s="1237"/>
      <c r="C169" s="1275">
        <f t="shared" ref="C169:AG169" si="19">C170</f>
        <v>0</v>
      </c>
      <c r="D169" s="1275">
        <f t="shared" si="19"/>
        <v>0</v>
      </c>
      <c r="E169" s="1275">
        <f t="shared" si="19"/>
        <v>0</v>
      </c>
      <c r="F169" s="1275">
        <f t="shared" si="19"/>
        <v>0</v>
      </c>
      <c r="G169" s="1275">
        <f t="shared" si="19"/>
        <v>0</v>
      </c>
      <c r="H169" s="1275">
        <f t="shared" si="19"/>
        <v>0</v>
      </c>
      <c r="I169" s="1275">
        <f t="shared" si="19"/>
        <v>0</v>
      </c>
      <c r="J169" s="1275">
        <f t="shared" si="19"/>
        <v>0</v>
      </c>
      <c r="K169" s="1275">
        <f t="shared" si="19"/>
        <v>0</v>
      </c>
      <c r="L169" s="1275">
        <f t="shared" si="19"/>
        <v>0</v>
      </c>
      <c r="M169" s="1275">
        <f t="shared" si="19"/>
        <v>0</v>
      </c>
      <c r="N169" s="1275">
        <f t="shared" si="19"/>
        <v>0</v>
      </c>
      <c r="O169" s="1275">
        <f t="shared" si="19"/>
        <v>0</v>
      </c>
      <c r="P169" s="1276">
        <f t="shared" si="19"/>
        <v>0</v>
      </c>
      <c r="Q169" s="1275">
        <f t="shared" si="19"/>
        <v>0</v>
      </c>
      <c r="R169" s="1275">
        <f t="shared" si="19"/>
        <v>0</v>
      </c>
      <c r="S169" s="1275">
        <f t="shared" si="19"/>
        <v>0</v>
      </c>
      <c r="T169" s="1275">
        <f t="shared" si="19"/>
        <v>0</v>
      </c>
      <c r="U169" s="1275">
        <f t="shared" si="19"/>
        <v>0</v>
      </c>
      <c r="V169" s="1275">
        <f t="shared" si="19"/>
        <v>0</v>
      </c>
      <c r="W169" s="1275">
        <f t="shared" si="19"/>
        <v>0</v>
      </c>
      <c r="X169" s="1275">
        <f t="shared" si="19"/>
        <v>0</v>
      </c>
      <c r="Y169" s="1275">
        <f t="shared" si="19"/>
        <v>0</v>
      </c>
      <c r="Z169" s="1275">
        <f t="shared" si="19"/>
        <v>0</v>
      </c>
      <c r="AA169" s="1275">
        <f t="shared" si="19"/>
        <v>0</v>
      </c>
      <c r="AB169" s="1275">
        <f t="shared" si="19"/>
        <v>0</v>
      </c>
      <c r="AC169" s="1275">
        <f t="shared" si="19"/>
        <v>0</v>
      </c>
      <c r="AD169" s="1275">
        <f t="shared" si="19"/>
        <v>0</v>
      </c>
      <c r="AE169" s="1275">
        <f t="shared" si="19"/>
        <v>0</v>
      </c>
      <c r="AF169" s="1275">
        <f t="shared" si="19"/>
        <v>0</v>
      </c>
      <c r="AG169" s="1275">
        <f t="shared" si="19"/>
        <v>0</v>
      </c>
      <c r="AH169" s="1207"/>
    </row>
    <row r="170" spans="1:35" x14ac:dyDescent="0.2">
      <c r="A170" s="1274" t="s">
        <v>8</v>
      </c>
      <c r="B170" s="1237"/>
      <c r="C170" s="1302"/>
      <c r="D170" s="1302"/>
      <c r="E170" s="1302"/>
      <c r="F170" s="1303"/>
      <c r="G170" s="1303"/>
      <c r="H170" s="1303"/>
      <c r="I170" s="1303"/>
      <c r="J170" s="1303"/>
      <c r="K170" s="1303"/>
      <c r="L170" s="1303"/>
      <c r="M170" s="1303"/>
      <c r="N170" s="1303"/>
      <c r="O170" s="1303"/>
      <c r="P170" s="1304"/>
      <c r="Q170" s="1303"/>
      <c r="R170" s="1303"/>
      <c r="S170" s="1303"/>
      <c r="T170" s="1303"/>
      <c r="U170" s="1303"/>
      <c r="V170" s="1303"/>
      <c r="W170" s="1303"/>
      <c r="X170" s="1303"/>
      <c r="Y170" s="1303"/>
      <c r="Z170" s="1303"/>
      <c r="AA170" s="1303"/>
      <c r="AB170" s="1303"/>
      <c r="AC170" s="1303"/>
      <c r="AD170" s="1303"/>
      <c r="AE170" s="1303"/>
      <c r="AF170" s="1303"/>
      <c r="AG170" s="1303"/>
      <c r="AH170" s="1207"/>
    </row>
    <row r="171" spans="1:35" x14ac:dyDescent="0.2">
      <c r="A171" s="1274" t="s">
        <v>775</v>
      </c>
      <c r="B171" s="1237"/>
      <c r="C171" s="1282"/>
      <c r="D171" s="1282"/>
      <c r="E171" s="1282"/>
      <c r="F171" s="1282"/>
      <c r="G171" s="1282">
        <v>7124.3329999999996</v>
      </c>
      <c r="H171" s="1282"/>
      <c r="I171" s="1282">
        <v>2333.5810000000001</v>
      </c>
      <c r="J171" s="1282"/>
      <c r="K171" s="1282"/>
      <c r="L171" s="1282">
        <v>7023.9160000000002</v>
      </c>
      <c r="M171" s="1282"/>
      <c r="N171" s="1282"/>
      <c r="O171" s="1282">
        <v>2000</v>
      </c>
      <c r="P171" s="1282">
        <v>2447.4760000000001</v>
      </c>
      <c r="Q171" s="1282">
        <v>2735.5479999999998</v>
      </c>
      <c r="R171" s="1282">
        <v>1913.9590000000001</v>
      </c>
      <c r="S171" s="1282">
        <v>2224.5</v>
      </c>
      <c r="T171" s="1282"/>
      <c r="U171" s="1282"/>
      <c r="V171" s="1282">
        <v>1586.991</v>
      </c>
      <c r="W171" s="1282"/>
      <c r="X171" s="1282">
        <v>2224.5</v>
      </c>
      <c r="Y171" s="1282"/>
      <c r="Z171" s="1282">
        <v>3109.1979999999999</v>
      </c>
      <c r="AA171" s="1282">
        <v>2978.8449999999998</v>
      </c>
      <c r="AB171" s="1282"/>
      <c r="AC171" s="1282"/>
      <c r="AD171" s="1282"/>
      <c r="AE171" s="1282">
        <v>632.31299999999999</v>
      </c>
      <c r="AF171" s="1282">
        <v>6500</v>
      </c>
      <c r="AG171" s="1282"/>
      <c r="AH171" s="1227"/>
    </row>
    <row r="172" spans="1:35" ht="13.5" thickBot="1" x14ac:dyDescent="0.25">
      <c r="A172" s="1294"/>
      <c r="B172" s="1237"/>
      <c r="C172" s="1302"/>
      <c r="D172" s="1302"/>
      <c r="E172" s="1302"/>
      <c r="F172" s="1303"/>
      <c r="G172" s="1303"/>
      <c r="H172" s="1303"/>
      <c r="I172" s="1303"/>
      <c r="J172" s="1303"/>
      <c r="K172" s="1303"/>
      <c r="L172" s="1303"/>
      <c r="M172" s="1303"/>
      <c r="N172" s="1303"/>
      <c r="O172" s="1303"/>
      <c r="P172" s="1304"/>
      <c r="Q172" s="1303"/>
      <c r="R172" s="1303"/>
      <c r="S172" s="1303"/>
      <c r="T172" s="1303"/>
      <c r="U172" s="1303"/>
      <c r="V172" s="1303"/>
      <c r="W172" s="1303"/>
      <c r="X172" s="1303"/>
      <c r="Y172" s="1303"/>
      <c r="Z172" s="1303"/>
      <c r="AA172" s="1303"/>
      <c r="AB172" s="1303"/>
      <c r="AC172" s="1303"/>
      <c r="AD172" s="1303"/>
      <c r="AE172" s="1303"/>
      <c r="AF172" s="1303"/>
      <c r="AG172" s="1303"/>
      <c r="AH172" s="1207"/>
    </row>
    <row r="173" spans="1:35" x14ac:dyDescent="0.2">
      <c r="A173" s="1269"/>
      <c r="B173" s="1237"/>
      <c r="C173" s="1296"/>
      <c r="D173" s="1297"/>
      <c r="E173" s="1297"/>
      <c r="F173" s="1298"/>
      <c r="G173" s="1298"/>
      <c r="H173" s="1298"/>
      <c r="I173" s="1298"/>
      <c r="J173" s="1298"/>
      <c r="K173" s="1298"/>
      <c r="L173" s="1298"/>
      <c r="M173" s="1298"/>
      <c r="N173" s="1298"/>
      <c r="O173" s="1298"/>
      <c r="P173" s="1299"/>
      <c r="Q173" s="1298"/>
      <c r="R173" s="1298"/>
      <c r="S173" s="1298"/>
      <c r="T173" s="1298"/>
      <c r="U173" s="1298"/>
      <c r="V173" s="1298"/>
      <c r="W173" s="1298"/>
      <c r="X173" s="1298"/>
      <c r="Y173" s="1298"/>
      <c r="Z173" s="1298"/>
      <c r="AA173" s="1298"/>
      <c r="AB173" s="1298"/>
      <c r="AC173" s="1298"/>
      <c r="AD173" s="1298"/>
      <c r="AE173" s="1298"/>
      <c r="AF173" s="1298"/>
      <c r="AG173" s="1298"/>
      <c r="AH173" s="1207"/>
    </row>
    <row r="174" spans="1:35" x14ac:dyDescent="0.2">
      <c r="A174" s="1274" t="s">
        <v>13</v>
      </c>
      <c r="B174" s="1237"/>
      <c r="C174" s="1300">
        <f t="shared" ref="C174:AG174" si="20">C169-C159</f>
        <v>0</v>
      </c>
      <c r="D174" s="1300">
        <f t="shared" si="20"/>
        <v>0</v>
      </c>
      <c r="E174" s="1300">
        <f t="shared" si="20"/>
        <v>0</v>
      </c>
      <c r="F174" s="1300">
        <f t="shared" si="20"/>
        <v>0</v>
      </c>
      <c r="G174" s="1300">
        <f t="shared" si="20"/>
        <v>0</v>
      </c>
      <c r="H174" s="1300">
        <f t="shared" si="20"/>
        <v>0</v>
      </c>
      <c r="I174" s="1300">
        <f t="shared" si="20"/>
        <v>0</v>
      </c>
      <c r="J174" s="1300">
        <f t="shared" si="20"/>
        <v>0</v>
      </c>
      <c r="K174" s="1300">
        <f t="shared" si="20"/>
        <v>0</v>
      </c>
      <c r="L174" s="1300">
        <f t="shared" si="20"/>
        <v>0</v>
      </c>
      <c r="M174" s="1300">
        <f t="shared" si="20"/>
        <v>0</v>
      </c>
      <c r="N174" s="1300">
        <f t="shared" si="20"/>
        <v>0</v>
      </c>
      <c r="O174" s="1300">
        <f t="shared" si="20"/>
        <v>0</v>
      </c>
      <c r="P174" s="1301">
        <f t="shared" si="20"/>
        <v>0</v>
      </c>
      <c r="Q174" s="1300">
        <f t="shared" si="20"/>
        <v>0</v>
      </c>
      <c r="R174" s="1300">
        <f t="shared" si="20"/>
        <v>0</v>
      </c>
      <c r="S174" s="1300">
        <f t="shared" si="20"/>
        <v>0</v>
      </c>
      <c r="T174" s="1300">
        <f t="shared" si="20"/>
        <v>0</v>
      </c>
      <c r="U174" s="1300">
        <f t="shared" si="20"/>
        <v>0</v>
      </c>
      <c r="V174" s="1300">
        <f t="shared" si="20"/>
        <v>0</v>
      </c>
      <c r="W174" s="1300">
        <f t="shared" si="20"/>
        <v>0</v>
      </c>
      <c r="X174" s="1300">
        <f t="shared" si="20"/>
        <v>0</v>
      </c>
      <c r="Y174" s="1300">
        <f t="shared" si="20"/>
        <v>0</v>
      </c>
      <c r="Z174" s="1300">
        <f t="shared" si="20"/>
        <v>0</v>
      </c>
      <c r="AA174" s="1300">
        <f t="shared" si="20"/>
        <v>0</v>
      </c>
      <c r="AB174" s="1300">
        <f t="shared" si="20"/>
        <v>0</v>
      </c>
      <c r="AC174" s="1300">
        <f t="shared" si="20"/>
        <v>0</v>
      </c>
      <c r="AD174" s="1300">
        <f t="shared" si="20"/>
        <v>0</v>
      </c>
      <c r="AE174" s="1300">
        <f t="shared" si="20"/>
        <v>0</v>
      </c>
      <c r="AF174" s="1300">
        <f t="shared" si="20"/>
        <v>0</v>
      </c>
      <c r="AG174" s="1300">
        <f t="shared" si="20"/>
        <v>0</v>
      </c>
      <c r="AH174" s="1207"/>
    </row>
    <row r="175" spans="1:35" ht="13.5" thickBot="1" x14ac:dyDescent="0.25">
      <c r="A175" s="1274"/>
      <c r="B175" s="1237"/>
      <c r="C175" s="1300"/>
      <c r="D175" s="1302"/>
      <c r="E175" s="1302"/>
      <c r="F175" s="1303"/>
      <c r="G175" s="1303"/>
      <c r="H175" s="1303"/>
      <c r="I175" s="1303"/>
      <c r="J175" s="1303"/>
      <c r="K175" s="1303"/>
      <c r="L175" s="1303"/>
      <c r="M175" s="1303"/>
      <c r="N175" s="1303"/>
      <c r="O175" s="1303"/>
      <c r="P175" s="1304"/>
      <c r="Q175" s="1303"/>
      <c r="R175" s="1303"/>
      <c r="S175" s="1303"/>
      <c r="T175" s="1303"/>
      <c r="U175" s="1303"/>
      <c r="V175" s="1303"/>
      <c r="W175" s="1303"/>
      <c r="X175" s="1303"/>
      <c r="Y175" s="1303"/>
      <c r="Z175" s="1303"/>
      <c r="AA175" s="1303"/>
      <c r="AB175" s="1303"/>
      <c r="AC175" s="1303"/>
      <c r="AD175" s="1303"/>
      <c r="AE175" s="1303"/>
      <c r="AF175" s="1303"/>
      <c r="AG175" s="1303"/>
      <c r="AH175" s="1207"/>
      <c r="AI175" s="1209" t="s">
        <v>813</v>
      </c>
    </row>
    <row r="176" spans="1:35" x14ac:dyDescent="0.2">
      <c r="A176" s="1233"/>
      <c r="B176" s="1234"/>
      <c r="C176" s="1305"/>
      <c r="D176" s="1297"/>
      <c r="E176" s="1297"/>
      <c r="F176" s="1298"/>
      <c r="G176" s="1298"/>
      <c r="H176" s="1298"/>
      <c r="I176" s="1298"/>
      <c r="J176" s="1298"/>
      <c r="K176" s="1298"/>
      <c r="L176" s="1298"/>
      <c r="M176" s="1298"/>
      <c r="N176" s="1298"/>
      <c r="O176" s="1298"/>
      <c r="P176" s="1299"/>
      <c r="Q176" s="1298"/>
      <c r="R176" s="1298"/>
      <c r="S176" s="1298"/>
      <c r="T176" s="1298"/>
      <c r="U176" s="1298"/>
      <c r="V176" s="1298"/>
      <c r="W176" s="1298"/>
      <c r="X176" s="1298"/>
      <c r="Y176" s="1298"/>
      <c r="Z176" s="1298"/>
      <c r="AA176" s="1298"/>
      <c r="AB176" s="1298"/>
      <c r="AC176" s="1298"/>
      <c r="AD176" s="1298"/>
      <c r="AE176" s="1298"/>
      <c r="AF176" s="1298"/>
      <c r="AG176" s="1298"/>
      <c r="AH176" s="1207"/>
    </row>
    <row r="177" spans="1:34" x14ac:dyDescent="0.2">
      <c r="A177" s="1236" t="s">
        <v>15</v>
      </c>
      <c r="B177" s="1237"/>
      <c r="C177" s="1302">
        <f>B156+C174</f>
        <v>-30622.870999999999</v>
      </c>
      <c r="D177" s="1302">
        <f t="shared" ref="D177:AG177" si="21">C184+D174</f>
        <v>-30622.870999999999</v>
      </c>
      <c r="E177" s="1302">
        <f t="shared" si="21"/>
        <v>-30622.870999999999</v>
      </c>
      <c r="F177" s="1302">
        <f t="shared" si="21"/>
        <v>-30622.870999999999</v>
      </c>
      <c r="G177" s="1302">
        <f t="shared" si="21"/>
        <v>-30622.870999999999</v>
      </c>
      <c r="H177" s="1302">
        <f t="shared" si="21"/>
        <v>-30622.870999999999</v>
      </c>
      <c r="I177" s="1302">
        <f t="shared" si="21"/>
        <v>-30622.870999999999</v>
      </c>
      <c r="J177" s="1302">
        <f t="shared" si="21"/>
        <v>-30622.870999999999</v>
      </c>
      <c r="K177" s="1302">
        <f t="shared" si="21"/>
        <v>-30622.870999999999</v>
      </c>
      <c r="L177" s="1302">
        <f t="shared" si="21"/>
        <v>-30622.870999999999</v>
      </c>
      <c r="M177" s="1302">
        <f t="shared" si="21"/>
        <v>-30622.870999999999</v>
      </c>
      <c r="N177" s="1302">
        <f t="shared" si="21"/>
        <v>-30622.870999999999</v>
      </c>
      <c r="O177" s="1302">
        <f t="shared" si="21"/>
        <v>-30622.870999999999</v>
      </c>
      <c r="P177" s="1306">
        <f t="shared" si="21"/>
        <v>-30622.870999999999</v>
      </c>
      <c r="Q177" s="1302">
        <f t="shared" si="21"/>
        <v>-30622.870999999999</v>
      </c>
      <c r="R177" s="1302">
        <f t="shared" si="21"/>
        <v>-30622.870999999999</v>
      </c>
      <c r="S177" s="1302">
        <f t="shared" si="21"/>
        <v>-30622.870999999999</v>
      </c>
      <c r="T177" s="1302">
        <f t="shared" si="21"/>
        <v>-30622.870999999999</v>
      </c>
      <c r="U177" s="1302">
        <f t="shared" si="21"/>
        <v>-30622.870999999999</v>
      </c>
      <c r="V177" s="1302">
        <f t="shared" si="21"/>
        <v>-30622.870999999999</v>
      </c>
      <c r="W177" s="1302">
        <f t="shared" si="21"/>
        <v>-30622.870999999999</v>
      </c>
      <c r="X177" s="1302">
        <f t="shared" si="21"/>
        <v>-30622.870999999999</v>
      </c>
      <c r="Y177" s="1302">
        <f t="shared" si="21"/>
        <v>-30622.870999999999</v>
      </c>
      <c r="Z177" s="1302">
        <f t="shared" si="21"/>
        <v>-30622.870999999999</v>
      </c>
      <c r="AA177" s="1302">
        <f t="shared" si="21"/>
        <v>-30622.870999999999</v>
      </c>
      <c r="AB177" s="1302">
        <f t="shared" si="21"/>
        <v>-30622.870999999999</v>
      </c>
      <c r="AC177" s="1302">
        <f t="shared" si="21"/>
        <v>-30622.870999999999</v>
      </c>
      <c r="AD177" s="1302">
        <f t="shared" si="21"/>
        <v>-30622.870999999999</v>
      </c>
      <c r="AE177" s="1302">
        <f t="shared" si="21"/>
        <v>-30622.870999999999</v>
      </c>
      <c r="AF177" s="1302">
        <f t="shared" si="21"/>
        <v>-30622.870999999999</v>
      </c>
      <c r="AG177" s="1302">
        <f t="shared" si="21"/>
        <v>-30622.870999999999</v>
      </c>
      <c r="AH177" s="1207"/>
    </row>
    <row r="178" spans="1:34" ht="13.5" thickBot="1" x14ac:dyDescent="0.25">
      <c r="A178" s="1250"/>
      <c r="B178" s="1307"/>
      <c r="C178" s="1308"/>
      <c r="D178" s="1308"/>
      <c r="E178" s="1308"/>
      <c r="F178" s="1309"/>
      <c r="G178" s="1309"/>
      <c r="H178" s="1309"/>
      <c r="I178" s="1309"/>
      <c r="J178" s="1309"/>
      <c r="K178" s="1309"/>
      <c r="L178" s="1309"/>
      <c r="M178" s="1309"/>
      <c r="N178" s="1309"/>
      <c r="O178" s="1309"/>
      <c r="P178" s="1310"/>
      <c r="Q178" s="1309"/>
      <c r="R178" s="1309"/>
      <c r="S178" s="1309"/>
      <c r="T178" s="1309"/>
      <c r="U178" s="1309"/>
      <c r="V178" s="1309"/>
      <c r="W178" s="1309"/>
      <c r="X178" s="1309"/>
      <c r="Y178" s="1309"/>
      <c r="Z178" s="1309"/>
      <c r="AA178" s="1309"/>
      <c r="AB178" s="1309"/>
      <c r="AC178" s="1309"/>
      <c r="AD178" s="1309"/>
      <c r="AE178" s="1309"/>
      <c r="AF178" s="1309"/>
      <c r="AG178" s="1309"/>
      <c r="AH178" s="1207"/>
    </row>
    <row r="179" spans="1:34" x14ac:dyDescent="0.2">
      <c r="A179" s="1233"/>
      <c r="B179" s="1234"/>
      <c r="C179" s="1297"/>
      <c r="D179" s="1297"/>
      <c r="E179" s="1297"/>
      <c r="F179" s="1298"/>
      <c r="G179" s="1298"/>
      <c r="H179" s="1298"/>
      <c r="I179" s="1298"/>
      <c r="J179" s="1298"/>
      <c r="K179" s="1298"/>
      <c r="L179" s="1298"/>
      <c r="M179" s="1298"/>
      <c r="N179" s="1298"/>
      <c r="O179" s="1298"/>
      <c r="P179" s="1299"/>
      <c r="Q179" s="1298"/>
      <c r="R179" s="1298"/>
      <c r="S179" s="1298"/>
      <c r="T179" s="1298"/>
      <c r="U179" s="1298"/>
      <c r="V179" s="1298"/>
      <c r="W179" s="1298"/>
      <c r="X179" s="1298"/>
      <c r="Y179" s="1298"/>
      <c r="Z179" s="1298"/>
      <c r="AA179" s="1298"/>
      <c r="AB179" s="1298"/>
      <c r="AC179" s="1298"/>
      <c r="AD179" s="1298"/>
      <c r="AE179" s="1298"/>
      <c r="AF179" s="1298"/>
      <c r="AG179" s="1298"/>
      <c r="AH179" s="1207"/>
    </row>
    <row r="180" spans="1:34" x14ac:dyDescent="0.2">
      <c r="A180" s="1236" t="s">
        <v>82</v>
      </c>
      <c r="B180" s="1237"/>
      <c r="C180" s="1302">
        <f t="shared" ref="C180:AG181" si="22">C188</f>
        <v>0</v>
      </c>
      <c r="D180" s="1302">
        <f t="shared" si="22"/>
        <v>0</v>
      </c>
      <c r="E180" s="1302">
        <f t="shared" si="22"/>
        <v>0</v>
      </c>
      <c r="F180" s="1302">
        <f t="shared" si="22"/>
        <v>0</v>
      </c>
      <c r="G180" s="1302">
        <f t="shared" si="22"/>
        <v>0</v>
      </c>
      <c r="H180" s="1302">
        <f t="shared" si="22"/>
        <v>0</v>
      </c>
      <c r="I180" s="1302">
        <f t="shared" si="22"/>
        <v>0</v>
      </c>
      <c r="J180" s="1302">
        <f t="shared" si="22"/>
        <v>0</v>
      </c>
      <c r="K180" s="1302">
        <f t="shared" si="22"/>
        <v>0</v>
      </c>
      <c r="L180" s="1302">
        <f t="shared" si="22"/>
        <v>0</v>
      </c>
      <c r="M180" s="1302">
        <f t="shared" si="22"/>
        <v>0</v>
      </c>
      <c r="N180" s="1302">
        <f t="shared" si="22"/>
        <v>0</v>
      </c>
      <c r="O180" s="1302">
        <f t="shared" si="22"/>
        <v>0</v>
      </c>
      <c r="P180" s="1306">
        <f t="shared" si="22"/>
        <v>0</v>
      </c>
      <c r="Q180" s="1302">
        <f t="shared" si="22"/>
        <v>0</v>
      </c>
      <c r="R180" s="1302">
        <f t="shared" si="22"/>
        <v>0</v>
      </c>
      <c r="S180" s="1302">
        <f t="shared" si="22"/>
        <v>0</v>
      </c>
      <c r="T180" s="1302">
        <f t="shared" si="22"/>
        <v>0</v>
      </c>
      <c r="U180" s="1302">
        <f t="shared" si="22"/>
        <v>0</v>
      </c>
      <c r="V180" s="1302">
        <f t="shared" si="22"/>
        <v>0</v>
      </c>
      <c r="W180" s="1302">
        <f t="shared" si="22"/>
        <v>0</v>
      </c>
      <c r="X180" s="1302">
        <f t="shared" si="22"/>
        <v>0</v>
      </c>
      <c r="Y180" s="1302">
        <f t="shared" si="22"/>
        <v>0</v>
      </c>
      <c r="Z180" s="1302">
        <f t="shared" si="22"/>
        <v>0</v>
      </c>
      <c r="AA180" s="1302">
        <f t="shared" si="22"/>
        <v>0</v>
      </c>
      <c r="AB180" s="1302">
        <f t="shared" si="22"/>
        <v>0</v>
      </c>
      <c r="AC180" s="1302">
        <f t="shared" si="22"/>
        <v>0</v>
      </c>
      <c r="AD180" s="1302">
        <f t="shared" si="22"/>
        <v>0</v>
      </c>
      <c r="AE180" s="1302">
        <f t="shared" si="22"/>
        <v>0</v>
      </c>
      <c r="AF180" s="1302">
        <f t="shared" si="22"/>
        <v>0</v>
      </c>
      <c r="AG180" s="1302">
        <f t="shared" si="22"/>
        <v>0</v>
      </c>
      <c r="AH180" s="1207"/>
    </row>
    <row r="181" spans="1:34" x14ac:dyDescent="0.2">
      <c r="A181" s="1236" t="s">
        <v>83</v>
      </c>
      <c r="B181" s="1237"/>
      <c r="C181" s="1306">
        <f t="shared" si="22"/>
        <v>0</v>
      </c>
      <c r="D181" s="1306">
        <f t="shared" si="22"/>
        <v>0</v>
      </c>
      <c r="E181" s="1306">
        <f t="shared" si="22"/>
        <v>0</v>
      </c>
      <c r="F181" s="1306">
        <f t="shared" si="22"/>
        <v>0</v>
      </c>
      <c r="G181" s="1306">
        <f t="shared" si="22"/>
        <v>0</v>
      </c>
      <c r="H181" s="1306">
        <f t="shared" si="22"/>
        <v>0</v>
      </c>
      <c r="I181" s="1306">
        <f t="shared" si="22"/>
        <v>0</v>
      </c>
      <c r="J181" s="1306">
        <f t="shared" si="22"/>
        <v>0</v>
      </c>
      <c r="K181" s="1306">
        <f t="shared" si="22"/>
        <v>0</v>
      </c>
      <c r="L181" s="1306">
        <f t="shared" si="22"/>
        <v>0</v>
      </c>
      <c r="M181" s="1306">
        <f t="shared" si="22"/>
        <v>0</v>
      </c>
      <c r="N181" s="1306">
        <f t="shared" si="22"/>
        <v>0</v>
      </c>
      <c r="O181" s="1306">
        <f t="shared" si="22"/>
        <v>0</v>
      </c>
      <c r="P181" s="1306">
        <f t="shared" si="22"/>
        <v>0</v>
      </c>
      <c r="Q181" s="1306">
        <f t="shared" si="22"/>
        <v>0</v>
      </c>
      <c r="R181" s="1306">
        <f t="shared" si="22"/>
        <v>0</v>
      </c>
      <c r="S181" s="1306">
        <f t="shared" si="22"/>
        <v>0</v>
      </c>
      <c r="T181" s="1306">
        <f t="shared" si="22"/>
        <v>0</v>
      </c>
      <c r="U181" s="1306">
        <f t="shared" si="22"/>
        <v>0</v>
      </c>
      <c r="V181" s="1306">
        <f t="shared" si="22"/>
        <v>0</v>
      </c>
      <c r="W181" s="1306">
        <f t="shared" si="22"/>
        <v>0</v>
      </c>
      <c r="X181" s="1306">
        <f t="shared" si="22"/>
        <v>0</v>
      </c>
      <c r="Y181" s="1306">
        <f t="shared" si="22"/>
        <v>0</v>
      </c>
      <c r="Z181" s="1306">
        <f t="shared" si="22"/>
        <v>0</v>
      </c>
      <c r="AA181" s="1306">
        <f t="shared" si="22"/>
        <v>0</v>
      </c>
      <c r="AB181" s="1306">
        <f t="shared" si="22"/>
        <v>0</v>
      </c>
      <c r="AC181" s="1306">
        <f t="shared" si="22"/>
        <v>0</v>
      </c>
      <c r="AD181" s="1306">
        <f t="shared" si="22"/>
        <v>0</v>
      </c>
      <c r="AE181" s="1306">
        <f t="shared" si="22"/>
        <v>0</v>
      </c>
      <c r="AF181" s="1306">
        <f t="shared" si="22"/>
        <v>0</v>
      </c>
      <c r="AG181" s="1306">
        <f t="shared" si="22"/>
        <v>0</v>
      </c>
      <c r="AH181" s="1207"/>
    </row>
    <row r="182" spans="1:34" ht="13.5" thickBot="1" x14ac:dyDescent="0.25">
      <c r="A182" s="1250"/>
      <c r="B182" s="1307"/>
      <c r="C182" s="1308"/>
      <c r="D182" s="1308"/>
      <c r="E182" s="1308"/>
      <c r="F182" s="1309"/>
      <c r="G182" s="1309"/>
      <c r="H182" s="1309"/>
      <c r="I182" s="1309"/>
      <c r="J182" s="1309"/>
      <c r="K182" s="1309"/>
      <c r="L182" s="1309"/>
      <c r="M182" s="1309"/>
      <c r="N182" s="1309"/>
      <c r="O182" s="1309"/>
      <c r="P182" s="1310"/>
      <c r="Q182" s="1309"/>
      <c r="R182" s="1309"/>
      <c r="S182" s="1309"/>
      <c r="T182" s="1309"/>
      <c r="U182" s="1309"/>
      <c r="V182" s="1309"/>
      <c r="W182" s="1309"/>
      <c r="X182" s="1309"/>
      <c r="Y182" s="1309"/>
      <c r="Z182" s="1309"/>
      <c r="AA182" s="1309"/>
      <c r="AB182" s="1309"/>
      <c r="AC182" s="1309"/>
      <c r="AD182" s="1309"/>
      <c r="AE182" s="1309"/>
      <c r="AF182" s="1309"/>
      <c r="AG182" s="1309"/>
      <c r="AH182" s="1207"/>
    </row>
    <row r="183" spans="1:34" x14ac:dyDescent="0.2">
      <c r="A183" s="1236"/>
      <c r="B183" s="1237"/>
      <c r="C183" s="1302"/>
      <c r="D183" s="1302"/>
      <c r="E183" s="1302"/>
      <c r="F183" s="1303"/>
      <c r="G183" s="1303"/>
      <c r="H183" s="1303"/>
      <c r="I183" s="1303"/>
      <c r="J183" s="1303"/>
      <c r="K183" s="1303"/>
      <c r="L183" s="1303"/>
      <c r="M183" s="1303"/>
      <c r="N183" s="1303"/>
      <c r="O183" s="1303"/>
      <c r="P183" s="1304"/>
      <c r="Q183" s="1303"/>
      <c r="R183" s="1303"/>
      <c r="S183" s="1303"/>
      <c r="T183" s="1303"/>
      <c r="U183" s="1303"/>
      <c r="V183" s="1303"/>
      <c r="W183" s="1303"/>
      <c r="X183" s="1303"/>
      <c r="Y183" s="1303"/>
      <c r="Z183" s="1303"/>
      <c r="AA183" s="1303"/>
      <c r="AB183" s="1303"/>
      <c r="AC183" s="1303"/>
      <c r="AD183" s="1303"/>
      <c r="AE183" s="1303"/>
      <c r="AF183" s="1303"/>
      <c r="AG183" s="1303"/>
      <c r="AH183" s="1208"/>
    </row>
    <row r="184" spans="1:34" x14ac:dyDescent="0.2">
      <c r="A184" s="1236" t="s">
        <v>14</v>
      </c>
      <c r="B184" s="1237"/>
      <c r="C184" s="1302">
        <f t="shared" ref="C184:AG184" si="23">C177+C180+C181</f>
        <v>-30622.870999999999</v>
      </c>
      <c r="D184" s="1302">
        <f t="shared" si="23"/>
        <v>-30622.870999999999</v>
      </c>
      <c r="E184" s="1302">
        <f t="shared" si="23"/>
        <v>-30622.870999999999</v>
      </c>
      <c r="F184" s="1302">
        <f t="shared" si="23"/>
        <v>-30622.870999999999</v>
      </c>
      <c r="G184" s="1302">
        <f t="shared" si="23"/>
        <v>-30622.870999999999</v>
      </c>
      <c r="H184" s="1302">
        <f t="shared" si="23"/>
        <v>-30622.870999999999</v>
      </c>
      <c r="I184" s="1302">
        <f t="shared" si="23"/>
        <v>-30622.870999999999</v>
      </c>
      <c r="J184" s="1302">
        <f t="shared" si="23"/>
        <v>-30622.870999999999</v>
      </c>
      <c r="K184" s="1302">
        <f t="shared" si="23"/>
        <v>-30622.870999999999</v>
      </c>
      <c r="L184" s="1302">
        <f t="shared" si="23"/>
        <v>-30622.870999999999</v>
      </c>
      <c r="M184" s="1302">
        <f t="shared" si="23"/>
        <v>-30622.870999999999</v>
      </c>
      <c r="N184" s="1302">
        <f t="shared" si="23"/>
        <v>-30622.870999999999</v>
      </c>
      <c r="O184" s="1302">
        <f t="shared" si="23"/>
        <v>-30622.870999999999</v>
      </c>
      <c r="P184" s="1306">
        <f t="shared" si="23"/>
        <v>-30622.870999999999</v>
      </c>
      <c r="Q184" s="1302">
        <f t="shared" si="23"/>
        <v>-30622.870999999999</v>
      </c>
      <c r="R184" s="1302">
        <f t="shared" si="23"/>
        <v>-30622.870999999999</v>
      </c>
      <c r="S184" s="1302">
        <f t="shared" si="23"/>
        <v>-30622.870999999999</v>
      </c>
      <c r="T184" s="1302">
        <f t="shared" si="23"/>
        <v>-30622.870999999999</v>
      </c>
      <c r="U184" s="1302">
        <f t="shared" si="23"/>
        <v>-30622.870999999999</v>
      </c>
      <c r="V184" s="1302">
        <f t="shared" si="23"/>
        <v>-30622.870999999999</v>
      </c>
      <c r="W184" s="1302">
        <f t="shared" si="23"/>
        <v>-30622.870999999999</v>
      </c>
      <c r="X184" s="1302">
        <f t="shared" si="23"/>
        <v>-30622.870999999999</v>
      </c>
      <c r="Y184" s="1302">
        <f t="shared" si="23"/>
        <v>-30622.870999999999</v>
      </c>
      <c r="Z184" s="1302">
        <f t="shared" si="23"/>
        <v>-30622.870999999999</v>
      </c>
      <c r="AA184" s="1302">
        <f t="shared" si="23"/>
        <v>-30622.870999999999</v>
      </c>
      <c r="AB184" s="1302">
        <f t="shared" si="23"/>
        <v>-30622.870999999999</v>
      </c>
      <c r="AC184" s="1302">
        <f t="shared" si="23"/>
        <v>-30622.870999999999</v>
      </c>
      <c r="AD184" s="1302">
        <f t="shared" si="23"/>
        <v>-30622.870999999999</v>
      </c>
      <c r="AE184" s="1302">
        <f t="shared" si="23"/>
        <v>-30622.870999999999</v>
      </c>
      <c r="AF184" s="1302">
        <f t="shared" si="23"/>
        <v>-30622.870999999999</v>
      </c>
      <c r="AG184" s="1302">
        <f t="shared" si="23"/>
        <v>-30622.870999999999</v>
      </c>
      <c r="AH184" s="1229"/>
    </row>
    <row r="185" spans="1:34" x14ac:dyDescent="0.2">
      <c r="A185" s="1236"/>
      <c r="B185" s="1237"/>
      <c r="C185" s="1302"/>
      <c r="D185" s="1302"/>
      <c r="E185" s="1302"/>
      <c r="F185" s="1303"/>
      <c r="G185" s="1303"/>
      <c r="H185" s="1303"/>
      <c r="I185" s="1303"/>
      <c r="J185" s="1303"/>
      <c r="K185" s="1303"/>
      <c r="L185" s="1303"/>
      <c r="M185" s="1303"/>
      <c r="N185" s="1303"/>
      <c r="O185" s="1303"/>
      <c r="P185" s="1304"/>
      <c r="Q185" s="1303"/>
      <c r="R185" s="1303"/>
      <c r="S185" s="1303"/>
      <c r="T185" s="1303"/>
      <c r="U185" s="1303"/>
      <c r="V185" s="1303"/>
      <c r="W185" s="1303"/>
      <c r="X185" s="1303"/>
      <c r="Y185" s="1303"/>
      <c r="Z185" s="1303"/>
      <c r="AA185" s="1303"/>
      <c r="AB185" s="1303"/>
      <c r="AC185" s="1303"/>
      <c r="AD185" s="1303"/>
      <c r="AE185" s="1303"/>
      <c r="AF185" s="1303"/>
      <c r="AG185" s="1303"/>
      <c r="AH185" s="1208"/>
    </row>
    <row r="186" spans="1:34" ht="13.5" thickBot="1" x14ac:dyDescent="0.25">
      <c r="A186" s="1250"/>
      <c r="B186" s="1307"/>
      <c r="C186" s="1312"/>
      <c r="D186" s="1312"/>
      <c r="E186" s="1312"/>
      <c r="F186" s="1313"/>
      <c r="G186" s="1313"/>
      <c r="H186" s="1313"/>
      <c r="I186" s="1313"/>
      <c r="J186" s="1313"/>
      <c r="K186" s="1313"/>
      <c r="L186" s="1313"/>
      <c r="M186" s="1313"/>
      <c r="N186" s="1313"/>
      <c r="O186" s="1313"/>
      <c r="P186" s="1314"/>
      <c r="Q186" s="1313"/>
      <c r="R186" s="1313"/>
      <c r="S186" s="1313"/>
      <c r="T186" s="1313"/>
      <c r="U186" s="1313"/>
      <c r="V186" s="1313"/>
      <c r="W186" s="1313"/>
      <c r="X186" s="1313"/>
      <c r="Y186" s="1313"/>
      <c r="Z186" s="1313"/>
      <c r="AA186" s="1313"/>
      <c r="AB186" s="1313"/>
      <c r="AC186" s="1313"/>
      <c r="AD186" s="1313"/>
      <c r="AE186" s="1313"/>
      <c r="AF186" s="1313"/>
      <c r="AG186" s="1313"/>
      <c r="AH186" s="1208"/>
    </row>
    <row r="187" spans="1:34" x14ac:dyDescent="0.2">
      <c r="A187" s="1316"/>
      <c r="B187" s="1207"/>
      <c r="C187" s="1227"/>
      <c r="D187" s="1227"/>
      <c r="E187" s="1227"/>
      <c r="F187" s="1227"/>
      <c r="G187" s="1227"/>
      <c r="H187" s="1227"/>
      <c r="I187" s="1227"/>
      <c r="J187" s="1227"/>
      <c r="K187" s="1227"/>
      <c r="L187" s="1227"/>
      <c r="M187" s="1227"/>
      <c r="N187" s="1227"/>
      <c r="O187" s="1227"/>
      <c r="P187" s="1229"/>
      <c r="Q187" s="1227"/>
      <c r="R187" s="1227"/>
      <c r="S187" s="1227"/>
      <c r="T187" s="1227"/>
      <c r="U187" s="1227"/>
      <c r="V187" s="1227"/>
      <c r="W187" s="1227"/>
      <c r="X187" s="1227"/>
      <c r="Y187" s="1227"/>
      <c r="Z187" s="1227"/>
      <c r="AA187" s="1227"/>
      <c r="AB187" s="1227"/>
      <c r="AC187" s="1227"/>
      <c r="AD187" s="1227"/>
      <c r="AE187" s="1227"/>
      <c r="AF187" s="1227"/>
      <c r="AG187" s="1227"/>
      <c r="AH187" s="1208"/>
    </row>
    <row r="188" spans="1:34" x14ac:dyDescent="0.2">
      <c r="A188" s="1344"/>
      <c r="B188" s="1383"/>
      <c r="C188" s="1219"/>
      <c r="D188" s="1219"/>
      <c r="E188" s="1219"/>
      <c r="F188" s="1219"/>
      <c r="G188" s="1219"/>
      <c r="H188" s="1219"/>
      <c r="I188" s="1219"/>
      <c r="J188" s="1219"/>
      <c r="K188" s="1219"/>
      <c r="L188" s="1219"/>
      <c r="M188" s="1219"/>
      <c r="N188" s="1219"/>
      <c r="O188" s="1221"/>
      <c r="P188" s="1221"/>
      <c r="Q188" s="1219"/>
      <c r="R188" s="1219"/>
      <c r="S188" s="1219"/>
      <c r="T188" s="1219"/>
      <c r="U188" s="1219"/>
      <c r="V188" s="1219"/>
      <c r="W188" s="1219"/>
      <c r="X188" s="1219"/>
      <c r="Y188" s="1219"/>
      <c r="Z188" s="1219"/>
      <c r="AA188" s="1384"/>
      <c r="AB188" s="1219"/>
      <c r="AC188" s="1219"/>
      <c r="AD188" s="1219"/>
      <c r="AE188" s="1219"/>
      <c r="AF188" s="1219"/>
      <c r="AG188" s="1219"/>
      <c r="AH188" s="1229"/>
    </row>
    <row r="189" spans="1:34" x14ac:dyDescent="0.2">
      <c r="A189" s="1316"/>
      <c r="B189" s="1207"/>
      <c r="C189" s="1219"/>
      <c r="D189" s="1219"/>
      <c r="E189" s="1219"/>
      <c r="F189" s="1219"/>
      <c r="G189" s="1219"/>
      <c r="H189" s="1219"/>
      <c r="I189" s="1219"/>
      <c r="J189" s="1219"/>
      <c r="K189" s="1219"/>
      <c r="L189" s="1219"/>
      <c r="M189" s="1219"/>
      <c r="N189" s="1219"/>
      <c r="O189" s="1219"/>
      <c r="P189" s="1221"/>
      <c r="Q189" s="1219"/>
      <c r="R189" s="1219"/>
      <c r="S189" s="1219"/>
      <c r="T189" s="1219"/>
      <c r="U189" s="1219"/>
      <c r="V189" s="1219"/>
      <c r="W189" s="1219"/>
      <c r="X189" s="1219"/>
      <c r="Y189" s="1219"/>
      <c r="Z189" s="1219"/>
      <c r="AA189" s="1219"/>
      <c r="AB189" s="1219"/>
      <c r="AC189" s="1219"/>
      <c r="AD189" s="1219"/>
      <c r="AE189" s="1219"/>
      <c r="AF189" s="1219"/>
      <c r="AG189" s="1219"/>
      <c r="AH189" s="1229"/>
    </row>
    <row r="190" spans="1:34" x14ac:dyDescent="0.2">
      <c r="A190" s="1210" t="s">
        <v>415</v>
      </c>
      <c r="B190" s="1215">
        <f>SUM(B191:B194)</f>
        <v>375000</v>
      </c>
      <c r="C190" s="1207"/>
      <c r="D190" s="1207"/>
      <c r="E190" s="1207"/>
      <c r="F190" s="1207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8"/>
      <c r="Q190" s="1207"/>
      <c r="R190" s="1207"/>
      <c r="S190" s="1207"/>
      <c r="T190" s="1385"/>
      <c r="U190" s="1345"/>
      <c r="V190" s="1207"/>
      <c r="W190" s="1207"/>
      <c r="X190" s="1207"/>
      <c r="Y190" s="1207"/>
      <c r="Z190" s="1207"/>
      <c r="AA190" s="1384"/>
      <c r="AB190" s="1207"/>
      <c r="AC190" s="1207"/>
      <c r="AD190" s="1207"/>
      <c r="AE190" s="1207"/>
      <c r="AF190" s="1207"/>
      <c r="AG190" s="1207"/>
      <c r="AH190" s="1207"/>
    </row>
    <row r="191" spans="1:34" x14ac:dyDescent="0.2">
      <c r="A191" s="1365" t="s">
        <v>414</v>
      </c>
      <c r="B191" s="1219">
        <v>25000</v>
      </c>
      <c r="C191" s="1207"/>
      <c r="D191" s="1229"/>
      <c r="E191" s="1207"/>
      <c r="F191" s="1207"/>
      <c r="G191" s="1207"/>
      <c r="H191" s="1207"/>
      <c r="I191" s="1207"/>
      <c r="J191" s="1207"/>
      <c r="K191" s="1207"/>
      <c r="L191" s="1207"/>
      <c r="M191" s="1207"/>
      <c r="N191" s="1207"/>
      <c r="O191" s="1207"/>
      <c r="P191" s="1208"/>
      <c r="Q191" s="1207"/>
      <c r="R191" s="1207"/>
      <c r="S191" s="1219"/>
      <c r="T191" s="1350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</row>
    <row r="192" spans="1:34" x14ac:dyDescent="0.2">
      <c r="A192" s="1365" t="s">
        <v>287</v>
      </c>
      <c r="B192" s="1219">
        <v>200000</v>
      </c>
      <c r="C192" s="1207"/>
      <c r="D192" s="1207"/>
      <c r="E192" s="1207"/>
      <c r="F192" s="1207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8"/>
      <c r="Q192" s="1207"/>
      <c r="R192" s="1207"/>
      <c r="S192" s="1219"/>
      <c r="T192" s="1350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</row>
    <row r="193" spans="1:34" x14ac:dyDescent="0.2">
      <c r="A193" s="1316" t="s">
        <v>413</v>
      </c>
      <c r="B193" s="1386">
        <v>75000</v>
      </c>
      <c r="C193" s="1207"/>
      <c r="D193" s="1207"/>
      <c r="E193" s="1207"/>
      <c r="F193" s="1207"/>
      <c r="G193" s="1207"/>
      <c r="H193" s="1207"/>
      <c r="I193" s="1207"/>
      <c r="J193" s="1207"/>
      <c r="K193" s="1207"/>
      <c r="L193" s="1227"/>
      <c r="M193" s="1207"/>
      <c r="N193" s="1207"/>
      <c r="O193" s="1207"/>
      <c r="P193" s="1208"/>
      <c r="Q193" s="1207"/>
      <c r="R193" s="1207"/>
      <c r="S193" s="1219"/>
      <c r="T193" s="1350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</row>
    <row r="194" spans="1:34" x14ac:dyDescent="0.2">
      <c r="A194" s="1316" t="s">
        <v>441</v>
      </c>
      <c r="B194" s="1219">
        <v>75000</v>
      </c>
      <c r="C194" s="1207"/>
      <c r="D194" s="1207"/>
      <c r="E194" s="1207"/>
      <c r="F194" s="1207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8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</row>
    <row r="195" spans="1:34" x14ac:dyDescent="0.2">
      <c r="A195" s="1207"/>
      <c r="B195" s="1207"/>
      <c r="C195" s="1207"/>
      <c r="D195" s="1207"/>
      <c r="E195" s="1207"/>
      <c r="F195" s="1207"/>
      <c r="G195" s="1207"/>
      <c r="H195" s="1207"/>
      <c r="I195" s="1207"/>
      <c r="J195" s="1207"/>
      <c r="K195" s="1207"/>
      <c r="L195" s="1207"/>
      <c r="M195" s="1207"/>
      <c r="N195" s="1207"/>
      <c r="O195" s="1207"/>
      <c r="P195" s="1208"/>
      <c r="Q195" s="1207"/>
      <c r="R195" s="1207"/>
      <c r="S195" s="1207"/>
      <c r="T195" s="1207"/>
      <c r="U195" s="1207"/>
      <c r="V195" s="1207"/>
      <c r="W195" s="1207"/>
      <c r="X195" s="1207"/>
      <c r="Y195" s="1207"/>
      <c r="Z195" s="1207"/>
      <c r="AA195" s="1207"/>
      <c r="AB195" s="1207"/>
      <c r="AC195" s="1207"/>
      <c r="AD195" s="1207"/>
      <c r="AE195" s="1207"/>
      <c r="AF195" s="1207"/>
      <c r="AG195" s="1207"/>
      <c r="AH195" s="1207"/>
    </row>
    <row r="196" spans="1:34" ht="13.5" thickBot="1" x14ac:dyDescent="0.25">
      <c r="A196" s="1207"/>
      <c r="B196" s="1207"/>
      <c r="C196" s="1207"/>
      <c r="D196" s="1207"/>
      <c r="E196" s="1207"/>
      <c r="F196" s="1207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8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07"/>
      <c r="AA196" s="1207"/>
      <c r="AB196" s="1207"/>
      <c r="AC196" s="1207"/>
      <c r="AD196" s="1207"/>
      <c r="AE196" s="1207"/>
      <c r="AF196" s="1207"/>
      <c r="AG196" s="1207"/>
      <c r="AH196" s="1207"/>
    </row>
    <row r="197" spans="1:34" x14ac:dyDescent="0.2">
      <c r="A197" s="1233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34"/>
      <c r="O197" s="1234"/>
      <c r="P197" s="1235"/>
      <c r="Q197" s="1234"/>
      <c r="R197" s="1234"/>
      <c r="S197" s="1234"/>
      <c r="T197" s="1234"/>
      <c r="U197" s="1234"/>
      <c r="V197" s="1234"/>
      <c r="W197" s="1234"/>
      <c r="X197" s="1234"/>
      <c r="Y197" s="1234"/>
      <c r="Z197" s="1234"/>
      <c r="AA197" s="1234"/>
      <c r="AB197" s="1234"/>
      <c r="AC197" s="1234"/>
      <c r="AD197" s="1234"/>
      <c r="AE197" s="1234"/>
      <c r="AF197" s="1234"/>
      <c r="AG197" s="1234"/>
      <c r="AH197" s="1207"/>
    </row>
    <row r="198" spans="1:34" x14ac:dyDescent="0.2">
      <c r="A198" s="1236"/>
      <c r="B198" s="1237" t="s">
        <v>37</v>
      </c>
      <c r="C198" s="1237"/>
      <c r="D198" s="1237"/>
      <c r="E198" s="1238" t="s">
        <v>823</v>
      </c>
      <c r="F198" s="1239" t="s">
        <v>96</v>
      </c>
      <c r="G198" s="1526"/>
      <c r="H198" s="1239"/>
      <c r="I198" s="1239"/>
      <c r="J198" s="1239"/>
      <c r="K198" s="1239"/>
      <c r="L198" s="1239"/>
      <c r="M198" s="1239"/>
      <c r="N198" s="1239"/>
      <c r="O198" s="1239"/>
      <c r="P198" s="1240"/>
      <c r="Q198" s="1239"/>
      <c r="R198" s="1239"/>
      <c r="S198" s="1239"/>
      <c r="T198" s="1239"/>
      <c r="U198" s="1239"/>
      <c r="V198" s="1239"/>
      <c r="W198" s="1239"/>
      <c r="X198" s="1239"/>
      <c r="Y198" s="1239"/>
      <c r="Z198" s="1239"/>
      <c r="AA198" s="1239"/>
      <c r="AB198" s="1239"/>
      <c r="AC198" s="1239"/>
      <c r="AD198" s="1239"/>
      <c r="AE198" s="1239"/>
      <c r="AF198" s="1239"/>
      <c r="AG198" s="1239"/>
      <c r="AH198" s="1207"/>
    </row>
    <row r="199" spans="1:34" x14ac:dyDescent="0.2">
      <c r="A199" s="1236"/>
      <c r="B199" s="1237"/>
      <c r="C199" s="1237"/>
      <c r="D199" s="1239"/>
      <c r="E199" s="1237"/>
      <c r="F199" s="1237"/>
      <c r="G199" s="1237"/>
      <c r="H199" s="1237"/>
      <c r="I199" s="1237"/>
      <c r="J199" s="1237"/>
      <c r="K199" s="1237"/>
      <c r="L199" s="1237"/>
      <c r="M199" s="1237"/>
      <c r="N199" s="1237"/>
      <c r="O199" s="1237"/>
      <c r="P199" s="1241"/>
      <c r="Q199" s="1237"/>
      <c r="R199" s="1237"/>
      <c r="S199" s="1237"/>
      <c r="T199" s="1237"/>
      <c r="U199" s="1237"/>
      <c r="V199" s="1237"/>
      <c r="W199" s="1237"/>
      <c r="X199" s="1237"/>
      <c r="Y199" s="1237"/>
      <c r="Z199" s="1237"/>
      <c r="AA199" s="1237"/>
      <c r="AB199" s="1237"/>
      <c r="AC199" s="1237"/>
      <c r="AD199" s="1237"/>
      <c r="AE199" s="1237"/>
      <c r="AF199" s="1237"/>
      <c r="AG199" s="1237"/>
      <c r="AH199" s="1207"/>
    </row>
    <row r="200" spans="1:34" x14ac:dyDescent="0.2">
      <c r="A200" s="1236"/>
      <c r="B200" s="1237"/>
      <c r="C200" s="1239"/>
      <c r="D200" s="1239">
        <v>42560</v>
      </c>
      <c r="E200" s="1237"/>
      <c r="F200" s="1237"/>
      <c r="G200" s="1237"/>
      <c r="H200" s="1237"/>
      <c r="I200" s="1237"/>
      <c r="J200" s="1237"/>
      <c r="K200" s="1237"/>
      <c r="L200" s="1237"/>
      <c r="M200" s="1237"/>
      <c r="N200" s="1237"/>
      <c r="O200" s="1237"/>
      <c r="P200" s="1241"/>
      <c r="Q200" s="1237"/>
      <c r="R200" s="1237"/>
      <c r="S200" s="1237"/>
      <c r="T200" s="1237"/>
      <c r="U200" s="1237"/>
      <c r="V200" s="1237"/>
      <c r="W200" s="1237"/>
      <c r="X200" s="1237"/>
      <c r="Y200" s="1237"/>
      <c r="Z200" s="1237"/>
      <c r="AA200" s="1237"/>
      <c r="AB200" s="1237"/>
      <c r="AC200" s="1237"/>
      <c r="AD200" s="1237"/>
      <c r="AE200" s="1237"/>
      <c r="AF200" s="1237"/>
      <c r="AG200" s="1237"/>
      <c r="AH200" s="1207"/>
    </row>
    <row r="201" spans="1:34" x14ac:dyDescent="0.2">
      <c r="A201" s="1236"/>
      <c r="B201" s="1237"/>
      <c r="C201" s="1239"/>
      <c r="D201" s="1239"/>
      <c r="E201" s="1237"/>
      <c r="F201" s="1237"/>
      <c r="G201" s="1237"/>
      <c r="H201" s="1237"/>
      <c r="I201" s="1237"/>
      <c r="J201" s="1237"/>
      <c r="K201" s="1237"/>
      <c r="L201" s="1237"/>
      <c r="M201" s="1237"/>
      <c r="N201" s="1237"/>
      <c r="O201" s="1237"/>
      <c r="P201" s="1241"/>
      <c r="Q201" s="1237"/>
      <c r="R201" s="1237"/>
      <c r="S201" s="1237"/>
      <c r="T201" s="1237"/>
      <c r="U201" s="1237"/>
      <c r="V201" s="1237"/>
      <c r="W201" s="1237"/>
      <c r="X201" s="1237"/>
      <c r="Y201" s="1237"/>
      <c r="Z201" s="1237"/>
      <c r="AA201" s="1237"/>
      <c r="AB201" s="1237"/>
      <c r="AC201" s="1237"/>
      <c r="AD201" s="1237"/>
      <c r="AE201" s="1237"/>
      <c r="AF201" s="1237"/>
      <c r="AG201" s="1237"/>
      <c r="AH201" s="1207"/>
    </row>
    <row r="202" spans="1:34" ht="13.5" thickBot="1" x14ac:dyDescent="0.25">
      <c r="A202" s="1236"/>
      <c r="B202" s="1237"/>
      <c r="C202" s="1237"/>
      <c r="D202" s="1237"/>
      <c r="E202" s="1237"/>
      <c r="F202" s="1237"/>
      <c r="G202" s="1237"/>
      <c r="H202" s="1237"/>
      <c r="I202" s="1237"/>
      <c r="J202" s="1237"/>
      <c r="K202" s="1237"/>
      <c r="L202" s="1237"/>
      <c r="M202" s="1237"/>
      <c r="N202" s="1237"/>
      <c r="O202" s="1237"/>
      <c r="P202" s="1241"/>
      <c r="Q202" s="1237"/>
      <c r="R202" s="1237"/>
      <c r="S202" s="1237"/>
      <c r="T202" s="1237"/>
      <c r="U202" s="1237"/>
      <c r="V202" s="1237"/>
      <c r="W202" s="1237"/>
      <c r="X202" s="1237"/>
      <c r="Y202" s="1237"/>
      <c r="Z202" s="1237"/>
      <c r="AA202" s="1237"/>
      <c r="AB202" s="1237"/>
      <c r="AC202" s="1237"/>
      <c r="AD202" s="1237"/>
      <c r="AE202" s="1237"/>
      <c r="AF202" s="1237"/>
      <c r="AG202" s="1237"/>
      <c r="AH202" s="1207"/>
    </row>
    <row r="203" spans="1:34" ht="13.5" thickBot="1" x14ac:dyDescent="0.25">
      <c r="A203" s="1236"/>
      <c r="B203" s="1237"/>
      <c r="C203" s="1243"/>
      <c r="D203" s="1244" t="s">
        <v>16</v>
      </c>
      <c r="E203" s="1244"/>
      <c r="F203" s="1244"/>
      <c r="G203" s="1244"/>
      <c r="H203" s="1244"/>
      <c r="I203" s="1244"/>
      <c r="J203" s="1244"/>
      <c r="K203" s="1244"/>
      <c r="L203" s="1244"/>
      <c r="M203" s="1244"/>
      <c r="N203" s="1244"/>
      <c r="O203" s="1244"/>
      <c r="P203" s="1245"/>
      <c r="Q203" s="1244"/>
      <c r="R203" s="1244"/>
      <c r="S203" s="1244"/>
      <c r="T203" s="1244"/>
      <c r="U203" s="1244"/>
      <c r="V203" s="1244"/>
      <c r="W203" s="1244"/>
      <c r="X203" s="1244"/>
      <c r="Y203" s="1244"/>
      <c r="Z203" s="1244"/>
      <c r="AA203" s="1244"/>
      <c r="AB203" s="1244"/>
      <c r="AC203" s="1244"/>
      <c r="AD203" s="1244"/>
      <c r="AE203" s="1244"/>
      <c r="AF203" s="1244"/>
      <c r="AG203" s="1244"/>
      <c r="AH203" s="1207"/>
    </row>
    <row r="204" spans="1:34" ht="13.5" thickBot="1" x14ac:dyDescent="0.25">
      <c r="A204" s="1236"/>
      <c r="B204" s="1237"/>
      <c r="C204" s="1246" t="s">
        <v>452</v>
      </c>
      <c r="D204" s="1246" t="s">
        <v>453</v>
      </c>
      <c r="E204" s="1246" t="s">
        <v>434</v>
      </c>
      <c r="F204" s="1246" t="s">
        <v>390</v>
      </c>
      <c r="G204" s="1246" t="s">
        <v>454</v>
      </c>
      <c r="H204" s="1246" t="s">
        <v>455</v>
      </c>
      <c r="I204" s="1246" t="s">
        <v>456</v>
      </c>
      <c r="J204" s="1246" t="s">
        <v>457</v>
      </c>
      <c r="K204" s="1246" t="s">
        <v>458</v>
      </c>
      <c r="L204" s="1246" t="s">
        <v>216</v>
      </c>
      <c r="M204" s="1246" t="s">
        <v>459</v>
      </c>
      <c r="N204" s="1246" t="s">
        <v>297</v>
      </c>
      <c r="O204" s="1246" t="s">
        <v>211</v>
      </c>
      <c r="P204" s="1247" t="s">
        <v>270</v>
      </c>
      <c r="Q204" s="1246">
        <v>15</v>
      </c>
      <c r="R204" s="1246">
        <v>16</v>
      </c>
      <c r="S204" s="1246" t="s">
        <v>461</v>
      </c>
      <c r="T204" s="1246" t="s">
        <v>442</v>
      </c>
      <c r="U204" s="1246" t="s">
        <v>462</v>
      </c>
      <c r="V204" s="1246" t="s">
        <v>470</v>
      </c>
      <c r="W204" s="1246" t="s">
        <v>471</v>
      </c>
      <c r="X204" s="1246" t="s">
        <v>472</v>
      </c>
      <c r="Y204" s="1246" t="s">
        <v>463</v>
      </c>
      <c r="Z204" s="1246" t="s">
        <v>465</v>
      </c>
      <c r="AA204" s="1246" t="s">
        <v>466</v>
      </c>
      <c r="AB204" s="1246" t="s">
        <v>435</v>
      </c>
      <c r="AC204" s="1246" t="s">
        <v>467</v>
      </c>
      <c r="AD204" s="1246" t="s">
        <v>464</v>
      </c>
      <c r="AE204" s="1246" t="s">
        <v>429</v>
      </c>
      <c r="AF204" s="1246" t="s">
        <v>149</v>
      </c>
      <c r="AG204" s="1246" t="s">
        <v>210</v>
      </c>
      <c r="AH204" s="1207"/>
    </row>
    <row r="205" spans="1:34" x14ac:dyDescent="0.2">
      <c r="A205" s="1233"/>
      <c r="B205" s="1248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37"/>
      <c r="O205" s="1237"/>
      <c r="P205" s="1241"/>
      <c r="Q205" s="1237"/>
      <c r="R205" s="1237"/>
      <c r="S205" s="1237"/>
      <c r="T205" s="1237"/>
      <c r="U205" s="1237"/>
      <c r="V205" s="1237"/>
      <c r="W205" s="1237"/>
      <c r="X205" s="1237"/>
      <c r="Y205" s="1237"/>
      <c r="Z205" s="1237"/>
      <c r="AA205" s="1237"/>
      <c r="AB205" s="1237"/>
      <c r="AC205" s="1237"/>
      <c r="AD205" s="1237"/>
      <c r="AE205" s="1237"/>
      <c r="AF205" s="1237"/>
      <c r="AG205" s="1237"/>
      <c r="AH205" s="1207"/>
    </row>
    <row r="206" spans="1:34" x14ac:dyDescent="0.2">
      <c r="A206" s="1236" t="s">
        <v>0</v>
      </c>
      <c r="B206" s="1249">
        <v>-15385.451999999999</v>
      </c>
      <c r="C206" s="1237"/>
      <c r="D206" s="1237"/>
      <c r="E206" s="1237"/>
      <c r="F206" s="1237"/>
      <c r="G206" s="1237"/>
      <c r="H206" s="1237"/>
      <c r="I206" s="1237"/>
      <c r="J206" s="1237"/>
      <c r="K206" s="1237"/>
      <c r="L206" s="1237"/>
      <c r="M206" s="1237"/>
      <c r="N206" s="1237"/>
      <c r="O206" s="1237"/>
      <c r="P206" s="1241"/>
      <c r="Q206" s="1237"/>
      <c r="R206" s="1237"/>
      <c r="S206" s="1237"/>
      <c r="T206" s="1237"/>
      <c r="U206" s="1237"/>
      <c r="V206" s="1237"/>
      <c r="W206" s="1237"/>
      <c r="X206" s="1237"/>
      <c r="Y206" s="1237"/>
      <c r="Z206" s="1237"/>
      <c r="AA206" s="1237"/>
      <c r="AB206" s="1237"/>
      <c r="AC206" s="1237"/>
      <c r="AD206" s="1237"/>
      <c r="AE206" s="1237"/>
      <c r="AF206" s="1237"/>
      <c r="AG206" s="1237"/>
      <c r="AH206" s="1207"/>
    </row>
    <row r="207" spans="1:34" ht="13.5" thickBot="1" x14ac:dyDescent="0.25">
      <c r="A207" s="1250"/>
      <c r="B207" s="1251"/>
      <c r="C207" s="1237"/>
      <c r="D207" s="1237"/>
      <c r="E207" s="1237"/>
      <c r="F207" s="1237"/>
      <c r="G207" s="1237"/>
      <c r="H207" s="1237"/>
      <c r="I207" s="1237"/>
      <c r="J207" s="1237"/>
      <c r="K207" s="1237"/>
      <c r="L207" s="1237"/>
      <c r="M207" s="1237"/>
      <c r="N207" s="1237"/>
      <c r="O207" s="1237"/>
      <c r="P207" s="1241"/>
      <c r="Q207" s="1237"/>
      <c r="R207" s="1237"/>
      <c r="S207" s="1237"/>
      <c r="T207" s="1237"/>
      <c r="U207" s="1237"/>
      <c r="V207" s="1237"/>
      <c r="W207" s="1237"/>
      <c r="X207" s="1237"/>
      <c r="Y207" s="1237"/>
      <c r="Z207" s="1237"/>
      <c r="AA207" s="1237"/>
      <c r="AB207" s="1237"/>
      <c r="AC207" s="1237"/>
      <c r="AD207" s="1237"/>
      <c r="AE207" s="1237"/>
      <c r="AF207" s="1237"/>
      <c r="AG207" s="1237"/>
      <c r="AH207" s="1207"/>
    </row>
    <row r="208" spans="1:34" x14ac:dyDescent="0.2">
      <c r="A208" s="1233"/>
      <c r="B208" s="1253"/>
      <c r="C208" s="1237"/>
      <c r="D208" s="1237"/>
      <c r="E208" s="1237"/>
      <c r="F208" s="1237"/>
      <c r="G208" s="1237"/>
      <c r="H208" s="1237"/>
      <c r="I208" s="1237"/>
      <c r="J208" s="1237"/>
      <c r="K208" s="1237"/>
      <c r="L208" s="1237"/>
      <c r="M208" s="1237"/>
      <c r="N208" s="1237"/>
      <c r="O208" s="1237"/>
      <c r="P208" s="1241"/>
      <c r="Q208" s="1237"/>
      <c r="R208" s="1237"/>
      <c r="S208" s="1237"/>
      <c r="T208" s="1237"/>
      <c r="U208" s="1237"/>
      <c r="V208" s="1237"/>
      <c r="W208" s="1237"/>
      <c r="X208" s="1237"/>
      <c r="Y208" s="1237"/>
      <c r="Z208" s="1237"/>
      <c r="AA208" s="1237"/>
      <c r="AB208" s="1237"/>
      <c r="AC208" s="1237"/>
      <c r="AD208" s="1237"/>
      <c r="AE208" s="1237"/>
      <c r="AF208" s="1237"/>
      <c r="AG208" s="1237"/>
      <c r="AH208" s="1207"/>
    </row>
    <row r="209" spans="1:34" x14ac:dyDescent="0.2">
      <c r="A209" s="1236" t="s">
        <v>1</v>
      </c>
      <c r="B209" s="1249">
        <f>B210+B211+B212</f>
        <v>0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7"/>
      <c r="O209" s="1237"/>
      <c r="P209" s="1241"/>
      <c r="Q209" s="1237"/>
      <c r="R209" s="1237"/>
      <c r="S209" s="1237"/>
      <c r="T209" s="1237"/>
      <c r="U209" s="1237"/>
      <c r="V209" s="1237"/>
      <c r="W209" s="1237"/>
      <c r="X209" s="1237"/>
      <c r="Y209" s="1237"/>
      <c r="Z209" s="1237"/>
      <c r="AA209" s="1237"/>
      <c r="AB209" s="1237"/>
      <c r="AC209" s="1237"/>
      <c r="AD209" s="1237"/>
      <c r="AE209" s="1237"/>
      <c r="AF209" s="1237"/>
      <c r="AG209" s="1237"/>
      <c r="AH209" s="1207"/>
    </row>
    <row r="210" spans="1:34" x14ac:dyDescent="0.2">
      <c r="A210" s="1236" t="s">
        <v>38</v>
      </c>
      <c r="B210" s="1249">
        <f>C258</f>
        <v>0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7"/>
      <c r="O210" s="1237"/>
      <c r="P210" s="1241"/>
      <c r="Q210" s="1237"/>
      <c r="R210" s="1237"/>
      <c r="S210" s="1237"/>
      <c r="T210" s="1237"/>
      <c r="U210" s="1237"/>
      <c r="V210" s="1237"/>
      <c r="W210" s="1237"/>
      <c r="X210" s="1237"/>
      <c r="Y210" s="1237"/>
      <c r="Z210" s="1237"/>
      <c r="AA210" s="1237"/>
      <c r="AB210" s="1237"/>
      <c r="AC210" s="1237"/>
      <c r="AD210" s="1237"/>
      <c r="AE210" s="1237"/>
      <c r="AF210" s="1237"/>
      <c r="AG210" s="1237"/>
      <c r="AH210" s="1207"/>
    </row>
    <row r="211" spans="1:34" x14ac:dyDescent="0.2">
      <c r="A211" s="1236" t="s">
        <v>39</v>
      </c>
      <c r="B211" s="1249">
        <f>C280</f>
        <v>0</v>
      </c>
      <c r="C211" s="1237"/>
      <c r="D211" s="1237"/>
      <c r="E211" s="1237"/>
      <c r="F211" s="1237"/>
      <c r="G211" s="1237"/>
      <c r="H211" s="1237"/>
      <c r="I211" s="1237"/>
      <c r="J211" s="1237"/>
      <c r="K211" s="1237"/>
      <c r="L211" s="1237"/>
      <c r="M211" s="1237"/>
      <c r="N211" s="1237"/>
      <c r="O211" s="1237"/>
      <c r="P211" s="1241"/>
      <c r="Q211" s="1237"/>
      <c r="R211" s="1237"/>
      <c r="S211" s="1237"/>
      <c r="T211" s="1237"/>
      <c r="U211" s="1237"/>
      <c r="V211" s="1237"/>
      <c r="W211" s="1237"/>
      <c r="X211" s="1237"/>
      <c r="Y211" s="1237"/>
      <c r="Z211" s="1237"/>
      <c r="AA211" s="1237"/>
      <c r="AB211" s="1237"/>
      <c r="AC211" s="1237"/>
      <c r="AD211" s="1237"/>
      <c r="AE211" s="1237"/>
      <c r="AF211" s="1237"/>
      <c r="AG211" s="1237"/>
      <c r="AH211" s="1207"/>
    </row>
    <row r="212" spans="1:34" x14ac:dyDescent="0.2">
      <c r="A212" s="1236" t="s">
        <v>3</v>
      </c>
      <c r="B212" s="1249"/>
      <c r="C212" s="1237"/>
      <c r="D212" s="1237"/>
      <c r="E212" s="1237"/>
      <c r="F212" s="1237"/>
      <c r="G212" s="1237"/>
      <c r="H212" s="1237"/>
      <c r="I212" s="1237"/>
      <c r="J212" s="1237"/>
      <c r="K212" s="1237"/>
      <c r="L212" s="1237"/>
      <c r="M212" s="1237"/>
      <c r="N212" s="1237"/>
      <c r="O212" s="1237"/>
      <c r="P212" s="1241"/>
      <c r="Q212" s="1237"/>
      <c r="R212" s="1237"/>
      <c r="S212" s="1237"/>
      <c r="T212" s="1237"/>
      <c r="U212" s="1237"/>
      <c r="V212" s="1237"/>
      <c r="W212" s="1237"/>
      <c r="X212" s="1237"/>
      <c r="Y212" s="1237"/>
      <c r="Z212" s="1237"/>
      <c r="AA212" s="1237"/>
      <c r="AB212" s="1237"/>
      <c r="AC212" s="1237"/>
      <c r="AD212" s="1237"/>
      <c r="AE212" s="1237"/>
      <c r="AF212" s="1237"/>
      <c r="AG212" s="1237"/>
      <c r="AH212" s="1207"/>
    </row>
    <row r="213" spans="1:34" ht="13.5" thickBot="1" x14ac:dyDescent="0.25">
      <c r="A213" s="1250"/>
      <c r="B213" s="1251"/>
      <c r="C213" s="1237"/>
      <c r="D213" s="1237"/>
      <c r="E213" s="1237"/>
      <c r="F213" s="1237"/>
      <c r="G213" s="1237"/>
      <c r="H213" s="1237"/>
      <c r="I213" s="1237"/>
      <c r="J213" s="1237"/>
      <c r="K213" s="1237"/>
      <c r="L213" s="1237"/>
      <c r="M213" s="1237"/>
      <c r="N213" s="1237"/>
      <c r="O213" s="1237"/>
      <c r="P213" s="1241"/>
      <c r="Q213" s="1237"/>
      <c r="R213" s="1237"/>
      <c r="S213" s="1237"/>
      <c r="T213" s="1237"/>
      <c r="U213" s="1237"/>
      <c r="V213" s="1237"/>
      <c r="W213" s="1237"/>
      <c r="X213" s="1237"/>
      <c r="Y213" s="1237"/>
      <c r="Z213" s="1237"/>
      <c r="AA213" s="1237"/>
      <c r="AB213" s="1237"/>
      <c r="AC213" s="1237"/>
      <c r="AD213" s="1237"/>
      <c r="AE213" s="1237"/>
      <c r="AF213" s="1237"/>
      <c r="AG213" s="1237"/>
      <c r="AH213" s="1207"/>
    </row>
    <row r="214" spans="1:34" x14ac:dyDescent="0.2">
      <c r="A214" s="1233"/>
      <c r="B214" s="1253"/>
      <c r="C214" s="1237"/>
      <c r="D214" s="1237"/>
      <c r="E214" s="1237"/>
      <c r="F214" s="1237"/>
      <c r="G214" s="1237"/>
      <c r="H214" s="1237"/>
      <c r="I214" s="1237"/>
      <c r="J214" s="1237"/>
      <c r="K214" s="1237"/>
      <c r="L214" s="1237"/>
      <c r="M214" s="1237"/>
      <c r="N214" s="1237"/>
      <c r="O214" s="1237"/>
      <c r="P214" s="1241"/>
      <c r="Q214" s="1237"/>
      <c r="R214" s="1237"/>
      <c r="S214" s="1237"/>
      <c r="T214" s="1237"/>
      <c r="U214" s="1237"/>
      <c r="V214" s="1237"/>
      <c r="W214" s="1237"/>
      <c r="X214" s="1237"/>
      <c r="Y214" s="1237"/>
      <c r="Z214" s="1237"/>
      <c r="AA214" s="1237"/>
      <c r="AB214" s="1237"/>
      <c r="AC214" s="1237"/>
      <c r="AD214" s="1237"/>
      <c r="AE214" s="1237"/>
      <c r="AF214" s="1237"/>
      <c r="AG214" s="1237"/>
      <c r="AH214" s="1207"/>
    </row>
    <row r="215" spans="1:34" x14ac:dyDescent="0.2">
      <c r="A215" s="1236" t="s">
        <v>4</v>
      </c>
      <c r="B215" s="1249">
        <f>B206-B209</f>
        <v>-15385.451999999999</v>
      </c>
      <c r="C215" s="1237"/>
      <c r="D215" s="1237"/>
      <c r="E215" s="1237"/>
      <c r="F215" s="1237"/>
      <c r="G215" s="1237"/>
      <c r="H215" s="1237"/>
      <c r="I215" s="1237"/>
      <c r="J215" s="1237"/>
      <c r="K215" s="1237"/>
      <c r="L215" s="1237"/>
      <c r="M215" s="1237"/>
      <c r="N215" s="1237"/>
      <c r="O215" s="1237"/>
      <c r="P215" s="1241"/>
      <c r="Q215" s="1237"/>
      <c r="R215" s="1237"/>
      <c r="S215" s="1237"/>
      <c r="T215" s="1237"/>
      <c r="U215" s="1237"/>
      <c r="V215" s="1237"/>
      <c r="W215" s="1237"/>
      <c r="X215" s="1237"/>
      <c r="Y215" s="1237"/>
      <c r="Z215" s="1237"/>
      <c r="AA215" s="1237"/>
      <c r="AB215" s="1237"/>
      <c r="AC215" s="1237"/>
      <c r="AD215" s="1237"/>
      <c r="AE215" s="1237"/>
      <c r="AF215" s="1237"/>
      <c r="AG215" s="1237"/>
      <c r="AH215" s="1207"/>
    </row>
    <row r="216" spans="1:34" ht="13.5" thickBot="1" x14ac:dyDescent="0.25">
      <c r="A216" s="1250"/>
      <c r="B216" s="1251"/>
      <c r="C216" s="1237"/>
      <c r="D216" s="1237"/>
      <c r="E216" s="1237"/>
      <c r="F216" s="1237"/>
      <c r="G216" s="1237"/>
      <c r="H216" s="1237"/>
      <c r="I216" s="1237"/>
      <c r="J216" s="1237"/>
      <c r="K216" s="1237"/>
      <c r="L216" s="1237"/>
      <c r="M216" s="1237"/>
      <c r="N216" s="1237"/>
      <c r="O216" s="1237"/>
      <c r="P216" s="1241"/>
      <c r="Q216" s="1237"/>
      <c r="R216" s="1237"/>
      <c r="S216" s="1237"/>
      <c r="T216" s="1237"/>
      <c r="U216" s="1237"/>
      <c r="V216" s="1237"/>
      <c r="W216" s="1237"/>
      <c r="X216" s="1237"/>
      <c r="Y216" s="1237"/>
      <c r="Z216" s="1237"/>
      <c r="AA216" s="1237"/>
      <c r="AB216" s="1237"/>
      <c r="AC216" s="1237"/>
      <c r="AD216" s="1237"/>
      <c r="AE216" s="1237"/>
      <c r="AF216" s="1237"/>
      <c r="AG216" s="1237"/>
      <c r="AH216" s="1207"/>
    </row>
    <row r="217" spans="1:34" x14ac:dyDescent="0.2">
      <c r="A217" s="1233"/>
      <c r="B217" s="1253"/>
      <c r="C217" s="1237"/>
      <c r="D217" s="1237"/>
      <c r="E217" s="1237"/>
      <c r="F217" s="1237"/>
      <c r="G217" s="1237"/>
      <c r="H217" s="1237"/>
      <c r="I217" s="1237"/>
      <c r="J217" s="1237"/>
      <c r="K217" s="1237"/>
      <c r="L217" s="1237"/>
      <c r="M217" s="1237"/>
      <c r="N217" s="1237"/>
      <c r="O217" s="1237"/>
      <c r="P217" s="1241"/>
      <c r="Q217" s="1237"/>
      <c r="R217" s="1237"/>
      <c r="S217" s="1237"/>
      <c r="T217" s="1237"/>
      <c r="U217" s="1237"/>
      <c r="V217" s="1237"/>
      <c r="W217" s="1237"/>
      <c r="X217" s="1237"/>
      <c r="Y217" s="1237"/>
      <c r="Z217" s="1237"/>
      <c r="AA217" s="1237"/>
      <c r="AB217" s="1237"/>
      <c r="AC217" s="1237"/>
      <c r="AD217" s="1237"/>
      <c r="AE217" s="1237"/>
      <c r="AF217" s="1237"/>
      <c r="AG217" s="1237"/>
      <c r="AH217" s="1207"/>
    </row>
    <row r="218" spans="1:34" x14ac:dyDescent="0.2">
      <c r="A218" s="1236" t="s">
        <v>17</v>
      </c>
      <c r="B218" s="1249"/>
      <c r="C218" s="1237"/>
      <c r="D218" s="1237"/>
      <c r="E218" s="1237"/>
      <c r="F218" s="1237"/>
      <c r="G218" s="1237"/>
      <c r="H218" s="1237"/>
      <c r="I218" s="1237"/>
      <c r="J218" s="1237"/>
      <c r="K218" s="1237"/>
      <c r="L218" s="1237"/>
      <c r="M218" s="1237"/>
      <c r="N218" s="1237"/>
      <c r="O218" s="1237"/>
      <c r="P218" s="1241"/>
      <c r="Q218" s="1237"/>
      <c r="R218" s="1237"/>
      <c r="S218" s="1237"/>
      <c r="T218" s="1237"/>
      <c r="U218" s="1237"/>
      <c r="V218" s="1237"/>
      <c r="W218" s="1237"/>
      <c r="X218" s="1237"/>
      <c r="Y218" s="1237"/>
      <c r="Z218" s="1237"/>
      <c r="AA218" s="1237"/>
      <c r="AB218" s="1237"/>
      <c r="AC218" s="1237"/>
      <c r="AD218" s="1237"/>
      <c r="AE218" s="1237"/>
      <c r="AF218" s="1237"/>
      <c r="AG218" s="1237"/>
      <c r="AH218" s="1207"/>
    </row>
    <row r="219" spans="1:34" ht="13.5" thickBot="1" x14ac:dyDescent="0.25">
      <c r="A219" s="1250"/>
      <c r="B219" s="1251"/>
      <c r="C219" s="1237"/>
      <c r="D219" s="1237"/>
      <c r="E219" s="1237"/>
      <c r="F219" s="1237"/>
      <c r="G219" s="1237"/>
      <c r="H219" s="1237"/>
      <c r="I219" s="1237"/>
      <c r="J219" s="1237"/>
      <c r="K219" s="1237"/>
      <c r="L219" s="1237"/>
      <c r="M219" s="1237"/>
      <c r="N219" s="1237"/>
      <c r="O219" s="1237"/>
      <c r="P219" s="1241"/>
      <c r="Q219" s="1237"/>
      <c r="R219" s="1237"/>
      <c r="S219" s="1237"/>
      <c r="T219" s="1237"/>
      <c r="U219" s="1237"/>
      <c r="V219" s="1237"/>
      <c r="W219" s="1237"/>
      <c r="X219" s="1258"/>
      <c r="Y219" s="1237"/>
      <c r="Z219" s="1237"/>
      <c r="AA219" s="1237"/>
      <c r="AB219" s="1237"/>
      <c r="AC219" s="1237"/>
      <c r="AD219" s="1237"/>
      <c r="AE219" s="1237"/>
      <c r="AF219" s="1237"/>
      <c r="AG219" s="1237"/>
      <c r="AH219" s="1207"/>
    </row>
    <row r="220" spans="1:34" x14ac:dyDescent="0.2">
      <c r="A220" s="1233"/>
      <c r="B220" s="1253"/>
      <c r="C220" s="1212"/>
      <c r="D220" s="1526"/>
      <c r="E220" s="1559" t="s">
        <v>836</v>
      </c>
      <c r="F220" s="1237"/>
      <c r="G220" s="1525"/>
      <c r="H220" s="1526"/>
      <c r="I220" s="1526"/>
      <c r="J220" s="1526"/>
      <c r="K220" s="1526"/>
      <c r="L220" s="1753"/>
      <c r="M220" s="1753"/>
      <c r="N220" s="1237"/>
      <c r="O220" s="1237"/>
      <c r="P220" s="1212" t="s">
        <v>1352</v>
      </c>
      <c r="Q220" s="1212"/>
      <c r="R220" s="1237"/>
      <c r="S220" s="1237"/>
      <c r="T220" s="1237"/>
      <c r="U220" s="1237"/>
      <c r="V220" s="1237"/>
      <c r="W220" s="1237"/>
      <c r="X220" s="1237"/>
      <c r="Y220" s="1237"/>
      <c r="Z220" s="1237"/>
      <c r="AA220" s="1237"/>
      <c r="AB220" s="1237"/>
      <c r="AC220" s="1256"/>
      <c r="AD220" s="1369"/>
      <c r="AE220" s="1526"/>
      <c r="AF220" s="1526"/>
      <c r="AH220" s="1207"/>
    </row>
    <row r="221" spans="1:34" x14ac:dyDescent="0.2">
      <c r="A221" s="1236" t="s">
        <v>5</v>
      </c>
      <c r="B221" s="1249">
        <f>B215-B218</f>
        <v>-15385.451999999999</v>
      </c>
      <c r="C221" s="1212"/>
      <c r="D221" s="1526"/>
      <c r="E221" s="1392" t="s">
        <v>64</v>
      </c>
      <c r="G221" s="1554"/>
      <c r="H221" s="1561"/>
      <c r="I221" s="1567" t="s">
        <v>1351</v>
      </c>
      <c r="J221" s="1526"/>
      <c r="L221" s="1526"/>
      <c r="M221" s="1588" t="s">
        <v>1363</v>
      </c>
      <c r="N221" s="1526"/>
      <c r="O221" s="1212"/>
      <c r="P221" s="1212" t="s">
        <v>324</v>
      </c>
      <c r="Q221" s="1212"/>
      <c r="R221" s="1237"/>
      <c r="S221" s="1616" t="s">
        <v>1379</v>
      </c>
      <c r="T221" s="1526"/>
      <c r="U221" s="1526"/>
      <c r="V221" s="1566" t="s">
        <v>1350</v>
      </c>
      <c r="W221" s="1237"/>
      <c r="X221" s="1388"/>
      <c r="Y221" s="1526"/>
      <c r="Z221" s="1237"/>
      <c r="AA221" s="1526"/>
      <c r="AB221" s="1526"/>
      <c r="AC221" s="1526"/>
      <c r="AD221" s="1369"/>
      <c r="AE221" s="1526" t="s">
        <v>1216</v>
      </c>
      <c r="AF221" s="1526"/>
      <c r="AG221" s="1370"/>
      <c r="AH221" s="1207"/>
    </row>
    <row r="222" spans="1:34" ht="13.5" thickBot="1" x14ac:dyDescent="0.25">
      <c r="A222" s="1250"/>
      <c r="B222" s="1251"/>
      <c r="D222" s="1237"/>
      <c r="E222" s="1237"/>
      <c r="F222" s="1237"/>
      <c r="G222" s="1237"/>
      <c r="H222" s="1526"/>
      <c r="I222" s="1237"/>
      <c r="J222" s="1526"/>
      <c r="K222" s="1237"/>
      <c r="L222" s="1237"/>
      <c r="M222" s="1237"/>
      <c r="N222" s="1237"/>
      <c r="O222" s="1237"/>
      <c r="P222" s="1241"/>
      <c r="Q222" s="1237"/>
      <c r="R222" s="1237"/>
      <c r="S222" s="1237"/>
      <c r="T222" s="1237"/>
      <c r="U222" s="1526"/>
      <c r="V222" s="1237"/>
      <c r="W222" s="1237"/>
      <c r="X222" s="1237"/>
      <c r="Y222" s="1237"/>
      <c r="Z222" s="1237"/>
      <c r="AA222" s="1237"/>
      <c r="AB222" s="1237"/>
      <c r="AC222" s="1237"/>
      <c r="AD222" s="1237"/>
      <c r="AE222" s="1237"/>
      <c r="AF222" s="1237"/>
      <c r="AG222" s="1237"/>
      <c r="AH222" s="1207"/>
    </row>
    <row r="223" spans="1:34" x14ac:dyDescent="0.2">
      <c r="A223" s="1269"/>
      <c r="B223" s="1237"/>
      <c r="C223" s="1270"/>
      <c r="D223" s="1272"/>
      <c r="E223" s="1271"/>
      <c r="F223" s="1271"/>
      <c r="G223" s="1271"/>
      <c r="H223" s="1271"/>
      <c r="I223" s="1271"/>
      <c r="J223" s="1271"/>
      <c r="K223" s="1271"/>
      <c r="L223" s="1271"/>
      <c r="M223" s="1271"/>
      <c r="N223" s="1271"/>
      <c r="O223" s="1271"/>
      <c r="P223" s="1273"/>
      <c r="Q223" s="1271"/>
      <c r="R223" s="1271"/>
      <c r="S223" s="1271"/>
      <c r="T223" s="1271"/>
      <c r="U223" s="1271"/>
      <c r="V223" s="1271"/>
      <c r="W223" s="1271"/>
      <c r="X223" s="1271"/>
      <c r="Y223" s="1271"/>
      <c r="Z223" s="1271"/>
      <c r="AA223" s="1271"/>
      <c r="AB223" s="1271"/>
      <c r="AC223" s="1271"/>
      <c r="AD223" s="1271"/>
      <c r="AE223" s="1271"/>
      <c r="AF223" s="1271"/>
      <c r="AG223" s="1271"/>
      <c r="AH223" s="1207"/>
    </row>
    <row r="224" spans="1:34" ht="13.5" thickBot="1" x14ac:dyDescent="0.25">
      <c r="A224" s="1274" t="s">
        <v>7</v>
      </c>
      <c r="B224" s="1237"/>
      <c r="C224" s="1275">
        <f t="shared" ref="C224:AG224" si="24">C225+C226+C227+C229+C228</f>
        <v>0</v>
      </c>
      <c r="D224" s="1275">
        <f t="shared" si="24"/>
        <v>0</v>
      </c>
      <c r="E224" s="1275">
        <f t="shared" si="24"/>
        <v>-7.0000000006984919E-2</v>
      </c>
      <c r="F224" s="1275">
        <f t="shared" si="24"/>
        <v>0</v>
      </c>
      <c r="G224" s="1275">
        <f t="shared" si="24"/>
        <v>0</v>
      </c>
      <c r="H224" s="1275">
        <f t="shared" si="24"/>
        <v>0</v>
      </c>
      <c r="I224" s="1275">
        <f t="shared" si="24"/>
        <v>0</v>
      </c>
      <c r="J224" s="1275">
        <f t="shared" si="24"/>
        <v>0</v>
      </c>
      <c r="K224" s="1275">
        <f t="shared" si="24"/>
        <v>0</v>
      </c>
      <c r="L224" s="1275">
        <f t="shared" si="24"/>
        <v>0</v>
      </c>
      <c r="M224" s="1275">
        <f t="shared" si="24"/>
        <v>0</v>
      </c>
      <c r="N224" s="1275">
        <f t="shared" si="24"/>
        <v>0</v>
      </c>
      <c r="O224" s="1275">
        <f t="shared" si="24"/>
        <v>0</v>
      </c>
      <c r="P224" s="1276">
        <f t="shared" si="24"/>
        <v>0</v>
      </c>
      <c r="Q224" s="1275">
        <f t="shared" si="24"/>
        <v>0</v>
      </c>
      <c r="R224" s="1275">
        <f t="shared" si="24"/>
        <v>0</v>
      </c>
      <c r="S224" s="1275">
        <f t="shared" si="24"/>
        <v>0</v>
      </c>
      <c r="T224" s="1275">
        <f t="shared" si="24"/>
        <v>0</v>
      </c>
      <c r="U224" s="1275">
        <f t="shared" si="24"/>
        <v>0</v>
      </c>
      <c r="V224" s="1275">
        <f t="shared" si="24"/>
        <v>0</v>
      </c>
      <c r="W224" s="1275">
        <f>W225+W226+W227+W229+W228</f>
        <v>9284.6530000000002</v>
      </c>
      <c r="X224" s="1275">
        <f t="shared" si="24"/>
        <v>0</v>
      </c>
      <c r="Y224" s="1275">
        <f t="shared" si="24"/>
        <v>0</v>
      </c>
      <c r="Z224" s="1275">
        <f t="shared" si="24"/>
        <v>0</v>
      </c>
      <c r="AA224" s="1275">
        <f t="shared" si="24"/>
        <v>0</v>
      </c>
      <c r="AB224" s="1275">
        <f t="shared" si="24"/>
        <v>0</v>
      </c>
      <c r="AC224" s="1275">
        <f t="shared" si="24"/>
        <v>0</v>
      </c>
      <c r="AD224" s="1275">
        <f t="shared" si="24"/>
        <v>0</v>
      </c>
      <c r="AE224" s="1275">
        <f t="shared" si="24"/>
        <v>0</v>
      </c>
      <c r="AF224" s="1275">
        <f t="shared" si="24"/>
        <v>0</v>
      </c>
      <c r="AG224" s="1275">
        <f t="shared" si="24"/>
        <v>0</v>
      </c>
      <c r="AH224" s="1227">
        <f>SUM(C224:AG224)</f>
        <v>9284.5829999999933</v>
      </c>
    </row>
    <row r="225" spans="1:34" x14ac:dyDescent="0.2">
      <c r="A225" s="1274" t="s">
        <v>8</v>
      </c>
      <c r="B225" s="1389"/>
      <c r="C225" s="1302"/>
      <c r="D225" s="1302"/>
      <c r="E225" s="1303"/>
      <c r="F225" s="1303"/>
      <c r="G225" s="1303"/>
      <c r="H225" s="1303"/>
      <c r="I225" s="1303"/>
      <c r="J225" s="1303"/>
      <c r="K225" s="1303"/>
      <c r="L225" s="1303"/>
      <c r="M225" s="1303"/>
      <c r="N225" s="1303"/>
      <c r="O225" s="1303"/>
      <c r="P225" s="1304"/>
      <c r="Q225" s="1303"/>
      <c r="R225" s="1303"/>
      <c r="S225" s="1303"/>
      <c r="T225" s="1303"/>
      <c r="U225" s="1303"/>
      <c r="V225" s="1303"/>
      <c r="W225" s="1303"/>
      <c r="X225" s="1303"/>
      <c r="Y225" s="1303"/>
      <c r="Z225" s="1303"/>
      <c r="AA225" s="1303"/>
      <c r="AB225" s="1303"/>
      <c r="AC225" s="1303"/>
      <c r="AD225" s="1303"/>
      <c r="AE225" s="1303"/>
      <c r="AF225" s="1303"/>
      <c r="AG225" s="1303"/>
      <c r="AH225" s="1227">
        <f>SUM(C225:AG225)</f>
        <v>0</v>
      </c>
    </row>
    <row r="226" spans="1:34" x14ac:dyDescent="0.2">
      <c r="A226" s="1274" t="s">
        <v>9</v>
      </c>
      <c r="B226" s="1389"/>
      <c r="C226" s="1302"/>
      <c r="D226" s="1302"/>
      <c r="E226" s="1303"/>
      <c r="F226" s="1303"/>
      <c r="G226" s="1303"/>
      <c r="H226" s="1303"/>
      <c r="I226" s="1303"/>
      <c r="J226" s="1303"/>
      <c r="K226" s="1303"/>
      <c r="L226" s="1303"/>
      <c r="M226" s="1319"/>
      <c r="N226" s="1303"/>
      <c r="O226" s="1303"/>
      <c r="P226" s="1304"/>
      <c r="Q226" s="1303"/>
      <c r="R226" s="1303"/>
      <c r="S226" s="1303"/>
      <c r="T226" s="1303"/>
      <c r="U226" s="1303"/>
      <c r="V226" s="1454"/>
      <c r="W226" s="1443"/>
      <c r="X226" s="1303"/>
      <c r="Y226" s="1303"/>
      <c r="Z226" s="1303"/>
      <c r="AA226" s="1303"/>
      <c r="AB226" s="1303"/>
      <c r="AC226" s="1303"/>
      <c r="AD226" s="1303"/>
      <c r="AE226" s="1303"/>
      <c r="AF226" s="1303"/>
      <c r="AG226" s="1303"/>
      <c r="AH226" s="1227">
        <f>SUM(C226:AG226)</f>
        <v>0</v>
      </c>
    </row>
    <row r="227" spans="1:34" s="1289" customFormat="1" x14ac:dyDescent="0.2">
      <c r="A227" s="1285" t="s">
        <v>10</v>
      </c>
      <c r="B227" s="1372"/>
      <c r="C227" s="1374"/>
      <c r="D227" s="1374"/>
      <c r="E227" s="1375"/>
      <c r="F227" s="1375"/>
      <c r="G227" s="1375"/>
      <c r="H227" s="1375"/>
      <c r="I227" s="1390"/>
      <c r="J227" s="1375"/>
      <c r="K227" s="1375"/>
      <c r="L227" s="1391"/>
      <c r="M227" s="1375"/>
      <c r="N227" s="1375"/>
      <c r="O227" s="1375"/>
      <c r="P227" s="1375"/>
      <c r="Q227" s="1375"/>
      <c r="R227" s="1375"/>
      <c r="S227" s="1375"/>
      <c r="T227" s="1375"/>
      <c r="U227" s="1375"/>
      <c r="V227" s="1375"/>
      <c r="W227" s="1375">
        <v>9284.6530000000002</v>
      </c>
      <c r="X227" s="1377"/>
      <c r="Y227" s="1375"/>
      <c r="Z227" s="1375"/>
      <c r="AA227" s="1375"/>
      <c r="AB227" s="1375"/>
      <c r="AC227" s="1375"/>
      <c r="AD227" s="1378"/>
      <c r="AE227" s="1375"/>
      <c r="AF227" s="1375"/>
      <c r="AG227" s="1375"/>
      <c r="AH227" s="1231">
        <f>SUM(C227:AG227)</f>
        <v>9284.6530000000002</v>
      </c>
    </row>
    <row r="228" spans="1:34" s="1289" customFormat="1" x14ac:dyDescent="0.2">
      <c r="A228" s="1285" t="s">
        <v>356</v>
      </c>
      <c r="B228" s="1372"/>
      <c r="C228" s="1375"/>
      <c r="D228" s="1375"/>
      <c r="E228" s="1391">
        <v>71869.929999999993</v>
      </c>
      <c r="F228" s="1375"/>
      <c r="G228" s="1375"/>
      <c r="H228" s="1375"/>
      <c r="I228" s="1375"/>
      <c r="J228" s="1375"/>
      <c r="K228" s="1375"/>
      <c r="L228" s="1375"/>
      <c r="M228" s="1375"/>
      <c r="N228" s="1375"/>
      <c r="O228" s="1375"/>
      <c r="P228" s="1391">
        <v>25000</v>
      </c>
      <c r="Q228" s="1375"/>
      <c r="R228" s="1375"/>
      <c r="S228" s="1375"/>
      <c r="T228" s="1375"/>
      <c r="U228" s="1375"/>
      <c r="V228" s="1375"/>
      <c r="W228" s="1375"/>
      <c r="X228" s="1375"/>
      <c r="Y228" s="1375"/>
      <c r="Z228" s="1375"/>
      <c r="AA228" s="1375"/>
      <c r="AB228" s="1375"/>
      <c r="AC228" s="1375"/>
      <c r="AD228" s="1375"/>
      <c r="AE228" s="1375"/>
      <c r="AF228" s="1375"/>
      <c r="AG228" s="1292"/>
      <c r="AH228" s="1456">
        <f>SUM(C228:AG228)</f>
        <v>96869.93</v>
      </c>
    </row>
    <row r="229" spans="1:34" x14ac:dyDescent="0.2">
      <c r="A229" s="1274" t="s">
        <v>11</v>
      </c>
      <c r="B229" s="1237"/>
      <c r="C229" s="1302"/>
      <c r="D229" s="1306"/>
      <c r="E229" s="1306">
        <v>-71870</v>
      </c>
      <c r="F229" s="1304"/>
      <c r="G229" s="1304"/>
      <c r="H229" s="1304"/>
      <c r="I229" s="1304"/>
      <c r="J229" s="1304"/>
      <c r="K229" s="1304"/>
      <c r="L229" s="1304"/>
      <c r="M229" s="1304"/>
      <c r="N229" s="1304"/>
      <c r="O229" s="1304"/>
      <c r="P229" s="1304">
        <v>-25000</v>
      </c>
      <c r="Q229" s="1304"/>
      <c r="R229" s="1304"/>
      <c r="S229" s="1304"/>
      <c r="T229" s="1304"/>
      <c r="U229" s="1304"/>
      <c r="V229" s="1304"/>
      <c r="W229" s="1304"/>
      <c r="X229" s="1304"/>
      <c r="Y229" s="1304"/>
      <c r="Z229" s="1304"/>
      <c r="AA229" s="1304"/>
      <c r="AB229" s="1304"/>
      <c r="AC229" s="1304"/>
      <c r="AD229" s="1304"/>
      <c r="AE229" s="1304"/>
      <c r="AF229" s="1473"/>
      <c r="AG229" s="1454"/>
      <c r="AH229" s="1207"/>
    </row>
    <row r="230" spans="1:34" ht="13.5" thickBot="1" x14ac:dyDescent="0.25">
      <c r="A230" s="1294"/>
      <c r="B230" s="1237"/>
      <c r="C230" s="1302"/>
      <c r="D230" s="1302"/>
      <c r="E230" s="1302"/>
      <c r="F230" s="1303"/>
      <c r="G230" s="1303"/>
      <c r="H230" s="1303"/>
      <c r="I230" s="1303"/>
      <c r="J230" s="1303"/>
      <c r="K230" s="1303"/>
      <c r="L230" s="1303"/>
      <c r="M230" s="1303"/>
      <c r="N230" s="1303"/>
      <c r="O230" s="1303"/>
      <c r="P230" s="1304"/>
      <c r="Q230" s="1303"/>
      <c r="R230" s="1303"/>
      <c r="S230" s="1303"/>
      <c r="T230" s="1303"/>
      <c r="U230" s="1303"/>
      <c r="V230" s="1303"/>
      <c r="W230" s="1303"/>
      <c r="X230" s="1303"/>
      <c r="Y230" s="1303"/>
      <c r="Z230" s="1303"/>
      <c r="AA230" s="1303"/>
      <c r="AB230" s="1303"/>
      <c r="AC230" s="1303"/>
      <c r="AD230" s="1303"/>
      <c r="AE230" s="1303"/>
      <c r="AF230" s="1303"/>
      <c r="AG230" s="1303"/>
      <c r="AH230" s="1207"/>
    </row>
    <row r="231" spans="1:34" x14ac:dyDescent="0.2">
      <c r="A231" s="1269"/>
      <c r="B231" s="1237"/>
      <c r="C231" s="1296"/>
      <c r="D231" s="1297"/>
      <c r="E231" s="1297"/>
      <c r="F231" s="1298"/>
      <c r="G231" s="1298"/>
      <c r="H231" s="1298"/>
      <c r="I231" s="1298"/>
      <c r="J231" s="1298"/>
      <c r="K231" s="1298"/>
      <c r="L231" s="1298"/>
      <c r="M231" s="1298"/>
      <c r="N231" s="1298"/>
      <c r="O231" s="1298"/>
      <c r="P231" s="1299"/>
      <c r="Q231" s="1298"/>
      <c r="R231" s="1298"/>
      <c r="S231" s="1298"/>
      <c r="T231" s="1298"/>
      <c r="U231" s="1298"/>
      <c r="V231" s="1298"/>
      <c r="W231" s="1298"/>
      <c r="X231" s="1298"/>
      <c r="Y231" s="1298"/>
      <c r="Z231" s="1298"/>
      <c r="AA231" s="1298"/>
      <c r="AB231" s="1298"/>
      <c r="AC231" s="1298"/>
      <c r="AD231" s="1298"/>
      <c r="AE231" s="1298"/>
      <c r="AF231" s="1298"/>
      <c r="AG231" s="1298"/>
      <c r="AH231" s="1207"/>
    </row>
    <row r="232" spans="1:34" ht="13.5" thickBot="1" x14ac:dyDescent="0.25">
      <c r="A232" s="1274" t="s">
        <v>12</v>
      </c>
      <c r="B232" s="1237"/>
      <c r="C232" s="1275">
        <f t="shared" ref="C232:AG232" si="25">C233</f>
        <v>0</v>
      </c>
      <c r="D232" s="1275">
        <f t="shared" si="25"/>
        <v>0</v>
      </c>
      <c r="E232" s="1275">
        <f t="shared" si="25"/>
        <v>0</v>
      </c>
      <c r="F232" s="1275">
        <f t="shared" si="25"/>
        <v>0</v>
      </c>
      <c r="G232" s="1275">
        <f t="shared" si="25"/>
        <v>0</v>
      </c>
      <c r="H232" s="1275">
        <f t="shared" si="25"/>
        <v>0</v>
      </c>
      <c r="I232" s="1275">
        <f t="shared" si="25"/>
        <v>0</v>
      </c>
      <c r="J232" s="1275">
        <f t="shared" si="25"/>
        <v>0</v>
      </c>
      <c r="K232" s="1275">
        <f t="shared" si="25"/>
        <v>0</v>
      </c>
      <c r="L232" s="1275">
        <f t="shared" si="25"/>
        <v>0</v>
      </c>
      <c r="M232" s="1275">
        <f t="shared" si="25"/>
        <v>0</v>
      </c>
      <c r="N232" s="1275">
        <f t="shared" si="25"/>
        <v>0</v>
      </c>
      <c r="O232" s="1275">
        <f t="shared" si="25"/>
        <v>0</v>
      </c>
      <c r="P232" s="1276">
        <f t="shared" si="25"/>
        <v>0</v>
      </c>
      <c r="Q232" s="1275">
        <f t="shared" si="25"/>
        <v>0</v>
      </c>
      <c r="R232" s="1275">
        <f t="shared" si="25"/>
        <v>0</v>
      </c>
      <c r="S232" s="1275">
        <f t="shared" si="25"/>
        <v>0</v>
      </c>
      <c r="T232" s="1275">
        <f t="shared" si="25"/>
        <v>0</v>
      </c>
      <c r="U232" s="1275">
        <f t="shared" si="25"/>
        <v>0</v>
      </c>
      <c r="V232" s="1275">
        <f t="shared" si="25"/>
        <v>0</v>
      </c>
      <c r="W232" s="1275">
        <f t="shared" si="25"/>
        <v>0</v>
      </c>
      <c r="X232" s="1275">
        <f t="shared" si="25"/>
        <v>0</v>
      </c>
      <c r="Y232" s="1275">
        <f t="shared" si="25"/>
        <v>0</v>
      </c>
      <c r="Z232" s="1275">
        <f t="shared" si="25"/>
        <v>0</v>
      </c>
      <c r="AA232" s="1275">
        <f t="shared" si="25"/>
        <v>0</v>
      </c>
      <c r="AB232" s="1275">
        <f t="shared" si="25"/>
        <v>0</v>
      </c>
      <c r="AC232" s="1275">
        <f t="shared" si="25"/>
        <v>0</v>
      </c>
      <c r="AD232" s="1275">
        <f t="shared" si="25"/>
        <v>0</v>
      </c>
      <c r="AE232" s="1275">
        <f t="shared" si="25"/>
        <v>0</v>
      </c>
      <c r="AF232" s="1275">
        <f t="shared" si="25"/>
        <v>0</v>
      </c>
      <c r="AG232" s="1275">
        <f t="shared" si="25"/>
        <v>0</v>
      </c>
      <c r="AH232" s="1207"/>
    </row>
    <row r="233" spans="1:34" x14ac:dyDescent="0.2">
      <c r="A233" s="1274" t="s">
        <v>8</v>
      </c>
      <c r="B233" s="1237"/>
      <c r="C233" s="1302"/>
      <c r="D233" s="1302"/>
      <c r="E233" s="1302"/>
      <c r="F233" s="1303"/>
      <c r="G233" s="1303"/>
      <c r="H233" s="1303"/>
      <c r="I233" s="1303"/>
      <c r="J233" s="1303"/>
      <c r="K233" s="1303"/>
      <c r="L233" s="1303"/>
      <c r="M233" s="1303"/>
      <c r="N233" s="1303"/>
      <c r="O233" s="1303"/>
      <c r="P233" s="1304"/>
      <c r="Q233" s="1303"/>
      <c r="R233" s="1303"/>
      <c r="S233" s="1303"/>
      <c r="T233" s="1303"/>
      <c r="U233" s="1303"/>
      <c r="V233" s="1303"/>
      <c r="W233" s="1303"/>
      <c r="X233" s="1303"/>
      <c r="Y233" s="1303"/>
      <c r="Z233" s="1303"/>
      <c r="AA233" s="1303"/>
      <c r="AB233" s="1303"/>
      <c r="AC233" s="1303"/>
      <c r="AD233" s="1303"/>
      <c r="AE233" s="1303"/>
      <c r="AF233" s="1303"/>
      <c r="AG233" s="1303"/>
      <c r="AH233" s="1207"/>
    </row>
    <row r="234" spans="1:34" x14ac:dyDescent="0.2">
      <c r="A234" s="1274" t="s">
        <v>775</v>
      </c>
      <c r="B234" s="1237"/>
      <c r="C234" s="1282"/>
      <c r="D234" s="1282"/>
      <c r="E234" s="1282">
        <v>5051.5820000000003</v>
      </c>
      <c r="F234" s="1282"/>
      <c r="G234" s="1282">
        <v>847.06100000000004</v>
      </c>
      <c r="H234" s="1282"/>
      <c r="I234" s="1282"/>
      <c r="J234" s="1282"/>
      <c r="K234" s="1282"/>
      <c r="L234" s="1282">
        <v>2805.3850000000002</v>
      </c>
      <c r="M234" s="1282"/>
      <c r="N234" s="1282"/>
      <c r="O234" s="1282"/>
      <c r="P234" s="1282"/>
      <c r="Q234" s="1282">
        <v>2347.0610000000001</v>
      </c>
      <c r="R234" s="1282"/>
      <c r="S234" s="1282">
        <v>1000</v>
      </c>
      <c r="T234" s="1282"/>
      <c r="U234" s="1282"/>
      <c r="V234" s="1282">
        <v>847.06100000000004</v>
      </c>
      <c r="W234" s="1282"/>
      <c r="X234" s="1282"/>
      <c r="Y234" s="1282"/>
      <c r="Z234" s="1282"/>
      <c r="AA234" s="1282">
        <v>1082.867</v>
      </c>
      <c r="AB234" s="1282"/>
      <c r="AC234" s="1282"/>
      <c r="AD234" s="1282"/>
      <c r="AE234" s="1282">
        <v>2799.4960000000001</v>
      </c>
      <c r="AF234" s="1282">
        <v>1032.569</v>
      </c>
      <c r="AG234" s="1473"/>
      <c r="AH234" s="1455">
        <f>SUM(C234:AG234)</f>
        <v>17813.081999999999</v>
      </c>
    </row>
    <row r="235" spans="1:34" ht="13.5" thickBot="1" x14ac:dyDescent="0.25">
      <c r="A235" s="1294"/>
      <c r="B235" s="1237"/>
      <c r="C235" s="1302"/>
      <c r="D235" s="1302"/>
      <c r="E235" s="1302"/>
      <c r="F235" s="1303"/>
      <c r="G235" s="1303"/>
      <c r="H235" s="1303"/>
      <c r="I235" s="1303"/>
      <c r="J235" s="1303"/>
      <c r="K235" s="1303"/>
      <c r="L235" s="1303"/>
      <c r="M235" s="1303"/>
      <c r="N235" s="1303"/>
      <c r="O235" s="1303"/>
      <c r="P235" s="1304"/>
      <c r="Q235" s="1303"/>
      <c r="R235" s="1303"/>
      <c r="S235" s="1303"/>
      <c r="T235" s="1303"/>
      <c r="U235" s="1303"/>
      <c r="V235" s="1303"/>
      <c r="W235" s="1303"/>
      <c r="X235" s="1303"/>
      <c r="Y235" s="1303"/>
      <c r="Z235" s="1303"/>
      <c r="AA235" s="1303"/>
      <c r="AB235" s="1303"/>
      <c r="AC235" s="1303"/>
      <c r="AD235" s="1303"/>
      <c r="AE235" s="1303"/>
      <c r="AF235" s="1303"/>
      <c r="AG235" s="1303"/>
      <c r="AH235" s="1207"/>
    </row>
    <row r="236" spans="1:34" x14ac:dyDescent="0.2">
      <c r="A236" s="1269"/>
      <c r="B236" s="1237"/>
      <c r="C236" s="1296"/>
      <c r="D236" s="1297"/>
      <c r="E236" s="1297"/>
      <c r="F236" s="1298"/>
      <c r="G236" s="1298"/>
      <c r="H236" s="1298"/>
      <c r="I236" s="1298"/>
      <c r="J236" s="1298"/>
      <c r="K236" s="1298"/>
      <c r="L236" s="1298"/>
      <c r="M236" s="1298"/>
      <c r="N236" s="1298"/>
      <c r="O236" s="1298"/>
      <c r="P236" s="1299"/>
      <c r="Q236" s="1298"/>
      <c r="R236" s="1298"/>
      <c r="S236" s="1298"/>
      <c r="T236" s="1298"/>
      <c r="U236" s="1298"/>
      <c r="V236" s="1298"/>
      <c r="W236" s="1298"/>
      <c r="X236" s="1298"/>
      <c r="Y236" s="1298"/>
      <c r="Z236" s="1298"/>
      <c r="AA236" s="1298"/>
      <c r="AB236" s="1298"/>
      <c r="AC236" s="1298"/>
      <c r="AD236" s="1298"/>
      <c r="AE236" s="1298"/>
      <c r="AF236" s="1298"/>
      <c r="AG236" s="1298"/>
      <c r="AH236" s="1207"/>
    </row>
    <row r="237" spans="1:34" x14ac:dyDescent="0.2">
      <c r="A237" s="1274" t="s">
        <v>13</v>
      </c>
      <c r="B237" s="1237"/>
      <c r="C237" s="1300">
        <f t="shared" ref="C237:AG237" si="26">C232-C224</f>
        <v>0</v>
      </c>
      <c r="D237" s="1300">
        <f t="shared" si="26"/>
        <v>0</v>
      </c>
      <c r="E237" s="1300">
        <f t="shared" si="26"/>
        <v>7.0000000006984919E-2</v>
      </c>
      <c r="F237" s="1300">
        <f t="shared" si="26"/>
        <v>0</v>
      </c>
      <c r="G237" s="1300">
        <f t="shared" si="26"/>
        <v>0</v>
      </c>
      <c r="H237" s="1300">
        <f t="shared" si="26"/>
        <v>0</v>
      </c>
      <c r="I237" s="1300">
        <f t="shared" si="26"/>
        <v>0</v>
      </c>
      <c r="J237" s="1300">
        <f t="shared" si="26"/>
        <v>0</v>
      </c>
      <c r="K237" s="1300">
        <f t="shared" si="26"/>
        <v>0</v>
      </c>
      <c r="L237" s="1300">
        <f t="shared" si="26"/>
        <v>0</v>
      </c>
      <c r="M237" s="1300">
        <f t="shared" si="26"/>
        <v>0</v>
      </c>
      <c r="N237" s="1300">
        <f t="shared" si="26"/>
        <v>0</v>
      </c>
      <c r="O237" s="1300">
        <f t="shared" si="26"/>
        <v>0</v>
      </c>
      <c r="P237" s="1301">
        <f t="shared" si="26"/>
        <v>0</v>
      </c>
      <c r="Q237" s="1300">
        <f t="shared" si="26"/>
        <v>0</v>
      </c>
      <c r="R237" s="1300">
        <f t="shared" si="26"/>
        <v>0</v>
      </c>
      <c r="S237" s="1300">
        <f t="shared" si="26"/>
        <v>0</v>
      </c>
      <c r="T237" s="1300">
        <f t="shared" si="26"/>
        <v>0</v>
      </c>
      <c r="U237" s="1300">
        <f t="shared" si="26"/>
        <v>0</v>
      </c>
      <c r="V237" s="1300">
        <f t="shared" si="26"/>
        <v>0</v>
      </c>
      <c r="W237" s="1300">
        <f t="shared" si="26"/>
        <v>-9284.6530000000002</v>
      </c>
      <c r="X237" s="1300">
        <f t="shared" si="26"/>
        <v>0</v>
      </c>
      <c r="Y237" s="1300">
        <f t="shared" si="26"/>
        <v>0</v>
      </c>
      <c r="Z237" s="1300">
        <f t="shared" si="26"/>
        <v>0</v>
      </c>
      <c r="AA237" s="1300">
        <f t="shared" si="26"/>
        <v>0</v>
      </c>
      <c r="AB237" s="1300">
        <f t="shared" si="26"/>
        <v>0</v>
      </c>
      <c r="AC237" s="1300">
        <f t="shared" si="26"/>
        <v>0</v>
      </c>
      <c r="AD237" s="1300">
        <f t="shared" si="26"/>
        <v>0</v>
      </c>
      <c r="AE237" s="1300">
        <f t="shared" si="26"/>
        <v>0</v>
      </c>
      <c r="AF237" s="1300">
        <f t="shared" si="26"/>
        <v>0</v>
      </c>
      <c r="AG237" s="1300">
        <f t="shared" si="26"/>
        <v>0</v>
      </c>
      <c r="AH237" s="1207"/>
    </row>
    <row r="238" spans="1:34" ht="13.5" thickBot="1" x14ac:dyDescent="0.25">
      <c r="A238" s="1274"/>
      <c r="B238" s="1237"/>
      <c r="C238" s="1300"/>
      <c r="D238" s="1302"/>
      <c r="E238" s="1302"/>
      <c r="F238" s="1303"/>
      <c r="G238" s="1303"/>
      <c r="H238" s="1303"/>
      <c r="I238" s="1303"/>
      <c r="J238" s="1303"/>
      <c r="K238" s="1303"/>
      <c r="L238" s="1303"/>
      <c r="M238" s="1303"/>
      <c r="N238" s="1303"/>
      <c r="O238" s="1303"/>
      <c r="P238" s="1304"/>
      <c r="Q238" s="1303"/>
      <c r="R238" s="1303"/>
      <c r="S238" s="1303"/>
      <c r="T238" s="1303"/>
      <c r="U238" s="1303"/>
      <c r="V238" s="1303"/>
      <c r="W238" s="1303"/>
      <c r="X238" s="1303"/>
      <c r="Y238" s="1303"/>
      <c r="Z238" s="1303"/>
      <c r="AA238" s="1303"/>
      <c r="AB238" s="1303"/>
      <c r="AC238" s="1303"/>
      <c r="AD238" s="1303"/>
      <c r="AE238" s="1303"/>
      <c r="AF238" s="1303"/>
      <c r="AG238" s="1303"/>
      <c r="AH238" s="1207"/>
    </row>
    <row r="239" spans="1:34" x14ac:dyDescent="0.2">
      <c r="A239" s="1233"/>
      <c r="B239" s="1234"/>
      <c r="C239" s="1305"/>
      <c r="D239" s="1297"/>
      <c r="E239" s="1297"/>
      <c r="F239" s="1298"/>
      <c r="G239" s="1298"/>
      <c r="H239" s="1298"/>
      <c r="I239" s="1298"/>
      <c r="J239" s="1298"/>
      <c r="K239" s="1298"/>
      <c r="L239" s="1298"/>
      <c r="M239" s="1298"/>
      <c r="N239" s="1298"/>
      <c r="O239" s="1298"/>
      <c r="P239" s="1299"/>
      <c r="Q239" s="1298"/>
      <c r="R239" s="1298"/>
      <c r="S239" s="1298"/>
      <c r="T239" s="1298"/>
      <c r="U239" s="1298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07"/>
    </row>
    <row r="240" spans="1:34" x14ac:dyDescent="0.2">
      <c r="A240" s="1236" t="s">
        <v>15</v>
      </c>
      <c r="B240" s="1237"/>
      <c r="C240" s="1302">
        <f>B221+C237</f>
        <v>-15385.451999999999</v>
      </c>
      <c r="D240" s="1302">
        <f t="shared" ref="D240:AG240" si="27">C247+D237</f>
        <v>-15385.451999999999</v>
      </c>
      <c r="E240" s="1302">
        <f t="shared" si="27"/>
        <v>-15385.381999999992</v>
      </c>
      <c r="F240" s="1302">
        <f t="shared" si="27"/>
        <v>-15385.381999999992</v>
      </c>
      <c r="G240" s="1302">
        <f t="shared" si="27"/>
        <v>-15385.381999999992</v>
      </c>
      <c r="H240" s="1302">
        <f t="shared" si="27"/>
        <v>-15385.381999999992</v>
      </c>
      <c r="I240" s="1302">
        <f t="shared" si="27"/>
        <v>-15385.381999999992</v>
      </c>
      <c r="J240" s="1302">
        <f t="shared" si="27"/>
        <v>-15385.381999999992</v>
      </c>
      <c r="K240" s="1302">
        <f t="shared" si="27"/>
        <v>-15385.381999999992</v>
      </c>
      <c r="L240" s="1302">
        <f t="shared" si="27"/>
        <v>-15385.381999999992</v>
      </c>
      <c r="M240" s="1302">
        <f t="shared" si="27"/>
        <v>-15385.381999999992</v>
      </c>
      <c r="N240" s="1302">
        <f t="shared" si="27"/>
        <v>-15385.381999999992</v>
      </c>
      <c r="O240" s="1302">
        <f t="shared" si="27"/>
        <v>-15385.381999999992</v>
      </c>
      <c r="P240" s="1306">
        <f t="shared" si="27"/>
        <v>-15385.381999999992</v>
      </c>
      <c r="Q240" s="1302">
        <f t="shared" si="27"/>
        <v>-15385.381999999992</v>
      </c>
      <c r="R240" s="1302">
        <f t="shared" si="27"/>
        <v>-15385.381999999992</v>
      </c>
      <c r="S240" s="1302">
        <f t="shared" si="27"/>
        <v>-15385.381999999992</v>
      </c>
      <c r="T240" s="1302">
        <f t="shared" si="27"/>
        <v>-15385.381999999992</v>
      </c>
      <c r="U240" s="1302">
        <f t="shared" si="27"/>
        <v>-15385.381999999992</v>
      </c>
      <c r="V240" s="1302">
        <f t="shared" si="27"/>
        <v>-15385.381999999992</v>
      </c>
      <c r="W240" s="1302">
        <f t="shared" si="27"/>
        <v>-24670.034999999993</v>
      </c>
      <c r="X240" s="1302">
        <f t="shared" si="27"/>
        <v>-24670.034999999993</v>
      </c>
      <c r="Y240" s="1302">
        <f t="shared" si="27"/>
        <v>-24670.034999999993</v>
      </c>
      <c r="Z240" s="1302">
        <f t="shared" si="27"/>
        <v>-24670.034999999993</v>
      </c>
      <c r="AA240" s="1302">
        <f t="shared" si="27"/>
        <v>-24670.034999999993</v>
      </c>
      <c r="AB240" s="1302">
        <f t="shared" si="27"/>
        <v>-24670.034999999993</v>
      </c>
      <c r="AC240" s="1302">
        <f t="shared" si="27"/>
        <v>-24670.034999999993</v>
      </c>
      <c r="AD240" s="1302">
        <f t="shared" si="27"/>
        <v>-24670.034999999993</v>
      </c>
      <c r="AE240" s="1302">
        <f t="shared" si="27"/>
        <v>-24670.034999999993</v>
      </c>
      <c r="AF240" s="1302">
        <f t="shared" si="27"/>
        <v>-24670.034999999993</v>
      </c>
      <c r="AG240" s="1302">
        <f t="shared" si="27"/>
        <v>-24670.034999999993</v>
      </c>
      <c r="AH240" s="1207"/>
    </row>
    <row r="241" spans="1:34" ht="13.5" thickBot="1" x14ac:dyDescent="0.25">
      <c r="A241" s="1250"/>
      <c r="B241" s="1307"/>
      <c r="C241" s="1308"/>
      <c r="D241" s="1308"/>
      <c r="E241" s="1308"/>
      <c r="F241" s="1309"/>
      <c r="G241" s="1309"/>
      <c r="H241" s="1309"/>
      <c r="I241" s="1309"/>
      <c r="J241" s="1309"/>
      <c r="K241" s="1309"/>
      <c r="L241" s="1309"/>
      <c r="M241" s="1309"/>
      <c r="N241" s="1309"/>
      <c r="O241" s="1309"/>
      <c r="P241" s="1310"/>
      <c r="Q241" s="1309"/>
      <c r="R241" s="1309"/>
      <c r="S241" s="1309"/>
      <c r="T241" s="1309"/>
      <c r="U241" s="1309"/>
      <c r="V241" s="1309"/>
      <c r="W241" s="1309"/>
      <c r="X241" s="1309"/>
      <c r="Y241" s="1309"/>
      <c r="Z241" s="1309"/>
      <c r="AA241" s="1309"/>
      <c r="AB241" s="1309"/>
      <c r="AC241" s="1309"/>
      <c r="AD241" s="1309"/>
      <c r="AE241" s="1309"/>
      <c r="AF241" s="1309"/>
      <c r="AG241" s="1309"/>
      <c r="AH241" s="1207"/>
    </row>
    <row r="242" spans="1:34" x14ac:dyDescent="0.2">
      <c r="A242" s="1233"/>
      <c r="B242" s="1234"/>
      <c r="C242" s="1297"/>
      <c r="D242" s="1297"/>
      <c r="E242" s="1297"/>
      <c r="F242" s="1298"/>
      <c r="G242" s="1298"/>
      <c r="H242" s="1298"/>
      <c r="I242" s="1298"/>
      <c r="J242" s="1298"/>
      <c r="K242" s="1298"/>
      <c r="L242" s="1298"/>
      <c r="M242" s="1298"/>
      <c r="N242" s="1298"/>
      <c r="O242" s="1298"/>
      <c r="P242" s="1299"/>
      <c r="Q242" s="1298"/>
      <c r="R242" s="1298"/>
      <c r="S242" s="1298"/>
      <c r="T242" s="1298"/>
      <c r="U242" s="1298"/>
      <c r="V242" s="1298"/>
      <c r="W242" s="1298"/>
      <c r="X242" s="1298"/>
      <c r="Y242" s="1298"/>
      <c r="Z242" s="1298"/>
      <c r="AA242" s="1298"/>
      <c r="AB242" s="1298"/>
      <c r="AC242" s="1298"/>
      <c r="AD242" s="1298"/>
      <c r="AE242" s="1298"/>
      <c r="AF242" s="1298"/>
      <c r="AG242" s="1298"/>
      <c r="AH242" s="1207"/>
    </row>
    <row r="243" spans="1:34" x14ac:dyDescent="0.2">
      <c r="A243" s="1236" t="s">
        <v>82</v>
      </c>
      <c r="B243" s="1237"/>
      <c r="C243" s="1302">
        <f t="shared" ref="C243:AG244" si="28">C251</f>
        <v>0</v>
      </c>
      <c r="D243" s="1302">
        <f t="shared" si="28"/>
        <v>0</v>
      </c>
      <c r="E243" s="1302">
        <f t="shared" si="28"/>
        <v>0</v>
      </c>
      <c r="F243" s="1302">
        <f t="shared" si="28"/>
        <v>0</v>
      </c>
      <c r="G243" s="1302">
        <f t="shared" si="28"/>
        <v>0</v>
      </c>
      <c r="H243" s="1302">
        <f t="shared" si="28"/>
        <v>0</v>
      </c>
      <c r="I243" s="1302">
        <f t="shared" si="28"/>
        <v>0</v>
      </c>
      <c r="J243" s="1302">
        <f t="shared" si="28"/>
        <v>0</v>
      </c>
      <c r="K243" s="1302">
        <f t="shared" si="28"/>
        <v>0</v>
      </c>
      <c r="L243" s="1302">
        <f t="shared" si="28"/>
        <v>0</v>
      </c>
      <c r="M243" s="1302">
        <f t="shared" si="28"/>
        <v>0</v>
      </c>
      <c r="N243" s="1302">
        <f t="shared" si="28"/>
        <v>0</v>
      </c>
      <c r="O243" s="1302">
        <f t="shared" si="28"/>
        <v>0</v>
      </c>
      <c r="P243" s="1306">
        <f t="shared" si="28"/>
        <v>0</v>
      </c>
      <c r="Q243" s="1302">
        <f t="shared" si="28"/>
        <v>0</v>
      </c>
      <c r="R243" s="1302">
        <f t="shared" si="28"/>
        <v>0</v>
      </c>
      <c r="S243" s="1302">
        <f t="shared" si="28"/>
        <v>0</v>
      </c>
      <c r="T243" s="1302">
        <f t="shared" si="28"/>
        <v>0</v>
      </c>
      <c r="U243" s="1302">
        <f t="shared" si="28"/>
        <v>0</v>
      </c>
      <c r="V243" s="1302">
        <f t="shared" si="28"/>
        <v>0</v>
      </c>
      <c r="W243" s="1302">
        <f t="shared" si="28"/>
        <v>0</v>
      </c>
      <c r="X243" s="1302">
        <f t="shared" si="28"/>
        <v>0</v>
      </c>
      <c r="Y243" s="1302">
        <f t="shared" si="28"/>
        <v>0</v>
      </c>
      <c r="Z243" s="1302">
        <f t="shared" si="28"/>
        <v>0</v>
      </c>
      <c r="AA243" s="1302">
        <f t="shared" si="28"/>
        <v>0</v>
      </c>
      <c r="AB243" s="1302">
        <f t="shared" si="28"/>
        <v>0</v>
      </c>
      <c r="AC243" s="1302">
        <f t="shared" si="28"/>
        <v>0</v>
      </c>
      <c r="AD243" s="1302">
        <f t="shared" si="28"/>
        <v>0</v>
      </c>
      <c r="AE243" s="1302">
        <f t="shared" si="28"/>
        <v>0</v>
      </c>
      <c r="AF243" s="1302">
        <f t="shared" si="28"/>
        <v>0</v>
      </c>
      <c r="AG243" s="1302">
        <f t="shared" si="28"/>
        <v>0</v>
      </c>
      <c r="AH243" s="1207"/>
    </row>
    <row r="244" spans="1:34" x14ac:dyDescent="0.2">
      <c r="A244" s="1236" t="s">
        <v>83</v>
      </c>
      <c r="B244" s="1237"/>
      <c r="C244" s="1306">
        <f t="shared" si="28"/>
        <v>0</v>
      </c>
      <c r="D244" s="1306">
        <f t="shared" si="28"/>
        <v>0</v>
      </c>
      <c r="E244" s="1306">
        <f t="shared" si="28"/>
        <v>0</v>
      </c>
      <c r="F244" s="1306">
        <f t="shared" si="28"/>
        <v>0</v>
      </c>
      <c r="G244" s="1306">
        <f t="shared" si="28"/>
        <v>0</v>
      </c>
      <c r="H244" s="1306">
        <f t="shared" si="28"/>
        <v>0</v>
      </c>
      <c r="I244" s="1306">
        <f t="shared" si="28"/>
        <v>0</v>
      </c>
      <c r="J244" s="1306">
        <f t="shared" si="28"/>
        <v>0</v>
      </c>
      <c r="K244" s="1306">
        <f t="shared" si="28"/>
        <v>0</v>
      </c>
      <c r="L244" s="1306">
        <f t="shared" si="28"/>
        <v>0</v>
      </c>
      <c r="M244" s="1306">
        <f t="shared" si="28"/>
        <v>0</v>
      </c>
      <c r="N244" s="1306">
        <f t="shared" si="28"/>
        <v>0</v>
      </c>
      <c r="O244" s="1306">
        <f t="shared" si="28"/>
        <v>0</v>
      </c>
      <c r="P244" s="1306">
        <f t="shared" si="28"/>
        <v>0</v>
      </c>
      <c r="Q244" s="1306">
        <f t="shared" si="28"/>
        <v>0</v>
      </c>
      <c r="R244" s="1306">
        <f t="shared" si="28"/>
        <v>0</v>
      </c>
      <c r="S244" s="1306">
        <f t="shared" si="28"/>
        <v>0</v>
      </c>
      <c r="T244" s="1306">
        <f t="shared" si="28"/>
        <v>0</v>
      </c>
      <c r="U244" s="1306">
        <f t="shared" si="28"/>
        <v>0</v>
      </c>
      <c r="V244" s="1306">
        <f t="shared" si="28"/>
        <v>0</v>
      </c>
      <c r="W244" s="1306">
        <f t="shared" si="28"/>
        <v>0</v>
      </c>
      <c r="X244" s="1306">
        <f t="shared" si="28"/>
        <v>0</v>
      </c>
      <c r="Y244" s="1306">
        <f t="shared" si="28"/>
        <v>0</v>
      </c>
      <c r="Z244" s="1306">
        <f t="shared" si="28"/>
        <v>0</v>
      </c>
      <c r="AA244" s="1306">
        <f t="shared" si="28"/>
        <v>0</v>
      </c>
      <c r="AB244" s="1306">
        <f t="shared" si="28"/>
        <v>0</v>
      </c>
      <c r="AC244" s="1306">
        <f t="shared" si="28"/>
        <v>0</v>
      </c>
      <c r="AD244" s="1306">
        <f t="shared" si="28"/>
        <v>0</v>
      </c>
      <c r="AE244" s="1306">
        <f t="shared" si="28"/>
        <v>0</v>
      </c>
      <c r="AF244" s="1306">
        <f t="shared" si="28"/>
        <v>0</v>
      </c>
      <c r="AG244" s="1306">
        <f t="shared" si="28"/>
        <v>0</v>
      </c>
      <c r="AH244" s="1207"/>
    </row>
    <row r="245" spans="1:34" ht="13.5" thickBot="1" x14ac:dyDescent="0.25">
      <c r="A245" s="1250"/>
      <c r="B245" s="1307"/>
      <c r="C245" s="1308"/>
      <c r="D245" s="1308"/>
      <c r="E245" s="1308"/>
      <c r="F245" s="1309"/>
      <c r="G245" s="1309"/>
      <c r="H245" s="1309"/>
      <c r="I245" s="1309"/>
      <c r="J245" s="1309"/>
      <c r="K245" s="1309"/>
      <c r="L245" s="1309"/>
      <c r="M245" s="1309"/>
      <c r="N245" s="1309"/>
      <c r="O245" s="1309"/>
      <c r="P245" s="1310"/>
      <c r="Q245" s="1309"/>
      <c r="R245" s="1309"/>
      <c r="S245" s="1309"/>
      <c r="T245" s="1309"/>
      <c r="U245" s="1309"/>
      <c r="V245" s="1309"/>
      <c r="W245" s="1309"/>
      <c r="X245" s="1309"/>
      <c r="Y245" s="1309"/>
      <c r="Z245" s="1309"/>
      <c r="AA245" s="1309"/>
      <c r="AB245" s="1309"/>
      <c r="AC245" s="1309"/>
      <c r="AD245" s="1309"/>
      <c r="AE245" s="1309"/>
      <c r="AF245" s="1309"/>
      <c r="AG245" s="1309"/>
      <c r="AH245" s="1207"/>
    </row>
    <row r="246" spans="1:34" x14ac:dyDescent="0.2">
      <c r="A246" s="1236"/>
      <c r="B246" s="1237"/>
      <c r="C246" s="1302"/>
      <c r="D246" s="1302"/>
      <c r="E246" s="1302"/>
      <c r="F246" s="1303"/>
      <c r="G246" s="1303"/>
      <c r="H246" s="1303"/>
      <c r="I246" s="1303"/>
      <c r="J246" s="1303"/>
      <c r="K246" s="1303"/>
      <c r="L246" s="1303"/>
      <c r="M246" s="1303"/>
      <c r="N246" s="1303"/>
      <c r="O246" s="1303"/>
      <c r="P246" s="1304"/>
      <c r="Q246" s="1303"/>
      <c r="R246" s="1303"/>
      <c r="S246" s="1303"/>
      <c r="T246" s="1303"/>
      <c r="U246" s="1303"/>
      <c r="V246" s="1303"/>
      <c r="W246" s="1303"/>
      <c r="X246" s="1303"/>
      <c r="Y246" s="1303"/>
      <c r="Z246" s="1303"/>
      <c r="AA246" s="1303"/>
      <c r="AB246" s="1303"/>
      <c r="AC246" s="1303"/>
      <c r="AD246" s="1303"/>
      <c r="AE246" s="1303"/>
      <c r="AF246" s="1303"/>
      <c r="AG246" s="1303"/>
      <c r="AH246" s="1207"/>
    </row>
    <row r="247" spans="1:34" x14ac:dyDescent="0.2">
      <c r="A247" s="1236" t="s">
        <v>14</v>
      </c>
      <c r="B247" s="1237"/>
      <c r="C247" s="1302">
        <f t="shared" ref="C247:AG247" si="29">C240+C243+C244</f>
        <v>-15385.451999999999</v>
      </c>
      <c r="D247" s="1302">
        <f t="shared" si="29"/>
        <v>-15385.451999999999</v>
      </c>
      <c r="E247" s="1302">
        <f t="shared" si="29"/>
        <v>-15385.381999999992</v>
      </c>
      <c r="F247" s="1302">
        <f t="shared" si="29"/>
        <v>-15385.381999999992</v>
      </c>
      <c r="G247" s="1302">
        <f t="shared" si="29"/>
        <v>-15385.381999999992</v>
      </c>
      <c r="H247" s="1302">
        <f t="shared" si="29"/>
        <v>-15385.381999999992</v>
      </c>
      <c r="I247" s="1302">
        <f t="shared" si="29"/>
        <v>-15385.381999999992</v>
      </c>
      <c r="J247" s="1302">
        <f t="shared" si="29"/>
        <v>-15385.381999999992</v>
      </c>
      <c r="K247" s="1302">
        <f t="shared" si="29"/>
        <v>-15385.381999999992</v>
      </c>
      <c r="L247" s="1302">
        <f t="shared" si="29"/>
        <v>-15385.381999999992</v>
      </c>
      <c r="M247" s="1302">
        <f t="shared" si="29"/>
        <v>-15385.381999999992</v>
      </c>
      <c r="N247" s="1302">
        <f t="shared" si="29"/>
        <v>-15385.381999999992</v>
      </c>
      <c r="O247" s="1302">
        <f t="shared" si="29"/>
        <v>-15385.381999999992</v>
      </c>
      <c r="P247" s="1306">
        <f t="shared" si="29"/>
        <v>-15385.381999999992</v>
      </c>
      <c r="Q247" s="1302">
        <f t="shared" si="29"/>
        <v>-15385.381999999992</v>
      </c>
      <c r="R247" s="1302">
        <f t="shared" si="29"/>
        <v>-15385.381999999992</v>
      </c>
      <c r="S247" s="1302">
        <f t="shared" si="29"/>
        <v>-15385.381999999992</v>
      </c>
      <c r="T247" s="1302">
        <f t="shared" si="29"/>
        <v>-15385.381999999992</v>
      </c>
      <c r="U247" s="1302">
        <f t="shared" si="29"/>
        <v>-15385.381999999992</v>
      </c>
      <c r="V247" s="1302">
        <f t="shared" si="29"/>
        <v>-15385.381999999992</v>
      </c>
      <c r="W247" s="1302">
        <f t="shared" si="29"/>
        <v>-24670.034999999993</v>
      </c>
      <c r="X247" s="1302">
        <f t="shared" si="29"/>
        <v>-24670.034999999993</v>
      </c>
      <c r="Y247" s="1302">
        <f t="shared" si="29"/>
        <v>-24670.034999999993</v>
      </c>
      <c r="Z247" s="1302">
        <f t="shared" si="29"/>
        <v>-24670.034999999993</v>
      </c>
      <c r="AA247" s="1302">
        <f t="shared" si="29"/>
        <v>-24670.034999999993</v>
      </c>
      <c r="AB247" s="1302">
        <f t="shared" si="29"/>
        <v>-24670.034999999993</v>
      </c>
      <c r="AC247" s="1302">
        <f t="shared" si="29"/>
        <v>-24670.034999999993</v>
      </c>
      <c r="AD247" s="1302">
        <f t="shared" si="29"/>
        <v>-24670.034999999993</v>
      </c>
      <c r="AE247" s="1302">
        <f t="shared" si="29"/>
        <v>-24670.034999999993</v>
      </c>
      <c r="AF247" s="1302">
        <f t="shared" si="29"/>
        <v>-24670.034999999993</v>
      </c>
      <c r="AG247" s="1302">
        <f t="shared" si="29"/>
        <v>-24670.034999999993</v>
      </c>
      <c r="AH247" s="1207"/>
    </row>
    <row r="248" spans="1:34" x14ac:dyDescent="0.2">
      <c r="A248" s="1236"/>
      <c r="B248" s="1237"/>
      <c r="C248" s="1302"/>
      <c r="D248" s="1302"/>
      <c r="E248" s="1302"/>
      <c r="F248" s="1303"/>
      <c r="G248" s="1303"/>
      <c r="H248" s="1303"/>
      <c r="I248" s="1303"/>
      <c r="J248" s="1303"/>
      <c r="K248" s="1303"/>
      <c r="L248" s="1303"/>
      <c r="M248" s="1303"/>
      <c r="N248" s="1303"/>
      <c r="O248" s="1303"/>
      <c r="P248" s="1304"/>
      <c r="Q248" s="1303"/>
      <c r="R248" s="1303"/>
      <c r="S248" s="1303"/>
      <c r="T248" s="1303"/>
      <c r="U248" s="1303"/>
      <c r="V248" s="1303"/>
      <c r="W248" s="1303"/>
      <c r="X248" s="1303"/>
      <c r="Y248" s="1303"/>
      <c r="Z248" s="1303"/>
      <c r="AA248" s="1303"/>
      <c r="AB248" s="1303"/>
      <c r="AC248" s="1303"/>
      <c r="AD248" s="1303"/>
      <c r="AE248" s="1303"/>
      <c r="AF248" s="1303"/>
      <c r="AG248" s="1303"/>
      <c r="AH248" s="1207"/>
    </row>
    <row r="249" spans="1:34" ht="13.5" thickBot="1" x14ac:dyDescent="0.25">
      <c r="A249" s="1250"/>
      <c r="B249" s="1307"/>
      <c r="C249" s="1312"/>
      <c r="D249" s="1312"/>
      <c r="E249" s="1312"/>
      <c r="F249" s="1313"/>
      <c r="G249" s="1313"/>
      <c r="H249" s="1313"/>
      <c r="I249" s="1313"/>
      <c r="J249" s="1313"/>
      <c r="K249" s="1313"/>
      <c r="L249" s="1313"/>
      <c r="M249" s="1313"/>
      <c r="N249" s="1313"/>
      <c r="O249" s="1313"/>
      <c r="P249" s="1314"/>
      <c r="Q249" s="1313"/>
      <c r="R249" s="1313"/>
      <c r="S249" s="1313"/>
      <c r="T249" s="1313"/>
      <c r="U249" s="1313"/>
      <c r="V249" s="1313"/>
      <c r="W249" s="1313"/>
      <c r="X249" s="1313"/>
      <c r="Y249" s="1313"/>
      <c r="Z249" s="1313"/>
      <c r="AA249" s="1313"/>
      <c r="AB249" s="1313"/>
      <c r="AC249" s="1313"/>
      <c r="AD249" s="1313"/>
      <c r="AE249" s="1313"/>
      <c r="AF249" s="1313"/>
      <c r="AG249" s="1313"/>
      <c r="AH249" s="1207"/>
    </row>
    <row r="250" spans="1:34" x14ac:dyDescent="0.2">
      <c r="A250" s="1316"/>
      <c r="B250" s="1207"/>
      <c r="C250" s="1227"/>
      <c r="D250" s="1227"/>
      <c r="E250" s="1227"/>
      <c r="F250" s="1227"/>
      <c r="G250" s="1227"/>
      <c r="H250" s="1227"/>
      <c r="I250" s="1227"/>
      <c r="J250" s="1227"/>
      <c r="K250" s="1227"/>
      <c r="L250" s="1227"/>
      <c r="M250" s="1227"/>
      <c r="N250" s="1227"/>
      <c r="O250" s="1227"/>
      <c r="P250" s="1229"/>
      <c r="Q250" s="1227"/>
      <c r="R250" s="1227"/>
      <c r="S250" s="1227"/>
      <c r="T250" s="1227"/>
      <c r="U250" s="1227"/>
      <c r="V250" s="1227"/>
      <c r="W250" s="1227"/>
      <c r="X250" s="1227"/>
      <c r="Y250" s="1227"/>
      <c r="Z250" s="1227"/>
      <c r="AA250" s="1227"/>
      <c r="AB250" s="1227"/>
      <c r="AC250" s="1227"/>
      <c r="AD250" s="1227"/>
      <c r="AE250" s="1227"/>
      <c r="AF250" s="1227"/>
      <c r="AG250" s="1227"/>
      <c r="AH250" s="1227">
        <f>SUM(C250:AG250)</f>
        <v>0</v>
      </c>
    </row>
    <row r="251" spans="1:34" x14ac:dyDescent="0.2">
      <c r="A251" s="1316"/>
      <c r="B251" s="1207"/>
      <c r="C251" s="1219"/>
      <c r="D251" s="1219"/>
      <c r="E251" s="1219"/>
      <c r="F251" s="1219"/>
      <c r="G251" s="1220"/>
      <c r="H251" s="1219"/>
      <c r="I251" s="1219"/>
      <c r="J251" s="1219"/>
      <c r="K251" s="1219"/>
      <c r="L251" s="1220"/>
      <c r="M251" s="1220"/>
      <c r="N251" s="1221"/>
      <c r="O251" s="1220"/>
      <c r="P251" s="1221"/>
      <c r="Q251" s="1219"/>
      <c r="R251" s="1219"/>
      <c r="S251" s="1219"/>
      <c r="T251" s="1219"/>
      <c r="U251" s="1219"/>
      <c r="V251" s="1221"/>
      <c r="W251" s="1219"/>
      <c r="X251" s="1219"/>
      <c r="Y251" s="1219"/>
      <c r="Z251" s="1219"/>
      <c r="AA251" s="1384"/>
      <c r="AB251" s="1219"/>
      <c r="AC251" s="1219"/>
      <c r="AD251" s="1220"/>
      <c r="AE251" s="1219"/>
      <c r="AF251" s="1221"/>
      <c r="AG251" s="1219"/>
      <c r="AH251" s="1345"/>
    </row>
    <row r="252" spans="1:34" x14ac:dyDescent="0.2">
      <c r="A252" s="1207"/>
      <c r="B252" s="1207"/>
      <c r="C252" s="1207"/>
      <c r="D252" s="1219"/>
      <c r="E252" s="1347"/>
      <c r="F252" s="1207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8"/>
      <c r="Q252" s="1227"/>
      <c r="R252" s="1207"/>
      <c r="S252" s="1345"/>
      <c r="T252" s="1207"/>
      <c r="U252" s="1207"/>
      <c r="V252" s="1207"/>
      <c r="W252" s="1207"/>
      <c r="X252" s="1207"/>
      <c r="Y252" s="1345"/>
      <c r="Z252" s="1345"/>
      <c r="AA252" s="1345"/>
      <c r="AB252" s="1345"/>
      <c r="AC252" s="1345"/>
      <c r="AD252" s="1345"/>
      <c r="AE252" s="1345"/>
      <c r="AF252" s="1345"/>
      <c r="AG252" s="1345"/>
      <c r="AH252" s="1227">
        <f>SUM(C252:AG252)</f>
        <v>0</v>
      </c>
    </row>
    <row r="253" spans="1:34" x14ac:dyDescent="0.2">
      <c r="A253" s="1210" t="s">
        <v>415</v>
      </c>
      <c r="B253" s="1215">
        <f>B254+B255+B257</f>
        <v>425000</v>
      </c>
      <c r="C253" s="1207"/>
      <c r="D253" s="1207"/>
      <c r="E253" s="1207"/>
      <c r="F253" s="1207"/>
      <c r="G253" s="1207"/>
      <c r="H253" s="1207"/>
      <c r="I253" s="1207"/>
      <c r="J253" s="1207"/>
      <c r="K253" s="1392"/>
      <c r="L253" s="1207"/>
      <c r="M253" s="1207"/>
      <c r="N253" s="1207"/>
      <c r="O253" s="1207"/>
      <c r="P253" s="1208"/>
      <c r="Q253" s="1207"/>
      <c r="R253" s="1207"/>
      <c r="S253" s="1207"/>
      <c r="T253" s="1207"/>
      <c r="U253" s="1207"/>
      <c r="V253" s="1207"/>
      <c r="W253" s="1207"/>
      <c r="X253" s="1207"/>
      <c r="Y253" s="1207"/>
      <c r="Z253" s="1207"/>
      <c r="AA253" s="1384"/>
      <c r="AB253" s="1207"/>
      <c r="AC253" s="1207"/>
      <c r="AD253" s="1207"/>
      <c r="AE253" s="1207"/>
      <c r="AF253" s="1207"/>
      <c r="AG253" s="1207"/>
      <c r="AH253" s="1207"/>
    </row>
    <row r="254" spans="1:34" x14ac:dyDescent="0.2">
      <c r="A254" s="1365" t="s">
        <v>414</v>
      </c>
      <c r="B254" s="1219">
        <v>25000</v>
      </c>
      <c r="C254" s="1207"/>
      <c r="D254" s="1207"/>
      <c r="E254" s="1227"/>
      <c r="F254" s="1227"/>
      <c r="G254" s="1227"/>
      <c r="H254" s="1207"/>
      <c r="I254" s="1207"/>
      <c r="J254" s="1207"/>
      <c r="K254" s="1207"/>
      <c r="L254" s="1207"/>
      <c r="M254" s="1207"/>
      <c r="N254" s="1207"/>
      <c r="O254" s="1207"/>
      <c r="P254" s="1208"/>
      <c r="Q254" s="1207"/>
      <c r="R254" s="1207"/>
      <c r="S254" s="1207"/>
      <c r="T254" s="1207"/>
      <c r="U254" s="1227"/>
      <c r="V254" s="1207"/>
      <c r="W254" s="1207"/>
      <c r="X254" s="1207"/>
      <c r="Y254" s="1207"/>
      <c r="Z254" s="1207"/>
      <c r="AA254" s="1354"/>
      <c r="AB254" s="1207"/>
      <c r="AC254" s="1207"/>
      <c r="AD254" s="1207"/>
      <c r="AE254" s="1207"/>
      <c r="AF254" s="1207"/>
      <c r="AG254" s="1227"/>
      <c r="AH254" s="1207"/>
    </row>
    <row r="255" spans="1:34" x14ac:dyDescent="0.2">
      <c r="A255" s="1365" t="s">
        <v>287</v>
      </c>
      <c r="B255" s="1219">
        <v>300000</v>
      </c>
      <c r="C255" s="1207"/>
      <c r="D255" s="1207"/>
      <c r="E255" s="1207"/>
      <c r="F255" s="1207"/>
      <c r="G255" s="1207"/>
      <c r="H255" s="1207"/>
      <c r="I255" s="1207"/>
      <c r="J255" s="1207"/>
      <c r="K255" s="1207"/>
      <c r="L255" s="1207"/>
      <c r="M255" s="1207"/>
      <c r="N255" s="1207"/>
      <c r="O255" s="1207"/>
      <c r="P255" s="1208"/>
      <c r="Q255" s="1207"/>
      <c r="R255" s="1207"/>
      <c r="S255" s="1207"/>
      <c r="T255" s="1207"/>
      <c r="U255" s="1227"/>
      <c r="V255" s="1207"/>
      <c r="W255" s="1207"/>
      <c r="X255" s="1207"/>
      <c r="Y255" s="1207"/>
      <c r="Z255" s="1207"/>
      <c r="AA255" s="1207"/>
      <c r="AB255" s="1207"/>
      <c r="AC255" s="1207"/>
      <c r="AD255" s="1207"/>
      <c r="AE255" s="1207"/>
      <c r="AF255" s="1392"/>
      <c r="AG255" s="1207"/>
      <c r="AH255" s="1207"/>
    </row>
    <row r="256" spans="1:34" x14ac:dyDescent="0.2">
      <c r="A256" s="1316" t="s">
        <v>413</v>
      </c>
      <c r="B256" s="1219"/>
      <c r="C256" s="1207"/>
      <c r="D256" s="1207"/>
      <c r="E256" s="1207"/>
      <c r="F256" s="1207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8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07"/>
      <c r="AA256" s="1207"/>
      <c r="AB256" s="1207"/>
      <c r="AC256" s="1207"/>
      <c r="AD256" s="1207"/>
      <c r="AE256" s="1207"/>
      <c r="AF256" s="1207"/>
      <c r="AG256" s="1207"/>
      <c r="AH256" s="1207"/>
    </row>
    <row r="257" spans="1:34" x14ac:dyDescent="0.2">
      <c r="A257" s="1316" t="s">
        <v>441</v>
      </c>
      <c r="B257" s="1219">
        <v>100000</v>
      </c>
      <c r="C257" s="1207"/>
      <c r="D257" s="1207"/>
      <c r="E257" s="1207"/>
      <c r="F257" s="1207"/>
      <c r="G257" s="1207"/>
      <c r="H257" s="1207"/>
      <c r="I257" s="1207"/>
      <c r="J257" s="1207"/>
      <c r="K257" s="1207"/>
      <c r="L257" s="1207"/>
      <c r="M257" s="1207"/>
      <c r="N257" s="1207"/>
      <c r="O257" s="1207"/>
      <c r="P257" s="1208"/>
      <c r="Q257" s="1207"/>
      <c r="R257" s="1207"/>
      <c r="S257" s="1207"/>
      <c r="T257" s="1207"/>
      <c r="U257" s="1207"/>
      <c r="V257" s="1207"/>
      <c r="W257" s="1207"/>
      <c r="X257" s="1207"/>
      <c r="Y257" s="1207"/>
      <c r="Z257" s="1207"/>
      <c r="AA257" s="1207"/>
      <c r="AB257" s="1207"/>
      <c r="AC257" s="1207"/>
      <c r="AD257" s="1207"/>
      <c r="AE257" s="1207"/>
      <c r="AF257" s="1207"/>
      <c r="AG257" s="1207"/>
      <c r="AH257" s="1207"/>
    </row>
    <row r="258" spans="1:34" x14ac:dyDescent="0.2">
      <c r="A258" s="1207"/>
      <c r="B258" s="1207"/>
      <c r="C258" s="1207"/>
      <c r="D258" s="1207"/>
      <c r="E258" s="1207"/>
      <c r="F258" s="1207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8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07"/>
      <c r="AA258" s="1207"/>
      <c r="AB258" s="1207"/>
      <c r="AC258" s="1207"/>
      <c r="AD258" s="1207"/>
      <c r="AE258" s="1207"/>
      <c r="AF258" s="1207"/>
      <c r="AG258" s="1207"/>
      <c r="AH258" s="1207"/>
    </row>
    <row r="259" spans="1:34" x14ac:dyDescent="0.2">
      <c r="A259" s="1207"/>
      <c r="B259" s="1207"/>
      <c r="C259" s="1207"/>
      <c r="D259" s="1207"/>
      <c r="E259" s="1207"/>
      <c r="F259" s="1207"/>
      <c r="G259" s="1207"/>
      <c r="H259" s="1207"/>
      <c r="I259" s="1207"/>
      <c r="J259" s="1207"/>
      <c r="K259" s="1207"/>
      <c r="L259" s="1207"/>
      <c r="M259" s="1207"/>
      <c r="N259" s="1207"/>
      <c r="O259" s="1207"/>
      <c r="P259" s="1208"/>
      <c r="Q259" s="1207"/>
      <c r="R259" s="1207"/>
      <c r="S259" s="1207"/>
      <c r="T259" s="1207"/>
      <c r="U259" s="1207"/>
      <c r="V259" s="1207"/>
      <c r="W259" s="1207"/>
      <c r="X259" s="1207"/>
      <c r="Y259" s="1207"/>
      <c r="Z259" s="1207"/>
      <c r="AA259" s="1207"/>
      <c r="AB259" s="1207"/>
      <c r="AC259" s="1207"/>
      <c r="AD259" s="1207"/>
      <c r="AE259" s="1207"/>
      <c r="AF259" s="1207"/>
      <c r="AG259" s="1207"/>
      <c r="AH259" s="1207"/>
    </row>
    <row r="260" spans="1:34" ht="13.5" thickBot="1" x14ac:dyDescent="0.25">
      <c r="A260" s="1207"/>
      <c r="B260" s="1207"/>
      <c r="C260" s="1207"/>
      <c r="D260" s="1207"/>
      <c r="E260" s="1207"/>
      <c r="F260" s="1207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8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1207"/>
      <c r="AD260" s="1207"/>
      <c r="AE260" s="1207"/>
      <c r="AF260" s="1207"/>
      <c r="AG260" s="1207"/>
      <c r="AH260" s="1207"/>
    </row>
    <row r="261" spans="1:34" x14ac:dyDescent="0.2">
      <c r="A261" s="1233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34"/>
      <c r="O261" s="1234"/>
      <c r="P261" s="1235"/>
      <c r="Q261" s="1234"/>
      <c r="R261" s="1234"/>
      <c r="S261" s="1234"/>
      <c r="T261" s="1234"/>
      <c r="U261" s="1234"/>
      <c r="V261" s="1234"/>
      <c r="W261" s="1234"/>
      <c r="X261" s="1234"/>
      <c r="Y261" s="1234"/>
      <c r="Z261" s="1234"/>
      <c r="AA261" s="1234"/>
      <c r="AB261" s="1234"/>
      <c r="AC261" s="1234"/>
      <c r="AD261" s="1234"/>
      <c r="AE261" s="1234"/>
      <c r="AF261" s="1234"/>
      <c r="AG261" s="1234"/>
      <c r="AH261" s="1207"/>
    </row>
    <row r="262" spans="1:34" x14ac:dyDescent="0.2">
      <c r="A262" s="1236"/>
      <c r="B262" s="1237" t="s">
        <v>37</v>
      </c>
      <c r="C262" s="1237"/>
      <c r="D262" s="1237"/>
      <c r="E262" s="1238" t="s">
        <v>823</v>
      </c>
      <c r="F262" s="1239" t="s">
        <v>340</v>
      </c>
      <c r="G262" s="1526"/>
      <c r="H262" s="1239"/>
      <c r="I262" s="1239"/>
      <c r="J262" s="1239"/>
      <c r="K262" s="1239"/>
      <c r="L262" s="1239"/>
      <c r="M262" s="1239"/>
      <c r="N262" s="1239"/>
      <c r="O262" s="1239"/>
      <c r="P262" s="1240"/>
      <c r="Q262" s="1239"/>
      <c r="R262" s="1239"/>
      <c r="S262" s="1239"/>
      <c r="T262" s="1239"/>
      <c r="U262" s="1239"/>
      <c r="V262" s="1239"/>
      <c r="W262" s="1239"/>
      <c r="X262" s="1239"/>
      <c r="Y262" s="1239"/>
      <c r="Z262" s="1239"/>
      <c r="AA262" s="1239"/>
      <c r="AB262" s="1239"/>
      <c r="AC262" s="1239"/>
      <c r="AD262" s="1239"/>
      <c r="AE262" s="1239"/>
      <c r="AF262" s="1239"/>
      <c r="AG262" s="1239"/>
      <c r="AH262" s="1207"/>
    </row>
    <row r="263" spans="1:34" x14ac:dyDescent="0.2">
      <c r="A263" s="1236"/>
      <c r="B263" s="1237"/>
      <c r="C263" s="1237"/>
      <c r="D263" s="1237"/>
      <c r="E263" s="1237"/>
      <c r="F263" s="1237"/>
      <c r="G263" s="1237"/>
      <c r="H263" s="1237"/>
      <c r="I263" s="1237"/>
      <c r="J263" s="1237"/>
      <c r="K263" s="1237"/>
      <c r="L263" s="1237"/>
      <c r="M263" s="1237"/>
      <c r="N263" s="1237"/>
      <c r="O263" s="1237"/>
      <c r="P263" s="1241"/>
      <c r="Q263" s="1237"/>
      <c r="R263" s="1237"/>
      <c r="S263" s="1237"/>
      <c r="T263" s="1237"/>
      <c r="U263" s="1237"/>
      <c r="V263" s="1237"/>
      <c r="W263" s="1237"/>
      <c r="X263" s="1237"/>
      <c r="Y263" s="1237"/>
      <c r="Z263" s="1237"/>
      <c r="AA263" s="1237"/>
      <c r="AB263" s="1237"/>
      <c r="AC263" s="1237"/>
      <c r="AD263" s="1237"/>
      <c r="AE263" s="1237"/>
      <c r="AF263" s="1237"/>
      <c r="AG263" s="1237"/>
      <c r="AH263" s="1207"/>
    </row>
    <row r="264" spans="1:34" x14ac:dyDescent="0.2">
      <c r="A264" s="1236"/>
      <c r="B264" s="1237"/>
      <c r="C264" s="1239"/>
      <c r="D264" s="1239">
        <v>42560</v>
      </c>
      <c r="E264" s="1237"/>
      <c r="F264" s="1237"/>
      <c r="G264" s="1237"/>
      <c r="H264" s="1237"/>
      <c r="I264" s="1237"/>
      <c r="J264" s="1237"/>
      <c r="K264" s="1237"/>
      <c r="L264" s="1237"/>
      <c r="M264" s="1237"/>
      <c r="N264" s="1237"/>
      <c r="O264" s="1237"/>
      <c r="P264" s="1241"/>
      <c r="Q264" s="1237"/>
      <c r="R264" s="1237"/>
      <c r="S264" s="1237"/>
      <c r="T264" s="1237"/>
      <c r="U264" s="1237"/>
      <c r="V264" s="1237"/>
      <c r="W264" s="1237"/>
      <c r="X264" s="1237"/>
      <c r="Y264" s="1237"/>
      <c r="Z264" s="1237"/>
      <c r="AA264" s="1237"/>
      <c r="AB264" s="1237"/>
      <c r="AC264" s="1237"/>
      <c r="AD264" s="1237"/>
      <c r="AE264" s="1237"/>
      <c r="AF264" s="1237"/>
      <c r="AG264" s="1237"/>
      <c r="AH264" s="1207"/>
    </row>
    <row r="265" spans="1:34" x14ac:dyDescent="0.2">
      <c r="A265" s="1236"/>
      <c r="B265" s="1237"/>
      <c r="C265" s="1239"/>
      <c r="D265" s="1239"/>
      <c r="E265" s="1237"/>
      <c r="F265" s="1237"/>
      <c r="G265" s="1237"/>
      <c r="H265" s="1237"/>
      <c r="I265" s="1237"/>
      <c r="J265" s="1237"/>
      <c r="K265" s="1237"/>
      <c r="L265" s="1237"/>
      <c r="M265" s="1237"/>
      <c r="N265" s="1237"/>
      <c r="O265" s="1237"/>
      <c r="P265" s="1241"/>
      <c r="Q265" s="1237"/>
      <c r="R265" s="1237"/>
      <c r="S265" s="1237"/>
      <c r="T265" s="1237"/>
      <c r="U265" s="1237"/>
      <c r="V265" s="1237"/>
      <c r="W265" s="1237"/>
      <c r="X265" s="1237"/>
      <c r="Y265" s="1237"/>
      <c r="Z265" s="1237"/>
      <c r="AA265" s="1237"/>
      <c r="AB265" s="1237"/>
      <c r="AC265" s="1237"/>
      <c r="AD265" s="1237"/>
      <c r="AE265" s="1237"/>
      <c r="AF265" s="1237"/>
      <c r="AG265" s="1237"/>
      <c r="AH265" s="1207"/>
    </row>
    <row r="266" spans="1:34" ht="13.5" thickBot="1" x14ac:dyDescent="0.25">
      <c r="A266" s="1236"/>
      <c r="B266" s="1237"/>
      <c r="C266" s="1237"/>
      <c r="D266" s="1237"/>
      <c r="E266" s="1237"/>
      <c r="F266" s="1237"/>
      <c r="G266" s="1237"/>
      <c r="H266" s="1237"/>
      <c r="I266" s="1237"/>
      <c r="J266" s="1237"/>
      <c r="K266" s="1237"/>
      <c r="L266" s="1237"/>
      <c r="M266" s="1237"/>
      <c r="N266" s="1237"/>
      <c r="O266" s="1237"/>
      <c r="P266" s="1241"/>
      <c r="Q266" s="1237"/>
      <c r="R266" s="1237"/>
      <c r="S266" s="1237"/>
      <c r="T266" s="1237"/>
      <c r="U266" s="1237"/>
      <c r="V266" s="1237"/>
      <c r="W266" s="1237"/>
      <c r="X266" s="1237"/>
      <c r="Y266" s="1237"/>
      <c r="Z266" s="1237"/>
      <c r="AA266" s="1237"/>
      <c r="AB266" s="1237"/>
      <c r="AC266" s="1237"/>
      <c r="AD266" s="1237"/>
      <c r="AE266" s="1237"/>
      <c r="AF266" s="1237"/>
      <c r="AG266" s="1237"/>
      <c r="AH266" s="1207"/>
    </row>
    <row r="267" spans="1:34" ht="13.5" thickBot="1" x14ac:dyDescent="0.25">
      <c r="A267" s="1236"/>
      <c r="B267" s="1237"/>
      <c r="C267" s="1243"/>
      <c r="D267" s="1244" t="s">
        <v>16</v>
      </c>
      <c r="E267" s="1244"/>
      <c r="F267" s="1244"/>
      <c r="G267" s="1244"/>
      <c r="H267" s="1244"/>
      <c r="I267" s="1244"/>
      <c r="J267" s="1244"/>
      <c r="K267" s="1244"/>
      <c r="L267" s="1244"/>
      <c r="M267" s="1244"/>
      <c r="N267" s="1244"/>
      <c r="O267" s="1244"/>
      <c r="P267" s="1245"/>
      <c r="Q267" s="1244"/>
      <c r="R267" s="1244"/>
      <c r="S267" s="1244"/>
      <c r="T267" s="1244"/>
      <c r="U267" s="1244"/>
      <c r="V267" s="1244"/>
      <c r="W267" s="1244"/>
      <c r="X267" s="1244"/>
      <c r="Y267" s="1244"/>
      <c r="Z267" s="1244"/>
      <c r="AA267" s="1244"/>
      <c r="AB267" s="1244"/>
      <c r="AC267" s="1244"/>
      <c r="AD267" s="1244"/>
      <c r="AE267" s="1244"/>
      <c r="AF267" s="1244"/>
      <c r="AG267" s="1244"/>
      <c r="AH267" s="1207"/>
    </row>
    <row r="268" spans="1:34" ht="13.5" thickBot="1" x14ac:dyDescent="0.25">
      <c r="A268" s="1236"/>
      <c r="B268" s="1237"/>
      <c r="C268" s="1246" t="s">
        <v>452</v>
      </c>
      <c r="D268" s="1246" t="s">
        <v>453</v>
      </c>
      <c r="E268" s="1246" t="s">
        <v>434</v>
      </c>
      <c r="F268" s="1246" t="s">
        <v>390</v>
      </c>
      <c r="G268" s="1246" t="s">
        <v>454</v>
      </c>
      <c r="H268" s="1246" t="s">
        <v>455</v>
      </c>
      <c r="I268" s="1246" t="s">
        <v>456</v>
      </c>
      <c r="J268" s="1246" t="s">
        <v>457</v>
      </c>
      <c r="K268" s="1246" t="s">
        <v>458</v>
      </c>
      <c r="L268" s="1246" t="s">
        <v>216</v>
      </c>
      <c r="M268" s="1246" t="s">
        <v>459</v>
      </c>
      <c r="N268" s="1246" t="s">
        <v>297</v>
      </c>
      <c r="O268" s="1246" t="s">
        <v>211</v>
      </c>
      <c r="P268" s="1247" t="s">
        <v>270</v>
      </c>
      <c r="Q268" s="1246">
        <v>15</v>
      </c>
      <c r="R268" s="1246">
        <v>16</v>
      </c>
      <c r="S268" s="1246" t="s">
        <v>461</v>
      </c>
      <c r="T268" s="1246" t="s">
        <v>442</v>
      </c>
      <c r="U268" s="1246" t="s">
        <v>462</v>
      </c>
      <c r="V268" s="1246" t="s">
        <v>470</v>
      </c>
      <c r="W268" s="1246" t="s">
        <v>471</v>
      </c>
      <c r="X268" s="1246" t="s">
        <v>472</v>
      </c>
      <c r="Y268" s="1246" t="s">
        <v>463</v>
      </c>
      <c r="Z268" s="1246" t="s">
        <v>465</v>
      </c>
      <c r="AA268" s="1246" t="s">
        <v>466</v>
      </c>
      <c r="AB268" s="1246" t="s">
        <v>435</v>
      </c>
      <c r="AC268" s="1246" t="s">
        <v>467</v>
      </c>
      <c r="AD268" s="1246" t="s">
        <v>464</v>
      </c>
      <c r="AE268" s="1246" t="s">
        <v>429</v>
      </c>
      <c r="AF268" s="1246" t="s">
        <v>149</v>
      </c>
      <c r="AG268" s="1246" t="s">
        <v>210</v>
      </c>
      <c r="AH268" s="1207"/>
    </row>
    <row r="269" spans="1:34" x14ac:dyDescent="0.2">
      <c r="A269" s="1233"/>
      <c r="B269" s="1248"/>
      <c r="C269" s="1237"/>
      <c r="D269" s="1237"/>
      <c r="E269" s="1237"/>
      <c r="F269" s="1237"/>
      <c r="G269" s="1237"/>
      <c r="H269" s="1237"/>
      <c r="I269" s="1237"/>
      <c r="J269" s="1237"/>
      <c r="K269" s="1237"/>
      <c r="L269" s="1237"/>
      <c r="M269" s="1237"/>
      <c r="N269" s="1237"/>
      <c r="O269" s="1237"/>
      <c r="P269" s="1241"/>
      <c r="Q269" s="1237"/>
      <c r="R269" s="1237"/>
      <c r="S269" s="1237"/>
      <c r="T269" s="1237"/>
      <c r="U269" s="1237"/>
      <c r="V269" s="1237"/>
      <c r="W269" s="1237"/>
      <c r="X269" s="1237"/>
      <c r="Y269" s="1237"/>
      <c r="Z269" s="1237"/>
      <c r="AA269" s="1237"/>
      <c r="AB269" s="1237"/>
      <c r="AC269" s="1237"/>
      <c r="AD269" s="1237"/>
      <c r="AE269" s="1237"/>
      <c r="AF269" s="1237"/>
      <c r="AG269" s="1237"/>
      <c r="AH269" s="1207"/>
    </row>
    <row r="270" spans="1:34" x14ac:dyDescent="0.2">
      <c r="A270" s="1236" t="s">
        <v>0</v>
      </c>
      <c r="B270" s="1249">
        <v>-17711.929</v>
      </c>
      <c r="C270" s="1237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41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07"/>
    </row>
    <row r="271" spans="1:34" ht="13.5" thickBot="1" x14ac:dyDescent="0.25">
      <c r="A271" s="1250"/>
      <c r="B271" s="1251"/>
      <c r="C271" s="1237"/>
      <c r="D271" s="1237"/>
      <c r="E271" s="1237"/>
      <c r="F271" s="1237"/>
      <c r="G271" s="1237"/>
      <c r="H271" s="1237"/>
      <c r="I271" s="1237"/>
      <c r="J271" s="1237"/>
      <c r="K271" s="1237"/>
      <c r="L271" s="1237"/>
      <c r="M271" s="1237"/>
      <c r="N271" s="1237"/>
      <c r="O271" s="1237"/>
      <c r="P271" s="1241"/>
      <c r="Q271" s="1237"/>
      <c r="R271" s="1237"/>
      <c r="S271" s="1237"/>
      <c r="T271" s="1237"/>
      <c r="U271" s="1237"/>
      <c r="V271" s="1237"/>
      <c r="W271" s="1237"/>
      <c r="X271" s="1237"/>
      <c r="Y271" s="1237"/>
      <c r="Z271" s="1237"/>
      <c r="AA271" s="1237"/>
      <c r="AB271" s="1237"/>
      <c r="AC271" s="1237"/>
      <c r="AD271" s="1237"/>
      <c r="AE271" s="1237"/>
      <c r="AF271" s="1237"/>
      <c r="AG271" s="1237"/>
      <c r="AH271" s="1207"/>
    </row>
    <row r="272" spans="1:34" x14ac:dyDescent="0.2">
      <c r="A272" s="1233"/>
      <c r="B272" s="1253"/>
      <c r="C272" s="1237"/>
      <c r="D272" s="1237"/>
      <c r="E272" s="1237"/>
      <c r="F272" s="1237"/>
      <c r="G272" s="1237"/>
      <c r="H272" s="1237"/>
      <c r="I272" s="1237"/>
      <c r="J272" s="1237"/>
      <c r="K272" s="1237"/>
      <c r="L272" s="1237"/>
      <c r="M272" s="1237"/>
      <c r="N272" s="1237"/>
      <c r="O272" s="1237"/>
      <c r="P272" s="1241"/>
      <c r="Q272" s="1237"/>
      <c r="R272" s="1237"/>
      <c r="S272" s="1237"/>
      <c r="T272" s="1237"/>
      <c r="U272" s="1237"/>
      <c r="V272" s="1237"/>
      <c r="W272" s="1237"/>
      <c r="X272" s="1237"/>
      <c r="Y272" s="1237"/>
      <c r="Z272" s="1237"/>
      <c r="AA272" s="1237"/>
      <c r="AB272" s="1237"/>
      <c r="AC272" s="1237"/>
      <c r="AD272" s="1237"/>
      <c r="AE272" s="1237"/>
      <c r="AF272" s="1237"/>
      <c r="AG272" s="1237"/>
      <c r="AH272" s="1207"/>
    </row>
    <row r="273" spans="1:34" x14ac:dyDescent="0.2">
      <c r="A273" s="1236" t="s">
        <v>1</v>
      </c>
      <c r="B273" s="1249">
        <f>B274+B275+B276</f>
        <v>0</v>
      </c>
      <c r="C273" s="1237"/>
      <c r="D273" s="1237"/>
      <c r="E273" s="1237"/>
      <c r="F273" s="1237"/>
      <c r="G273" s="1237"/>
      <c r="H273" s="1237"/>
      <c r="I273" s="1237"/>
      <c r="J273" s="1237"/>
      <c r="K273" s="1237"/>
      <c r="L273" s="1237"/>
      <c r="M273" s="1237"/>
      <c r="N273" s="1237"/>
      <c r="O273" s="1237"/>
      <c r="P273" s="1241"/>
      <c r="Q273" s="1237"/>
      <c r="R273" s="1237"/>
      <c r="S273" s="1237"/>
      <c r="T273" s="1237"/>
      <c r="U273" s="1237"/>
      <c r="V273" s="1237"/>
      <c r="W273" s="1237"/>
      <c r="X273" s="1237"/>
      <c r="Y273" s="1237"/>
      <c r="Z273" s="1237"/>
      <c r="AA273" s="1237"/>
      <c r="AB273" s="1237"/>
      <c r="AC273" s="1237"/>
      <c r="AD273" s="1237"/>
      <c r="AE273" s="1237"/>
      <c r="AF273" s="1237"/>
      <c r="AG273" s="1237"/>
      <c r="AH273" s="1207"/>
    </row>
    <row r="274" spans="1:34" x14ac:dyDescent="0.2">
      <c r="A274" s="1236" t="s">
        <v>38</v>
      </c>
      <c r="B274" s="1249">
        <f>C322</f>
        <v>0</v>
      </c>
      <c r="C274" s="1237"/>
      <c r="D274" s="1237"/>
      <c r="E274" s="1237"/>
      <c r="F274" s="1237"/>
      <c r="G274" s="1237"/>
      <c r="H274" s="1237"/>
      <c r="I274" s="1237"/>
      <c r="J274" s="1237"/>
      <c r="K274" s="1237"/>
      <c r="L274" s="1237"/>
      <c r="M274" s="1237"/>
      <c r="N274" s="1237"/>
      <c r="O274" s="1237"/>
      <c r="P274" s="1241"/>
      <c r="Q274" s="1237"/>
      <c r="R274" s="1237"/>
      <c r="S274" s="1237"/>
      <c r="T274" s="1237"/>
      <c r="U274" s="1237"/>
      <c r="V274" s="1237"/>
      <c r="W274" s="1237"/>
      <c r="X274" s="1237"/>
      <c r="Y274" s="1237"/>
      <c r="Z274" s="1237"/>
      <c r="AA274" s="1237"/>
      <c r="AB274" s="1237"/>
      <c r="AC274" s="1237"/>
      <c r="AD274" s="1237"/>
      <c r="AE274" s="1237"/>
      <c r="AF274" s="1237"/>
      <c r="AG274" s="1237"/>
      <c r="AH274" s="1207"/>
    </row>
    <row r="275" spans="1:34" x14ac:dyDescent="0.2">
      <c r="A275" s="1236" t="s">
        <v>39</v>
      </c>
      <c r="B275" s="1249">
        <f>C345</f>
        <v>0</v>
      </c>
      <c r="C275" s="1237"/>
      <c r="D275" s="1237"/>
      <c r="E275" s="1237"/>
      <c r="F275" s="1237"/>
      <c r="G275" s="1237"/>
      <c r="H275" s="1237"/>
      <c r="I275" s="1237"/>
      <c r="J275" s="1237"/>
      <c r="K275" s="1237"/>
      <c r="L275" s="1237"/>
      <c r="M275" s="1237"/>
      <c r="N275" s="1237"/>
      <c r="O275" s="1237"/>
      <c r="P275" s="1241"/>
      <c r="Q275" s="1237"/>
      <c r="R275" s="1237"/>
      <c r="S275" s="1237"/>
      <c r="T275" s="1237"/>
      <c r="U275" s="1237"/>
      <c r="V275" s="1237"/>
      <c r="W275" s="1237"/>
      <c r="X275" s="1237"/>
      <c r="Y275" s="1237"/>
      <c r="Z275" s="1237"/>
      <c r="AA275" s="1237"/>
      <c r="AB275" s="1237"/>
      <c r="AC275" s="1237"/>
      <c r="AD275" s="1237"/>
      <c r="AE275" s="1237"/>
      <c r="AF275" s="1237"/>
      <c r="AG275" s="1237"/>
      <c r="AH275" s="1207"/>
    </row>
    <row r="276" spans="1:34" x14ac:dyDescent="0.2">
      <c r="A276" s="1236" t="s">
        <v>3</v>
      </c>
      <c r="B276" s="1249"/>
      <c r="C276" s="1237"/>
      <c r="D276" s="1237"/>
      <c r="E276" s="1237"/>
      <c r="F276" s="1237"/>
      <c r="G276" s="1237"/>
      <c r="H276" s="1237"/>
      <c r="I276" s="1237"/>
      <c r="J276" s="1237"/>
      <c r="K276" s="1237"/>
      <c r="L276" s="1237"/>
      <c r="M276" s="1237"/>
      <c r="N276" s="1237"/>
      <c r="O276" s="1237"/>
      <c r="P276" s="1241"/>
      <c r="Q276" s="1237"/>
      <c r="R276" s="1237"/>
      <c r="S276" s="1237"/>
      <c r="T276" s="1237"/>
      <c r="U276" s="1237"/>
      <c r="V276" s="1237"/>
      <c r="W276" s="1237"/>
      <c r="X276" s="1237"/>
      <c r="Y276" s="1237"/>
      <c r="Z276" s="1237"/>
      <c r="AA276" s="1237"/>
      <c r="AB276" s="1237"/>
      <c r="AC276" s="1237"/>
      <c r="AD276" s="1237"/>
      <c r="AE276" s="1237"/>
      <c r="AF276" s="1237"/>
      <c r="AG276" s="1237"/>
      <c r="AH276" s="1207"/>
    </row>
    <row r="277" spans="1:34" ht="13.5" thickBot="1" x14ac:dyDescent="0.25">
      <c r="A277" s="1250"/>
      <c r="B277" s="1251"/>
      <c r="C277" s="1237"/>
      <c r="D277" s="1237"/>
      <c r="E277" s="1237"/>
      <c r="F277" s="1237"/>
      <c r="G277" s="1237"/>
      <c r="H277" s="1237"/>
      <c r="I277" s="1237"/>
      <c r="J277" s="1237"/>
      <c r="K277" s="1237"/>
      <c r="L277" s="1237"/>
      <c r="M277" s="1237"/>
      <c r="N277" s="1237"/>
      <c r="O277" s="1237"/>
      <c r="P277" s="1241"/>
      <c r="Q277" s="1237"/>
      <c r="R277" s="1237"/>
      <c r="S277" s="1237"/>
      <c r="T277" s="1237"/>
      <c r="U277" s="1237"/>
      <c r="V277" s="1237"/>
      <c r="W277" s="1237"/>
      <c r="X277" s="1237"/>
      <c r="Y277" s="1237"/>
      <c r="Z277" s="1237"/>
      <c r="AA277" s="1237"/>
      <c r="AB277" s="1237"/>
      <c r="AC277" s="1237"/>
      <c r="AD277" s="1237"/>
      <c r="AE277" s="1237"/>
      <c r="AF277" s="1237"/>
      <c r="AG277" s="1237"/>
      <c r="AH277" s="1207"/>
    </row>
    <row r="278" spans="1:34" x14ac:dyDescent="0.2">
      <c r="A278" s="1233"/>
      <c r="B278" s="1253"/>
      <c r="C278" s="1237"/>
      <c r="D278" s="1237"/>
      <c r="E278" s="1237"/>
      <c r="F278" s="1237"/>
      <c r="G278" s="1237"/>
      <c r="H278" s="1237"/>
      <c r="I278" s="1237"/>
      <c r="J278" s="1237"/>
      <c r="K278" s="1237"/>
      <c r="L278" s="1237"/>
      <c r="M278" s="1237"/>
      <c r="N278" s="1237"/>
      <c r="O278" s="1237"/>
      <c r="P278" s="1241"/>
      <c r="Q278" s="1237"/>
      <c r="R278" s="1237"/>
      <c r="S278" s="1237"/>
      <c r="T278" s="1237"/>
      <c r="U278" s="1237"/>
      <c r="V278" s="1237"/>
      <c r="W278" s="1237"/>
      <c r="X278" s="1237"/>
      <c r="Y278" s="1237"/>
      <c r="Z278" s="1237"/>
      <c r="AA278" s="1237"/>
      <c r="AB278" s="1237"/>
      <c r="AC278" s="1237"/>
      <c r="AD278" s="1237"/>
      <c r="AE278" s="1237"/>
      <c r="AF278" s="1237"/>
      <c r="AG278" s="1237"/>
      <c r="AH278" s="1207"/>
    </row>
    <row r="279" spans="1:34" x14ac:dyDescent="0.2">
      <c r="A279" s="1236" t="s">
        <v>4</v>
      </c>
      <c r="B279" s="1249">
        <f>B270-B273</f>
        <v>-17711.929</v>
      </c>
      <c r="C279" s="1237"/>
      <c r="D279" s="1237"/>
      <c r="E279" s="1237"/>
      <c r="F279" s="1237"/>
      <c r="G279" s="1237"/>
      <c r="H279" s="1237"/>
      <c r="I279" s="1237"/>
      <c r="J279" s="1237"/>
      <c r="K279" s="1237"/>
      <c r="L279" s="1237"/>
      <c r="M279" s="1237"/>
      <c r="N279" s="1237"/>
      <c r="O279" s="1237"/>
      <c r="P279" s="1241"/>
      <c r="Q279" s="1237"/>
      <c r="R279" s="1237"/>
      <c r="S279" s="1237"/>
      <c r="T279" s="1237"/>
      <c r="U279" s="1237"/>
      <c r="V279" s="1237"/>
      <c r="W279" s="1237"/>
      <c r="X279" s="1237"/>
      <c r="Y279" s="1237"/>
      <c r="Z279" s="1237"/>
      <c r="AA279" s="1237"/>
      <c r="AB279" s="1237"/>
      <c r="AC279" s="1237"/>
      <c r="AD279" s="1237"/>
      <c r="AE279" s="1237"/>
      <c r="AF279" s="1237"/>
      <c r="AG279" s="1237"/>
      <c r="AH279" s="1207"/>
    </row>
    <row r="280" spans="1:34" ht="21" thickBot="1" x14ac:dyDescent="0.35">
      <c r="A280" s="1250"/>
      <c r="B280" s="1251"/>
      <c r="C280" s="1237"/>
      <c r="D280" s="1237"/>
      <c r="E280" s="1237"/>
      <c r="F280" s="1393"/>
      <c r="G280" s="1237"/>
      <c r="H280" s="1237"/>
      <c r="I280" s="1237"/>
      <c r="J280" s="1237"/>
      <c r="K280" s="1237"/>
      <c r="L280" s="1237"/>
      <c r="M280" s="1237"/>
      <c r="N280" s="1237"/>
      <c r="O280" s="1237"/>
      <c r="P280" s="1241"/>
      <c r="Q280" s="1237"/>
      <c r="R280" s="1237"/>
      <c r="S280" s="1237"/>
      <c r="T280" s="1237"/>
      <c r="U280" s="1237"/>
      <c r="V280" s="1237"/>
      <c r="W280" s="1237"/>
      <c r="X280" s="1237"/>
      <c r="Y280" s="1237"/>
      <c r="Z280" s="1237"/>
      <c r="AA280" s="1237"/>
      <c r="AB280" s="1237"/>
      <c r="AC280" s="1237"/>
      <c r="AD280" s="1237"/>
      <c r="AE280" s="1237"/>
      <c r="AF280" s="1237"/>
      <c r="AG280" s="1237"/>
      <c r="AH280" s="1207"/>
    </row>
    <row r="281" spans="1:34" x14ac:dyDescent="0.2">
      <c r="A281" s="1233"/>
      <c r="B281" s="1253"/>
      <c r="C281" s="1237"/>
      <c r="D281" s="1237"/>
      <c r="E281" s="1237"/>
      <c r="F281" s="1237"/>
      <c r="G281" s="1237"/>
      <c r="H281" s="1237"/>
      <c r="I281" s="1237"/>
      <c r="J281" s="1237"/>
      <c r="K281" s="1237"/>
      <c r="L281" s="1237"/>
      <c r="M281" s="1237"/>
      <c r="N281" s="1237"/>
      <c r="O281" s="1237"/>
      <c r="P281" s="1241"/>
      <c r="Q281" s="1237"/>
      <c r="R281" s="1237"/>
      <c r="S281" s="1237"/>
      <c r="T281" s="1237"/>
      <c r="U281" s="1237"/>
      <c r="V281" s="1237"/>
      <c r="W281" s="1237"/>
      <c r="X281" s="1237"/>
      <c r="Y281" s="1237"/>
      <c r="Z281" s="1237"/>
      <c r="AA281" s="1237"/>
      <c r="AB281" s="1237"/>
      <c r="AC281" s="1237"/>
      <c r="AD281" s="1237"/>
      <c r="AE281" s="1237"/>
      <c r="AF281" s="1237"/>
      <c r="AG281" s="1237"/>
      <c r="AH281" s="1207"/>
    </row>
    <row r="282" spans="1:34" x14ac:dyDescent="0.2">
      <c r="A282" s="1236" t="s">
        <v>17</v>
      </c>
      <c r="B282" s="1249"/>
      <c r="C282" s="1237"/>
      <c r="D282" s="1237"/>
      <c r="E282" s="1237"/>
      <c r="F282" s="1237"/>
      <c r="G282" s="1237"/>
      <c r="H282" s="1237"/>
      <c r="I282" s="1237"/>
      <c r="J282" s="1237"/>
      <c r="K282" s="1237"/>
      <c r="L282" s="1237"/>
      <c r="M282" s="1237"/>
      <c r="N282" s="1237"/>
      <c r="O282" s="1237"/>
      <c r="P282" s="1241"/>
      <c r="Q282" s="1237"/>
      <c r="R282" s="1237"/>
      <c r="S282" s="1237"/>
      <c r="T282" s="1237"/>
      <c r="U282" s="1237"/>
      <c r="V282" s="1237"/>
      <c r="W282" s="1237"/>
      <c r="X282" s="1237"/>
      <c r="Y282" s="1237"/>
      <c r="Z282" s="1237"/>
      <c r="AA282" s="1237"/>
      <c r="AB282" s="1237"/>
      <c r="AC282" s="1237"/>
      <c r="AD282" s="1237"/>
      <c r="AE282" s="1237"/>
      <c r="AF282" s="1237"/>
      <c r="AG282" s="1237"/>
      <c r="AH282" s="1207"/>
    </row>
    <row r="283" spans="1:34" ht="13.5" thickBot="1" x14ac:dyDescent="0.25">
      <c r="A283" s="1250"/>
      <c r="B283" s="1251"/>
      <c r="C283" s="1237"/>
      <c r="D283" s="1237"/>
      <c r="E283" s="1237"/>
      <c r="F283" s="1237"/>
      <c r="G283" s="1237"/>
      <c r="H283" s="1237"/>
      <c r="I283" s="1237"/>
      <c r="J283" s="1237"/>
      <c r="K283" s="1237"/>
      <c r="L283" s="1237"/>
      <c r="M283" s="1237"/>
      <c r="N283" s="1237"/>
      <c r="O283" s="1237"/>
      <c r="P283" s="1241"/>
      <c r="Q283" s="1237"/>
      <c r="R283" s="1237"/>
      <c r="S283" s="1237"/>
      <c r="T283" s="1237"/>
      <c r="U283" s="1237"/>
      <c r="V283" s="1237"/>
      <c r="W283" s="1237"/>
      <c r="X283" s="1258"/>
      <c r="Y283" s="1237"/>
      <c r="Z283" s="1237"/>
      <c r="AA283" s="1237"/>
      <c r="AB283" s="1237"/>
      <c r="AC283" s="1237"/>
      <c r="AD283" s="1237"/>
      <c r="AE283" s="1237"/>
      <c r="AF283" s="1526"/>
      <c r="AG283" s="1237"/>
      <c r="AH283" s="1207"/>
    </row>
    <row r="284" spans="1:34" ht="23.25" customHeight="1" x14ac:dyDescent="0.3">
      <c r="A284" s="1233"/>
      <c r="B284" s="1253"/>
      <c r="D284" s="1237"/>
      <c r="E284" s="1749" t="s">
        <v>1339</v>
      </c>
      <c r="F284" s="1749"/>
      <c r="G284" s="1749"/>
      <c r="H284" s="1749"/>
      <c r="I284" s="1370"/>
      <c r="J284" s="1237"/>
      <c r="K284" s="1394"/>
      <c r="L284" s="1237"/>
      <c r="M284" s="1749" t="s">
        <v>1338</v>
      </c>
      <c r="N284" s="1749"/>
      <c r="O284" s="1749"/>
      <c r="P284" s="1749"/>
      <c r="Q284" s="1749"/>
      <c r="R284" s="1749"/>
      <c r="S284" s="1534"/>
      <c r="T284" s="1534"/>
      <c r="U284" s="1534"/>
      <c r="V284" s="1534"/>
      <c r="W284" s="1534"/>
      <c r="X284" s="1534"/>
      <c r="Y284" s="1526"/>
      <c r="Z284" s="1526"/>
      <c r="AA284" s="1526"/>
      <c r="AB284" s="1237"/>
      <c r="AC284" s="1237"/>
      <c r="AD284" s="1237"/>
      <c r="AE284" s="1237"/>
      <c r="AF284" s="1526"/>
      <c r="AH284" s="1207"/>
    </row>
    <row r="285" spans="1:34" x14ac:dyDescent="0.2">
      <c r="A285" s="1236" t="s">
        <v>5</v>
      </c>
      <c r="B285" s="1249">
        <f>B279-B282</f>
        <v>-17711.929</v>
      </c>
      <c r="C285" s="1392"/>
      <c r="D285" s="1526"/>
      <c r="E285" s="1371"/>
      <c r="F285" s="1526"/>
      <c r="G285" s="1526" t="s">
        <v>142</v>
      </c>
      <c r="H285" s="1528" t="s">
        <v>171</v>
      </c>
      <c r="I285" s="1526"/>
      <c r="J285" s="1551" t="s">
        <v>1314</v>
      </c>
      <c r="K285" s="1526"/>
      <c r="L285" s="1526"/>
      <c r="M285" s="1526"/>
      <c r="N285" s="1526"/>
      <c r="O285" s="1526" t="s">
        <v>145</v>
      </c>
      <c r="P285" s="1212" t="s">
        <v>69</v>
      </c>
      <c r="Q285" s="1370"/>
      <c r="R285" s="1526"/>
      <c r="S285" s="1212"/>
      <c r="T285" s="1526"/>
      <c r="U285" s="1526"/>
      <c r="V285" s="1526" t="s">
        <v>1337</v>
      </c>
      <c r="W285" s="1237"/>
      <c r="X285" s="1256"/>
      <c r="Y285" s="1526"/>
      <c r="Z285" s="1212"/>
      <c r="AA285" s="1212"/>
      <c r="AB285" s="1212"/>
      <c r="AC285" s="1395"/>
      <c r="AD285" s="1395" t="s">
        <v>1360</v>
      </c>
      <c r="AE285" s="1526" t="s">
        <v>969</v>
      </c>
      <c r="AF285" s="1370" t="s">
        <v>953</v>
      </c>
      <c r="AH285" s="1207"/>
    </row>
    <row r="286" spans="1:34" ht="13.5" thickBot="1" x14ac:dyDescent="0.25">
      <c r="A286" s="1250"/>
      <c r="B286" s="1251"/>
      <c r="C286" s="1237"/>
      <c r="D286" s="1237"/>
      <c r="E286" s="1237"/>
      <c r="F286" s="1237"/>
      <c r="G286" s="1237"/>
      <c r="H286" s="1237"/>
      <c r="I286" s="1237"/>
      <c r="J286" s="1237"/>
      <c r="K286" s="1237"/>
      <c r="L286" s="1237"/>
      <c r="M286" s="1526"/>
      <c r="N286" s="1237"/>
      <c r="O286" s="1237"/>
      <c r="P286" s="1241"/>
      <c r="Q286" s="1237"/>
      <c r="R286" s="1237"/>
      <c r="S286" s="1237"/>
      <c r="T286" s="1237"/>
      <c r="U286" s="1237"/>
      <c r="V286" s="1237"/>
      <c r="W286" s="1237"/>
      <c r="X286" s="1237"/>
      <c r="Y286" s="1237"/>
      <c r="Z286" s="1237"/>
      <c r="AA286" s="1237"/>
      <c r="AB286" s="1237"/>
      <c r="AC286" s="1237"/>
      <c r="AD286" s="1237"/>
      <c r="AE286" s="1237"/>
      <c r="AF286" s="1237"/>
      <c r="AG286" s="1237"/>
      <c r="AH286" s="1207"/>
    </row>
    <row r="287" spans="1:34" x14ac:dyDescent="0.2">
      <c r="A287" s="1269"/>
      <c r="B287" s="1237"/>
      <c r="C287" s="1270"/>
      <c r="D287" s="1272"/>
      <c r="E287" s="1272"/>
      <c r="F287" s="1271"/>
      <c r="G287" s="1271"/>
      <c r="H287" s="1271"/>
      <c r="I287" s="1271"/>
      <c r="J287" s="1271"/>
      <c r="K287" s="1271"/>
      <c r="L287" s="1271"/>
      <c r="M287" s="1271"/>
      <c r="N287" s="1271"/>
      <c r="O287" s="1271"/>
      <c r="P287" s="1273"/>
      <c r="Q287" s="1271"/>
      <c r="R287" s="1271"/>
      <c r="S287" s="1271"/>
      <c r="T287" s="1271"/>
      <c r="U287" s="1271"/>
      <c r="V287" s="1271"/>
      <c r="W287" s="1271"/>
      <c r="X287" s="1271"/>
      <c r="Y287" s="1271"/>
      <c r="Z287" s="1271"/>
      <c r="AA287" s="1271"/>
      <c r="AB287" s="1271"/>
      <c r="AC287" s="1271"/>
      <c r="AD287" s="1271"/>
      <c r="AE287" s="1271"/>
      <c r="AF287" s="1271"/>
      <c r="AG287" s="1271"/>
      <c r="AH287" s="1207"/>
    </row>
    <row r="288" spans="1:34" ht="13.5" thickBot="1" x14ac:dyDescent="0.25">
      <c r="A288" s="1274" t="s">
        <v>7</v>
      </c>
      <c r="B288" s="1237"/>
      <c r="C288" s="1275">
        <f t="shared" ref="C288:AG288" si="30">C289+C290+C291+C293+C292</f>
        <v>0</v>
      </c>
      <c r="D288" s="1275">
        <f t="shared" si="30"/>
        <v>0</v>
      </c>
      <c r="E288" s="1275">
        <f t="shared" si="30"/>
        <v>0</v>
      </c>
      <c r="F288" s="1275">
        <f t="shared" si="30"/>
        <v>0</v>
      </c>
      <c r="G288" s="1275">
        <f t="shared" si="30"/>
        <v>0</v>
      </c>
      <c r="H288" s="1275">
        <f t="shared" si="30"/>
        <v>0</v>
      </c>
      <c r="I288" s="1275">
        <f t="shared" si="30"/>
        <v>0</v>
      </c>
      <c r="J288" s="1275">
        <f t="shared" si="30"/>
        <v>0</v>
      </c>
      <c r="K288" s="1275">
        <f t="shared" si="30"/>
        <v>0</v>
      </c>
      <c r="L288" s="1275">
        <f t="shared" si="30"/>
        <v>0</v>
      </c>
      <c r="M288" s="1275">
        <f t="shared" si="30"/>
        <v>0</v>
      </c>
      <c r="N288" s="1275">
        <f t="shared" si="30"/>
        <v>0</v>
      </c>
      <c r="O288" s="1275">
        <f t="shared" si="30"/>
        <v>0.37000000000261934</v>
      </c>
      <c r="P288" s="1276">
        <f t="shared" si="30"/>
        <v>0</v>
      </c>
      <c r="Q288" s="1275">
        <f t="shared" si="30"/>
        <v>0</v>
      </c>
      <c r="R288" s="1275">
        <f t="shared" si="30"/>
        <v>0</v>
      </c>
      <c r="S288" s="1275">
        <f t="shared" si="30"/>
        <v>0</v>
      </c>
      <c r="T288" s="1275">
        <f t="shared" si="30"/>
        <v>0</v>
      </c>
      <c r="U288" s="1275">
        <f t="shared" si="30"/>
        <v>0</v>
      </c>
      <c r="V288" s="1275">
        <f>V289+V290+V291+V293+V292</f>
        <v>0.10500000000001819</v>
      </c>
      <c r="W288" s="1275">
        <f t="shared" si="30"/>
        <v>0</v>
      </c>
      <c r="X288" s="1275">
        <f t="shared" si="30"/>
        <v>0</v>
      </c>
      <c r="Y288" s="1275">
        <f t="shared" si="30"/>
        <v>0</v>
      </c>
      <c r="Z288" s="1275">
        <f t="shared" si="30"/>
        <v>0</v>
      </c>
      <c r="AA288" s="1275">
        <f t="shared" si="30"/>
        <v>0</v>
      </c>
      <c r="AB288" s="1275">
        <f t="shared" si="30"/>
        <v>0</v>
      </c>
      <c r="AC288" s="1275">
        <f t="shared" si="30"/>
        <v>0</v>
      </c>
      <c r="AD288" s="1275">
        <f t="shared" si="30"/>
        <v>0</v>
      </c>
      <c r="AE288" s="1275">
        <f t="shared" si="30"/>
        <v>0</v>
      </c>
      <c r="AF288" s="1275">
        <f t="shared" si="30"/>
        <v>0</v>
      </c>
      <c r="AG288" s="1275">
        <f t="shared" si="30"/>
        <v>0</v>
      </c>
      <c r="AH288" s="1227">
        <f>SUM(C288:AG288)</f>
        <v>0.47500000000263753</v>
      </c>
    </row>
    <row r="289" spans="1:34" x14ac:dyDescent="0.2">
      <c r="A289" s="1274" t="s">
        <v>8</v>
      </c>
      <c r="B289" s="1389"/>
      <c r="C289" s="1302"/>
      <c r="D289" s="1302"/>
      <c r="E289" s="1396"/>
      <c r="F289" s="1303"/>
      <c r="G289" s="1303"/>
      <c r="H289" s="1303"/>
      <c r="I289" s="1319"/>
      <c r="J289" s="1303"/>
      <c r="K289" s="1303"/>
      <c r="L289" s="1303"/>
      <c r="M289" s="1303"/>
      <c r="N289" s="1303"/>
      <c r="O289" s="1303"/>
      <c r="P289" s="1304"/>
      <c r="Q289" s="1303"/>
      <c r="R289" s="1303"/>
      <c r="S289" s="1303"/>
      <c r="T289" s="1303"/>
      <c r="U289" s="1303"/>
      <c r="V289" s="1282"/>
      <c r="W289" s="1303"/>
      <c r="X289" s="1303"/>
      <c r="Y289" s="1303"/>
      <c r="Z289" s="1303"/>
      <c r="AA289" s="1303"/>
      <c r="AB289" s="1303"/>
      <c r="AC289" s="1303"/>
      <c r="AD289" s="1303"/>
      <c r="AE289" s="1303"/>
      <c r="AF289" s="1303"/>
      <c r="AG289" s="1397"/>
      <c r="AH289" s="1227">
        <f>SUM(C289:AG289)</f>
        <v>0</v>
      </c>
    </row>
    <row r="290" spans="1:34" x14ac:dyDescent="0.2">
      <c r="A290" s="1274" t="s">
        <v>9</v>
      </c>
      <c r="B290" s="1389"/>
      <c r="C290" s="1282"/>
      <c r="D290" s="1282"/>
      <c r="E290" s="1282"/>
      <c r="F290" s="1282"/>
      <c r="G290" s="1282"/>
      <c r="H290" s="1282"/>
      <c r="I290" s="1282"/>
      <c r="J290" s="1282"/>
      <c r="K290" s="1282"/>
      <c r="L290" s="1282"/>
      <c r="M290" s="1282"/>
      <c r="N290" s="1282"/>
      <c r="O290" s="1282"/>
      <c r="P290" s="1282"/>
      <c r="Q290" s="1282"/>
      <c r="R290" s="1282"/>
      <c r="S290" s="1282"/>
      <c r="T290" s="1282"/>
      <c r="U290" s="1282"/>
      <c r="V290" s="1282"/>
      <c r="W290" s="1282"/>
      <c r="X290" s="1282"/>
      <c r="Y290" s="1282"/>
      <c r="Z290" s="1282"/>
      <c r="AA290" s="1282"/>
      <c r="AB290" s="1282"/>
      <c r="AC290" s="1282"/>
      <c r="AD290" s="1282"/>
      <c r="AE290" s="1282"/>
      <c r="AF290" s="1282"/>
      <c r="AG290" s="1282"/>
      <c r="AH290" s="1227">
        <f>SUM(C290:AG290)</f>
        <v>0</v>
      </c>
    </row>
    <row r="291" spans="1:34" s="1289" customFormat="1" x14ac:dyDescent="0.2">
      <c r="A291" s="1285" t="s">
        <v>10</v>
      </c>
      <c r="B291" s="1372"/>
      <c r="C291" s="1398"/>
      <c r="D291" s="1374"/>
      <c r="E291" s="1374"/>
      <c r="F291" s="1375"/>
      <c r="G291" s="1375">
        <v>43152</v>
      </c>
      <c r="H291" s="1375"/>
      <c r="I291" s="1375"/>
      <c r="J291" s="1375"/>
      <c r="K291" s="1375"/>
      <c r="L291" s="1375"/>
      <c r="M291" s="1375"/>
      <c r="N291" s="1375"/>
      <c r="O291" s="1375"/>
      <c r="P291" s="1375">
        <v>25313</v>
      </c>
      <c r="Q291" s="1375"/>
      <c r="R291" s="1375"/>
      <c r="S291" s="1375"/>
      <c r="T291" s="1375"/>
      <c r="U291" s="1375"/>
      <c r="V291" s="1375"/>
      <c r="W291" s="1375"/>
      <c r="X291" s="1376"/>
      <c r="Y291" s="1375"/>
      <c r="Z291" s="1390"/>
      <c r="AA291" s="1399"/>
      <c r="AB291" s="1375"/>
      <c r="AC291" s="1375"/>
      <c r="AD291" s="1377"/>
      <c r="AE291" s="1375"/>
      <c r="AF291" s="1375"/>
      <c r="AG291" s="1375"/>
      <c r="AH291" s="1231">
        <f>SUM(C291:AG291)</f>
        <v>68465</v>
      </c>
    </row>
    <row r="292" spans="1:34" s="1289" customFormat="1" x14ac:dyDescent="0.2">
      <c r="A292" s="1285" t="s">
        <v>356</v>
      </c>
      <c r="B292" s="1372"/>
      <c r="C292" s="1375"/>
      <c r="D292" s="1375"/>
      <c r="E292" s="1375"/>
      <c r="F292" s="1375"/>
      <c r="G292" s="1375">
        <v>-43152</v>
      </c>
      <c r="H292" s="1391"/>
      <c r="I292" s="1375"/>
      <c r="J292" s="1375"/>
      <c r="K292" s="1375"/>
      <c r="L292" s="1375"/>
      <c r="M292" s="1375"/>
      <c r="N292" s="1375"/>
      <c r="O292" s="1391">
        <v>43370.37</v>
      </c>
      <c r="P292" s="1375">
        <v>-25313</v>
      </c>
      <c r="Q292" s="1375"/>
      <c r="R292" s="1375"/>
      <c r="S292" s="1375"/>
      <c r="T292" s="1375"/>
      <c r="U292" s="1375"/>
      <c r="V292" s="1375"/>
      <c r="W292" s="1375"/>
      <c r="X292" s="1375"/>
      <c r="Y292" s="1375"/>
      <c r="Z292" s="1375"/>
      <c r="AA292" s="1375"/>
      <c r="AB292" s="1375"/>
      <c r="AC292" s="1375"/>
      <c r="AD292" s="1375"/>
      <c r="AE292" s="1375"/>
      <c r="AF292" s="1375"/>
      <c r="AG292" s="1492"/>
      <c r="AH292" s="1456">
        <f>SUM(C292:AG292)</f>
        <v>-25094.629999999997</v>
      </c>
    </row>
    <row r="293" spans="1:34" x14ac:dyDescent="0.2">
      <c r="A293" s="1274" t="s">
        <v>11</v>
      </c>
      <c r="B293" s="1237"/>
      <c r="C293" s="1302"/>
      <c r="D293" s="1306"/>
      <c r="E293" s="1400"/>
      <c r="F293" s="1304"/>
      <c r="G293" s="1304"/>
      <c r="H293" s="1304"/>
      <c r="I293" s="1304"/>
      <c r="J293" s="1319"/>
      <c r="K293" s="1304"/>
      <c r="L293" s="1304"/>
      <c r="M293" s="1304"/>
      <c r="N293" s="1304"/>
      <c r="O293" s="1304">
        <v>-43370</v>
      </c>
      <c r="P293" s="1318"/>
      <c r="Q293" s="1282"/>
      <c r="R293" s="1304"/>
      <c r="S293" s="1318"/>
      <c r="T293" s="1304"/>
      <c r="U293" s="1304"/>
      <c r="V293" s="1282">
        <f>3426-1398.98-1349.915-677</f>
        <v>0.10500000000001819</v>
      </c>
      <c r="W293" s="1319"/>
      <c r="X293" s="1317"/>
      <c r="Y293" s="1318"/>
      <c r="Z293" s="1319"/>
      <c r="AA293" s="1317"/>
      <c r="AB293" s="1319"/>
      <c r="AC293" s="1304"/>
      <c r="AD293" s="1319"/>
      <c r="AE293" s="1304"/>
      <c r="AF293" s="1473"/>
      <c r="AG293" s="1282"/>
      <c r="AH293" s="1207"/>
    </row>
    <row r="294" spans="1:34" ht="13.5" thickBot="1" x14ac:dyDescent="0.25">
      <c r="A294" s="1294"/>
      <c r="B294" s="1237"/>
      <c r="C294" s="1302"/>
      <c r="D294" s="1302"/>
      <c r="E294" s="1302"/>
      <c r="F294" s="1303"/>
      <c r="G294" s="1303"/>
      <c r="H294" s="1303"/>
      <c r="I294" s="1303"/>
      <c r="J294" s="1303"/>
      <c r="K294" s="1303"/>
      <c r="L294" s="1303"/>
      <c r="M294" s="1303"/>
      <c r="N294" s="1303"/>
      <c r="O294" s="1303"/>
      <c r="P294" s="1304"/>
      <c r="Q294" s="1303"/>
      <c r="R294" s="1303"/>
      <c r="S294" s="1303"/>
      <c r="T294" s="1303"/>
      <c r="U294" s="1303"/>
      <c r="V294" s="1303"/>
      <c r="W294" s="1303"/>
      <c r="X294" s="1303"/>
      <c r="Y294" s="1303"/>
      <c r="Z294" s="1303"/>
      <c r="AA294" s="1303"/>
      <c r="AB294" s="1303"/>
      <c r="AC294" s="1303"/>
      <c r="AD294" s="1303"/>
      <c r="AE294" s="1303"/>
      <c r="AF294" s="1303"/>
      <c r="AG294" s="1303"/>
      <c r="AH294" s="1207"/>
    </row>
    <row r="295" spans="1:34" x14ac:dyDescent="0.2">
      <c r="A295" s="1269"/>
      <c r="B295" s="1237"/>
      <c r="C295" s="1296"/>
      <c r="D295" s="1297"/>
      <c r="E295" s="1297"/>
      <c r="F295" s="1298"/>
      <c r="G295" s="1298"/>
      <c r="H295" s="1298"/>
      <c r="I295" s="1298"/>
      <c r="J295" s="1298"/>
      <c r="K295" s="1298"/>
      <c r="L295" s="1298"/>
      <c r="M295" s="1298"/>
      <c r="N295" s="1298"/>
      <c r="O295" s="1298"/>
      <c r="P295" s="1299"/>
      <c r="Q295" s="1298"/>
      <c r="R295" s="1298"/>
      <c r="S295" s="1298"/>
      <c r="T295" s="1298"/>
      <c r="U295" s="1298"/>
      <c r="V295" s="1298"/>
      <c r="W295" s="1298"/>
      <c r="X295" s="1298"/>
      <c r="Y295" s="1298"/>
      <c r="Z295" s="1298"/>
      <c r="AA295" s="1298"/>
      <c r="AB295" s="1298"/>
      <c r="AC295" s="1298"/>
      <c r="AD295" s="1298"/>
      <c r="AE295" s="1298"/>
      <c r="AF295" s="1298"/>
      <c r="AG295" s="1298"/>
      <c r="AH295" s="1207"/>
    </row>
    <row r="296" spans="1:34" ht="13.5" thickBot="1" x14ac:dyDescent="0.25">
      <c r="A296" s="1274" t="s">
        <v>12</v>
      </c>
      <c r="B296" s="1237"/>
      <c r="C296" s="1275">
        <f t="shared" ref="C296:AG296" si="31">C297</f>
        <v>0</v>
      </c>
      <c r="D296" s="1275">
        <f t="shared" si="31"/>
        <v>0</v>
      </c>
      <c r="E296" s="1275">
        <f t="shared" si="31"/>
        <v>0</v>
      </c>
      <c r="F296" s="1275">
        <f t="shared" si="31"/>
        <v>0</v>
      </c>
      <c r="G296" s="1275">
        <f t="shared" si="31"/>
        <v>0</v>
      </c>
      <c r="H296" s="1275">
        <f t="shared" si="31"/>
        <v>0</v>
      </c>
      <c r="I296" s="1275">
        <f t="shared" si="31"/>
        <v>0</v>
      </c>
      <c r="J296" s="1275">
        <f t="shared" si="31"/>
        <v>0</v>
      </c>
      <c r="K296" s="1275">
        <f t="shared" si="31"/>
        <v>0</v>
      </c>
      <c r="L296" s="1275">
        <f t="shared" si="31"/>
        <v>0</v>
      </c>
      <c r="M296" s="1275">
        <f t="shared" si="31"/>
        <v>0</v>
      </c>
      <c r="N296" s="1275">
        <f t="shared" si="31"/>
        <v>0</v>
      </c>
      <c r="O296" s="1275">
        <f t="shared" si="31"/>
        <v>0</v>
      </c>
      <c r="P296" s="1276">
        <f t="shared" si="31"/>
        <v>0</v>
      </c>
      <c r="Q296" s="1275">
        <f t="shared" si="31"/>
        <v>0</v>
      </c>
      <c r="R296" s="1275">
        <f t="shared" si="31"/>
        <v>0</v>
      </c>
      <c r="S296" s="1275">
        <f t="shared" si="31"/>
        <v>0</v>
      </c>
      <c r="T296" s="1275">
        <f t="shared" si="31"/>
        <v>0</v>
      </c>
      <c r="U296" s="1275">
        <f t="shared" si="31"/>
        <v>0</v>
      </c>
      <c r="V296" s="1275">
        <f t="shared" si="31"/>
        <v>0</v>
      </c>
      <c r="W296" s="1275">
        <f t="shared" si="31"/>
        <v>0</v>
      </c>
      <c r="X296" s="1275">
        <f t="shared" si="31"/>
        <v>0</v>
      </c>
      <c r="Y296" s="1275">
        <f t="shared" si="31"/>
        <v>0</v>
      </c>
      <c r="Z296" s="1275">
        <f t="shared" si="31"/>
        <v>0</v>
      </c>
      <c r="AA296" s="1275">
        <f t="shared" si="31"/>
        <v>0</v>
      </c>
      <c r="AB296" s="1275">
        <f t="shared" si="31"/>
        <v>0</v>
      </c>
      <c r="AC296" s="1275">
        <f t="shared" si="31"/>
        <v>0</v>
      </c>
      <c r="AD296" s="1275">
        <f t="shared" si="31"/>
        <v>0</v>
      </c>
      <c r="AE296" s="1275">
        <f t="shared" si="31"/>
        <v>0</v>
      </c>
      <c r="AF296" s="1275">
        <f t="shared" si="31"/>
        <v>0</v>
      </c>
      <c r="AG296" s="1275">
        <f t="shared" si="31"/>
        <v>0</v>
      </c>
      <c r="AH296" s="1207"/>
    </row>
    <row r="297" spans="1:34" x14ac:dyDescent="0.2">
      <c r="A297" s="1274" t="s">
        <v>8</v>
      </c>
      <c r="B297" s="1237"/>
      <c r="C297" s="1302"/>
      <c r="D297" s="1302"/>
      <c r="E297" s="1302"/>
      <c r="F297" s="1303"/>
      <c r="G297" s="1303"/>
      <c r="H297" s="1303"/>
      <c r="I297" s="1303"/>
      <c r="J297" s="1303"/>
      <c r="K297" s="1303"/>
      <c r="L297" s="1303"/>
      <c r="M297" s="1303"/>
      <c r="N297" s="1303"/>
      <c r="O297" s="1303"/>
      <c r="P297" s="1304"/>
      <c r="Q297" s="1303"/>
      <c r="R297" s="1303"/>
      <c r="S297" s="1303"/>
      <c r="T297" s="1303"/>
      <c r="U297" s="1303"/>
      <c r="V297" s="1303"/>
      <c r="W297" s="1303"/>
      <c r="X297" s="1303"/>
      <c r="Y297" s="1303"/>
      <c r="Z297" s="1303"/>
      <c r="AA297" s="1303"/>
      <c r="AB297" s="1303"/>
      <c r="AC297" s="1303"/>
      <c r="AD297" s="1303"/>
      <c r="AE297" s="1303"/>
      <c r="AF297" s="1303"/>
      <c r="AG297" s="1303"/>
      <c r="AH297" s="1207"/>
    </row>
    <row r="298" spans="1:34" x14ac:dyDescent="0.2">
      <c r="A298" s="1274" t="s">
        <v>775</v>
      </c>
      <c r="B298" s="1237"/>
      <c r="C298" s="1282"/>
      <c r="D298" s="1282">
        <v>1530.2</v>
      </c>
      <c r="E298" s="1282">
        <v>1878.68</v>
      </c>
      <c r="F298" s="1282"/>
      <c r="G298" s="1282">
        <v>3859.9560000000001</v>
      </c>
      <c r="H298" s="1282"/>
      <c r="I298" s="1282">
        <v>1736.9270000000001</v>
      </c>
      <c r="J298" s="1282"/>
      <c r="K298" s="1282">
        <v>2774.48</v>
      </c>
      <c r="L298" s="1282">
        <v>17638.807000000001</v>
      </c>
      <c r="M298" s="1282"/>
      <c r="N298" s="1282">
        <v>1997.556</v>
      </c>
      <c r="O298" s="1282">
        <v>6963.9130000000005</v>
      </c>
      <c r="P298" s="1282"/>
      <c r="Q298" s="1282">
        <v>16346.865</v>
      </c>
      <c r="R298" s="1282">
        <v>3873.8780000000002</v>
      </c>
      <c r="S298" s="1282">
        <v>1945.346</v>
      </c>
      <c r="T298" s="1282">
        <v>2341.3199999999997</v>
      </c>
      <c r="U298" s="1282"/>
      <c r="V298" s="1282">
        <v>7469.9339999999993</v>
      </c>
      <c r="W298" s="1282">
        <v>2758.88</v>
      </c>
      <c r="X298" s="1282"/>
      <c r="Y298" s="1282"/>
      <c r="Z298" s="1282">
        <v>1475.6</v>
      </c>
      <c r="AA298" s="1282">
        <v>2776.8409999999999</v>
      </c>
      <c r="AB298" s="1282"/>
      <c r="AC298" s="1282">
        <v>1470.4</v>
      </c>
      <c r="AD298" s="1282">
        <v>3412.9139999999998</v>
      </c>
      <c r="AE298" s="1282">
        <v>4267.1189999999997</v>
      </c>
      <c r="AF298" s="1282">
        <v>30742.673999999999</v>
      </c>
      <c r="AG298" s="1473"/>
      <c r="AH298" s="1455">
        <f>SUM(C298:AG298)</f>
        <v>117262.29000000001</v>
      </c>
    </row>
    <row r="299" spans="1:34" ht="13.5" thickBot="1" x14ac:dyDescent="0.25">
      <c r="A299" s="1294"/>
      <c r="B299" s="1237"/>
      <c r="C299" s="1302"/>
      <c r="D299" s="1302"/>
      <c r="E299" s="1302"/>
      <c r="F299" s="1303"/>
      <c r="G299" s="1303"/>
      <c r="H299" s="1303"/>
      <c r="I299" s="1303"/>
      <c r="J299" s="1303"/>
      <c r="K299" s="1303"/>
      <c r="L299" s="1303"/>
      <c r="M299" s="1303"/>
      <c r="N299" s="1303"/>
      <c r="O299" s="1303"/>
      <c r="P299" s="1304"/>
      <c r="Q299" s="1303"/>
      <c r="R299" s="1303"/>
      <c r="S299" s="1303"/>
      <c r="T299" s="1303"/>
      <c r="U299" s="1303"/>
      <c r="V299" s="1303"/>
      <c r="W299" s="1303"/>
      <c r="X299" s="1303"/>
      <c r="Y299" s="1303"/>
      <c r="Z299" s="1303"/>
      <c r="AA299" s="1303"/>
      <c r="AB299" s="1303"/>
      <c r="AC299" s="1303"/>
      <c r="AD299" s="1303"/>
      <c r="AE299" s="1303"/>
      <c r="AF299" s="1303"/>
      <c r="AG299" s="1303"/>
      <c r="AH299" s="1207"/>
    </row>
    <row r="300" spans="1:34" x14ac:dyDescent="0.2">
      <c r="A300" s="1269"/>
      <c r="B300" s="1237"/>
      <c r="C300" s="1296"/>
      <c r="D300" s="1297"/>
      <c r="E300" s="1297"/>
      <c r="F300" s="1298"/>
      <c r="G300" s="1298"/>
      <c r="H300" s="1298"/>
      <c r="I300" s="1298"/>
      <c r="J300" s="1298"/>
      <c r="K300" s="1298"/>
      <c r="L300" s="1298"/>
      <c r="M300" s="1298"/>
      <c r="N300" s="1298"/>
      <c r="O300" s="1298"/>
      <c r="P300" s="1299"/>
      <c r="Q300" s="1298"/>
      <c r="R300" s="1298"/>
      <c r="S300" s="1298"/>
      <c r="T300" s="1298"/>
      <c r="U300" s="1298"/>
      <c r="V300" s="1298"/>
      <c r="W300" s="1298"/>
      <c r="X300" s="1298"/>
      <c r="Y300" s="1298"/>
      <c r="Z300" s="1298"/>
      <c r="AA300" s="1298"/>
      <c r="AB300" s="1298"/>
      <c r="AC300" s="1298"/>
      <c r="AD300" s="1298"/>
      <c r="AE300" s="1298"/>
      <c r="AF300" s="1298"/>
      <c r="AG300" s="1298"/>
      <c r="AH300" s="1207"/>
    </row>
    <row r="301" spans="1:34" x14ac:dyDescent="0.2">
      <c r="A301" s="1274" t="s">
        <v>13</v>
      </c>
      <c r="B301" s="1237"/>
      <c r="C301" s="1300">
        <f t="shared" ref="C301:AG301" si="32">C296-C288</f>
        <v>0</v>
      </c>
      <c r="D301" s="1300">
        <f t="shared" si="32"/>
        <v>0</v>
      </c>
      <c r="E301" s="1300">
        <f t="shared" si="32"/>
        <v>0</v>
      </c>
      <c r="F301" s="1300">
        <f t="shared" si="32"/>
        <v>0</v>
      </c>
      <c r="G301" s="1300">
        <f t="shared" si="32"/>
        <v>0</v>
      </c>
      <c r="H301" s="1300">
        <f t="shared" si="32"/>
        <v>0</v>
      </c>
      <c r="I301" s="1300">
        <f t="shared" si="32"/>
        <v>0</v>
      </c>
      <c r="J301" s="1300">
        <f t="shared" si="32"/>
        <v>0</v>
      </c>
      <c r="K301" s="1300">
        <f t="shared" si="32"/>
        <v>0</v>
      </c>
      <c r="L301" s="1300">
        <f t="shared" si="32"/>
        <v>0</v>
      </c>
      <c r="M301" s="1300">
        <f t="shared" si="32"/>
        <v>0</v>
      </c>
      <c r="N301" s="1300">
        <f t="shared" si="32"/>
        <v>0</v>
      </c>
      <c r="O301" s="1300">
        <f t="shared" si="32"/>
        <v>-0.37000000000261934</v>
      </c>
      <c r="P301" s="1301">
        <f t="shared" si="32"/>
        <v>0</v>
      </c>
      <c r="Q301" s="1300">
        <f t="shared" si="32"/>
        <v>0</v>
      </c>
      <c r="R301" s="1300">
        <f t="shared" si="32"/>
        <v>0</v>
      </c>
      <c r="S301" s="1300">
        <f t="shared" si="32"/>
        <v>0</v>
      </c>
      <c r="T301" s="1300">
        <f t="shared" si="32"/>
        <v>0</v>
      </c>
      <c r="U301" s="1300">
        <f t="shared" si="32"/>
        <v>0</v>
      </c>
      <c r="V301" s="1300">
        <f t="shared" si="32"/>
        <v>-0.10500000000001819</v>
      </c>
      <c r="W301" s="1300">
        <f t="shared" si="32"/>
        <v>0</v>
      </c>
      <c r="X301" s="1300">
        <f t="shared" si="32"/>
        <v>0</v>
      </c>
      <c r="Y301" s="1300">
        <f t="shared" si="32"/>
        <v>0</v>
      </c>
      <c r="Z301" s="1300">
        <f t="shared" si="32"/>
        <v>0</v>
      </c>
      <c r="AA301" s="1300">
        <f t="shared" si="32"/>
        <v>0</v>
      </c>
      <c r="AB301" s="1300">
        <f t="shared" si="32"/>
        <v>0</v>
      </c>
      <c r="AC301" s="1300">
        <f t="shared" si="32"/>
        <v>0</v>
      </c>
      <c r="AD301" s="1300">
        <f t="shared" si="32"/>
        <v>0</v>
      </c>
      <c r="AE301" s="1300">
        <f t="shared" si="32"/>
        <v>0</v>
      </c>
      <c r="AF301" s="1300">
        <f t="shared" si="32"/>
        <v>0</v>
      </c>
      <c r="AG301" s="1300">
        <f t="shared" si="32"/>
        <v>0</v>
      </c>
      <c r="AH301" s="1207"/>
    </row>
    <row r="302" spans="1:34" ht="13.5" thickBot="1" x14ac:dyDescent="0.25">
      <c r="A302" s="1274"/>
      <c r="B302" s="1237"/>
      <c r="C302" s="1300"/>
      <c r="D302" s="1302"/>
      <c r="E302" s="1302"/>
      <c r="F302" s="1303"/>
      <c r="G302" s="1303"/>
      <c r="H302" s="1303"/>
      <c r="I302" s="1303"/>
      <c r="J302" s="1303"/>
      <c r="K302" s="1303"/>
      <c r="L302" s="1303"/>
      <c r="M302" s="1303"/>
      <c r="N302" s="1303"/>
      <c r="O302" s="1303"/>
      <c r="P302" s="1304"/>
      <c r="Q302" s="1303"/>
      <c r="R302" s="1303"/>
      <c r="S302" s="1303"/>
      <c r="T302" s="1303"/>
      <c r="U302" s="1303"/>
      <c r="V302" s="1303"/>
      <c r="W302" s="1303"/>
      <c r="X302" s="1303"/>
      <c r="Y302" s="1303"/>
      <c r="Z302" s="1303"/>
      <c r="AA302" s="1303"/>
      <c r="AB302" s="1303"/>
      <c r="AC302" s="1303"/>
      <c r="AD302" s="1303"/>
      <c r="AE302" s="1303"/>
      <c r="AF302" s="1303"/>
      <c r="AG302" s="1303"/>
      <c r="AH302" s="1207"/>
    </row>
    <row r="303" spans="1:34" x14ac:dyDescent="0.2">
      <c r="A303" s="1233"/>
      <c r="B303" s="1234"/>
      <c r="C303" s="1305"/>
      <c r="D303" s="1297"/>
      <c r="E303" s="1297"/>
      <c r="F303" s="1298"/>
      <c r="G303" s="1298"/>
      <c r="H303" s="1298"/>
      <c r="I303" s="1298"/>
      <c r="J303" s="1298"/>
      <c r="K303" s="1298"/>
      <c r="L303" s="1298"/>
      <c r="M303" s="1298"/>
      <c r="N303" s="1298"/>
      <c r="O303" s="1298"/>
      <c r="P303" s="1299"/>
      <c r="Q303" s="1298"/>
      <c r="R303" s="1298"/>
      <c r="S303" s="1298"/>
      <c r="T303" s="1298"/>
      <c r="U303" s="1298"/>
      <c r="V303" s="1298"/>
      <c r="W303" s="1298"/>
      <c r="X303" s="1298"/>
      <c r="Y303" s="1298"/>
      <c r="Z303" s="1298"/>
      <c r="AA303" s="1298"/>
      <c r="AB303" s="1298"/>
      <c r="AC303" s="1298"/>
      <c r="AD303" s="1298"/>
      <c r="AE303" s="1298"/>
      <c r="AF303" s="1298"/>
      <c r="AG303" s="1298"/>
      <c r="AH303" s="1207"/>
    </row>
    <row r="304" spans="1:34" x14ac:dyDescent="0.2">
      <c r="A304" s="1236" t="s">
        <v>15</v>
      </c>
      <c r="B304" s="1237"/>
      <c r="C304" s="1302">
        <f>B285+C301</f>
        <v>-17711.929</v>
      </c>
      <c r="D304" s="1302">
        <f t="shared" ref="D304:AG304" si="33">C311+D301</f>
        <v>-17711.929</v>
      </c>
      <c r="E304" s="1302">
        <f t="shared" si="33"/>
        <v>-17711.929</v>
      </c>
      <c r="F304" s="1302">
        <f t="shared" si="33"/>
        <v>-17711.929</v>
      </c>
      <c r="G304" s="1302">
        <f t="shared" si="33"/>
        <v>-17711.929</v>
      </c>
      <c r="H304" s="1302">
        <f t="shared" si="33"/>
        <v>-17711.929</v>
      </c>
      <c r="I304" s="1302">
        <f t="shared" si="33"/>
        <v>-17711.929</v>
      </c>
      <c r="J304" s="1302">
        <f t="shared" si="33"/>
        <v>-17711.929</v>
      </c>
      <c r="K304" s="1302">
        <f t="shared" si="33"/>
        <v>-17711.929</v>
      </c>
      <c r="L304" s="1302">
        <f t="shared" si="33"/>
        <v>-17711.929</v>
      </c>
      <c r="M304" s="1302">
        <f t="shared" si="33"/>
        <v>-17711.929</v>
      </c>
      <c r="N304" s="1302">
        <f t="shared" si="33"/>
        <v>-17711.929</v>
      </c>
      <c r="O304" s="1302">
        <f t="shared" si="33"/>
        <v>-17712.299000000003</v>
      </c>
      <c r="P304" s="1306">
        <f t="shared" si="33"/>
        <v>-17712.299000000003</v>
      </c>
      <c r="Q304" s="1302">
        <f t="shared" si="33"/>
        <v>-17712.299000000003</v>
      </c>
      <c r="R304" s="1302">
        <f t="shared" si="33"/>
        <v>-17712.299000000003</v>
      </c>
      <c r="S304" s="1302">
        <f t="shared" si="33"/>
        <v>-17712.299000000003</v>
      </c>
      <c r="T304" s="1302">
        <f t="shared" si="33"/>
        <v>-17712.299000000003</v>
      </c>
      <c r="U304" s="1302">
        <f t="shared" si="33"/>
        <v>-17712.299000000003</v>
      </c>
      <c r="V304" s="1302">
        <f t="shared" si="33"/>
        <v>-17712.404000000002</v>
      </c>
      <c r="W304" s="1302">
        <f t="shared" si="33"/>
        <v>-17712.404000000002</v>
      </c>
      <c r="X304" s="1302">
        <f t="shared" si="33"/>
        <v>-17712.404000000002</v>
      </c>
      <c r="Y304" s="1302">
        <f t="shared" si="33"/>
        <v>-17712.404000000002</v>
      </c>
      <c r="Z304" s="1302">
        <f t="shared" si="33"/>
        <v>-17712.404000000002</v>
      </c>
      <c r="AA304" s="1302">
        <f t="shared" si="33"/>
        <v>-17712.404000000002</v>
      </c>
      <c r="AB304" s="1302">
        <f t="shared" si="33"/>
        <v>-17712.404000000002</v>
      </c>
      <c r="AC304" s="1302">
        <f t="shared" si="33"/>
        <v>-17712.404000000002</v>
      </c>
      <c r="AD304" s="1302">
        <f t="shared" si="33"/>
        <v>-17712.404000000002</v>
      </c>
      <c r="AE304" s="1302">
        <f t="shared" si="33"/>
        <v>-17712.404000000002</v>
      </c>
      <c r="AF304" s="1302">
        <f t="shared" si="33"/>
        <v>-17712.404000000002</v>
      </c>
      <c r="AG304" s="1302">
        <f t="shared" si="33"/>
        <v>-17712.404000000002</v>
      </c>
      <c r="AH304" s="1207"/>
    </row>
    <row r="305" spans="1:34" ht="13.5" thickBot="1" x14ac:dyDescent="0.25">
      <c r="A305" s="1250"/>
      <c r="B305" s="1307"/>
      <c r="C305" s="1308"/>
      <c r="D305" s="1308"/>
      <c r="E305" s="1308"/>
      <c r="F305" s="1309"/>
      <c r="G305" s="1309"/>
      <c r="H305" s="1309"/>
      <c r="I305" s="1309"/>
      <c r="J305" s="1309"/>
      <c r="K305" s="1309"/>
      <c r="L305" s="1309"/>
      <c r="M305" s="1309"/>
      <c r="N305" s="1309"/>
      <c r="O305" s="1309"/>
      <c r="P305" s="1310"/>
      <c r="Q305" s="1309"/>
      <c r="R305" s="1309"/>
      <c r="S305" s="1309"/>
      <c r="T305" s="1309"/>
      <c r="U305" s="1309"/>
      <c r="V305" s="1309"/>
      <c r="W305" s="1309"/>
      <c r="X305" s="1309"/>
      <c r="Y305" s="1309"/>
      <c r="Z305" s="1309"/>
      <c r="AA305" s="1309"/>
      <c r="AB305" s="1309"/>
      <c r="AC305" s="1309"/>
      <c r="AD305" s="1309"/>
      <c r="AE305" s="1309"/>
      <c r="AF305" s="1309"/>
      <c r="AG305" s="1309"/>
      <c r="AH305" s="1207"/>
    </row>
    <row r="306" spans="1:34" x14ac:dyDescent="0.2">
      <c r="A306" s="1233"/>
      <c r="B306" s="1234"/>
      <c r="C306" s="1297"/>
      <c r="D306" s="1297"/>
      <c r="E306" s="1297"/>
      <c r="F306" s="1298"/>
      <c r="G306" s="1298"/>
      <c r="H306" s="1298"/>
      <c r="I306" s="1298"/>
      <c r="J306" s="1298"/>
      <c r="K306" s="1298"/>
      <c r="L306" s="1298"/>
      <c r="M306" s="1298"/>
      <c r="N306" s="1298"/>
      <c r="O306" s="1298"/>
      <c r="P306" s="1299"/>
      <c r="Q306" s="1298"/>
      <c r="R306" s="1298"/>
      <c r="S306" s="1298"/>
      <c r="T306" s="1298"/>
      <c r="U306" s="1298"/>
      <c r="V306" s="1298"/>
      <c r="W306" s="1298"/>
      <c r="X306" s="1298"/>
      <c r="Y306" s="1298"/>
      <c r="Z306" s="1298"/>
      <c r="AA306" s="1298"/>
      <c r="AB306" s="1298"/>
      <c r="AC306" s="1298"/>
      <c r="AD306" s="1298"/>
      <c r="AE306" s="1298"/>
      <c r="AF306" s="1298"/>
      <c r="AG306" s="1298"/>
      <c r="AH306" s="1207"/>
    </row>
    <row r="307" spans="1:34" x14ac:dyDescent="0.2">
      <c r="A307" s="1236" t="s">
        <v>82</v>
      </c>
      <c r="B307" s="1237"/>
      <c r="C307" s="1302">
        <f t="shared" ref="C307:AG308" si="34">C315</f>
        <v>0</v>
      </c>
      <c r="D307" s="1302">
        <f t="shared" si="34"/>
        <v>0</v>
      </c>
      <c r="E307" s="1302">
        <f t="shared" si="34"/>
        <v>0</v>
      </c>
      <c r="F307" s="1302">
        <f t="shared" si="34"/>
        <v>0</v>
      </c>
      <c r="G307" s="1302">
        <f t="shared" si="34"/>
        <v>0</v>
      </c>
      <c r="H307" s="1302">
        <f t="shared" si="34"/>
        <v>0</v>
      </c>
      <c r="I307" s="1302">
        <f t="shared" si="34"/>
        <v>0</v>
      </c>
      <c r="J307" s="1302">
        <f t="shared" si="34"/>
        <v>0</v>
      </c>
      <c r="K307" s="1302">
        <f t="shared" si="34"/>
        <v>0</v>
      </c>
      <c r="L307" s="1302">
        <f t="shared" si="34"/>
        <v>0</v>
      </c>
      <c r="M307" s="1302">
        <f t="shared" si="34"/>
        <v>0</v>
      </c>
      <c r="N307" s="1302">
        <f t="shared" si="34"/>
        <v>0</v>
      </c>
      <c r="O307" s="1302">
        <f t="shared" si="34"/>
        <v>0</v>
      </c>
      <c r="P307" s="1306">
        <f t="shared" si="34"/>
        <v>0</v>
      </c>
      <c r="Q307" s="1302">
        <f t="shared" si="34"/>
        <v>0</v>
      </c>
      <c r="R307" s="1302">
        <f t="shared" si="34"/>
        <v>0</v>
      </c>
      <c r="S307" s="1302">
        <f t="shared" si="34"/>
        <v>0</v>
      </c>
      <c r="T307" s="1302">
        <f t="shared" si="34"/>
        <v>0</v>
      </c>
      <c r="U307" s="1302">
        <f t="shared" si="34"/>
        <v>0</v>
      </c>
      <c r="V307" s="1302">
        <f t="shared" si="34"/>
        <v>0</v>
      </c>
      <c r="W307" s="1302">
        <f t="shared" si="34"/>
        <v>0</v>
      </c>
      <c r="X307" s="1302">
        <f t="shared" si="34"/>
        <v>0</v>
      </c>
      <c r="Y307" s="1302">
        <f t="shared" si="34"/>
        <v>0</v>
      </c>
      <c r="Z307" s="1302">
        <f t="shared" si="34"/>
        <v>0</v>
      </c>
      <c r="AA307" s="1302">
        <f t="shared" si="34"/>
        <v>0</v>
      </c>
      <c r="AB307" s="1302">
        <f t="shared" si="34"/>
        <v>0</v>
      </c>
      <c r="AC307" s="1302">
        <f t="shared" si="34"/>
        <v>0</v>
      </c>
      <c r="AD307" s="1302">
        <f t="shared" si="34"/>
        <v>0</v>
      </c>
      <c r="AE307" s="1302">
        <f t="shared" si="34"/>
        <v>0</v>
      </c>
      <c r="AF307" s="1302">
        <f t="shared" si="34"/>
        <v>0</v>
      </c>
      <c r="AG307" s="1302">
        <f t="shared" si="34"/>
        <v>0</v>
      </c>
      <c r="AH307" s="1207"/>
    </row>
    <row r="308" spans="1:34" x14ac:dyDescent="0.2">
      <c r="A308" s="1236" t="s">
        <v>83</v>
      </c>
      <c r="B308" s="1237"/>
      <c r="C308" s="1306">
        <f t="shared" si="34"/>
        <v>0</v>
      </c>
      <c r="D308" s="1306">
        <f t="shared" si="34"/>
        <v>0</v>
      </c>
      <c r="E308" s="1306">
        <f t="shared" si="34"/>
        <v>0</v>
      </c>
      <c r="F308" s="1306">
        <f t="shared" si="34"/>
        <v>0</v>
      </c>
      <c r="G308" s="1306">
        <f t="shared" si="34"/>
        <v>0</v>
      </c>
      <c r="H308" s="1306">
        <f t="shared" si="34"/>
        <v>0</v>
      </c>
      <c r="I308" s="1306">
        <f t="shared" si="34"/>
        <v>0</v>
      </c>
      <c r="J308" s="1306">
        <f t="shared" si="34"/>
        <v>0</v>
      </c>
      <c r="K308" s="1306">
        <f t="shared" si="34"/>
        <v>0</v>
      </c>
      <c r="L308" s="1306">
        <f t="shared" si="34"/>
        <v>0</v>
      </c>
      <c r="M308" s="1306">
        <f t="shared" si="34"/>
        <v>0</v>
      </c>
      <c r="N308" s="1306">
        <f t="shared" si="34"/>
        <v>0</v>
      </c>
      <c r="O308" s="1306">
        <f t="shared" si="34"/>
        <v>0</v>
      </c>
      <c r="P308" s="1306">
        <f t="shared" si="34"/>
        <v>0</v>
      </c>
      <c r="Q308" s="1306">
        <f t="shared" si="34"/>
        <v>0</v>
      </c>
      <c r="R308" s="1306">
        <f t="shared" si="34"/>
        <v>0</v>
      </c>
      <c r="S308" s="1306">
        <f t="shared" si="34"/>
        <v>0</v>
      </c>
      <c r="T308" s="1306">
        <f t="shared" si="34"/>
        <v>0</v>
      </c>
      <c r="U308" s="1306">
        <f t="shared" si="34"/>
        <v>0</v>
      </c>
      <c r="V308" s="1306">
        <f t="shared" si="34"/>
        <v>0</v>
      </c>
      <c r="W308" s="1306">
        <f t="shared" si="34"/>
        <v>0</v>
      </c>
      <c r="X308" s="1306">
        <f t="shared" si="34"/>
        <v>0</v>
      </c>
      <c r="Y308" s="1306">
        <f t="shared" si="34"/>
        <v>0</v>
      </c>
      <c r="Z308" s="1306">
        <f t="shared" si="34"/>
        <v>0</v>
      </c>
      <c r="AA308" s="1306">
        <f t="shared" si="34"/>
        <v>0</v>
      </c>
      <c r="AB308" s="1306">
        <f t="shared" si="34"/>
        <v>0</v>
      </c>
      <c r="AC308" s="1306">
        <f t="shared" si="34"/>
        <v>0</v>
      </c>
      <c r="AD308" s="1306">
        <f t="shared" si="34"/>
        <v>0</v>
      </c>
      <c r="AE308" s="1306">
        <f t="shared" si="34"/>
        <v>0</v>
      </c>
      <c r="AF308" s="1306">
        <f t="shared" si="34"/>
        <v>0</v>
      </c>
      <c r="AG308" s="1306">
        <f t="shared" si="34"/>
        <v>0</v>
      </c>
      <c r="AH308" s="1207"/>
    </row>
    <row r="309" spans="1:34" ht="13.5" thickBot="1" x14ac:dyDescent="0.25">
      <c r="A309" s="1250"/>
      <c r="B309" s="1307"/>
      <c r="C309" s="1308"/>
      <c r="D309" s="1308"/>
      <c r="E309" s="1308"/>
      <c r="F309" s="1309"/>
      <c r="G309" s="1309"/>
      <c r="H309" s="1309"/>
      <c r="I309" s="1309"/>
      <c r="J309" s="1309"/>
      <c r="K309" s="1309"/>
      <c r="L309" s="1309"/>
      <c r="M309" s="1309"/>
      <c r="N309" s="1309"/>
      <c r="O309" s="1309"/>
      <c r="P309" s="1310"/>
      <c r="Q309" s="1309"/>
      <c r="R309" s="1309"/>
      <c r="S309" s="1309"/>
      <c r="T309" s="1309"/>
      <c r="U309" s="1309"/>
      <c r="V309" s="1309"/>
      <c r="W309" s="1309"/>
      <c r="X309" s="1309"/>
      <c r="Y309" s="1309"/>
      <c r="Z309" s="1309"/>
      <c r="AA309" s="1309"/>
      <c r="AB309" s="1309"/>
      <c r="AC309" s="1309"/>
      <c r="AD309" s="1309"/>
      <c r="AE309" s="1309"/>
      <c r="AF309" s="1309"/>
      <c r="AG309" s="1309"/>
      <c r="AH309" s="1207"/>
    </row>
    <row r="310" spans="1:34" x14ac:dyDescent="0.2">
      <c r="A310" s="1236"/>
      <c r="B310" s="1237"/>
      <c r="C310" s="1302"/>
      <c r="D310" s="1302"/>
      <c r="E310" s="1302"/>
      <c r="F310" s="1303"/>
      <c r="G310" s="1303"/>
      <c r="H310" s="1303"/>
      <c r="I310" s="1303"/>
      <c r="J310" s="1303"/>
      <c r="K310" s="1303"/>
      <c r="L310" s="1303"/>
      <c r="M310" s="1303"/>
      <c r="N310" s="1303"/>
      <c r="O310" s="1303"/>
      <c r="P310" s="1304"/>
      <c r="Q310" s="1303"/>
      <c r="R310" s="1303"/>
      <c r="S310" s="1303"/>
      <c r="T310" s="1303"/>
      <c r="U310" s="1303"/>
      <c r="V310" s="1303"/>
      <c r="W310" s="1303"/>
      <c r="X310" s="1303"/>
      <c r="Y310" s="1303"/>
      <c r="Z310" s="1303"/>
      <c r="AA310" s="1303"/>
      <c r="AB310" s="1303"/>
      <c r="AC310" s="1303"/>
      <c r="AD310" s="1303"/>
      <c r="AE310" s="1303"/>
      <c r="AF310" s="1303"/>
      <c r="AG310" s="1303"/>
      <c r="AH310" s="1207"/>
    </row>
    <row r="311" spans="1:34" x14ac:dyDescent="0.2">
      <c r="A311" s="1236" t="s">
        <v>14</v>
      </c>
      <c r="B311" s="1237"/>
      <c r="C311" s="1302">
        <f t="shared" ref="C311:AG311" si="35">C304+C307+C308</f>
        <v>-17711.929</v>
      </c>
      <c r="D311" s="1302">
        <f t="shared" si="35"/>
        <v>-17711.929</v>
      </c>
      <c r="E311" s="1302">
        <f t="shared" si="35"/>
        <v>-17711.929</v>
      </c>
      <c r="F311" s="1302">
        <f t="shared" si="35"/>
        <v>-17711.929</v>
      </c>
      <c r="G311" s="1302">
        <f t="shared" si="35"/>
        <v>-17711.929</v>
      </c>
      <c r="H311" s="1302">
        <f t="shared" si="35"/>
        <v>-17711.929</v>
      </c>
      <c r="I311" s="1302">
        <f t="shared" si="35"/>
        <v>-17711.929</v>
      </c>
      <c r="J311" s="1302">
        <f t="shared" si="35"/>
        <v>-17711.929</v>
      </c>
      <c r="K311" s="1302">
        <f t="shared" si="35"/>
        <v>-17711.929</v>
      </c>
      <c r="L311" s="1302">
        <f t="shared" si="35"/>
        <v>-17711.929</v>
      </c>
      <c r="M311" s="1302">
        <f t="shared" si="35"/>
        <v>-17711.929</v>
      </c>
      <c r="N311" s="1302">
        <f t="shared" si="35"/>
        <v>-17711.929</v>
      </c>
      <c r="O311" s="1302">
        <f t="shared" si="35"/>
        <v>-17712.299000000003</v>
      </c>
      <c r="P311" s="1306">
        <f t="shared" si="35"/>
        <v>-17712.299000000003</v>
      </c>
      <c r="Q311" s="1302">
        <f t="shared" si="35"/>
        <v>-17712.299000000003</v>
      </c>
      <c r="R311" s="1302">
        <f t="shared" si="35"/>
        <v>-17712.299000000003</v>
      </c>
      <c r="S311" s="1302">
        <f t="shared" si="35"/>
        <v>-17712.299000000003</v>
      </c>
      <c r="T311" s="1302">
        <f t="shared" si="35"/>
        <v>-17712.299000000003</v>
      </c>
      <c r="U311" s="1302">
        <f t="shared" si="35"/>
        <v>-17712.299000000003</v>
      </c>
      <c r="V311" s="1302">
        <f t="shared" si="35"/>
        <v>-17712.404000000002</v>
      </c>
      <c r="W311" s="1302">
        <f t="shared" si="35"/>
        <v>-17712.404000000002</v>
      </c>
      <c r="X311" s="1302">
        <f t="shared" si="35"/>
        <v>-17712.404000000002</v>
      </c>
      <c r="Y311" s="1302">
        <f t="shared" si="35"/>
        <v>-17712.404000000002</v>
      </c>
      <c r="Z311" s="1302">
        <f t="shared" si="35"/>
        <v>-17712.404000000002</v>
      </c>
      <c r="AA311" s="1302">
        <f t="shared" si="35"/>
        <v>-17712.404000000002</v>
      </c>
      <c r="AB311" s="1302">
        <f t="shared" si="35"/>
        <v>-17712.404000000002</v>
      </c>
      <c r="AC311" s="1302">
        <f t="shared" si="35"/>
        <v>-17712.404000000002</v>
      </c>
      <c r="AD311" s="1302">
        <f t="shared" si="35"/>
        <v>-17712.404000000002</v>
      </c>
      <c r="AE311" s="1302">
        <f t="shared" si="35"/>
        <v>-17712.404000000002</v>
      </c>
      <c r="AF311" s="1302">
        <f t="shared" si="35"/>
        <v>-17712.404000000002</v>
      </c>
      <c r="AG311" s="1302">
        <f t="shared" si="35"/>
        <v>-17712.404000000002</v>
      </c>
      <c r="AH311" s="1207"/>
    </row>
    <row r="312" spans="1:34" x14ac:dyDescent="0.2">
      <c r="A312" s="1236"/>
      <c r="B312" s="1237"/>
      <c r="C312" s="1302"/>
      <c r="D312" s="1302"/>
      <c r="E312" s="1302"/>
      <c r="F312" s="1303"/>
      <c r="G312" s="1303"/>
      <c r="H312" s="1303"/>
      <c r="I312" s="1303"/>
      <c r="J312" s="1303"/>
      <c r="K312" s="1303"/>
      <c r="L312" s="1303"/>
      <c r="M312" s="1303"/>
      <c r="N312" s="1303"/>
      <c r="O312" s="1303"/>
      <c r="P312" s="1304"/>
      <c r="Q312" s="1303"/>
      <c r="R312" s="1303"/>
      <c r="S312" s="1303"/>
      <c r="T312" s="1303"/>
      <c r="U312" s="1303"/>
      <c r="V312" s="1303"/>
      <c r="W312" s="1303"/>
      <c r="X312" s="1303"/>
      <c r="Y312" s="1303"/>
      <c r="Z312" s="1303"/>
      <c r="AA312" s="1303"/>
      <c r="AB312" s="1303"/>
      <c r="AC312" s="1303"/>
      <c r="AD312" s="1303"/>
      <c r="AE312" s="1303"/>
      <c r="AF312" s="1303"/>
      <c r="AG312" s="1303"/>
      <c r="AH312" s="1207"/>
    </row>
    <row r="313" spans="1:34" ht="13.5" thickBot="1" x14ac:dyDescent="0.25">
      <c r="A313" s="1250"/>
      <c r="B313" s="1307"/>
      <c r="C313" s="1312"/>
      <c r="D313" s="1312"/>
      <c r="E313" s="1312"/>
      <c r="F313" s="1313"/>
      <c r="G313" s="1313"/>
      <c r="H313" s="1313"/>
      <c r="I313" s="1313"/>
      <c r="J313" s="1313"/>
      <c r="K313" s="1313"/>
      <c r="L313" s="1313"/>
      <c r="M313" s="1313"/>
      <c r="N313" s="1313"/>
      <c r="O313" s="1313"/>
      <c r="P313" s="1314"/>
      <c r="Q313" s="1313"/>
      <c r="R313" s="1313"/>
      <c r="S313" s="1313"/>
      <c r="T313" s="1313"/>
      <c r="U313" s="1313"/>
      <c r="V313" s="1313"/>
      <c r="W313" s="1313"/>
      <c r="X313" s="1313"/>
      <c r="Y313" s="1313"/>
      <c r="Z313" s="1313"/>
      <c r="AA313" s="1313"/>
      <c r="AB313" s="1313"/>
      <c r="AC313" s="1313"/>
      <c r="AD313" s="1313"/>
      <c r="AE313" s="1313"/>
      <c r="AF313" s="1313"/>
      <c r="AG313" s="1313"/>
      <c r="AH313" s="1207"/>
    </row>
    <row r="314" spans="1:34" x14ac:dyDescent="0.2">
      <c r="A314" s="1316"/>
      <c r="B314" s="1207"/>
      <c r="C314" s="1227"/>
      <c r="D314" s="1227"/>
      <c r="E314" s="1227"/>
      <c r="F314" s="1227"/>
      <c r="G314" s="1227"/>
      <c r="H314" s="1227"/>
      <c r="I314" s="1227"/>
      <c r="J314" s="1227"/>
      <c r="K314" s="1227"/>
      <c r="L314" s="1227"/>
      <c r="M314" s="1227"/>
      <c r="N314" s="1227"/>
      <c r="O314" s="1227"/>
      <c r="P314" s="1229"/>
      <c r="Q314" s="1227"/>
      <c r="R314" s="1227"/>
      <c r="S314" s="1227"/>
      <c r="T314" s="1227"/>
      <c r="U314" s="1227"/>
      <c r="V314" s="1227"/>
      <c r="W314" s="1227"/>
      <c r="X314" s="1227"/>
      <c r="Y314" s="1227"/>
      <c r="Z314" s="1227"/>
      <c r="AA314" s="1227"/>
      <c r="AB314" s="1227"/>
      <c r="AC314" s="1227"/>
      <c r="AD314" s="1227"/>
      <c r="AE314" s="1227"/>
      <c r="AF314" s="1227"/>
      <c r="AG314" s="1227"/>
      <c r="AH314" s="1227">
        <f>SUM(C314:AG314)</f>
        <v>0</v>
      </c>
    </row>
    <row r="315" spans="1:34" x14ac:dyDescent="0.2">
      <c r="A315" s="1344"/>
      <c r="B315" s="1383"/>
      <c r="C315" s="1219"/>
      <c r="D315" s="1221"/>
      <c r="E315" s="1356"/>
      <c r="F315" s="1219"/>
      <c r="G315" s="1219"/>
      <c r="H315" s="1220"/>
      <c r="I315" s="1219"/>
      <c r="J315" s="1219"/>
      <c r="K315" s="1219"/>
      <c r="L315" s="1219"/>
      <c r="M315" s="1220"/>
      <c r="N315" s="1220"/>
      <c r="O315" s="1220">
        <f>10913.984-7466.84-3447.144</f>
        <v>0</v>
      </c>
      <c r="P315" s="1221"/>
      <c r="Q315" s="1219"/>
      <c r="R315" s="1219"/>
      <c r="S315" s="1219"/>
      <c r="T315" s="1219"/>
      <c r="U315" s="1219"/>
      <c r="V315" s="1219"/>
      <c r="W315" s="1220"/>
      <c r="X315" s="1220"/>
      <c r="Y315" s="1220"/>
      <c r="Z315" s="1220"/>
      <c r="AA315" s="1220"/>
      <c r="AB315" s="1220"/>
      <c r="AC315" s="1220"/>
      <c r="AD315" s="1221"/>
      <c r="AE315" s="1219"/>
      <c r="AF315" s="1219"/>
      <c r="AG315" s="1219"/>
      <c r="AH315" s="1227"/>
    </row>
    <row r="316" spans="1:34" x14ac:dyDescent="0.2">
      <c r="A316" s="1207"/>
      <c r="B316" s="1207"/>
      <c r="C316" s="1207"/>
      <c r="D316" s="1207"/>
      <c r="E316" s="134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1208"/>
      <c r="Q316" s="1207"/>
      <c r="R316" s="1207"/>
      <c r="S316" s="1207"/>
      <c r="T316" s="1207"/>
      <c r="U316" s="1207"/>
      <c r="V316" s="1207"/>
      <c r="W316" s="1207"/>
      <c r="X316" s="1207"/>
      <c r="Y316" s="1207"/>
      <c r="Z316" s="1207"/>
      <c r="AA316" s="1207"/>
      <c r="AB316" s="1207"/>
      <c r="AC316" s="1207"/>
      <c r="AD316" s="1207"/>
      <c r="AE316" s="1207"/>
      <c r="AF316" s="1207"/>
      <c r="AG316" s="1207"/>
      <c r="AH316" s="1227"/>
    </row>
    <row r="317" spans="1:34" x14ac:dyDescent="0.2">
      <c r="A317" s="1210" t="s">
        <v>415</v>
      </c>
      <c r="B317" s="1215">
        <f>B318+B319+B321+B320</f>
        <v>1020000</v>
      </c>
      <c r="C317" s="1367"/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1208"/>
      <c r="Q317" s="1207"/>
      <c r="R317" s="1207"/>
      <c r="S317" s="1207"/>
      <c r="T317" s="1207"/>
      <c r="U317" s="1401"/>
      <c r="V317" s="1220"/>
      <c r="W317" s="1227"/>
      <c r="X317" s="1207"/>
      <c r="Y317" s="1207"/>
      <c r="Z317" s="1207"/>
      <c r="AA317" s="1384"/>
      <c r="AB317" s="1207"/>
      <c r="AC317" s="1207"/>
      <c r="AD317" s="1207"/>
      <c r="AE317" s="1207"/>
      <c r="AF317" s="1207"/>
      <c r="AG317" s="1207"/>
      <c r="AH317" s="1207"/>
    </row>
    <row r="318" spans="1:34" x14ac:dyDescent="0.2">
      <c r="A318" s="1365" t="s">
        <v>414</v>
      </c>
      <c r="B318" s="1219">
        <v>20000</v>
      </c>
      <c r="C318" s="1207"/>
      <c r="D318" s="1207"/>
      <c r="E318" s="122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8"/>
      <c r="Q318" s="1207"/>
      <c r="R318" s="1207"/>
      <c r="S318" s="1207"/>
      <c r="T318" s="1207"/>
      <c r="U318" s="1230"/>
      <c r="V318" s="1230"/>
      <c r="W318" s="1207"/>
      <c r="X318" s="1207"/>
      <c r="Y318" s="1207"/>
      <c r="Z318" s="1207"/>
      <c r="AA318" s="1207"/>
      <c r="AB318" s="1207"/>
      <c r="AC318" s="1227"/>
      <c r="AD318" s="1227"/>
      <c r="AE318" s="1207"/>
      <c r="AF318" s="1207"/>
      <c r="AG318" s="1207"/>
      <c r="AH318" s="1207"/>
    </row>
    <row r="319" spans="1:34" x14ac:dyDescent="0.2">
      <c r="A319" s="1365" t="s">
        <v>287</v>
      </c>
      <c r="B319" s="1219">
        <v>600000</v>
      </c>
      <c r="C319" s="1207"/>
      <c r="D319" s="1207"/>
      <c r="E319" s="1207"/>
      <c r="F319" s="1207"/>
      <c r="G319" s="1207"/>
      <c r="H319" s="1207"/>
      <c r="I319" s="1207"/>
      <c r="J319" s="1207"/>
      <c r="K319" s="1227"/>
      <c r="L319" s="1207"/>
      <c r="M319" s="1207"/>
      <c r="N319" s="1207"/>
      <c r="O319" s="1207"/>
      <c r="P319" s="1208"/>
      <c r="Q319" s="1207"/>
      <c r="R319" s="1207"/>
      <c r="S319" s="1207"/>
      <c r="T319" s="1207"/>
      <c r="U319" s="1402"/>
      <c r="V319" s="1230"/>
      <c r="W319" s="1207"/>
      <c r="X319" s="1227"/>
      <c r="Y319" s="1207"/>
      <c r="Z319" s="1207"/>
      <c r="AA319" s="1207"/>
      <c r="AB319" s="1207"/>
      <c r="AC319" s="1207"/>
      <c r="AD319" s="1207"/>
      <c r="AE319" s="1207"/>
      <c r="AF319" s="1207"/>
      <c r="AG319" s="1207"/>
    </row>
    <row r="320" spans="1:34" x14ac:dyDescent="0.2">
      <c r="A320" s="1316" t="s">
        <v>413</v>
      </c>
      <c r="B320" s="1219">
        <v>200000</v>
      </c>
      <c r="C320" s="1207"/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8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07"/>
      <c r="AA320" s="1207"/>
      <c r="AB320" s="1207"/>
      <c r="AC320" s="1207"/>
      <c r="AD320" s="1207"/>
      <c r="AE320" s="1207"/>
      <c r="AF320" s="1207"/>
      <c r="AG320" s="1207"/>
    </row>
    <row r="321" spans="1:33" x14ac:dyDescent="0.2">
      <c r="A321" s="1316" t="s">
        <v>441</v>
      </c>
      <c r="B321" s="1219">
        <v>200000</v>
      </c>
      <c r="C321" s="1207"/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1208"/>
      <c r="Q321" s="1207"/>
      <c r="R321" s="1207"/>
      <c r="S321" s="1207"/>
      <c r="T321" s="1207"/>
      <c r="U321" s="1207"/>
      <c r="V321" s="1207"/>
      <c r="W321" s="1207"/>
      <c r="X321" s="1207"/>
      <c r="Y321" s="1207"/>
      <c r="Z321" s="1207"/>
      <c r="AA321" s="1207"/>
      <c r="AB321" s="1207"/>
      <c r="AC321" s="1207"/>
      <c r="AD321" s="1207"/>
      <c r="AE321" s="1207"/>
      <c r="AF321" s="1207"/>
      <c r="AG321" s="1207"/>
    </row>
    <row r="322" spans="1:33" x14ac:dyDescent="0.2">
      <c r="A322" s="1207"/>
      <c r="B322" s="1207"/>
      <c r="C322" s="1207"/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8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07"/>
      <c r="AA322" s="1207"/>
      <c r="AB322" s="1207"/>
      <c r="AC322" s="1207"/>
      <c r="AD322" s="1207"/>
      <c r="AE322" s="1207"/>
      <c r="AF322" s="1207"/>
      <c r="AG322" s="1207"/>
    </row>
    <row r="323" spans="1:33" x14ac:dyDescent="0.2">
      <c r="A323" s="1223" t="s">
        <v>449</v>
      </c>
      <c r="B323" s="1280"/>
      <c r="L323" s="1283"/>
    </row>
    <row r="324" spans="1:33" x14ac:dyDescent="0.2">
      <c r="AB324" s="1283"/>
      <c r="AC324" s="1283"/>
      <c r="AD324" s="1283"/>
      <c r="AE324" s="1283"/>
    </row>
    <row r="331" spans="1:33" ht="15" x14ac:dyDescent="0.2">
      <c r="A331" s="1403"/>
      <c r="B331" s="1404"/>
    </row>
    <row r="332" spans="1:33" ht="15" x14ac:dyDescent="0.2">
      <c r="A332" s="1403"/>
      <c r="B332" s="1404"/>
    </row>
    <row r="333" spans="1:33" ht="15" x14ac:dyDescent="0.2">
      <c r="A333" s="1403"/>
      <c r="B333" s="1404"/>
    </row>
    <row r="338" spans="1:2" s="1209" customFormat="1" ht="18" x14ac:dyDescent="0.25">
      <c r="A338" s="1751"/>
      <c r="B338" s="1751"/>
    </row>
    <row r="339" spans="1:2" s="1209" customFormat="1" x14ac:dyDescent="0.2">
      <c r="A339" s="1206"/>
      <c r="B339" s="1206"/>
    </row>
    <row r="341" spans="1:2" s="1209" customFormat="1" x14ac:dyDescent="0.2">
      <c r="A341" s="1223"/>
      <c r="B341" s="1280"/>
    </row>
    <row r="342" spans="1:2" s="1209" customFormat="1" x14ac:dyDescent="0.2">
      <c r="A342" s="1223"/>
      <c r="B342" s="1280"/>
    </row>
    <row r="343" spans="1:2" s="1209" customFormat="1" x14ac:dyDescent="0.2">
      <c r="A343" s="1223"/>
      <c r="B343" s="1280"/>
    </row>
    <row r="344" spans="1:2" s="1209" customFormat="1" x14ac:dyDescent="0.2">
      <c r="A344" s="1223"/>
      <c r="B344" s="1280"/>
    </row>
    <row r="345" spans="1:2" s="1209" customFormat="1" x14ac:dyDescent="0.2">
      <c r="A345" s="1223"/>
      <c r="B345" s="1280"/>
    </row>
    <row r="346" spans="1:2" s="1209" customFormat="1" x14ac:dyDescent="0.2">
      <c r="A346" s="1223"/>
      <c r="B346" s="1280"/>
    </row>
    <row r="347" spans="1:2" s="1209" customFormat="1" x14ac:dyDescent="0.2">
      <c r="A347" s="1223"/>
      <c r="B347" s="1280"/>
    </row>
    <row r="348" spans="1:2" s="1209" customFormat="1" x14ac:dyDescent="0.2">
      <c r="A348" s="1223"/>
      <c r="B348" s="1280"/>
    </row>
    <row r="349" spans="1:2" s="1209" customFormat="1" x14ac:dyDescent="0.2">
      <c r="A349" s="1223"/>
      <c r="B349" s="1280"/>
    </row>
    <row r="350" spans="1:2" s="1209" customFormat="1" x14ac:dyDescent="0.2">
      <c r="A350" s="1223"/>
      <c r="B350" s="1280"/>
    </row>
    <row r="351" spans="1:2" s="1209" customFormat="1" x14ac:dyDescent="0.2">
      <c r="A351" s="1223"/>
      <c r="B351" s="1280"/>
    </row>
    <row r="354" spans="2:2" s="1209" customFormat="1" x14ac:dyDescent="0.2">
      <c r="B354" s="1280"/>
    </row>
    <row r="355" spans="2:2" s="1209" customFormat="1" x14ac:dyDescent="0.2">
      <c r="B355" s="1280"/>
    </row>
    <row r="356" spans="2:2" s="1209" customFormat="1" x14ac:dyDescent="0.2">
      <c r="B356" s="1280"/>
    </row>
    <row r="358" spans="2:2" s="1209" customFormat="1" x14ac:dyDescent="0.2">
      <c r="B358" s="1405"/>
    </row>
  </sheetData>
  <mergeCells count="8">
    <mergeCell ref="A338:B338"/>
    <mergeCell ref="AC37:AD37"/>
    <mergeCell ref="I153:L153"/>
    <mergeCell ref="M153:U153"/>
    <mergeCell ref="V153:X153"/>
    <mergeCell ref="L220:M220"/>
    <mergeCell ref="M284:R284"/>
    <mergeCell ref="E284:H284"/>
  </mergeCells>
  <pageMargins left="0.78740157480314965" right="0.78740157480314965" top="0.98425196850393704" bottom="0.98425196850393704" header="0.51181102362204722" footer="0.51181102362204722"/>
  <pageSetup paperSize="9" scale="34" fitToHeight="2" orientation="landscape" horizontalDpi="300" verticalDpi="30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358"/>
  <sheetViews>
    <sheetView topLeftCell="W19" workbookViewId="0">
      <pane ySplit="2025" topLeftCell="A37" activePane="bottomLeft"/>
      <selection activeCell="W19" sqref="W1:W1048576"/>
      <selection pane="bottomLeft" activeCell="AD90" sqref="AD90"/>
    </sheetView>
  </sheetViews>
  <sheetFormatPr defaultColWidth="11.42578125" defaultRowHeight="12.75" x14ac:dyDescent="0.2"/>
  <cols>
    <col min="1" max="1" width="37.42578125" style="1209" customWidth="1"/>
    <col min="2" max="2" width="13.7109375" style="1209" customWidth="1"/>
    <col min="3" max="3" width="14" style="1209" customWidth="1"/>
    <col min="4" max="4" width="14.28515625" style="1209" customWidth="1"/>
    <col min="5" max="5" width="14.42578125" style="1209" bestFit="1" customWidth="1"/>
    <col min="6" max="6" width="12.7109375" style="1209" customWidth="1"/>
    <col min="7" max="7" width="13.85546875" style="1209" customWidth="1"/>
    <col min="8" max="8" width="13" style="1209" customWidth="1"/>
    <col min="9" max="9" width="11.7109375" style="1209" customWidth="1"/>
    <col min="10" max="11" width="10.85546875" style="1209" customWidth="1"/>
    <col min="12" max="12" width="11.85546875" style="1209" customWidth="1"/>
    <col min="13" max="13" width="10.85546875" style="1209" customWidth="1"/>
    <col min="14" max="14" width="10.28515625" style="1209" customWidth="1"/>
    <col min="15" max="15" width="10.85546875" style="1209" customWidth="1"/>
    <col min="16" max="16" width="10.85546875" style="1320" customWidth="1"/>
    <col min="17" max="17" width="12.28515625" style="1209" customWidth="1"/>
    <col min="18" max="18" width="11.85546875" style="1209" customWidth="1"/>
    <col min="19" max="19" width="11.42578125" style="1209"/>
    <col min="20" max="20" width="14" style="1209" customWidth="1"/>
    <col min="21" max="21" width="14.140625" style="1209" customWidth="1"/>
    <col min="22" max="22" width="11.85546875" style="1209" bestFit="1" customWidth="1"/>
    <col min="23" max="26" width="11.85546875" style="1209" customWidth="1"/>
    <col min="27" max="27" width="13.7109375" style="1209" customWidth="1"/>
    <col min="28" max="31" width="12.42578125" style="1209" customWidth="1"/>
    <col min="32" max="32" width="12" style="1209" customWidth="1"/>
    <col min="33" max="33" width="13.5703125" style="1209" customWidth="1"/>
    <col min="34" max="34" width="13.85546875" style="1209" bestFit="1" customWidth="1"/>
    <col min="35" max="35" width="11.85546875" style="1209" bestFit="1" customWidth="1"/>
    <col min="36" max="39" width="11.42578125" style="1209"/>
    <col min="40" max="40" width="13.85546875" style="1209" bestFit="1" customWidth="1"/>
    <col min="41" max="41" width="11.42578125" style="1209"/>
    <col min="42" max="42" width="13.85546875" style="1209" bestFit="1" customWidth="1"/>
    <col min="43" max="16384" width="11.42578125" style="1209"/>
  </cols>
  <sheetData>
    <row r="1" spans="1:36" x14ac:dyDescent="0.2">
      <c r="A1" s="1206" t="s">
        <v>693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8"/>
      <c r="Q1" s="1207"/>
      <c r="R1" s="1207"/>
      <c r="S1" s="1207"/>
      <c r="T1" s="1207"/>
      <c r="U1" s="1207"/>
      <c r="V1" s="1207"/>
      <c r="W1" s="1207"/>
      <c r="X1" s="1207"/>
      <c r="Y1" s="1207"/>
      <c r="Z1" s="1207"/>
      <c r="AA1" s="1207"/>
      <c r="AB1" s="1207"/>
      <c r="AC1" s="1207"/>
      <c r="AD1" s="1207"/>
      <c r="AE1" s="1207"/>
      <c r="AF1" s="1207"/>
      <c r="AG1" s="1207"/>
      <c r="AH1" s="1207"/>
    </row>
    <row r="2" spans="1:36" x14ac:dyDescent="0.2">
      <c r="A2" s="1210" t="s">
        <v>694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8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</row>
    <row r="3" spans="1:36" x14ac:dyDescent="0.2">
      <c r="A3" s="1210" t="s">
        <v>680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</row>
    <row r="4" spans="1:36" x14ac:dyDescent="0.2">
      <c r="A4" s="1207"/>
      <c r="B4" s="1207"/>
      <c r="C4" s="1491"/>
      <c r="D4" s="1491"/>
      <c r="E4" s="1491"/>
      <c r="F4" s="1491"/>
      <c r="G4" s="1491"/>
      <c r="H4" s="1491"/>
      <c r="I4" s="1491"/>
      <c r="J4" s="1491"/>
      <c r="K4" s="1491"/>
      <c r="L4" s="1491"/>
      <c r="M4" s="1491"/>
      <c r="N4" s="1491"/>
      <c r="O4" s="1491"/>
      <c r="P4" s="1212"/>
      <c r="Q4" s="1491"/>
      <c r="R4" s="1491"/>
      <c r="S4" s="1491"/>
      <c r="T4" s="1491"/>
      <c r="U4" s="1491"/>
      <c r="V4" s="1491"/>
      <c r="W4" s="1491"/>
      <c r="X4" s="1491"/>
      <c r="Y4" s="1491"/>
      <c r="Z4" s="1491"/>
      <c r="AA4" s="1491"/>
      <c r="AB4" s="1491"/>
      <c r="AC4" s="1491"/>
      <c r="AD4" s="1491"/>
      <c r="AE4" s="1491"/>
      <c r="AF4" s="1491"/>
      <c r="AG4" s="1491"/>
      <c r="AH4" s="1207"/>
    </row>
    <row r="5" spans="1:36" x14ac:dyDescent="0.2">
      <c r="A5" s="1213" t="s">
        <v>689</v>
      </c>
      <c r="B5" s="1214" t="s">
        <v>132</v>
      </c>
      <c r="C5" s="1215">
        <f t="shared" ref="C5:AG5" si="0">C6+C7+C8+C9</f>
        <v>-545841.897</v>
      </c>
      <c r="D5" s="1215">
        <f t="shared" si="0"/>
        <v>-545841.78899999999</v>
      </c>
      <c r="E5" s="1215">
        <f t="shared" si="0"/>
        <v>-545841.78899999999</v>
      </c>
      <c r="F5" s="1215">
        <f t="shared" si="0"/>
        <v>-545841.78899999999</v>
      </c>
      <c r="G5" s="1215">
        <f t="shared" si="0"/>
        <v>-545841.78899999999</v>
      </c>
      <c r="H5" s="1215">
        <f t="shared" si="0"/>
        <v>-545841.78899999999</v>
      </c>
      <c r="I5" s="1215">
        <f t="shared" si="0"/>
        <v>-545841.78899999999</v>
      </c>
      <c r="J5" s="1216">
        <f t="shared" si="0"/>
        <v>-545841.78899999999</v>
      </c>
      <c r="K5" s="1216">
        <f t="shared" si="0"/>
        <v>-545841.78899999999</v>
      </c>
      <c r="L5" s="1215">
        <f t="shared" si="0"/>
        <v>-545841.78899999999</v>
      </c>
      <c r="M5" s="1215">
        <f t="shared" si="0"/>
        <v>-548753.46700000006</v>
      </c>
      <c r="N5" s="1215">
        <f t="shared" si="0"/>
        <v>-548753.46700000006</v>
      </c>
      <c r="O5" s="1215">
        <f t="shared" si="0"/>
        <v>-548753.46700000006</v>
      </c>
      <c r="P5" s="1217">
        <f t="shared" si="0"/>
        <v>-548753.46700000006</v>
      </c>
      <c r="Q5" s="1215">
        <f t="shared" si="0"/>
        <v>-548753.46700000006</v>
      </c>
      <c r="R5" s="1215">
        <f t="shared" si="0"/>
        <v>-548753.46700000006</v>
      </c>
      <c r="S5" s="1215">
        <f t="shared" si="0"/>
        <v>-548753.46700000006</v>
      </c>
      <c r="T5" s="1215">
        <f t="shared" si="0"/>
        <v>-548753.46700000006</v>
      </c>
      <c r="U5" s="1215">
        <f t="shared" si="0"/>
        <v>-548753.46700000006</v>
      </c>
      <c r="V5" s="1215">
        <f t="shared" si="0"/>
        <v>-548753.46700000006</v>
      </c>
      <c r="W5" s="1215">
        <f t="shared" si="0"/>
        <v>-548753.46700000006</v>
      </c>
      <c r="X5" s="1215">
        <f t="shared" si="0"/>
        <v>-548753.46700000006</v>
      </c>
      <c r="Y5" s="1215">
        <f t="shared" si="0"/>
        <v>-548753.46700000006</v>
      </c>
      <c r="Z5" s="1215">
        <f t="shared" si="0"/>
        <v>-548753.46700000006</v>
      </c>
      <c r="AA5" s="1215">
        <f t="shared" si="0"/>
        <v>-549927.772</v>
      </c>
      <c r="AB5" s="1215">
        <f t="shared" si="0"/>
        <v>-549927.772</v>
      </c>
      <c r="AC5" s="1215">
        <f t="shared" si="0"/>
        <v>-549927.772</v>
      </c>
      <c r="AD5" s="1215">
        <f t="shared" si="0"/>
        <v>-549927.772</v>
      </c>
      <c r="AE5" s="1215">
        <f t="shared" si="0"/>
        <v>-549927.77300000004</v>
      </c>
      <c r="AF5" s="1215">
        <f t="shared" si="0"/>
        <v>-549927.77300000004</v>
      </c>
      <c r="AG5" s="1215">
        <f t="shared" si="0"/>
        <v>-549927.77300000004</v>
      </c>
      <c r="AH5" s="1207"/>
    </row>
    <row r="6" spans="1:36" x14ac:dyDescent="0.2">
      <c r="A6" s="1218">
        <v>100000</v>
      </c>
      <c r="B6" s="1207" t="s">
        <v>690</v>
      </c>
      <c r="C6" s="1219">
        <f t="shared" ref="C6:AF6" si="1">C70</f>
        <v>-503183.86300000001</v>
      </c>
      <c r="D6" s="1219">
        <f t="shared" si="1"/>
        <v>-503183.755</v>
      </c>
      <c r="E6" s="1219">
        <f t="shared" si="1"/>
        <v>-503183.755</v>
      </c>
      <c r="F6" s="1219">
        <f t="shared" si="1"/>
        <v>-503183.755</v>
      </c>
      <c r="G6" s="1219">
        <f t="shared" si="1"/>
        <v>-503183.755</v>
      </c>
      <c r="H6" s="1219">
        <f t="shared" si="1"/>
        <v>-503183.755</v>
      </c>
      <c r="I6" s="1219">
        <f t="shared" si="1"/>
        <v>-503183.755</v>
      </c>
      <c r="J6" s="1220">
        <f t="shared" si="1"/>
        <v>-503183.755</v>
      </c>
      <c r="K6" s="1220">
        <f t="shared" si="1"/>
        <v>-503183.755</v>
      </c>
      <c r="L6" s="1219">
        <f t="shared" si="1"/>
        <v>-503183.755</v>
      </c>
      <c r="M6" s="1219">
        <f t="shared" si="1"/>
        <v>-506095.43300000002</v>
      </c>
      <c r="N6" s="1219">
        <f t="shared" si="1"/>
        <v>-506095.43300000002</v>
      </c>
      <c r="O6" s="1219">
        <f t="shared" si="1"/>
        <v>-506095.43300000002</v>
      </c>
      <c r="P6" s="1221">
        <f t="shared" si="1"/>
        <v>-506095.43300000002</v>
      </c>
      <c r="Q6" s="1219">
        <f t="shared" si="1"/>
        <v>-506095.43300000002</v>
      </c>
      <c r="R6" s="1219">
        <f t="shared" si="1"/>
        <v>-506095.43300000002</v>
      </c>
      <c r="S6" s="1219">
        <f t="shared" si="1"/>
        <v>-506095.43300000002</v>
      </c>
      <c r="T6" s="1219">
        <f t="shared" si="1"/>
        <v>-506095.43300000002</v>
      </c>
      <c r="U6" s="1219">
        <f t="shared" si="1"/>
        <v>-506095.43300000002</v>
      </c>
      <c r="V6" s="1219">
        <f t="shared" si="1"/>
        <v>-506095.43300000002</v>
      </c>
      <c r="W6" s="1219">
        <f t="shared" si="1"/>
        <v>-506095.43300000002</v>
      </c>
      <c r="X6" s="1219">
        <f t="shared" si="1"/>
        <v>-506095.43300000002</v>
      </c>
      <c r="Y6" s="1219">
        <f t="shared" si="1"/>
        <v>-506095.43300000002</v>
      </c>
      <c r="Z6" s="1219">
        <f t="shared" si="1"/>
        <v>-506095.43300000002</v>
      </c>
      <c r="AA6" s="1219">
        <f t="shared" si="1"/>
        <v>-507269.73800000001</v>
      </c>
      <c r="AB6" s="1219">
        <f t="shared" si="1"/>
        <v>-507269.73800000001</v>
      </c>
      <c r="AC6" s="1219">
        <f t="shared" si="1"/>
        <v>-507269.73800000001</v>
      </c>
      <c r="AD6" s="1219">
        <f t="shared" si="1"/>
        <v>-507269.73800000001</v>
      </c>
      <c r="AE6" s="1219">
        <f t="shared" si="1"/>
        <v>-507269.739</v>
      </c>
      <c r="AF6" s="1219">
        <f t="shared" si="1"/>
        <v>-507269.739</v>
      </c>
      <c r="AG6" s="1219">
        <f>AG70</f>
        <v>-507269.739</v>
      </c>
      <c r="AH6" s="1207"/>
    </row>
    <row r="7" spans="1:36" x14ac:dyDescent="0.2">
      <c r="A7" s="1218">
        <v>25000</v>
      </c>
      <c r="B7" s="1207" t="s">
        <v>666</v>
      </c>
      <c r="C7" s="1219">
        <f t="shared" ref="C7:AG7" si="2">C184</f>
        <v>-7413.1729999999998</v>
      </c>
      <c r="D7" s="1219">
        <f t="shared" si="2"/>
        <v>-7413.1729999999998</v>
      </c>
      <c r="E7" s="1219">
        <f t="shared" si="2"/>
        <v>-7413.1729999999998</v>
      </c>
      <c r="F7" s="1219">
        <f t="shared" si="2"/>
        <v>-7413.1729999999998</v>
      </c>
      <c r="G7" s="1219">
        <f t="shared" si="2"/>
        <v>-7413.1729999999998</v>
      </c>
      <c r="H7" s="1219">
        <f t="shared" si="2"/>
        <v>-7413.1729999999998</v>
      </c>
      <c r="I7" s="1219">
        <f t="shared" si="2"/>
        <v>-7413.1729999999998</v>
      </c>
      <c r="J7" s="1220">
        <f t="shared" si="2"/>
        <v>-7413.1729999999998</v>
      </c>
      <c r="K7" s="1220">
        <f t="shared" si="2"/>
        <v>-7413.1729999999998</v>
      </c>
      <c r="L7" s="1219">
        <f t="shared" si="2"/>
        <v>-7413.1729999999998</v>
      </c>
      <c r="M7" s="1219">
        <f t="shared" si="2"/>
        <v>-7413.1729999999998</v>
      </c>
      <c r="N7" s="1219">
        <f t="shared" si="2"/>
        <v>-7413.1729999999998</v>
      </c>
      <c r="O7" s="1219">
        <f t="shared" si="2"/>
        <v>-7413.1729999999998</v>
      </c>
      <c r="P7" s="1221">
        <f t="shared" si="2"/>
        <v>-7413.1729999999998</v>
      </c>
      <c r="Q7" s="1219">
        <f t="shared" si="2"/>
        <v>-7413.1729999999998</v>
      </c>
      <c r="R7" s="1219">
        <f t="shared" si="2"/>
        <v>-7413.1729999999998</v>
      </c>
      <c r="S7" s="1222">
        <f t="shared" si="2"/>
        <v>-7413.1729999999998</v>
      </c>
      <c r="T7" s="1219">
        <f t="shared" si="2"/>
        <v>-7413.1729999999998</v>
      </c>
      <c r="U7" s="1219">
        <f t="shared" si="2"/>
        <v>-7413.1729999999998</v>
      </c>
      <c r="V7" s="1219">
        <f t="shared" si="2"/>
        <v>-7413.1729999999998</v>
      </c>
      <c r="W7" s="1219">
        <f t="shared" si="2"/>
        <v>-7413.1729999999998</v>
      </c>
      <c r="X7" s="1219">
        <f t="shared" si="2"/>
        <v>-7413.1729999999998</v>
      </c>
      <c r="Y7" s="1219">
        <f t="shared" si="2"/>
        <v>-7413.1729999999998</v>
      </c>
      <c r="Z7" s="1219">
        <f t="shared" si="2"/>
        <v>-7413.1729999999998</v>
      </c>
      <c r="AA7" s="1219">
        <f t="shared" si="2"/>
        <v>-7413.1729999999998</v>
      </c>
      <c r="AB7" s="1219">
        <f t="shared" si="2"/>
        <v>-7413.1729999999998</v>
      </c>
      <c r="AC7" s="1219">
        <f t="shared" si="2"/>
        <v>-7413.1729999999998</v>
      </c>
      <c r="AD7" s="1219">
        <f t="shared" si="2"/>
        <v>-7413.1729999999998</v>
      </c>
      <c r="AE7" s="1219">
        <f t="shared" si="2"/>
        <v>-7413.1729999999998</v>
      </c>
      <c r="AF7" s="1219">
        <f t="shared" si="2"/>
        <v>-7413.1729999999998</v>
      </c>
      <c r="AG7" s="1219">
        <f t="shared" si="2"/>
        <v>-7413.1729999999998</v>
      </c>
      <c r="AH7" s="1207"/>
    </row>
    <row r="8" spans="1:36" x14ac:dyDescent="0.2">
      <c r="A8" s="1218">
        <v>25000</v>
      </c>
      <c r="B8" s="1207" t="s">
        <v>667</v>
      </c>
      <c r="C8" s="1219">
        <f t="shared" ref="C8:AG8" si="3">C247</f>
        <v>-23524.322</v>
      </c>
      <c r="D8" s="1219">
        <f t="shared" si="3"/>
        <v>-23524.322</v>
      </c>
      <c r="E8" s="1219">
        <f t="shared" si="3"/>
        <v>-23524.322</v>
      </c>
      <c r="F8" s="1219">
        <f t="shared" si="3"/>
        <v>-23524.322</v>
      </c>
      <c r="G8" s="1219">
        <f t="shared" si="3"/>
        <v>-23524.322</v>
      </c>
      <c r="H8" s="1219">
        <f t="shared" si="3"/>
        <v>-23524.322</v>
      </c>
      <c r="I8" s="1222">
        <f t="shared" si="3"/>
        <v>-23524.322</v>
      </c>
      <c r="J8" s="1220">
        <f t="shared" si="3"/>
        <v>-23524.322</v>
      </c>
      <c r="K8" s="1220">
        <f t="shared" si="3"/>
        <v>-23524.322</v>
      </c>
      <c r="L8" s="1219">
        <f t="shared" si="3"/>
        <v>-23524.322</v>
      </c>
      <c r="M8" s="1219">
        <f t="shared" si="3"/>
        <v>-23524.322</v>
      </c>
      <c r="N8" s="1219">
        <f t="shared" si="3"/>
        <v>-23524.322</v>
      </c>
      <c r="O8" s="1219">
        <f t="shared" si="3"/>
        <v>-23524.322</v>
      </c>
      <c r="P8" s="1221">
        <f t="shared" si="3"/>
        <v>-23524.322</v>
      </c>
      <c r="Q8" s="1219">
        <f t="shared" si="3"/>
        <v>-23524.322</v>
      </c>
      <c r="R8" s="1219">
        <f t="shared" si="3"/>
        <v>-23524.322</v>
      </c>
      <c r="S8" s="1219">
        <f t="shared" si="3"/>
        <v>-23524.322</v>
      </c>
      <c r="T8" s="1219">
        <f t="shared" si="3"/>
        <v>-23524.322</v>
      </c>
      <c r="U8" s="1219">
        <f t="shared" si="3"/>
        <v>-23524.322</v>
      </c>
      <c r="V8" s="1219">
        <f t="shared" si="3"/>
        <v>-23524.322</v>
      </c>
      <c r="W8" s="1219">
        <f t="shared" si="3"/>
        <v>-23524.322</v>
      </c>
      <c r="X8" s="1219">
        <f t="shared" si="3"/>
        <v>-23524.322</v>
      </c>
      <c r="Y8" s="1219">
        <f t="shared" si="3"/>
        <v>-23524.322</v>
      </c>
      <c r="Z8" s="1219">
        <f t="shared" si="3"/>
        <v>-23524.322</v>
      </c>
      <c r="AA8" s="1219">
        <f t="shared" si="3"/>
        <v>-23524.322</v>
      </c>
      <c r="AB8" s="1219">
        <f t="shared" si="3"/>
        <v>-23524.322</v>
      </c>
      <c r="AC8" s="1219">
        <f t="shared" si="3"/>
        <v>-23524.322</v>
      </c>
      <c r="AD8" s="1219">
        <f t="shared" si="3"/>
        <v>-23524.322</v>
      </c>
      <c r="AE8" s="1219">
        <f t="shared" si="3"/>
        <v>-23524.322</v>
      </c>
      <c r="AF8" s="1219">
        <f t="shared" si="3"/>
        <v>-23524.322</v>
      </c>
      <c r="AG8" s="1219">
        <f t="shared" si="3"/>
        <v>-23524.322</v>
      </c>
      <c r="AH8" s="1207"/>
      <c r="AJ8" s="1223"/>
    </row>
    <row r="9" spans="1:36" x14ac:dyDescent="0.2">
      <c r="A9" s="1218">
        <v>20000</v>
      </c>
      <c r="B9" s="1207" t="s">
        <v>691</v>
      </c>
      <c r="C9" s="1219">
        <f t="shared" ref="C9:AG9" si="4">C311</f>
        <v>-11720.539000000001</v>
      </c>
      <c r="D9" s="1219">
        <f t="shared" si="4"/>
        <v>-11720.539000000001</v>
      </c>
      <c r="E9" s="1219">
        <f t="shared" si="4"/>
        <v>-11720.539000000001</v>
      </c>
      <c r="F9" s="1219">
        <f t="shared" si="4"/>
        <v>-11720.539000000001</v>
      </c>
      <c r="G9" s="1222">
        <f t="shared" si="4"/>
        <v>-11720.539000000001</v>
      </c>
      <c r="H9" s="1219">
        <f t="shared" si="4"/>
        <v>-11720.539000000001</v>
      </c>
      <c r="I9" s="1219">
        <f t="shared" si="4"/>
        <v>-11720.539000000001</v>
      </c>
      <c r="J9" s="1220">
        <f t="shared" si="4"/>
        <v>-11720.539000000001</v>
      </c>
      <c r="K9" s="1220">
        <f t="shared" si="4"/>
        <v>-11720.539000000001</v>
      </c>
      <c r="L9" s="1219">
        <f t="shared" si="4"/>
        <v>-11720.539000000001</v>
      </c>
      <c r="M9" s="1219">
        <f t="shared" si="4"/>
        <v>-11720.539000000001</v>
      </c>
      <c r="N9" s="1219">
        <f t="shared" si="4"/>
        <v>-11720.539000000001</v>
      </c>
      <c r="O9" s="1219">
        <f t="shared" si="4"/>
        <v>-11720.539000000001</v>
      </c>
      <c r="P9" s="1221">
        <f t="shared" si="4"/>
        <v>-11720.539000000001</v>
      </c>
      <c r="Q9" s="1219">
        <f t="shared" si="4"/>
        <v>-11720.539000000001</v>
      </c>
      <c r="R9" s="1219">
        <f t="shared" si="4"/>
        <v>-11720.539000000001</v>
      </c>
      <c r="S9" s="1219">
        <f t="shared" si="4"/>
        <v>-11720.539000000001</v>
      </c>
      <c r="T9" s="1219">
        <f t="shared" si="4"/>
        <v>-11720.539000000001</v>
      </c>
      <c r="U9" s="1219">
        <f t="shared" si="4"/>
        <v>-11720.539000000001</v>
      </c>
      <c r="V9" s="1219">
        <f t="shared" si="4"/>
        <v>-11720.539000000001</v>
      </c>
      <c r="W9" s="1219">
        <f t="shared" si="4"/>
        <v>-11720.539000000001</v>
      </c>
      <c r="X9" s="1219">
        <f t="shared" si="4"/>
        <v>-11720.539000000001</v>
      </c>
      <c r="Y9" s="1219">
        <f t="shared" si="4"/>
        <v>-11720.539000000001</v>
      </c>
      <c r="Z9" s="1219">
        <f t="shared" si="4"/>
        <v>-11720.539000000001</v>
      </c>
      <c r="AA9" s="1219">
        <f t="shared" si="4"/>
        <v>-11720.539000000001</v>
      </c>
      <c r="AB9" s="1219">
        <f t="shared" si="4"/>
        <v>-11720.539000000001</v>
      </c>
      <c r="AC9" s="1219">
        <f t="shared" si="4"/>
        <v>-11720.539000000001</v>
      </c>
      <c r="AD9" s="1219">
        <f t="shared" si="4"/>
        <v>-11720.539000000001</v>
      </c>
      <c r="AE9" s="1219">
        <f t="shared" si="4"/>
        <v>-11720.539000000001</v>
      </c>
      <c r="AF9" s="1219">
        <f t="shared" si="4"/>
        <v>-11720.539000000001</v>
      </c>
      <c r="AG9" s="1219">
        <f t="shared" si="4"/>
        <v>-11720.539000000001</v>
      </c>
      <c r="AH9" s="1207"/>
    </row>
    <row r="10" spans="1:36" x14ac:dyDescent="0.2">
      <c r="A10" s="1213" t="s">
        <v>692</v>
      </c>
      <c r="B10" s="1214" t="s">
        <v>132</v>
      </c>
      <c r="C10" s="1224">
        <f t="shared" ref="C10:AG10" si="5">C11+C12+C13</f>
        <v>3671.538</v>
      </c>
      <c r="D10" s="1224">
        <f t="shared" si="5"/>
        <v>0</v>
      </c>
      <c r="E10" s="1224">
        <f t="shared" si="5"/>
        <v>2003.46</v>
      </c>
      <c r="F10" s="1224">
        <f t="shared" si="5"/>
        <v>1109.838</v>
      </c>
      <c r="G10" s="1224">
        <f t="shared" si="5"/>
        <v>11572.974000000002</v>
      </c>
      <c r="H10" s="1224">
        <f t="shared" si="5"/>
        <v>4482.4639999999999</v>
      </c>
      <c r="I10" s="1224">
        <f t="shared" si="5"/>
        <v>2425.596</v>
      </c>
      <c r="J10" s="1225">
        <f t="shared" si="5"/>
        <v>1000</v>
      </c>
      <c r="K10" s="1225">
        <f t="shared" si="5"/>
        <v>1120</v>
      </c>
      <c r="L10" s="1224">
        <f t="shared" si="5"/>
        <v>13528.392</v>
      </c>
      <c r="M10" s="1224">
        <f t="shared" si="5"/>
        <v>1120</v>
      </c>
      <c r="N10" s="1224">
        <f t="shared" si="5"/>
        <v>0</v>
      </c>
      <c r="O10" s="1224">
        <f t="shared" si="5"/>
        <v>5316.8270000000002</v>
      </c>
      <c r="P10" s="1226">
        <f t="shared" si="5"/>
        <v>2000</v>
      </c>
      <c r="Q10" s="1224">
        <f t="shared" si="5"/>
        <v>9557.7710000000006</v>
      </c>
      <c r="R10" s="1224">
        <f t="shared" si="5"/>
        <v>2581.71</v>
      </c>
      <c r="S10" s="1224">
        <f t="shared" si="5"/>
        <v>0</v>
      </c>
      <c r="T10" s="1224">
        <f t="shared" si="5"/>
        <v>2796.6170000000002</v>
      </c>
      <c r="U10" s="1224">
        <f t="shared" si="5"/>
        <v>11346.901</v>
      </c>
      <c r="V10" s="1224">
        <f t="shared" si="5"/>
        <v>10631.866</v>
      </c>
      <c r="W10" s="1224">
        <f t="shared" si="5"/>
        <v>5399.7730000000001</v>
      </c>
      <c r="X10" s="1224">
        <f t="shared" si="5"/>
        <v>3312.808</v>
      </c>
      <c r="Y10" s="1224">
        <f t="shared" si="5"/>
        <v>2031.7060000000001</v>
      </c>
      <c r="Z10" s="1224">
        <f t="shared" si="5"/>
        <v>0</v>
      </c>
      <c r="AA10" s="1224">
        <f t="shared" si="5"/>
        <v>11413.374</v>
      </c>
      <c r="AB10" s="1224">
        <f t="shared" si="5"/>
        <v>0</v>
      </c>
      <c r="AC10" s="1224">
        <f t="shared" si="5"/>
        <v>0</v>
      </c>
      <c r="AD10" s="1224">
        <f t="shared" si="5"/>
        <v>2369.4660000000003</v>
      </c>
      <c r="AE10" s="1224">
        <f t="shared" si="5"/>
        <v>0</v>
      </c>
      <c r="AF10" s="1224">
        <f t="shared" si="5"/>
        <v>23188.451000000001</v>
      </c>
      <c r="AG10" s="1224">
        <f t="shared" si="5"/>
        <v>33817.373000000007</v>
      </c>
      <c r="AH10" s="1227">
        <f>SUM(C10:AG10)</f>
        <v>167798.90500000003</v>
      </c>
    </row>
    <row r="11" spans="1:36" x14ac:dyDescent="0.2">
      <c r="A11" s="1213"/>
      <c r="B11" s="1207" t="s">
        <v>666</v>
      </c>
      <c r="C11" s="1227">
        <f t="shared" ref="C11:AG11" si="6">C171</f>
        <v>3671.538</v>
      </c>
      <c r="D11" s="1227">
        <f t="shared" si="6"/>
        <v>0</v>
      </c>
      <c r="E11" s="1227">
        <f t="shared" si="6"/>
        <v>0</v>
      </c>
      <c r="F11" s="1227">
        <f t="shared" si="6"/>
        <v>0</v>
      </c>
      <c r="G11" s="1227">
        <f t="shared" si="6"/>
        <v>5449.52</v>
      </c>
      <c r="H11" s="1227">
        <f t="shared" si="6"/>
        <v>0</v>
      </c>
      <c r="I11" s="1227">
        <f t="shared" si="6"/>
        <v>0</v>
      </c>
      <c r="J11" s="1228">
        <f t="shared" si="6"/>
        <v>0</v>
      </c>
      <c r="K11" s="1228">
        <f t="shared" si="6"/>
        <v>0</v>
      </c>
      <c r="L11" s="1227">
        <f t="shared" si="6"/>
        <v>1182.7439999999999</v>
      </c>
      <c r="M11" s="1227">
        <f t="shared" si="6"/>
        <v>0</v>
      </c>
      <c r="N11" s="1227">
        <f t="shared" si="6"/>
        <v>0</v>
      </c>
      <c r="O11" s="1227">
        <f t="shared" si="6"/>
        <v>0</v>
      </c>
      <c r="P11" s="1229">
        <f t="shared" si="6"/>
        <v>0</v>
      </c>
      <c r="Q11" s="1227">
        <f t="shared" si="6"/>
        <v>547.80100000000004</v>
      </c>
      <c r="R11" s="1227">
        <f t="shared" si="6"/>
        <v>0</v>
      </c>
      <c r="S11" s="1227">
        <f t="shared" si="6"/>
        <v>0</v>
      </c>
      <c r="T11" s="1227">
        <f t="shared" si="6"/>
        <v>0</v>
      </c>
      <c r="U11" s="1227">
        <f t="shared" si="6"/>
        <v>2814.4789999999998</v>
      </c>
      <c r="V11" s="1227">
        <f t="shared" si="6"/>
        <v>862.63800000000003</v>
      </c>
      <c r="W11" s="1227">
        <f t="shared" si="6"/>
        <v>0</v>
      </c>
      <c r="X11" s="1227">
        <f t="shared" si="6"/>
        <v>0</v>
      </c>
      <c r="Y11" s="1227">
        <f t="shared" si="6"/>
        <v>0</v>
      </c>
      <c r="Z11" s="1227">
        <f t="shared" si="6"/>
        <v>0</v>
      </c>
      <c r="AA11" s="1227">
        <f t="shared" si="6"/>
        <v>2104.9720000000002</v>
      </c>
      <c r="AB11" s="1227">
        <f t="shared" si="6"/>
        <v>0</v>
      </c>
      <c r="AC11" s="1227">
        <f t="shared" si="6"/>
        <v>0</v>
      </c>
      <c r="AD11" s="1227">
        <f t="shared" si="6"/>
        <v>1461.65</v>
      </c>
      <c r="AE11" s="1227">
        <f t="shared" si="6"/>
        <v>0</v>
      </c>
      <c r="AF11" s="1227">
        <f t="shared" si="6"/>
        <v>7803.3140000000003</v>
      </c>
      <c r="AG11" s="1227">
        <f t="shared" si="6"/>
        <v>13261.294000000002</v>
      </c>
      <c r="AH11" s="1207"/>
    </row>
    <row r="12" spans="1:36" x14ac:dyDescent="0.2">
      <c r="A12" s="1213"/>
      <c r="B12" s="1207" t="s">
        <v>667</v>
      </c>
      <c r="C12" s="1227">
        <f t="shared" ref="C12:AG12" si="7">C234</f>
        <v>0</v>
      </c>
      <c r="D12" s="1227">
        <f t="shared" si="7"/>
        <v>0</v>
      </c>
      <c r="E12" s="1227">
        <f t="shared" si="7"/>
        <v>1265.4670000000001</v>
      </c>
      <c r="F12" s="1227">
        <f t="shared" si="7"/>
        <v>1109.838</v>
      </c>
      <c r="G12" s="1227">
        <f t="shared" si="7"/>
        <v>1461.68</v>
      </c>
      <c r="H12" s="1227">
        <f t="shared" si="7"/>
        <v>4482.4639999999999</v>
      </c>
      <c r="I12" s="1227">
        <f t="shared" si="7"/>
        <v>1461.69</v>
      </c>
      <c r="J12" s="1228">
        <f t="shared" si="7"/>
        <v>1000</v>
      </c>
      <c r="K12" s="1228">
        <f t="shared" si="7"/>
        <v>1120</v>
      </c>
      <c r="L12" s="1227">
        <f t="shared" si="7"/>
        <v>1000</v>
      </c>
      <c r="M12" s="1227">
        <f t="shared" si="7"/>
        <v>1120</v>
      </c>
      <c r="N12" s="1227">
        <f t="shared" si="7"/>
        <v>0</v>
      </c>
      <c r="O12" s="1227">
        <f t="shared" si="7"/>
        <v>5316.8270000000002</v>
      </c>
      <c r="P12" s="1229">
        <f t="shared" si="7"/>
        <v>2000</v>
      </c>
      <c r="Q12" s="1227">
        <f t="shared" si="7"/>
        <v>2982.3890000000001</v>
      </c>
      <c r="R12" s="1227">
        <f t="shared" si="7"/>
        <v>2581.71</v>
      </c>
      <c r="S12" s="1227">
        <f t="shared" si="7"/>
        <v>0</v>
      </c>
      <c r="T12" s="1227">
        <f t="shared" si="7"/>
        <v>2796.6170000000002</v>
      </c>
      <c r="U12" s="1227">
        <f t="shared" si="7"/>
        <v>8532.4220000000005</v>
      </c>
      <c r="V12" s="1227">
        <f t="shared" si="7"/>
        <v>2120</v>
      </c>
      <c r="W12" s="1227">
        <f t="shared" si="7"/>
        <v>5399.7730000000001</v>
      </c>
      <c r="X12" s="1227">
        <f t="shared" si="7"/>
        <v>1461.61</v>
      </c>
      <c r="Y12" s="1227">
        <f t="shared" si="7"/>
        <v>2031.7060000000001</v>
      </c>
      <c r="Z12" s="1227">
        <f t="shared" si="7"/>
        <v>0</v>
      </c>
      <c r="AA12" s="1227">
        <f t="shared" si="7"/>
        <v>4725.8729999999996</v>
      </c>
      <c r="AB12" s="1227">
        <f t="shared" si="7"/>
        <v>0</v>
      </c>
      <c r="AC12" s="1227">
        <f t="shared" si="7"/>
        <v>0</v>
      </c>
      <c r="AD12" s="1227">
        <f t="shared" si="7"/>
        <v>0</v>
      </c>
      <c r="AE12" s="1227">
        <f t="shared" si="7"/>
        <v>0</v>
      </c>
      <c r="AF12" s="1227">
        <f t="shared" si="7"/>
        <v>4361.4880000000003</v>
      </c>
      <c r="AG12" s="1227">
        <f t="shared" si="7"/>
        <v>5705.4529999999995</v>
      </c>
      <c r="AH12" s="1207"/>
    </row>
    <row r="13" spans="1:36" x14ac:dyDescent="0.2">
      <c r="A13" s="1213"/>
      <c r="B13" s="1207" t="s">
        <v>691</v>
      </c>
      <c r="C13" s="1227">
        <f t="shared" ref="C13:AG13" si="8">C298</f>
        <v>0</v>
      </c>
      <c r="D13" s="1227">
        <f t="shared" si="8"/>
        <v>0</v>
      </c>
      <c r="E13" s="1227">
        <f t="shared" si="8"/>
        <v>737.99300000000005</v>
      </c>
      <c r="F13" s="1227">
        <f t="shared" si="8"/>
        <v>0</v>
      </c>
      <c r="G13" s="1227">
        <f t="shared" si="8"/>
        <v>4661.7740000000003</v>
      </c>
      <c r="H13" s="1227">
        <f t="shared" si="8"/>
        <v>0</v>
      </c>
      <c r="I13" s="1227">
        <f t="shared" si="8"/>
        <v>963.90599999999995</v>
      </c>
      <c r="J13" s="1228">
        <f t="shared" si="8"/>
        <v>0</v>
      </c>
      <c r="K13" s="1228">
        <f t="shared" si="8"/>
        <v>0</v>
      </c>
      <c r="L13" s="1227">
        <f t="shared" si="8"/>
        <v>11345.648000000001</v>
      </c>
      <c r="M13" s="1227">
        <f t="shared" si="8"/>
        <v>0</v>
      </c>
      <c r="N13" s="1227">
        <f t="shared" si="8"/>
        <v>0</v>
      </c>
      <c r="O13" s="1227">
        <f t="shared" si="8"/>
        <v>0</v>
      </c>
      <c r="P13" s="1229">
        <f t="shared" si="8"/>
        <v>0</v>
      </c>
      <c r="Q13" s="1227">
        <f t="shared" si="8"/>
        <v>6027.5810000000001</v>
      </c>
      <c r="R13" s="1227">
        <f t="shared" si="8"/>
        <v>0</v>
      </c>
      <c r="S13" s="1227">
        <f t="shared" si="8"/>
        <v>0</v>
      </c>
      <c r="T13" s="1227">
        <f t="shared" si="8"/>
        <v>0</v>
      </c>
      <c r="U13" s="1227">
        <f t="shared" si="8"/>
        <v>0</v>
      </c>
      <c r="V13" s="1227">
        <f t="shared" si="8"/>
        <v>7649.2280000000001</v>
      </c>
      <c r="W13" s="1227">
        <f t="shared" si="8"/>
        <v>0</v>
      </c>
      <c r="X13" s="1227">
        <f t="shared" si="8"/>
        <v>1851.1980000000001</v>
      </c>
      <c r="Y13" s="1227">
        <f t="shared" si="8"/>
        <v>0</v>
      </c>
      <c r="Z13" s="1227">
        <f t="shared" si="8"/>
        <v>0</v>
      </c>
      <c r="AA13" s="1227">
        <f t="shared" si="8"/>
        <v>4582.5289999999995</v>
      </c>
      <c r="AB13" s="1227">
        <f t="shared" si="8"/>
        <v>0</v>
      </c>
      <c r="AC13" s="1227">
        <f t="shared" si="8"/>
        <v>0</v>
      </c>
      <c r="AD13" s="1227">
        <f t="shared" si="8"/>
        <v>907.81600000000003</v>
      </c>
      <c r="AE13" s="1227">
        <f t="shared" si="8"/>
        <v>0</v>
      </c>
      <c r="AF13" s="1227">
        <f t="shared" si="8"/>
        <v>11023.648999999999</v>
      </c>
      <c r="AG13" s="1227">
        <f t="shared" si="8"/>
        <v>14850.626</v>
      </c>
      <c r="AH13" s="1207"/>
    </row>
    <row r="14" spans="1:36" x14ac:dyDescent="0.2">
      <c r="A14" s="1207"/>
      <c r="B14" s="1207"/>
      <c r="C14" s="1207"/>
      <c r="D14" s="1207"/>
      <c r="E14" s="1207"/>
      <c r="F14" s="1207"/>
      <c r="G14" s="1207"/>
      <c r="H14" s="1207"/>
      <c r="I14" s="1207"/>
      <c r="J14" s="1230"/>
      <c r="K14" s="1230"/>
      <c r="L14" s="1207"/>
      <c r="M14" s="1207"/>
      <c r="N14" s="1216"/>
      <c r="O14" s="1207"/>
      <c r="P14" s="1208"/>
      <c r="Q14" s="1207"/>
      <c r="R14" s="1207"/>
      <c r="S14" s="1207"/>
      <c r="T14" s="1207"/>
      <c r="U14" s="1216"/>
      <c r="V14" s="1207"/>
      <c r="W14" s="1207"/>
      <c r="X14" s="1207"/>
      <c r="Y14" s="1207"/>
      <c r="Z14" s="1207"/>
      <c r="AA14" s="1216"/>
      <c r="AB14" s="1207"/>
      <c r="AC14" s="1207"/>
      <c r="AD14" s="1207"/>
      <c r="AE14" s="1207"/>
      <c r="AF14" s="1207"/>
      <c r="AG14" s="1216"/>
      <c r="AH14" s="1231">
        <f>AG5+AH10</f>
        <v>-382128.86800000002</v>
      </c>
    </row>
    <row r="15" spans="1:36" ht="13.5" thickBot="1" x14ac:dyDescent="0.25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8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7"/>
      <c r="AF15" s="1207"/>
      <c r="AG15" s="1207"/>
      <c r="AH15" s="1232"/>
      <c r="AI15" s="1223"/>
    </row>
    <row r="16" spans="1:36" x14ac:dyDescent="0.2">
      <c r="A16" s="1233"/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5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2"/>
      <c r="AI16" s="1223"/>
    </row>
    <row r="17" spans="1:35" x14ac:dyDescent="0.2">
      <c r="A17" s="1236"/>
      <c r="B17" s="1237" t="s">
        <v>37</v>
      </c>
      <c r="C17" s="1237"/>
      <c r="D17" s="1237"/>
      <c r="E17" s="1238" t="s">
        <v>816</v>
      </c>
      <c r="F17" s="1239" t="s">
        <v>140</v>
      </c>
      <c r="G17" s="1239"/>
      <c r="H17" s="1491" t="s">
        <v>6</v>
      </c>
      <c r="I17" s="1239"/>
      <c r="J17" s="1239"/>
      <c r="K17" s="1239"/>
      <c r="L17" s="1239"/>
      <c r="M17" s="1239"/>
      <c r="N17" s="1239"/>
      <c r="O17" s="1239"/>
      <c r="P17" s="1240"/>
      <c r="Q17" s="1239"/>
      <c r="R17" s="1239"/>
      <c r="S17" s="1239"/>
      <c r="T17" s="1239"/>
      <c r="U17" s="1239"/>
      <c r="V17" s="1239"/>
      <c r="W17" s="1239"/>
      <c r="X17" s="1239"/>
      <c r="Y17" s="1239"/>
      <c r="AA17" s="1239"/>
      <c r="AB17" s="1239"/>
      <c r="AC17" s="1239"/>
      <c r="AD17" s="1239"/>
      <c r="AE17" s="1239"/>
      <c r="AF17" s="1239"/>
      <c r="AG17" s="1239"/>
      <c r="AH17" s="1232"/>
      <c r="AI17" s="1223"/>
    </row>
    <row r="18" spans="1:35" x14ac:dyDescent="0.2">
      <c r="A18" s="1236"/>
      <c r="B18" s="1237"/>
      <c r="C18" s="1237"/>
      <c r="D18" s="1239"/>
      <c r="E18" s="1237"/>
      <c r="F18" s="1237"/>
      <c r="G18" s="1237"/>
      <c r="H18" s="1237"/>
      <c r="I18" s="1237"/>
      <c r="J18" s="1237"/>
      <c r="K18" s="1237"/>
      <c r="L18" s="1237"/>
      <c r="M18" s="1237"/>
      <c r="N18" s="1237"/>
      <c r="O18" s="1237"/>
      <c r="P18" s="1241"/>
      <c r="Q18" s="1237"/>
      <c r="R18" s="1237"/>
      <c r="S18" s="1237"/>
      <c r="T18" s="1237"/>
      <c r="U18" s="1237"/>
      <c r="V18" s="1237"/>
      <c r="W18" s="1237"/>
      <c r="X18" s="1237"/>
      <c r="Y18" s="1237"/>
      <c r="Z18" s="1237"/>
      <c r="AA18" s="1237"/>
      <c r="AB18" s="1237"/>
      <c r="AC18" s="1237"/>
      <c r="AD18" s="1237"/>
      <c r="AE18" s="1237"/>
      <c r="AF18" s="1237"/>
      <c r="AG18" s="1237"/>
      <c r="AH18" s="1229"/>
    </row>
    <row r="19" spans="1:35" x14ac:dyDescent="0.2">
      <c r="A19" s="1242"/>
      <c r="B19" s="1239"/>
      <c r="C19" s="1239"/>
      <c r="D19" s="1238">
        <v>42531</v>
      </c>
      <c r="E19" s="1237"/>
      <c r="F19" s="1237"/>
      <c r="G19" s="1237"/>
      <c r="H19" s="1237"/>
      <c r="I19" s="1237"/>
      <c r="J19" s="1237"/>
      <c r="K19" s="1237"/>
      <c r="L19" s="1237"/>
      <c r="M19" s="1237"/>
      <c r="N19" s="1237"/>
      <c r="O19" s="1237"/>
      <c r="P19" s="1241"/>
      <c r="Q19" s="1237"/>
      <c r="R19" s="1237"/>
      <c r="S19" s="1237"/>
      <c r="T19" s="1237"/>
      <c r="U19" s="1237"/>
      <c r="V19" s="1237"/>
      <c r="W19" s="1237"/>
      <c r="X19" s="1237"/>
      <c r="Y19" s="1237"/>
      <c r="Z19" s="1237"/>
      <c r="AA19" s="1237"/>
      <c r="AB19" s="1237"/>
      <c r="AC19" s="1237"/>
      <c r="AD19" s="1237"/>
      <c r="AE19" s="1237"/>
      <c r="AF19" s="1237"/>
      <c r="AG19" s="1237"/>
      <c r="AH19" s="1207"/>
    </row>
    <row r="20" spans="1:35" x14ac:dyDescent="0.2">
      <c r="A20" s="1242"/>
      <c r="B20" s="1237"/>
      <c r="C20" s="1237"/>
      <c r="D20" s="1239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41"/>
      <c r="Q20" s="1237"/>
      <c r="R20" s="1237"/>
      <c r="S20" s="1237"/>
      <c r="T20" s="1237"/>
      <c r="U20" s="1237"/>
      <c r="V20" s="1237"/>
      <c r="W20" s="1237"/>
      <c r="X20" s="1237"/>
      <c r="Y20" s="1237"/>
      <c r="Z20" s="1237"/>
      <c r="AA20" s="1237"/>
      <c r="AB20" s="1237"/>
      <c r="AC20" s="1237"/>
      <c r="AD20" s="1237"/>
      <c r="AE20" s="1237"/>
      <c r="AF20" s="1237"/>
      <c r="AG20" s="1237"/>
      <c r="AH20" s="1207"/>
    </row>
    <row r="21" spans="1:35" ht="13.5" thickBot="1" x14ac:dyDescent="0.25">
      <c r="A21" s="1236"/>
      <c r="B21" s="1237"/>
      <c r="C21" s="1237"/>
      <c r="D21" s="1237"/>
      <c r="E21" s="1237"/>
      <c r="F21" s="1237"/>
      <c r="G21" s="1237"/>
      <c r="H21" s="1237"/>
      <c r="I21" s="1237"/>
      <c r="J21" s="1237"/>
      <c r="K21" s="1237"/>
      <c r="L21" s="1237"/>
      <c r="M21" s="1237"/>
      <c r="N21" s="1237"/>
      <c r="O21" s="1237"/>
      <c r="P21" s="1241"/>
      <c r="Q21" s="1237"/>
      <c r="R21" s="1237"/>
      <c r="S21" s="1237"/>
      <c r="T21" s="1237"/>
      <c r="U21" s="1237"/>
      <c r="V21" s="1237"/>
      <c r="W21" s="1237"/>
      <c r="X21" s="1237"/>
      <c r="Y21" s="1237"/>
      <c r="Z21" s="1237"/>
      <c r="AA21" s="1237"/>
      <c r="AB21" s="1237"/>
      <c r="AC21" s="1237"/>
      <c r="AD21" s="1237"/>
      <c r="AE21" s="1237"/>
      <c r="AF21" s="1237"/>
      <c r="AG21" s="1237"/>
      <c r="AH21" s="1207"/>
    </row>
    <row r="22" spans="1:35" ht="13.5" thickBot="1" x14ac:dyDescent="0.25">
      <c r="A22" s="1236"/>
      <c r="B22" s="1237"/>
      <c r="C22" s="1243"/>
      <c r="D22" s="1244" t="s">
        <v>16</v>
      </c>
      <c r="E22" s="1244"/>
      <c r="F22" s="1244"/>
      <c r="G22" s="1244"/>
      <c r="H22" s="1244"/>
      <c r="I22" s="1244"/>
      <c r="J22" s="1244"/>
      <c r="K22" s="1244"/>
      <c r="L22" s="1244"/>
      <c r="M22" s="1244"/>
      <c r="N22" s="1244"/>
      <c r="O22" s="1244"/>
      <c r="P22" s="1245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244"/>
      <c r="AE22" s="1244"/>
      <c r="AF22" s="1244"/>
      <c r="AG22" s="1244"/>
      <c r="AH22" s="1207"/>
    </row>
    <row r="23" spans="1:35" ht="13.5" thickBot="1" x14ac:dyDescent="0.25">
      <c r="A23" s="1236"/>
      <c r="B23" s="1237"/>
      <c r="C23" s="1246" t="s">
        <v>452</v>
      </c>
      <c r="D23" s="1246" t="s">
        <v>453</v>
      </c>
      <c r="E23" s="1246" t="s">
        <v>434</v>
      </c>
      <c r="F23" s="1246" t="s">
        <v>390</v>
      </c>
      <c r="G23" s="1246" t="s">
        <v>454</v>
      </c>
      <c r="H23" s="1246" t="s">
        <v>455</v>
      </c>
      <c r="I23" s="1246" t="s">
        <v>456</v>
      </c>
      <c r="J23" s="1246" t="s">
        <v>457</v>
      </c>
      <c r="K23" s="1246" t="s">
        <v>458</v>
      </c>
      <c r="L23" s="1246" t="s">
        <v>216</v>
      </c>
      <c r="M23" s="1246" t="s">
        <v>459</v>
      </c>
      <c r="N23" s="1246" t="s">
        <v>297</v>
      </c>
      <c r="O23" s="1246" t="s">
        <v>211</v>
      </c>
      <c r="P23" s="1247" t="s">
        <v>270</v>
      </c>
      <c r="Q23" s="1246" t="s">
        <v>490</v>
      </c>
      <c r="R23" s="1246" t="s">
        <v>460</v>
      </c>
      <c r="S23" s="1246" t="s">
        <v>461</v>
      </c>
      <c r="T23" s="1246" t="s">
        <v>442</v>
      </c>
      <c r="U23" s="1246" t="s">
        <v>462</v>
      </c>
      <c r="V23" s="1246" t="s">
        <v>470</v>
      </c>
      <c r="W23" s="1246" t="s">
        <v>471</v>
      </c>
      <c r="X23" s="1246" t="s">
        <v>472</v>
      </c>
      <c r="Y23" s="1246" t="s">
        <v>463</v>
      </c>
      <c r="Z23" s="1246" t="s">
        <v>465</v>
      </c>
      <c r="AA23" s="1246" t="s">
        <v>466</v>
      </c>
      <c r="AB23" s="1246" t="s">
        <v>435</v>
      </c>
      <c r="AC23" s="1246" t="s">
        <v>467</v>
      </c>
      <c r="AD23" s="1246" t="s">
        <v>464</v>
      </c>
      <c r="AE23" s="1246" t="s">
        <v>429</v>
      </c>
      <c r="AF23" s="1246" t="s">
        <v>149</v>
      </c>
      <c r="AG23" s="1246" t="s">
        <v>210</v>
      </c>
      <c r="AH23" s="1207"/>
    </row>
    <row r="24" spans="1:35" x14ac:dyDescent="0.2">
      <c r="A24" s="1233"/>
      <c r="B24" s="1248"/>
      <c r="C24" s="1237"/>
      <c r="D24" s="1237"/>
      <c r="E24" s="1237"/>
      <c r="F24" s="1237"/>
      <c r="G24" s="1237"/>
      <c r="H24" s="1237"/>
      <c r="I24" s="1237"/>
      <c r="J24" s="1237"/>
      <c r="K24" s="1237"/>
      <c r="L24" s="1237"/>
      <c r="M24" s="1237"/>
      <c r="N24" s="1237"/>
      <c r="O24" s="1237"/>
      <c r="P24" s="1241"/>
      <c r="Q24" s="1237"/>
      <c r="R24" s="1237"/>
      <c r="S24" s="1237"/>
      <c r="T24" s="1237"/>
      <c r="U24" s="1237"/>
      <c r="V24" s="1237"/>
      <c r="W24" s="1237"/>
      <c r="X24" s="1237"/>
      <c r="Y24" s="1237"/>
      <c r="Z24" s="1237"/>
      <c r="AA24" s="1237"/>
      <c r="AB24" s="1237"/>
      <c r="AC24" s="1237"/>
      <c r="AD24" s="1237"/>
      <c r="AE24" s="1237"/>
      <c r="AF24" s="1237"/>
      <c r="AG24" s="1237"/>
      <c r="AH24" s="1207"/>
    </row>
    <row r="25" spans="1:35" x14ac:dyDescent="0.2">
      <c r="A25" s="1236" t="s">
        <v>0</v>
      </c>
      <c r="B25" s="1249">
        <v>-510770.99300000002</v>
      </c>
      <c r="C25" s="1237"/>
      <c r="D25" s="1237"/>
      <c r="E25" s="1237"/>
      <c r="F25" s="1237"/>
      <c r="G25" s="1237"/>
      <c r="H25" s="1237"/>
      <c r="I25" s="1237"/>
      <c r="J25" s="1237"/>
      <c r="K25" s="1237"/>
      <c r="L25" s="1237"/>
      <c r="M25" s="1237"/>
      <c r="N25" s="1237"/>
      <c r="O25" s="1237"/>
      <c r="P25" s="1241"/>
      <c r="Q25" s="1237"/>
      <c r="R25" s="1237"/>
      <c r="S25" s="1237"/>
      <c r="T25" s="1237"/>
      <c r="U25" s="1237"/>
      <c r="V25" s="1237"/>
      <c r="W25" s="1237"/>
      <c r="X25" s="1237"/>
      <c r="Y25" s="1237"/>
      <c r="Z25" s="1237"/>
      <c r="AA25" s="1237"/>
      <c r="AB25" s="1237"/>
      <c r="AC25" s="1237"/>
      <c r="AD25" s="1237"/>
      <c r="AE25" s="1237"/>
      <c r="AF25" s="1237"/>
      <c r="AG25" s="1237"/>
      <c r="AH25" s="1207"/>
    </row>
    <row r="26" spans="1:35" ht="13.5" thickBot="1" x14ac:dyDescent="0.25">
      <c r="A26" s="1250"/>
      <c r="B26" s="1251"/>
      <c r="C26" s="1237"/>
      <c r="D26" s="1237"/>
      <c r="E26" s="1237"/>
      <c r="F26" s="1237"/>
      <c r="G26" s="1252"/>
      <c r="H26" s="1237"/>
      <c r="I26" s="1237"/>
      <c r="J26" s="1237"/>
      <c r="K26" s="1237"/>
      <c r="L26" s="1237"/>
      <c r="M26" s="1237"/>
      <c r="N26" s="1237"/>
      <c r="O26" s="1237"/>
      <c r="P26" s="1241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07"/>
    </row>
    <row r="27" spans="1:35" x14ac:dyDescent="0.2">
      <c r="A27" s="1233"/>
      <c r="B27" s="1253"/>
      <c r="C27" s="1237"/>
      <c r="D27" s="1237"/>
      <c r="E27" s="1237"/>
      <c r="F27" s="1237"/>
      <c r="G27" s="1237"/>
      <c r="H27" s="1237"/>
      <c r="I27" s="1237"/>
      <c r="J27" s="1237"/>
      <c r="K27" s="1237"/>
      <c r="L27" s="1237"/>
      <c r="M27" s="1237"/>
      <c r="N27" s="1237"/>
      <c r="O27" s="1237"/>
      <c r="P27" s="1241"/>
      <c r="Q27" s="1237"/>
      <c r="R27" s="1237"/>
      <c r="S27" s="1237"/>
      <c r="T27" s="1237"/>
      <c r="U27" s="1237"/>
      <c r="V27" s="1237"/>
      <c r="W27" s="1237"/>
      <c r="X27" s="1237"/>
      <c r="Y27" s="1237"/>
      <c r="Z27" s="1237"/>
      <c r="AA27" s="1237"/>
      <c r="AB27" s="1237"/>
      <c r="AC27" s="1237"/>
      <c r="AD27" s="1237"/>
      <c r="AE27" s="1237"/>
      <c r="AF27" s="1237"/>
      <c r="AG27" s="1237"/>
      <c r="AH27" s="1207"/>
    </row>
    <row r="28" spans="1:35" x14ac:dyDescent="0.2">
      <c r="A28" s="1236" t="s">
        <v>1</v>
      </c>
      <c r="B28" s="1249">
        <f>B29+B30+B31</f>
        <v>8178.7620000000006</v>
      </c>
      <c r="C28" s="1237"/>
      <c r="D28" s="1237"/>
      <c r="E28" s="1237"/>
      <c r="F28" s="1237"/>
      <c r="G28" s="1237"/>
      <c r="H28" s="1237"/>
      <c r="I28" s="1237"/>
      <c r="J28" s="1237"/>
      <c r="K28" s="1237"/>
      <c r="L28" s="1237"/>
      <c r="M28" s="1237"/>
      <c r="N28" s="1237"/>
      <c r="O28" s="1237"/>
      <c r="P28" s="1241"/>
      <c r="Q28" s="1237"/>
      <c r="R28" s="1237"/>
      <c r="S28" s="1237"/>
      <c r="T28" s="1237"/>
      <c r="U28" s="1237"/>
      <c r="V28" s="1237"/>
      <c r="W28" s="1237"/>
      <c r="X28" s="1237"/>
      <c r="Y28" s="1237"/>
      <c r="Z28" s="1237"/>
      <c r="AA28" s="1237"/>
      <c r="AB28" s="1237"/>
      <c r="AC28" s="1237"/>
      <c r="AD28" s="1237"/>
      <c r="AE28" s="1237"/>
      <c r="AF28" s="1237"/>
      <c r="AG28" s="1237"/>
      <c r="AH28" s="1207"/>
    </row>
    <row r="29" spans="1:35" x14ac:dyDescent="0.2">
      <c r="A29" s="1236" t="s">
        <v>38</v>
      </c>
      <c r="B29" s="1249">
        <f>C82</f>
        <v>8178.7620000000006</v>
      </c>
      <c r="C29" s="1237"/>
      <c r="D29" s="1237"/>
      <c r="E29" s="1237"/>
      <c r="F29" s="1237"/>
      <c r="G29" s="1237"/>
      <c r="H29" s="1237"/>
      <c r="I29" s="1237"/>
      <c r="J29" s="1237"/>
      <c r="K29" s="1237"/>
      <c r="L29" s="1237"/>
      <c r="M29" s="1237"/>
      <c r="N29" s="1237"/>
      <c r="O29" s="1237"/>
      <c r="P29" s="1241"/>
      <c r="Q29" s="1237"/>
      <c r="R29" s="1237"/>
      <c r="S29" s="1237"/>
      <c r="T29" s="1237"/>
      <c r="U29" s="1237"/>
      <c r="V29" s="1237"/>
      <c r="W29" s="1237"/>
      <c r="X29" s="1237"/>
      <c r="Y29" s="1237"/>
      <c r="Z29" s="1237"/>
      <c r="AA29" s="1237"/>
      <c r="AB29" s="1237"/>
      <c r="AC29" s="1237"/>
      <c r="AD29" s="1237"/>
      <c r="AE29" s="1237"/>
      <c r="AF29" s="1237"/>
      <c r="AG29" s="1237"/>
      <c r="AH29" s="1207"/>
    </row>
    <row r="30" spans="1:35" x14ac:dyDescent="0.2">
      <c r="A30" s="1236" t="s">
        <v>39</v>
      </c>
      <c r="B30" s="1249"/>
      <c r="C30" s="1237"/>
      <c r="D30" s="1237"/>
      <c r="E30" s="1237"/>
      <c r="F30" s="1237"/>
      <c r="G30" s="1237"/>
      <c r="H30" s="1237"/>
      <c r="I30" s="1237"/>
      <c r="J30" s="1237"/>
      <c r="K30" s="1237"/>
      <c r="L30" s="1237"/>
      <c r="M30" s="1237"/>
      <c r="N30" s="1237"/>
      <c r="O30" s="1237"/>
      <c r="P30" s="1241"/>
      <c r="Q30" s="1237"/>
      <c r="R30" s="1237"/>
      <c r="S30" s="1237"/>
      <c r="T30" s="1237"/>
      <c r="U30" s="1237"/>
      <c r="V30" s="1237"/>
      <c r="W30" s="1237"/>
      <c r="X30" s="1237"/>
      <c r="Y30" s="1237"/>
      <c r="Z30" s="1237"/>
      <c r="AA30" s="1237"/>
      <c r="AB30" s="1237"/>
      <c r="AC30" s="1237"/>
      <c r="AD30" s="1237"/>
      <c r="AE30" s="1237"/>
      <c r="AF30" s="1237"/>
      <c r="AG30" s="1237"/>
      <c r="AH30" s="1207"/>
    </row>
    <row r="31" spans="1:35" x14ac:dyDescent="0.2">
      <c r="A31" s="1236" t="s">
        <v>3</v>
      </c>
      <c r="B31" s="1249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41"/>
      <c r="Q31" s="1237"/>
      <c r="R31" s="1237"/>
      <c r="S31" s="1237"/>
      <c r="T31" s="1237"/>
      <c r="U31" s="1237"/>
      <c r="V31" s="1237"/>
      <c r="W31" s="1237"/>
      <c r="X31" s="1237"/>
      <c r="Y31" s="1237"/>
      <c r="Z31" s="1237"/>
      <c r="AA31" s="1237"/>
      <c r="AB31" s="1237"/>
      <c r="AC31" s="1237"/>
      <c r="AD31" s="1237"/>
      <c r="AE31" s="1237"/>
      <c r="AF31" s="1237"/>
      <c r="AG31" s="1237"/>
      <c r="AH31" s="1207"/>
    </row>
    <row r="32" spans="1:35" ht="13.5" thickBot="1" x14ac:dyDescent="0.25">
      <c r="A32" s="1250"/>
      <c r="B32" s="1251"/>
      <c r="C32" s="1237"/>
      <c r="D32" s="1237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41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37"/>
      <c r="AE32" s="1237"/>
      <c r="AF32" s="1237"/>
      <c r="AG32" s="1237"/>
      <c r="AH32" s="1207"/>
    </row>
    <row r="33" spans="1:40" ht="18" x14ac:dyDescent="0.25">
      <c r="A33" s="1233"/>
      <c r="B33" s="1253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  <c r="M33" s="1237"/>
      <c r="N33" s="1237"/>
      <c r="O33" s="1254"/>
      <c r="P33" s="1241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37"/>
      <c r="AE33" s="1237"/>
      <c r="AF33" s="1237"/>
      <c r="AG33" s="1237"/>
      <c r="AH33" s="1207"/>
    </row>
    <row r="34" spans="1:40" ht="18" x14ac:dyDescent="0.25">
      <c r="A34" s="1236" t="s">
        <v>4</v>
      </c>
      <c r="B34" s="1249">
        <f>B25+B28</f>
        <v>-502592.23100000003</v>
      </c>
      <c r="C34" s="1237"/>
      <c r="D34" s="1237"/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54"/>
      <c r="P34" s="1241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37"/>
      <c r="AE34" s="1237"/>
      <c r="AF34" s="1237"/>
      <c r="AG34" s="1237"/>
      <c r="AH34" s="1207"/>
    </row>
    <row r="35" spans="1:40" ht="18.75" thickBot="1" x14ac:dyDescent="0.3">
      <c r="A35" s="1250"/>
      <c r="B35" s="1251"/>
      <c r="C35" s="1237"/>
      <c r="D35" s="1237"/>
      <c r="E35" s="1237"/>
      <c r="F35" s="1237"/>
      <c r="G35" s="1237"/>
      <c r="H35" s="1237"/>
      <c r="I35" s="1237"/>
      <c r="K35" s="1237"/>
      <c r="L35" s="1237"/>
      <c r="M35" s="1237"/>
      <c r="N35" s="1237"/>
      <c r="O35" s="1254"/>
      <c r="P35" s="1241"/>
      <c r="Q35" s="1237"/>
      <c r="R35" s="1237"/>
      <c r="S35" s="1237"/>
      <c r="T35" s="1237"/>
      <c r="U35" s="1237"/>
      <c r="V35" s="1237"/>
      <c r="W35" s="1237"/>
      <c r="X35" s="1237"/>
      <c r="Y35" s="1237"/>
      <c r="Z35" s="1237"/>
      <c r="AA35" s="1237"/>
      <c r="AB35" s="1237"/>
      <c r="AC35" s="1237"/>
      <c r="AD35" s="1237"/>
      <c r="AE35" s="1237"/>
      <c r="AF35" s="1237"/>
      <c r="AG35" s="1237"/>
      <c r="AH35" s="1207"/>
    </row>
    <row r="36" spans="1:40" x14ac:dyDescent="0.2">
      <c r="A36" s="1233"/>
      <c r="B36" s="1253"/>
      <c r="C36" s="1237"/>
      <c r="D36" s="1237"/>
      <c r="E36" s="1237"/>
      <c r="F36" s="1237"/>
      <c r="G36" s="1237"/>
      <c r="H36" s="1237"/>
      <c r="I36" s="1237"/>
      <c r="J36" s="1237"/>
      <c r="K36" s="1237"/>
      <c r="L36" s="1237"/>
      <c r="M36" s="1237"/>
      <c r="N36" s="1237"/>
      <c r="O36" s="1237"/>
      <c r="P36" s="1241"/>
      <c r="Q36" s="1237"/>
      <c r="R36" s="1237"/>
      <c r="S36" s="1237"/>
      <c r="T36" s="1237"/>
      <c r="U36" s="1237"/>
      <c r="V36" s="1237"/>
      <c r="W36" s="1237"/>
      <c r="X36" s="1237"/>
      <c r="Y36" s="1237"/>
      <c r="Z36" s="1237"/>
      <c r="AA36" s="1237"/>
      <c r="AB36" s="1237"/>
      <c r="AC36" s="1237"/>
      <c r="AD36" s="1237"/>
      <c r="AE36" s="1237"/>
      <c r="AF36" s="1237"/>
      <c r="AG36" s="1237"/>
      <c r="AH36" s="1207"/>
    </row>
    <row r="37" spans="1:40" ht="18" x14ac:dyDescent="0.25">
      <c r="A37" s="1236" t="s">
        <v>913</v>
      </c>
      <c r="B37" s="1249"/>
      <c r="C37" s="1237"/>
      <c r="D37" s="1237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12"/>
      <c r="Q37" s="1491"/>
      <c r="R37" s="1237"/>
      <c r="S37" s="1255"/>
      <c r="T37" s="1237"/>
      <c r="U37" s="1237"/>
      <c r="V37" s="1237"/>
      <c r="W37" s="1237"/>
      <c r="X37" s="1237"/>
      <c r="Y37" s="1237"/>
      <c r="Z37" s="1237"/>
      <c r="AA37" s="1237"/>
      <c r="AB37" s="1237"/>
      <c r="AC37" s="1748"/>
      <c r="AD37" s="1748"/>
      <c r="AE37" s="1237"/>
      <c r="AF37" s="1237"/>
      <c r="AG37" s="1237"/>
      <c r="AH37" s="1207"/>
    </row>
    <row r="38" spans="1:40" ht="13.5" thickBot="1" x14ac:dyDescent="0.25">
      <c r="A38" s="1250"/>
      <c r="B38" s="1251"/>
      <c r="C38" s="1237"/>
      <c r="D38" s="1237"/>
      <c r="E38" s="1491"/>
      <c r="F38" s="1237"/>
      <c r="G38" s="1237"/>
      <c r="H38" s="1491"/>
      <c r="I38" s="1237"/>
      <c r="J38" s="1237"/>
      <c r="K38" s="1241"/>
      <c r="L38" s="1237"/>
      <c r="M38" s="1524"/>
      <c r="N38" s="1237"/>
      <c r="O38" s="1237"/>
      <c r="P38" s="1241"/>
      <c r="Q38" s="1237"/>
      <c r="R38" s="1237"/>
      <c r="S38" s="1237"/>
      <c r="T38" s="1237"/>
      <c r="U38" s="1237"/>
      <c r="V38" s="1237"/>
      <c r="W38" s="1237"/>
      <c r="X38" s="1237"/>
      <c r="Y38" s="1237"/>
      <c r="Z38" s="1237"/>
      <c r="AA38" s="1237"/>
      <c r="AB38" s="1237"/>
      <c r="AC38" s="1237"/>
      <c r="AD38" s="1237"/>
      <c r="AE38" s="1237"/>
      <c r="AF38" s="1237"/>
      <c r="AG38" s="1237"/>
      <c r="AH38" s="1207"/>
    </row>
    <row r="39" spans="1:40" x14ac:dyDescent="0.2">
      <c r="A39" s="1233"/>
      <c r="B39" s="1253"/>
      <c r="C39" s="1256"/>
      <c r="D39" s="1490"/>
      <c r="E39" s="1490"/>
      <c r="F39" s="1237"/>
      <c r="G39" s="1237"/>
      <c r="H39" s="1490"/>
      <c r="I39" s="1237"/>
      <c r="J39" s="1237"/>
      <c r="K39" s="1237"/>
      <c r="L39" s="1237"/>
      <c r="M39" s="1524" t="s">
        <v>1335</v>
      </c>
      <c r="N39" s="1237"/>
      <c r="O39" s="1258"/>
      <c r="P39" s="1212"/>
      <c r="Q39" s="1212"/>
      <c r="R39" s="1237"/>
      <c r="S39" s="1491"/>
      <c r="T39" s="1237"/>
      <c r="U39" s="1259"/>
      <c r="V39" s="1259"/>
      <c r="W39" s="1259"/>
      <c r="X39" s="1259"/>
      <c r="Y39" s="1260"/>
      <c r="Z39" s="1259"/>
      <c r="AA39" s="1261"/>
      <c r="AB39" s="1259" t="s">
        <v>1333</v>
      </c>
      <c r="AC39" s="1260"/>
      <c r="AD39" s="1267"/>
      <c r="AE39" s="1259"/>
      <c r="AF39" s="1259"/>
      <c r="AG39" s="1259"/>
      <c r="AH39" s="1207"/>
    </row>
    <row r="40" spans="1:40" x14ac:dyDescent="0.2">
      <c r="A40" s="1236" t="s">
        <v>5</v>
      </c>
      <c r="B40" s="1249">
        <f>B34-B37</f>
        <v>-502592.23100000003</v>
      </c>
      <c r="C40" s="1256" t="s">
        <v>1334</v>
      </c>
      <c r="D40" s="1491" t="s">
        <v>166</v>
      </c>
      <c r="E40" s="1256"/>
      <c r="F40" s="1491"/>
      <c r="G40" s="1491"/>
      <c r="H40" s="1491"/>
      <c r="I40" s="1491"/>
      <c r="J40" s="1491"/>
      <c r="K40" s="1491"/>
      <c r="L40" s="1262"/>
      <c r="M40" s="1212" t="s">
        <v>1318</v>
      </c>
      <c r="N40" s="1512" t="s">
        <v>1012</v>
      </c>
      <c r="O40" s="1511"/>
      <c r="P40" s="1212"/>
      <c r="Q40" s="1212"/>
      <c r="R40" s="1491"/>
      <c r="S40" s="1212"/>
      <c r="T40" s="1212"/>
      <c r="U40" s="1212"/>
      <c r="V40" s="1263"/>
      <c r="W40" s="1212"/>
      <c r="X40" s="1491"/>
      <c r="Y40" s="1212"/>
      <c r="Z40" s="1212"/>
      <c r="AA40" s="1264" t="s">
        <v>1343</v>
      </c>
      <c r="AB40" s="1523" t="s">
        <v>1332</v>
      </c>
      <c r="AC40" s="1212" t="s">
        <v>212</v>
      </c>
      <c r="AD40" s="1266"/>
      <c r="AE40" s="1267"/>
      <c r="AF40" s="1268"/>
      <c r="AG40" s="1267"/>
      <c r="AH40" s="1207"/>
    </row>
    <row r="41" spans="1:40" ht="13.5" thickBot="1" x14ac:dyDescent="0.25">
      <c r="A41" s="1250"/>
      <c r="B41" s="1251"/>
      <c r="C41" s="1237"/>
      <c r="D41" s="1237"/>
      <c r="E41" s="1237"/>
      <c r="F41" s="1237"/>
      <c r="G41" s="1237"/>
      <c r="H41" s="1237"/>
      <c r="I41" s="1237"/>
      <c r="J41" s="1237"/>
      <c r="K41" s="1237"/>
      <c r="L41" s="1491"/>
      <c r="M41" s="1237"/>
      <c r="N41" s="1237"/>
      <c r="O41" s="1237"/>
      <c r="P41" s="1241"/>
      <c r="Q41" s="1237"/>
      <c r="R41" s="1237"/>
      <c r="S41" s="1237"/>
      <c r="T41" s="1237"/>
      <c r="U41" s="1237"/>
      <c r="V41" s="1237"/>
      <c r="W41" s="1237"/>
      <c r="X41" s="1237"/>
      <c r="Y41" s="1237"/>
      <c r="Z41" s="1237"/>
      <c r="AA41" s="1237"/>
      <c r="AB41" s="1237"/>
      <c r="AC41" s="1237"/>
      <c r="AD41" s="1237"/>
      <c r="AE41" s="1237"/>
      <c r="AF41" s="1237"/>
      <c r="AG41" s="1237"/>
      <c r="AH41" s="1207"/>
    </row>
    <row r="42" spans="1:40" x14ac:dyDescent="0.2">
      <c r="A42" s="1269"/>
      <c r="B42" s="1237"/>
      <c r="C42" s="1270"/>
      <c r="D42" s="1271"/>
      <c r="E42" s="1272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3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  <c r="AB42" s="1271"/>
      <c r="AC42" s="1271"/>
      <c r="AD42" s="1271"/>
      <c r="AE42" s="1271"/>
      <c r="AF42" s="1271"/>
      <c r="AG42" s="1271"/>
      <c r="AH42" s="1227">
        <f t="shared" ref="AH42:AH58" si="9">SUM(C42:AG42)</f>
        <v>0</v>
      </c>
    </row>
    <row r="43" spans="1:40" ht="13.5" thickBot="1" x14ac:dyDescent="0.25">
      <c r="A43" s="1274" t="s">
        <v>914</v>
      </c>
      <c r="B43" s="1237"/>
      <c r="C43" s="1275">
        <f t="shared" ref="C43:AG43" si="10">C44+C45+C48+C52+C51+C49+C50+C46+C47</f>
        <v>591.63199999999995</v>
      </c>
      <c r="D43" s="1275">
        <f t="shared" si="10"/>
        <v>-0.10799999999289867</v>
      </c>
      <c r="E43" s="1275">
        <f t="shared" si="10"/>
        <v>0</v>
      </c>
      <c r="F43" s="1275">
        <f t="shared" si="10"/>
        <v>0</v>
      </c>
      <c r="G43" s="1275">
        <f t="shared" si="10"/>
        <v>0</v>
      </c>
      <c r="H43" s="1275">
        <f t="shared" si="10"/>
        <v>0</v>
      </c>
      <c r="I43" s="1275">
        <f t="shared" si="10"/>
        <v>0</v>
      </c>
      <c r="J43" s="1275">
        <f t="shared" si="10"/>
        <v>0</v>
      </c>
      <c r="K43" s="1275">
        <f t="shared" si="10"/>
        <v>0</v>
      </c>
      <c r="L43" s="1275">
        <f t="shared" si="10"/>
        <v>0</v>
      </c>
      <c r="M43" s="1275">
        <f t="shared" si="10"/>
        <v>2911.6779999999999</v>
      </c>
      <c r="N43" s="1275">
        <f t="shared" si="10"/>
        <v>0</v>
      </c>
      <c r="O43" s="1275">
        <f t="shared" si="10"/>
        <v>0</v>
      </c>
      <c r="P43" s="1276">
        <f t="shared" si="10"/>
        <v>0</v>
      </c>
      <c r="Q43" s="1275">
        <f t="shared" si="10"/>
        <v>0</v>
      </c>
      <c r="R43" s="1275">
        <f t="shared" si="10"/>
        <v>0</v>
      </c>
      <c r="S43" s="1275">
        <f t="shared" si="10"/>
        <v>0</v>
      </c>
      <c r="T43" s="1275">
        <f t="shared" si="10"/>
        <v>0</v>
      </c>
      <c r="U43" s="1275">
        <f t="shared" si="10"/>
        <v>0</v>
      </c>
      <c r="V43" s="1275">
        <f t="shared" si="10"/>
        <v>1.4551915228366852E-11</v>
      </c>
      <c r="W43" s="1275">
        <f t="shared" si="10"/>
        <v>0</v>
      </c>
      <c r="X43" s="1275">
        <f t="shared" si="10"/>
        <v>0</v>
      </c>
      <c r="Y43" s="1275">
        <f t="shared" si="10"/>
        <v>0</v>
      </c>
      <c r="Z43" s="1275">
        <f t="shared" si="10"/>
        <v>0</v>
      </c>
      <c r="AA43" s="1275">
        <f t="shared" si="10"/>
        <v>1174.3049999999985</v>
      </c>
      <c r="AB43" s="1275">
        <f t="shared" si="10"/>
        <v>0</v>
      </c>
      <c r="AC43" s="1275">
        <f t="shared" si="10"/>
        <v>0</v>
      </c>
      <c r="AD43" s="1275">
        <f t="shared" si="10"/>
        <v>0</v>
      </c>
      <c r="AE43" s="1275">
        <f t="shared" si="10"/>
        <v>9.9999999929423211E-4</v>
      </c>
      <c r="AF43" s="1275">
        <f t="shared" si="10"/>
        <v>0</v>
      </c>
      <c r="AG43" s="1275">
        <f t="shared" si="10"/>
        <v>-2.0918378140777349E-11</v>
      </c>
      <c r="AH43" s="1227">
        <f t="shared" si="9"/>
        <v>4677.507999999998</v>
      </c>
    </row>
    <row r="44" spans="1:40" x14ac:dyDescent="0.2">
      <c r="A44" s="1274" t="s">
        <v>8</v>
      </c>
      <c r="B44" s="1237"/>
      <c r="C44" s="1282">
        <v>591.63199999999995</v>
      </c>
      <c r="D44" s="1282">
        <f>5065.009-5065.009</f>
        <v>0</v>
      </c>
      <c r="E44" s="1282"/>
      <c r="F44" s="1282"/>
      <c r="G44" s="1282">
        <f>19052.022-8200-9500-1352.022</f>
        <v>0</v>
      </c>
      <c r="H44" s="1282"/>
      <c r="I44" s="1282">
        <f>15080.531-15080.531</f>
        <v>0</v>
      </c>
      <c r="J44" s="1282"/>
      <c r="K44" s="1282"/>
      <c r="L44" s="1282">
        <f>17700-8150-9550</f>
        <v>0</v>
      </c>
      <c r="M44" s="1282"/>
      <c r="N44" s="1282">
        <f>7062.563-7062.563</f>
        <v>0</v>
      </c>
      <c r="O44" s="1282">
        <f>9415.431-9415.431</f>
        <v>0</v>
      </c>
      <c r="P44" s="1282"/>
      <c r="Q44" s="1282">
        <f>15807.19-1247.206-3559.984-11000</f>
        <v>0</v>
      </c>
      <c r="R44" s="1282">
        <f>15160.865-845.19-2615.675-11700</f>
        <v>0</v>
      </c>
      <c r="S44" s="1282"/>
      <c r="T44" s="1282">
        <f>5200-5200</f>
        <v>0</v>
      </c>
      <c r="U44" s="1282">
        <f>11750-11750</f>
        <v>0</v>
      </c>
      <c r="V44" s="1282">
        <f>58925.589-324.477-5700-7210.939-8000-11000-8600-18090.173</f>
        <v>0</v>
      </c>
      <c r="W44" s="1282"/>
      <c r="X44" s="1282">
        <f>11000-11000</f>
        <v>0</v>
      </c>
      <c r="Y44" s="1282"/>
      <c r="Z44" s="1282"/>
      <c r="AA44" s="1282">
        <f>77851.418-5271.983-5750-7000-7050-11500-17900-4152.369-7052.761-11000</f>
        <v>1174.3049999999985</v>
      </c>
      <c r="AB44" s="1282"/>
      <c r="AC44" s="1282"/>
      <c r="AD44" s="1282">
        <f>32550-7100-7350-6500-11600</f>
        <v>0</v>
      </c>
      <c r="AE44" s="1282"/>
      <c r="AF44" s="1282"/>
      <c r="AG44" s="1282">
        <f>136887.839-1047.64-3343.847-5761.434-4713.632-7131.388-7339.403-7634.18-8674.128-10364.641-11061.862-11650-18000-35000-5165.684</f>
        <v>-2.0918378140777349E-11</v>
      </c>
      <c r="AH44" s="1455">
        <f t="shared" si="9"/>
        <v>1765.9369999999776</v>
      </c>
      <c r="AN44" s="1280">
        <v>9918.1650000000009</v>
      </c>
    </row>
    <row r="45" spans="1:40" x14ac:dyDescent="0.2">
      <c r="A45" s="1274" t="s">
        <v>703</v>
      </c>
      <c r="B45" s="1237"/>
      <c r="C45" s="1282"/>
      <c r="D45" s="1282"/>
      <c r="E45" s="1282">
        <f>24351.774-24351.774</f>
        <v>0</v>
      </c>
      <c r="F45" s="1282">
        <f>5755.092-5755.092</f>
        <v>0</v>
      </c>
      <c r="G45" s="1282">
        <f>354.5-354.5</f>
        <v>0</v>
      </c>
      <c r="H45" s="1282">
        <f>24600-24600</f>
        <v>0</v>
      </c>
      <c r="I45" s="1282">
        <f>7377.364-7377.364</f>
        <v>0</v>
      </c>
      <c r="J45" s="1282">
        <f>1267.704-1267.704</f>
        <v>0</v>
      </c>
      <c r="K45" s="1282">
        <f>24650-24650</f>
        <v>0</v>
      </c>
      <c r="L45" s="1282">
        <f>13720.956-1574.185-1746.312-5000-5400.459</f>
        <v>0</v>
      </c>
      <c r="M45" s="1282">
        <v>2911.6779999999999</v>
      </c>
      <c r="N45" s="1282">
        <f>25376.626-24620-756.626</f>
        <v>0</v>
      </c>
      <c r="O45" s="1282">
        <f>694.34-694.34</f>
        <v>0</v>
      </c>
      <c r="P45" s="1282"/>
      <c r="Q45" s="1282">
        <f>16876.902-966.931-1118.542-1255.784-1341.366-4694.279-7500</f>
        <v>0</v>
      </c>
      <c r="R45" s="1282">
        <f>24630-24630</f>
        <v>0</v>
      </c>
      <c r="S45" s="1282">
        <f>365.231-365.231</f>
        <v>0</v>
      </c>
      <c r="T45" s="1282">
        <f>748.068-748.068</f>
        <v>0</v>
      </c>
      <c r="U45" s="1282">
        <f>953.94-953.94</f>
        <v>0</v>
      </c>
      <c r="V45" s="1282">
        <f>68708.335-658.94-1165.987-2191.087-5000-5300-5700-7400-7792.321-8400-9700-15400</f>
        <v>1.4551915228366852E-11</v>
      </c>
      <c r="W45" s="1282">
        <f>2553.372-984.206-1569.166</f>
        <v>0</v>
      </c>
      <c r="X45" s="1282">
        <f>17515.553-2439.04-4496.544-5143.144-5436.825</f>
        <v>0</v>
      </c>
      <c r="Y45" s="1282">
        <f>12529.772-797.5-5432.272-6300</f>
        <v>0</v>
      </c>
      <c r="Z45" s="1282">
        <f>36325.225-496.666-5028.559-7350-15500-7950</f>
        <v>0</v>
      </c>
      <c r="AA45" s="1282">
        <f>18441.158-2391.158-7600-8450</f>
        <v>0</v>
      </c>
      <c r="AB45" s="1282">
        <f>34546.338-443.991-1543.536-2053.5-2090.083-4240.917-4360-4750-5314.311-9750</f>
        <v>0</v>
      </c>
      <c r="AC45" s="1282">
        <f>32598.761-1920.451-2917.922-3967.145-4915.309-5722.254-5827.946-7327.734</f>
        <v>0</v>
      </c>
      <c r="AD45" s="1282">
        <f>47520.797-201.08-581.68-747.162-996.689-1680.559-2954.384-7866.152-7941.225-8001.866-16550</f>
        <v>0</v>
      </c>
      <c r="AE45" s="1282">
        <f>29694.679-1837.897-2085.648-2564.848-3651.08-3884.836-5154.627-6155.052-4360.69</f>
        <v>9.9999999929423211E-4</v>
      </c>
      <c r="AF45" s="1282">
        <f>81415.178-394.414-711.79-715.58-1310.598-3067.443-3147.459-3634.826-3743.556-4742.504-5571.673-7000-7135.044-7500-7650-8490.291-16600</f>
        <v>0</v>
      </c>
      <c r="AG45" s="1282">
        <f>15120.228-10000-5120.228</f>
        <v>0</v>
      </c>
      <c r="AH45" s="1455">
        <f t="shared" si="9"/>
        <v>2911.6790000000137</v>
      </c>
      <c r="AI45" s="1283">
        <f>+AH45+AH44</f>
        <v>4677.6159999999909</v>
      </c>
      <c r="AJ45" s="1283"/>
      <c r="AN45" s="1280">
        <v>788.89499999999998</v>
      </c>
    </row>
    <row r="46" spans="1:40" x14ac:dyDescent="0.2">
      <c r="A46" s="1274" t="s">
        <v>704</v>
      </c>
      <c r="B46" s="1237"/>
      <c r="C46" s="1282">
        <f>3488.15+976.579-976.579-3488.15</f>
        <v>0</v>
      </c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  <c r="O46" s="1282"/>
      <c r="P46" s="1282"/>
      <c r="Q46" s="1282"/>
      <c r="R46" s="1282"/>
      <c r="S46" s="1282"/>
      <c r="T46" s="1282"/>
      <c r="U46" s="1282"/>
      <c r="V46" s="1282"/>
      <c r="W46" s="1282"/>
      <c r="X46" s="1282"/>
      <c r="Y46" s="1282"/>
      <c r="Z46" s="1282"/>
      <c r="AA46" s="1282"/>
      <c r="AB46" s="1282"/>
      <c r="AC46" s="1282"/>
      <c r="AD46" s="1282"/>
      <c r="AE46" s="1282"/>
      <c r="AF46" s="1282"/>
      <c r="AG46" s="1282"/>
      <c r="AH46" s="1455">
        <f t="shared" si="9"/>
        <v>0</v>
      </c>
      <c r="AN46" s="1280"/>
    </row>
    <row r="47" spans="1:40" x14ac:dyDescent="0.2">
      <c r="A47" s="1274" t="s">
        <v>705</v>
      </c>
      <c r="B47" s="1237"/>
      <c r="C47" s="1284"/>
      <c r="D47" s="1284"/>
      <c r="E47" s="1284"/>
      <c r="F47" s="1284"/>
      <c r="G47" s="1284"/>
      <c r="H47" s="1284"/>
      <c r="I47" s="1284"/>
      <c r="J47" s="1284"/>
      <c r="K47" s="1284"/>
      <c r="L47" s="1284"/>
      <c r="M47" s="1284"/>
      <c r="N47" s="1284"/>
      <c r="O47" s="1284"/>
      <c r="P47" s="1284"/>
      <c r="Q47" s="1284"/>
      <c r="R47" s="1284"/>
      <c r="S47" s="1284"/>
      <c r="T47" s="1284"/>
      <c r="U47" s="1284"/>
      <c r="V47" s="1282">
        <f>24442.09-24442.09</f>
        <v>0</v>
      </c>
      <c r="W47" s="1284"/>
      <c r="X47" s="1284"/>
      <c r="Y47" s="1284"/>
      <c r="Z47" s="1284"/>
      <c r="AA47" s="1284"/>
      <c r="AB47" s="1284"/>
      <c r="AC47" s="1284"/>
      <c r="AD47" s="1284"/>
      <c r="AE47" s="1284"/>
      <c r="AF47" s="1284"/>
      <c r="AG47" s="1284"/>
      <c r="AH47" s="1455">
        <f t="shared" si="9"/>
        <v>0</v>
      </c>
      <c r="AI47" s="1283"/>
      <c r="AJ47" s="1283"/>
      <c r="AN47" s="1280"/>
    </row>
    <row r="48" spans="1:40" s="1289" customFormat="1" x14ac:dyDescent="0.2">
      <c r="A48" s="1285" t="s">
        <v>10</v>
      </c>
      <c r="B48" s="1286"/>
      <c r="C48" s="1287"/>
      <c r="D48" s="1287">
        <v>-121098</v>
      </c>
      <c r="E48" s="1287"/>
      <c r="F48" s="1287"/>
      <c r="G48" s="1287"/>
      <c r="H48" s="1287"/>
      <c r="I48" s="1287"/>
      <c r="J48" s="1287"/>
      <c r="K48" s="1287"/>
      <c r="L48" s="1287"/>
      <c r="M48" s="1494"/>
      <c r="N48" s="1493"/>
      <c r="O48" s="1287"/>
      <c r="P48" s="1287"/>
      <c r="Q48" s="1287"/>
      <c r="R48" s="1287"/>
      <c r="S48" s="1287"/>
      <c r="T48" s="1287"/>
      <c r="U48" s="1287"/>
      <c r="V48" s="1287"/>
      <c r="W48" s="1287"/>
      <c r="X48" s="1287"/>
      <c r="Y48" s="1287"/>
      <c r="Z48" s="1287"/>
      <c r="AA48" s="1287"/>
      <c r="AB48" s="1522"/>
      <c r="AC48" s="1493"/>
      <c r="AD48" s="1287"/>
      <c r="AE48" s="1287"/>
      <c r="AF48" s="1287"/>
      <c r="AG48" s="1287"/>
      <c r="AH48" s="1456">
        <f t="shared" si="9"/>
        <v>-121098</v>
      </c>
      <c r="AI48" s="1288"/>
      <c r="AN48" s="1290">
        <v>6347.85</v>
      </c>
    </row>
    <row r="49" spans="1:40" s="1289" customFormat="1" x14ac:dyDescent="0.2">
      <c r="A49" s="1285" t="s">
        <v>356</v>
      </c>
      <c r="B49" s="1291"/>
      <c r="C49" s="1292"/>
      <c r="D49" s="1292">
        <v>121097.89200000001</v>
      </c>
      <c r="E49" s="1292"/>
      <c r="F49" s="1292"/>
      <c r="G49" s="1292"/>
      <c r="H49" s="1292"/>
      <c r="I49" s="1292"/>
      <c r="J49" s="1292"/>
      <c r="K49" s="1292"/>
      <c r="L49" s="1292"/>
      <c r="M49" s="1292"/>
      <c r="N49" s="1292"/>
      <c r="O49" s="1292"/>
      <c r="P49" s="1292"/>
      <c r="Q49" s="1292"/>
      <c r="R49" s="1292"/>
      <c r="S49" s="1292"/>
      <c r="T49" s="1292"/>
      <c r="U49" s="1292"/>
      <c r="V49" s="1292"/>
      <c r="W49" s="1292"/>
      <c r="X49" s="1292"/>
      <c r="Y49" s="1292"/>
      <c r="Z49" s="1292"/>
      <c r="AA49" s="1292"/>
      <c r="AB49" s="1292"/>
      <c r="AC49" s="1292"/>
      <c r="AD49" s="1292"/>
      <c r="AE49" s="1292"/>
      <c r="AF49" s="1292"/>
      <c r="AG49" s="1292"/>
      <c r="AH49" s="1456">
        <f t="shared" si="9"/>
        <v>121097.89200000001</v>
      </c>
      <c r="AN49" s="1290">
        <v>6249.5020000000004</v>
      </c>
    </row>
    <row r="50" spans="1:40" x14ac:dyDescent="0.2">
      <c r="A50" s="1274" t="s">
        <v>357</v>
      </c>
      <c r="B50" s="1237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  <c r="O50" s="1282"/>
      <c r="P50" s="1282"/>
      <c r="Q50" s="1282"/>
      <c r="R50" s="1282"/>
      <c r="S50" s="1282"/>
      <c r="T50" s="1282"/>
      <c r="U50" s="1282"/>
      <c r="V50" s="1282"/>
      <c r="W50" s="1282"/>
      <c r="X50" s="1282"/>
      <c r="Y50" s="1282"/>
      <c r="Z50" s="1282"/>
      <c r="AA50" s="1282"/>
      <c r="AB50" s="1282">
        <f>2646.836-2646.836</f>
        <v>0</v>
      </c>
      <c r="AC50" s="1282"/>
      <c r="AD50" s="1282"/>
      <c r="AE50" s="1282"/>
      <c r="AF50" s="1282"/>
      <c r="AG50" s="1282"/>
      <c r="AH50" s="1455">
        <f t="shared" si="9"/>
        <v>0</v>
      </c>
      <c r="AN50" s="1280">
        <v>2246.556</v>
      </c>
    </row>
    <row r="51" spans="1:40" x14ac:dyDescent="0.2">
      <c r="A51" s="1274" t="s">
        <v>41</v>
      </c>
      <c r="B51" s="1237"/>
      <c r="C51" s="1473"/>
      <c r="D51" s="1473"/>
      <c r="E51" s="1473"/>
      <c r="F51" s="1473"/>
      <c r="G51" s="1473"/>
      <c r="H51" s="1473"/>
      <c r="I51" s="1473"/>
      <c r="J51" s="1473"/>
      <c r="K51" s="1473"/>
      <c r="L51" s="1473"/>
      <c r="M51" s="1473"/>
      <c r="N51" s="1473"/>
      <c r="O51" s="1473"/>
      <c r="P51" s="1473"/>
      <c r="Q51" s="1473"/>
      <c r="R51" s="1473"/>
      <c r="S51" s="1473"/>
      <c r="T51" s="1473"/>
      <c r="U51" s="1473"/>
      <c r="V51" s="1473"/>
      <c r="W51" s="1473"/>
      <c r="X51" s="1473"/>
      <c r="Y51" s="1473"/>
      <c r="Z51" s="1473"/>
      <c r="AA51" s="1473"/>
      <c r="AB51" s="1473"/>
      <c r="AC51" s="1473"/>
      <c r="AD51" s="1473"/>
      <c r="AE51" s="1473"/>
      <c r="AF51" s="1473"/>
      <c r="AG51" s="1473"/>
      <c r="AH51" s="1455">
        <f t="shared" si="9"/>
        <v>0</v>
      </c>
      <c r="AN51" s="1280"/>
    </row>
    <row r="52" spans="1:40" x14ac:dyDescent="0.2">
      <c r="A52" s="1274" t="s">
        <v>11</v>
      </c>
      <c r="B52" s="1237"/>
      <c r="C52" s="1282"/>
      <c r="D52" s="1293"/>
      <c r="E52" s="1293"/>
      <c r="F52" s="1293"/>
      <c r="G52" s="1293"/>
      <c r="H52" s="1293"/>
      <c r="I52" s="1293"/>
      <c r="J52" s="1293"/>
      <c r="K52" s="1293"/>
      <c r="L52" s="1293"/>
      <c r="M52" s="1293"/>
      <c r="N52" s="1293"/>
      <c r="O52" s="1293"/>
      <c r="P52" s="1293"/>
      <c r="Q52" s="1293"/>
      <c r="R52" s="1293"/>
      <c r="S52" s="1293"/>
      <c r="T52" s="1293"/>
      <c r="U52" s="1293"/>
      <c r="V52" s="1293"/>
      <c r="W52" s="1293"/>
      <c r="X52" s="1293"/>
      <c r="Y52" s="1293"/>
      <c r="Z52" s="1293"/>
      <c r="AA52" s="1293"/>
      <c r="AB52" s="1293"/>
      <c r="AC52" s="1293"/>
      <c r="AD52" s="1293"/>
      <c r="AE52" s="1293"/>
      <c r="AF52" s="1293"/>
      <c r="AG52" s="1293"/>
      <c r="AH52" s="1455">
        <f t="shared" si="9"/>
        <v>0</v>
      </c>
      <c r="AN52" s="1280">
        <v>4028.1610000000001</v>
      </c>
    </row>
    <row r="53" spans="1:40" ht="13.5" thickBot="1" x14ac:dyDescent="0.25">
      <c r="A53" s="1294"/>
      <c r="B53" s="1237"/>
      <c r="C53" s="1295"/>
      <c r="D53" s="1295"/>
      <c r="E53" s="1295"/>
      <c r="F53" s="1295"/>
      <c r="G53" s="1295"/>
      <c r="H53" s="1295"/>
      <c r="I53" s="1295"/>
      <c r="J53" s="1295"/>
      <c r="K53" s="1295"/>
      <c r="L53" s="1295"/>
      <c r="M53" s="1295"/>
      <c r="N53" s="1295"/>
      <c r="O53" s="1295"/>
      <c r="P53" s="1295"/>
      <c r="Q53" s="1295"/>
      <c r="R53" s="1295"/>
      <c r="S53" s="1295"/>
      <c r="T53" s="1295"/>
      <c r="U53" s="1295"/>
      <c r="V53" s="1295"/>
      <c r="W53" s="1295"/>
      <c r="X53" s="1295"/>
      <c r="Y53" s="1295"/>
      <c r="Z53" s="1295"/>
      <c r="AA53" s="1295"/>
      <c r="AB53" s="1295"/>
      <c r="AC53" s="1295"/>
      <c r="AD53" s="1295"/>
      <c r="AE53" s="1295"/>
      <c r="AF53" s="1295"/>
      <c r="AG53" s="1295"/>
      <c r="AH53" s="1227">
        <f t="shared" si="9"/>
        <v>0</v>
      </c>
      <c r="AI53" s="1283"/>
      <c r="AJ53" s="1289"/>
      <c r="AN53" s="1280">
        <v>5501.3969999999999</v>
      </c>
    </row>
    <row r="54" spans="1:40" x14ac:dyDescent="0.2">
      <c r="A54" s="1269"/>
      <c r="B54" s="1237"/>
      <c r="C54" s="1296"/>
      <c r="D54" s="1297"/>
      <c r="E54" s="1297"/>
      <c r="F54" s="1298"/>
      <c r="G54" s="1298"/>
      <c r="H54" s="1298"/>
      <c r="I54" s="1298"/>
      <c r="J54" s="1298"/>
      <c r="K54" s="1298"/>
      <c r="L54" s="1298"/>
      <c r="M54" s="1298"/>
      <c r="N54" s="1298"/>
      <c r="O54" s="1298"/>
      <c r="P54" s="1299"/>
      <c r="Q54" s="1298"/>
      <c r="R54" s="1298"/>
      <c r="S54" s="1298"/>
      <c r="T54" s="1298"/>
      <c r="U54" s="1298"/>
      <c r="V54" s="1298"/>
      <c r="W54" s="1298"/>
      <c r="X54" s="1298"/>
      <c r="Y54" s="1298"/>
      <c r="Z54" s="1298"/>
      <c r="AA54" s="1298"/>
      <c r="AB54" s="1298"/>
      <c r="AC54" s="1298"/>
      <c r="AD54" s="1298"/>
      <c r="AE54" s="1298"/>
      <c r="AF54" s="1298"/>
      <c r="AG54" s="1298"/>
      <c r="AH54" s="1227">
        <f t="shared" si="9"/>
        <v>0</v>
      </c>
      <c r="AJ54" s="1289"/>
      <c r="AN54" s="1280">
        <v>3325.74</v>
      </c>
    </row>
    <row r="55" spans="1:40" ht="13.5" thickBot="1" x14ac:dyDescent="0.25">
      <c r="A55" s="1274" t="s">
        <v>12</v>
      </c>
      <c r="B55" s="1237"/>
      <c r="C55" s="1275">
        <f t="shared" ref="C55:AG55" si="11">C56</f>
        <v>0</v>
      </c>
      <c r="D55" s="1275">
        <f t="shared" si="11"/>
        <v>0</v>
      </c>
      <c r="E55" s="1275">
        <f t="shared" si="11"/>
        <v>0</v>
      </c>
      <c r="F55" s="1275">
        <f t="shared" si="11"/>
        <v>0</v>
      </c>
      <c r="G55" s="1275">
        <f t="shared" si="11"/>
        <v>0</v>
      </c>
      <c r="H55" s="1275">
        <f t="shared" si="11"/>
        <v>0</v>
      </c>
      <c r="I55" s="1275">
        <f t="shared" si="11"/>
        <v>0</v>
      </c>
      <c r="J55" s="1275">
        <f t="shared" si="11"/>
        <v>0</v>
      </c>
      <c r="K55" s="1275">
        <f t="shared" si="11"/>
        <v>0</v>
      </c>
      <c r="L55" s="1275">
        <f t="shared" si="11"/>
        <v>0</v>
      </c>
      <c r="M55" s="1276">
        <f t="shared" si="11"/>
        <v>0</v>
      </c>
      <c r="N55" s="1276">
        <f t="shared" si="11"/>
        <v>0</v>
      </c>
      <c r="O55" s="1276">
        <f t="shared" si="11"/>
        <v>0</v>
      </c>
      <c r="P55" s="1276">
        <f t="shared" si="11"/>
        <v>0</v>
      </c>
      <c r="Q55" s="1275">
        <f t="shared" si="11"/>
        <v>0</v>
      </c>
      <c r="R55" s="1275">
        <f t="shared" si="11"/>
        <v>0</v>
      </c>
      <c r="S55" s="1275">
        <f t="shared" si="11"/>
        <v>0</v>
      </c>
      <c r="T55" s="1275">
        <f t="shared" si="11"/>
        <v>0</v>
      </c>
      <c r="U55" s="1275">
        <f t="shared" si="11"/>
        <v>0</v>
      </c>
      <c r="V55" s="1275">
        <f t="shared" si="11"/>
        <v>0</v>
      </c>
      <c r="W55" s="1275">
        <f t="shared" si="11"/>
        <v>0</v>
      </c>
      <c r="X55" s="1275">
        <f t="shared" si="11"/>
        <v>0</v>
      </c>
      <c r="Y55" s="1275">
        <f t="shared" si="11"/>
        <v>0</v>
      </c>
      <c r="Z55" s="1275">
        <f t="shared" si="11"/>
        <v>0</v>
      </c>
      <c r="AA55" s="1275">
        <f t="shared" si="11"/>
        <v>0</v>
      </c>
      <c r="AB55" s="1275">
        <f t="shared" si="11"/>
        <v>0</v>
      </c>
      <c r="AC55" s="1275">
        <f t="shared" si="11"/>
        <v>0</v>
      </c>
      <c r="AD55" s="1275">
        <f t="shared" si="11"/>
        <v>0</v>
      </c>
      <c r="AE55" s="1275">
        <f t="shared" si="11"/>
        <v>0</v>
      </c>
      <c r="AF55" s="1275">
        <f t="shared" si="11"/>
        <v>0</v>
      </c>
      <c r="AG55" s="1275">
        <f t="shared" si="11"/>
        <v>0</v>
      </c>
      <c r="AH55" s="1227">
        <f t="shared" si="9"/>
        <v>0</v>
      </c>
      <c r="AN55" s="1280">
        <v>9717.5709999999999</v>
      </c>
    </row>
    <row r="56" spans="1:40" x14ac:dyDescent="0.2">
      <c r="A56" s="1274" t="s">
        <v>8</v>
      </c>
      <c r="B56" s="1237"/>
      <c r="C56" s="1473"/>
      <c r="D56" s="1473"/>
      <c r="E56" s="1473"/>
      <c r="F56" s="1473"/>
      <c r="G56" s="1473"/>
      <c r="H56" s="1473"/>
      <c r="I56" s="1473"/>
      <c r="J56" s="1473"/>
      <c r="K56" s="1473"/>
      <c r="L56" s="1473"/>
      <c r="M56" s="1473"/>
      <c r="N56" s="1473"/>
      <c r="O56" s="1473"/>
      <c r="P56" s="1473"/>
      <c r="Q56" s="1473"/>
      <c r="R56" s="1473"/>
      <c r="S56" s="1473"/>
      <c r="T56" s="1473"/>
      <c r="U56" s="1473"/>
      <c r="V56" s="1473"/>
      <c r="W56" s="1473"/>
      <c r="X56" s="1473"/>
      <c r="Y56" s="1473"/>
      <c r="Z56" s="1473"/>
      <c r="AA56" s="1473"/>
      <c r="AB56" s="1473"/>
      <c r="AC56" s="1473"/>
      <c r="AD56" s="1473"/>
      <c r="AE56" s="1473"/>
      <c r="AF56" s="1473"/>
      <c r="AG56" s="1473"/>
      <c r="AH56" s="1455">
        <f t="shared" si="9"/>
        <v>0</v>
      </c>
      <c r="AN56" s="1280">
        <v>673.17700000000002</v>
      </c>
    </row>
    <row r="57" spans="1:40" x14ac:dyDescent="0.2">
      <c r="A57" s="1274" t="s">
        <v>215</v>
      </c>
      <c r="B57" s="1237"/>
      <c r="C57" s="1473">
        <v>11863.6</v>
      </c>
      <c r="D57" s="1473">
        <v>6838.0910000000003</v>
      </c>
      <c r="E57" s="1473">
        <v>3414.57</v>
      </c>
      <c r="F57" s="1473"/>
      <c r="G57" s="1473">
        <v>12957.571000000002</v>
      </c>
      <c r="H57" s="1473">
        <v>1119.425</v>
      </c>
      <c r="I57" s="1473">
        <v>1857.509</v>
      </c>
      <c r="J57" s="1473">
        <v>3661.489</v>
      </c>
      <c r="K57" s="1473">
        <v>2706.5140000000001</v>
      </c>
      <c r="L57" s="1473">
        <v>16160.241</v>
      </c>
      <c r="M57" s="1473">
        <v>2650</v>
      </c>
      <c r="N57" s="1473">
        <v>3734.5419999999999</v>
      </c>
      <c r="O57" s="1473">
        <v>8578.6689999999999</v>
      </c>
      <c r="P57" s="1473"/>
      <c r="Q57" s="1473">
        <v>28708.953999999998</v>
      </c>
      <c r="R57" s="1473">
        <v>6731.5479999999998</v>
      </c>
      <c r="S57" s="1473">
        <v>1250</v>
      </c>
      <c r="T57" s="1473">
        <v>3300</v>
      </c>
      <c r="U57" s="1473">
        <v>2955.413</v>
      </c>
      <c r="V57" s="1473">
        <v>20975.368999999999</v>
      </c>
      <c r="W57" s="1473">
        <v>1730.43</v>
      </c>
      <c r="X57" s="1473">
        <v>3439.2649999999999</v>
      </c>
      <c r="Y57" s="1473">
        <v>2087.136</v>
      </c>
      <c r="Z57" s="1473">
        <v>2094.7809999999999</v>
      </c>
      <c r="AA57" s="1473">
        <v>14648.115000000002</v>
      </c>
      <c r="AB57" s="1473">
        <v>989.26499999999999</v>
      </c>
      <c r="AC57" s="1473">
        <v>5446.509</v>
      </c>
      <c r="AD57" s="1473">
        <v>10136.424999999999</v>
      </c>
      <c r="AE57" s="1473">
        <v>5435.1010000000006</v>
      </c>
      <c r="AF57" s="1473">
        <v>31078.043000000001</v>
      </c>
      <c r="AG57" s="1473">
        <v>104244.84900000002</v>
      </c>
      <c r="AH57" s="1455">
        <f>SUM(C57:AG57)</f>
        <v>320793.424</v>
      </c>
      <c r="AI57" s="1283"/>
      <c r="AN57" s="1280">
        <v>4534.4949999999999</v>
      </c>
    </row>
    <row r="58" spans="1:40" ht="13.5" thickBot="1" x14ac:dyDescent="0.25">
      <c r="A58" s="1294"/>
      <c r="B58" s="1237"/>
      <c r="C58" s="1295"/>
      <c r="D58" s="1295"/>
      <c r="E58" s="1295"/>
      <c r="F58" s="1295"/>
      <c r="G58" s="1295"/>
      <c r="H58" s="1295"/>
      <c r="I58" s="1295"/>
      <c r="J58" s="1295"/>
      <c r="K58" s="1295"/>
      <c r="L58" s="1295"/>
      <c r="M58" s="1295"/>
      <c r="N58" s="1295"/>
      <c r="O58" s="1295"/>
      <c r="P58" s="1295"/>
      <c r="Q58" s="1295"/>
      <c r="R58" s="1295"/>
      <c r="S58" s="1295"/>
      <c r="T58" s="1295"/>
      <c r="U58" s="1295"/>
      <c r="V58" s="1295"/>
      <c r="W58" s="1295"/>
      <c r="X58" s="1295"/>
      <c r="Y58" s="1295"/>
      <c r="Z58" s="1295"/>
      <c r="AA58" s="1295"/>
      <c r="AB58" s="1295"/>
      <c r="AC58" s="1295"/>
      <c r="AD58" s="1295"/>
      <c r="AE58" s="1295"/>
      <c r="AF58" s="1295"/>
      <c r="AG58" s="1295"/>
      <c r="AH58" s="1227">
        <f t="shared" si="9"/>
        <v>0</v>
      </c>
      <c r="AN58" s="1280">
        <v>2827.3519999999999</v>
      </c>
    </row>
    <row r="59" spans="1:40" x14ac:dyDescent="0.2">
      <c r="A59" s="1269"/>
      <c r="B59" s="1237"/>
      <c r="C59" s="1296"/>
      <c r="D59" s="1297"/>
      <c r="E59" s="1297"/>
      <c r="F59" s="1298"/>
      <c r="G59" s="1298"/>
      <c r="H59" s="1298"/>
      <c r="I59" s="1298"/>
      <c r="J59" s="1298"/>
      <c r="K59" s="1298"/>
      <c r="L59" s="1298"/>
      <c r="M59" s="1298"/>
      <c r="N59" s="1298"/>
      <c r="O59" s="1298"/>
      <c r="P59" s="1299"/>
      <c r="Q59" s="1298"/>
      <c r="R59" s="1298"/>
      <c r="S59" s="1298"/>
      <c r="T59" s="1298"/>
      <c r="U59" s="1298"/>
      <c r="V59" s="1298"/>
      <c r="W59" s="1298"/>
      <c r="X59" s="1298"/>
      <c r="Y59" s="1298"/>
      <c r="Z59" s="1298"/>
      <c r="AA59" s="1298"/>
      <c r="AB59" s="1298"/>
      <c r="AC59" s="1298"/>
      <c r="AD59" s="1298"/>
      <c r="AE59" s="1298"/>
      <c r="AF59" s="1298"/>
      <c r="AG59" s="1298"/>
      <c r="AH59" s="1207"/>
      <c r="AJ59" s="1209">
        <f>18755+17890+17700+17800</f>
        <v>72145</v>
      </c>
      <c r="AN59" s="1280">
        <v>1850.7819999999999</v>
      </c>
    </row>
    <row r="60" spans="1:40" x14ac:dyDescent="0.2">
      <c r="A60" s="1274" t="s">
        <v>915</v>
      </c>
      <c r="B60" s="1237"/>
      <c r="C60" s="1300">
        <f t="shared" ref="C60:AG60" si="12">C55-C43</f>
        <v>-591.63199999999995</v>
      </c>
      <c r="D60" s="1300">
        <f t="shared" si="12"/>
        <v>0.10799999999289867</v>
      </c>
      <c r="E60" s="1300">
        <f t="shared" si="12"/>
        <v>0</v>
      </c>
      <c r="F60" s="1300">
        <f t="shared" si="12"/>
        <v>0</v>
      </c>
      <c r="G60" s="1300">
        <f t="shared" si="12"/>
        <v>0</v>
      </c>
      <c r="H60" s="1300">
        <f t="shared" si="12"/>
        <v>0</v>
      </c>
      <c r="I60" s="1300">
        <f t="shared" si="12"/>
        <v>0</v>
      </c>
      <c r="J60" s="1300">
        <f t="shared" si="12"/>
        <v>0</v>
      </c>
      <c r="K60" s="1300">
        <f t="shared" si="12"/>
        <v>0</v>
      </c>
      <c r="L60" s="1300">
        <f t="shared" si="12"/>
        <v>0</v>
      </c>
      <c r="M60" s="1300">
        <f t="shared" si="12"/>
        <v>-2911.6779999999999</v>
      </c>
      <c r="N60" s="1300">
        <f t="shared" si="12"/>
        <v>0</v>
      </c>
      <c r="O60" s="1300">
        <f t="shared" si="12"/>
        <v>0</v>
      </c>
      <c r="P60" s="1301">
        <f t="shared" si="12"/>
        <v>0</v>
      </c>
      <c r="Q60" s="1300">
        <f t="shared" si="12"/>
        <v>0</v>
      </c>
      <c r="R60" s="1300">
        <f t="shared" si="12"/>
        <v>0</v>
      </c>
      <c r="S60" s="1300">
        <f t="shared" si="12"/>
        <v>0</v>
      </c>
      <c r="T60" s="1300">
        <f t="shared" si="12"/>
        <v>0</v>
      </c>
      <c r="U60" s="1300">
        <f t="shared" si="12"/>
        <v>0</v>
      </c>
      <c r="V60" s="1300">
        <f t="shared" si="12"/>
        <v>-1.4551915228366852E-11</v>
      </c>
      <c r="W60" s="1300">
        <f t="shared" si="12"/>
        <v>0</v>
      </c>
      <c r="X60" s="1300">
        <f t="shared" si="12"/>
        <v>0</v>
      </c>
      <c r="Y60" s="1300">
        <f t="shared" si="12"/>
        <v>0</v>
      </c>
      <c r="Z60" s="1300">
        <f t="shared" si="12"/>
        <v>0</v>
      </c>
      <c r="AA60" s="1300">
        <f t="shared" si="12"/>
        <v>-1174.3049999999985</v>
      </c>
      <c r="AB60" s="1300">
        <f t="shared" si="12"/>
        <v>0</v>
      </c>
      <c r="AC60" s="1300">
        <f t="shared" si="12"/>
        <v>0</v>
      </c>
      <c r="AD60" s="1300">
        <f t="shared" si="12"/>
        <v>0</v>
      </c>
      <c r="AE60" s="1300">
        <f t="shared" si="12"/>
        <v>-9.9999999929423211E-4</v>
      </c>
      <c r="AF60" s="1300">
        <f t="shared" si="12"/>
        <v>0</v>
      </c>
      <c r="AG60" s="1300">
        <f t="shared" si="12"/>
        <v>2.0918378140777349E-11</v>
      </c>
      <c r="AH60" s="1207"/>
      <c r="AJ60" s="1209">
        <f>AJ59+67000</f>
        <v>139145</v>
      </c>
      <c r="AL60" s="1283"/>
      <c r="AN60" s="1280">
        <v>915.26599999999996</v>
      </c>
    </row>
    <row r="61" spans="1:40" ht="13.5" thickBot="1" x14ac:dyDescent="0.25">
      <c r="A61" s="1274"/>
      <c r="B61" s="1237"/>
      <c r="C61" s="1300"/>
      <c r="D61" s="1302"/>
      <c r="E61" s="1302"/>
      <c r="F61" s="1303"/>
      <c r="G61" s="1303"/>
      <c r="H61" s="1303"/>
      <c r="I61" s="1303"/>
      <c r="J61" s="1303"/>
      <c r="K61" s="1303"/>
      <c r="L61" s="1303"/>
      <c r="M61" s="1303"/>
      <c r="N61" s="1303"/>
      <c r="O61" s="1303"/>
      <c r="P61" s="1304"/>
      <c r="Q61" s="1303"/>
      <c r="R61" s="1303"/>
      <c r="S61" s="1303"/>
      <c r="T61" s="1303"/>
      <c r="U61" s="1303"/>
      <c r="V61" s="1303"/>
      <c r="W61" s="1303"/>
      <c r="X61" s="1303"/>
      <c r="Y61" s="1303"/>
      <c r="Z61" s="1303"/>
      <c r="AA61" s="1303"/>
      <c r="AB61" s="1303"/>
      <c r="AC61" s="1303"/>
      <c r="AD61" s="1303"/>
      <c r="AE61" s="1303"/>
      <c r="AF61" s="1303"/>
      <c r="AG61" s="1303"/>
      <c r="AH61" s="1207"/>
      <c r="AN61" s="1280">
        <v>15000</v>
      </c>
    </row>
    <row r="62" spans="1:40" x14ac:dyDescent="0.2">
      <c r="A62" s="1233"/>
      <c r="B62" s="1234"/>
      <c r="C62" s="1305"/>
      <c r="D62" s="1297"/>
      <c r="E62" s="1297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9"/>
      <c r="Q62" s="1298"/>
      <c r="R62" s="1298"/>
      <c r="S62" s="1298"/>
      <c r="T62" s="1298"/>
      <c r="U62" s="1298"/>
      <c r="V62" s="1298"/>
      <c r="W62" s="1298"/>
      <c r="X62" s="1298"/>
      <c r="Y62" s="1298"/>
      <c r="Z62" s="1298"/>
      <c r="AA62" s="1298"/>
      <c r="AB62" s="1298"/>
      <c r="AC62" s="1298"/>
      <c r="AD62" s="1298"/>
      <c r="AE62" s="1298"/>
      <c r="AF62" s="1298"/>
      <c r="AG62" s="1298"/>
      <c r="AH62" s="1207"/>
      <c r="AN62" s="1280">
        <v>14101.822</v>
      </c>
    </row>
    <row r="63" spans="1:40" x14ac:dyDescent="0.2">
      <c r="A63" s="1236" t="s">
        <v>15</v>
      </c>
      <c r="B63" s="1237"/>
      <c r="C63" s="1302">
        <f>B40+C60</f>
        <v>-503183.86300000001</v>
      </c>
      <c r="D63" s="1302">
        <f t="shared" ref="D63:AG63" si="13">C70+D60</f>
        <v>-503183.755</v>
      </c>
      <c r="E63" s="1302">
        <f t="shared" si="13"/>
        <v>-503183.755</v>
      </c>
      <c r="F63" s="1302">
        <f t="shared" si="13"/>
        <v>-503183.755</v>
      </c>
      <c r="G63" s="1302">
        <f t="shared" si="13"/>
        <v>-503183.755</v>
      </c>
      <c r="H63" s="1302">
        <f t="shared" si="13"/>
        <v>-503183.755</v>
      </c>
      <c r="I63" s="1302">
        <f t="shared" si="13"/>
        <v>-503183.755</v>
      </c>
      <c r="J63" s="1302">
        <f t="shared" si="13"/>
        <v>-503183.755</v>
      </c>
      <c r="K63" s="1302">
        <f t="shared" si="13"/>
        <v>-503183.755</v>
      </c>
      <c r="L63" s="1302">
        <f t="shared" si="13"/>
        <v>-503183.755</v>
      </c>
      <c r="M63" s="1302">
        <f t="shared" si="13"/>
        <v>-506095.43300000002</v>
      </c>
      <c r="N63" s="1302">
        <f t="shared" si="13"/>
        <v>-506095.43300000002</v>
      </c>
      <c r="O63" s="1302">
        <f t="shared" si="13"/>
        <v>-506095.43300000002</v>
      </c>
      <c r="P63" s="1306">
        <f t="shared" si="13"/>
        <v>-506095.43300000002</v>
      </c>
      <c r="Q63" s="1302">
        <f t="shared" si="13"/>
        <v>-506095.43300000002</v>
      </c>
      <c r="R63" s="1302">
        <f t="shared" si="13"/>
        <v>-506095.43300000002</v>
      </c>
      <c r="S63" s="1302">
        <f t="shared" si="13"/>
        <v>-506095.43300000002</v>
      </c>
      <c r="T63" s="1302">
        <f t="shared" si="13"/>
        <v>-506095.43300000002</v>
      </c>
      <c r="U63" s="1302">
        <f t="shared" si="13"/>
        <v>-506095.43300000002</v>
      </c>
      <c r="V63" s="1302">
        <f t="shared" si="13"/>
        <v>-506095.43300000002</v>
      </c>
      <c r="W63" s="1302">
        <f t="shared" si="13"/>
        <v>-506095.43300000002</v>
      </c>
      <c r="X63" s="1302">
        <f t="shared" si="13"/>
        <v>-506095.43300000002</v>
      </c>
      <c r="Y63" s="1302">
        <f t="shared" si="13"/>
        <v>-506095.43300000002</v>
      </c>
      <c r="Z63" s="1302">
        <f t="shared" si="13"/>
        <v>-506095.43300000002</v>
      </c>
      <c r="AA63" s="1302">
        <f t="shared" si="13"/>
        <v>-507269.73800000001</v>
      </c>
      <c r="AB63" s="1302">
        <f t="shared" si="13"/>
        <v>-507269.73800000001</v>
      </c>
      <c r="AC63" s="1302">
        <f t="shared" si="13"/>
        <v>-507269.73800000001</v>
      </c>
      <c r="AD63" s="1302">
        <f t="shared" si="13"/>
        <v>-507269.73800000001</v>
      </c>
      <c r="AE63" s="1302">
        <f t="shared" si="13"/>
        <v>-507269.739</v>
      </c>
      <c r="AF63" s="1302">
        <f t="shared" si="13"/>
        <v>-507269.739</v>
      </c>
      <c r="AG63" s="1302">
        <f t="shared" si="13"/>
        <v>-507269.739</v>
      </c>
      <c r="AH63" s="1207"/>
      <c r="AN63" s="1280">
        <v>1397.2449999999999</v>
      </c>
    </row>
    <row r="64" spans="1:40" ht="13.5" thickBot="1" x14ac:dyDescent="0.25">
      <c r="A64" s="1250"/>
      <c r="B64" s="1307"/>
      <c r="C64" s="1308"/>
      <c r="D64" s="1308"/>
      <c r="E64" s="1308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10"/>
      <c r="Q64" s="1309"/>
      <c r="R64" s="1309"/>
      <c r="S64" s="1309"/>
      <c r="T64" s="1309"/>
      <c r="U64" s="1309"/>
      <c r="V64" s="1309"/>
      <c r="W64" s="1309"/>
      <c r="X64" s="1309"/>
      <c r="Y64" s="1309"/>
      <c r="Z64" s="1309"/>
      <c r="AA64" s="1309"/>
      <c r="AB64" s="1309"/>
      <c r="AC64" s="1309"/>
      <c r="AD64" s="1309"/>
      <c r="AE64" s="1309"/>
      <c r="AF64" s="1309"/>
      <c r="AG64" s="1309"/>
      <c r="AH64" s="1207"/>
      <c r="AN64" s="1280">
        <v>1322.63</v>
      </c>
    </row>
    <row r="65" spans="1:40" x14ac:dyDescent="0.2">
      <c r="A65" s="1233"/>
      <c r="B65" s="1234"/>
      <c r="C65" s="1297"/>
      <c r="D65" s="1297"/>
      <c r="E65" s="1297"/>
      <c r="F65" s="1298"/>
      <c r="G65" s="1298"/>
      <c r="H65" s="1298"/>
      <c r="I65" s="1298"/>
      <c r="J65" s="1298"/>
      <c r="K65" s="1298"/>
      <c r="L65" s="1298"/>
      <c r="M65" s="1298"/>
      <c r="N65" s="1298"/>
      <c r="O65" s="1298"/>
      <c r="P65" s="1299"/>
      <c r="Q65" s="1298"/>
      <c r="R65" s="1298"/>
      <c r="S65" s="1298"/>
      <c r="T65" s="1298"/>
      <c r="U65" s="1298"/>
      <c r="V65" s="1298"/>
      <c r="W65" s="1298"/>
      <c r="X65" s="1298"/>
      <c r="Y65" s="1298"/>
      <c r="Z65" s="1298"/>
      <c r="AA65" s="1298"/>
      <c r="AB65" s="1298"/>
      <c r="AC65" s="1298"/>
      <c r="AD65" s="1298"/>
      <c r="AE65" s="1298"/>
      <c r="AF65" s="1298"/>
      <c r="AG65" s="1298"/>
      <c r="AH65" s="1227">
        <f>SUM(C65:AG65)</f>
        <v>0</v>
      </c>
      <c r="AN65" s="1280">
        <v>1747.816</v>
      </c>
    </row>
    <row r="66" spans="1:40" x14ac:dyDescent="0.2">
      <c r="A66" s="1236" t="s">
        <v>82</v>
      </c>
      <c r="B66" s="1237"/>
      <c r="C66" s="1302">
        <f t="shared" ref="C66:AG67" si="14">C74</f>
        <v>0</v>
      </c>
      <c r="D66" s="1302">
        <f t="shared" si="14"/>
        <v>0</v>
      </c>
      <c r="E66" s="1302">
        <f t="shared" si="14"/>
        <v>0</v>
      </c>
      <c r="F66" s="1302">
        <f t="shared" si="14"/>
        <v>0</v>
      </c>
      <c r="G66" s="1302">
        <f t="shared" si="14"/>
        <v>0</v>
      </c>
      <c r="H66" s="1302">
        <f t="shared" si="14"/>
        <v>0</v>
      </c>
      <c r="I66" s="1302">
        <f t="shared" si="14"/>
        <v>0</v>
      </c>
      <c r="J66" s="1302">
        <f t="shared" si="14"/>
        <v>0</v>
      </c>
      <c r="K66" s="1302">
        <f t="shared" si="14"/>
        <v>0</v>
      </c>
      <c r="L66" s="1302">
        <f t="shared" si="14"/>
        <v>0</v>
      </c>
      <c r="M66" s="1302">
        <f t="shared" si="14"/>
        <v>0</v>
      </c>
      <c r="N66" s="1302">
        <f t="shared" si="14"/>
        <v>0</v>
      </c>
      <c r="O66" s="1302">
        <f t="shared" si="14"/>
        <v>0</v>
      </c>
      <c r="P66" s="1306">
        <f t="shared" si="14"/>
        <v>0</v>
      </c>
      <c r="Q66" s="1302">
        <f t="shared" si="14"/>
        <v>0</v>
      </c>
      <c r="R66" s="1302">
        <f t="shared" si="14"/>
        <v>0</v>
      </c>
      <c r="S66" s="1302">
        <f t="shared" si="14"/>
        <v>0</v>
      </c>
      <c r="T66" s="1302">
        <f t="shared" si="14"/>
        <v>0</v>
      </c>
      <c r="U66" s="1302">
        <f t="shared" si="14"/>
        <v>0</v>
      </c>
      <c r="V66" s="1302">
        <f t="shared" si="14"/>
        <v>0</v>
      </c>
      <c r="W66" s="1302">
        <f t="shared" si="14"/>
        <v>0</v>
      </c>
      <c r="X66" s="1302">
        <f t="shared" si="14"/>
        <v>0</v>
      </c>
      <c r="Y66" s="1302">
        <f t="shared" si="14"/>
        <v>0</v>
      </c>
      <c r="Z66" s="1302">
        <f t="shared" si="14"/>
        <v>0</v>
      </c>
      <c r="AA66" s="1302">
        <f t="shared" si="14"/>
        <v>0</v>
      </c>
      <c r="AB66" s="1302">
        <f t="shared" si="14"/>
        <v>0</v>
      </c>
      <c r="AC66" s="1302">
        <f t="shared" si="14"/>
        <v>0</v>
      </c>
      <c r="AD66" s="1302">
        <f t="shared" si="14"/>
        <v>0</v>
      </c>
      <c r="AE66" s="1302">
        <f t="shared" si="14"/>
        <v>0</v>
      </c>
      <c r="AF66" s="1302">
        <f t="shared" si="14"/>
        <v>0</v>
      </c>
      <c r="AG66" s="1302">
        <f t="shared" si="14"/>
        <v>0</v>
      </c>
      <c r="AH66" s="1207"/>
      <c r="AN66" s="1280">
        <v>1021.722</v>
      </c>
    </row>
    <row r="67" spans="1:40" x14ac:dyDescent="0.2">
      <c r="A67" s="1236" t="s">
        <v>83</v>
      </c>
      <c r="B67" s="1237"/>
      <c r="C67" s="1306">
        <f t="shared" si="14"/>
        <v>0</v>
      </c>
      <c r="D67" s="1306">
        <f t="shared" si="14"/>
        <v>0</v>
      </c>
      <c r="E67" s="1306">
        <f t="shared" si="14"/>
        <v>0</v>
      </c>
      <c r="F67" s="1306">
        <f t="shared" si="14"/>
        <v>0</v>
      </c>
      <c r="G67" s="1306">
        <f t="shared" si="14"/>
        <v>0</v>
      </c>
      <c r="H67" s="1306">
        <f t="shared" si="14"/>
        <v>0</v>
      </c>
      <c r="I67" s="1306">
        <f t="shared" si="14"/>
        <v>0</v>
      </c>
      <c r="J67" s="1306">
        <f t="shared" si="14"/>
        <v>0</v>
      </c>
      <c r="K67" s="1306">
        <f t="shared" si="14"/>
        <v>0</v>
      </c>
      <c r="L67" s="1306">
        <f t="shared" si="14"/>
        <v>0</v>
      </c>
      <c r="M67" s="1306">
        <f t="shared" si="14"/>
        <v>0</v>
      </c>
      <c r="N67" s="1306">
        <f t="shared" si="14"/>
        <v>0</v>
      </c>
      <c r="O67" s="1306">
        <f t="shared" si="14"/>
        <v>0</v>
      </c>
      <c r="P67" s="1306">
        <f t="shared" si="14"/>
        <v>0</v>
      </c>
      <c r="Q67" s="1306">
        <f t="shared" si="14"/>
        <v>0</v>
      </c>
      <c r="R67" s="1306">
        <f t="shared" si="14"/>
        <v>0</v>
      </c>
      <c r="S67" s="1306">
        <f t="shared" si="14"/>
        <v>0</v>
      </c>
      <c r="T67" s="1306">
        <f t="shared" si="14"/>
        <v>0</v>
      </c>
      <c r="U67" s="1306">
        <f t="shared" si="14"/>
        <v>0</v>
      </c>
      <c r="V67" s="1306">
        <f t="shared" si="14"/>
        <v>0</v>
      </c>
      <c r="W67" s="1306">
        <f t="shared" si="14"/>
        <v>0</v>
      </c>
      <c r="X67" s="1306">
        <f t="shared" si="14"/>
        <v>0</v>
      </c>
      <c r="Y67" s="1306">
        <f t="shared" si="14"/>
        <v>0</v>
      </c>
      <c r="Z67" s="1306">
        <f t="shared" si="14"/>
        <v>0</v>
      </c>
      <c r="AA67" s="1306">
        <f t="shared" si="14"/>
        <v>0</v>
      </c>
      <c r="AB67" s="1306">
        <f t="shared" si="14"/>
        <v>0</v>
      </c>
      <c r="AC67" s="1306">
        <f t="shared" si="14"/>
        <v>0</v>
      </c>
      <c r="AD67" s="1306">
        <f t="shared" si="14"/>
        <v>0</v>
      </c>
      <c r="AE67" s="1306">
        <f t="shared" si="14"/>
        <v>0</v>
      </c>
      <c r="AF67" s="1306">
        <f t="shared" si="14"/>
        <v>0</v>
      </c>
      <c r="AG67" s="1306">
        <f t="shared" si="14"/>
        <v>0</v>
      </c>
      <c r="AH67" s="1207"/>
      <c r="AN67" s="1280">
        <v>4000</v>
      </c>
    </row>
    <row r="68" spans="1:40" ht="13.5" thickBot="1" x14ac:dyDescent="0.25">
      <c r="A68" s="1250"/>
      <c r="B68" s="1307"/>
      <c r="C68" s="1308"/>
      <c r="D68" s="1308"/>
      <c r="E68" s="1308"/>
      <c r="F68" s="1309"/>
      <c r="G68" s="1309"/>
      <c r="H68" s="1309"/>
      <c r="I68" s="1309"/>
      <c r="J68" s="1309"/>
      <c r="K68" s="1309"/>
      <c r="L68" s="1309"/>
      <c r="M68" s="1309"/>
      <c r="N68" s="1309"/>
      <c r="O68" s="1309"/>
      <c r="P68" s="1310"/>
      <c r="Q68" s="1309"/>
      <c r="R68" s="1309"/>
      <c r="S68" s="1309"/>
      <c r="T68" s="1309"/>
      <c r="U68" s="1309"/>
      <c r="V68" s="1309"/>
      <c r="W68" s="1309"/>
      <c r="X68" s="1309"/>
      <c r="Y68" s="1309"/>
      <c r="Z68" s="1309"/>
      <c r="AA68" s="1309"/>
      <c r="AB68" s="1309"/>
      <c r="AC68" s="1309"/>
      <c r="AD68" s="1309"/>
      <c r="AE68" s="1309"/>
      <c r="AF68" s="1309"/>
      <c r="AG68" s="1309"/>
      <c r="AH68" s="1207"/>
      <c r="AN68" s="1280"/>
    </row>
    <row r="69" spans="1:40" x14ac:dyDescent="0.2">
      <c r="A69" s="1236"/>
      <c r="B69" s="1237"/>
      <c r="C69" s="1302"/>
      <c r="D69" s="1302"/>
      <c r="E69" s="1302"/>
      <c r="F69" s="1303"/>
      <c r="G69" s="1303"/>
      <c r="H69" s="1303"/>
      <c r="I69" s="1303"/>
      <c r="J69" s="1303"/>
      <c r="K69" s="1303"/>
      <c r="L69" s="1303"/>
      <c r="M69" s="1303"/>
      <c r="N69" s="1303"/>
      <c r="O69" s="1303"/>
      <c r="P69" s="1304"/>
      <c r="Q69" s="1303"/>
      <c r="R69" s="1303"/>
      <c r="S69" s="1303"/>
      <c r="T69" s="1303"/>
      <c r="U69" s="1303"/>
      <c r="V69" s="1303"/>
      <c r="W69" s="1303"/>
      <c r="X69" s="1303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207"/>
      <c r="AN69" s="1280">
        <v>1616.846</v>
      </c>
    </row>
    <row r="70" spans="1:40" x14ac:dyDescent="0.2">
      <c r="A70" s="1236" t="s">
        <v>14</v>
      </c>
      <c r="B70" s="1237"/>
      <c r="C70" s="1302">
        <f t="shared" ref="C70:AG70" si="15">C63+C66+C67</f>
        <v>-503183.86300000001</v>
      </c>
      <c r="D70" s="1302">
        <f t="shared" si="15"/>
        <v>-503183.755</v>
      </c>
      <c r="E70" s="1302">
        <f t="shared" si="15"/>
        <v>-503183.755</v>
      </c>
      <c r="F70" s="1302">
        <f t="shared" si="15"/>
        <v>-503183.755</v>
      </c>
      <c r="G70" s="1302">
        <f t="shared" si="15"/>
        <v>-503183.755</v>
      </c>
      <c r="H70" s="1302">
        <f t="shared" si="15"/>
        <v>-503183.755</v>
      </c>
      <c r="I70" s="1302">
        <f t="shared" si="15"/>
        <v>-503183.755</v>
      </c>
      <c r="J70" s="1302">
        <f t="shared" si="15"/>
        <v>-503183.755</v>
      </c>
      <c r="K70" s="1302">
        <f t="shared" si="15"/>
        <v>-503183.755</v>
      </c>
      <c r="L70" s="1302">
        <f t="shared" si="15"/>
        <v>-503183.755</v>
      </c>
      <c r="M70" s="1302">
        <f t="shared" si="15"/>
        <v>-506095.43300000002</v>
      </c>
      <c r="N70" s="1302">
        <f t="shared" si="15"/>
        <v>-506095.43300000002</v>
      </c>
      <c r="O70" s="1302">
        <f t="shared" si="15"/>
        <v>-506095.43300000002</v>
      </c>
      <c r="P70" s="1306">
        <f t="shared" si="15"/>
        <v>-506095.43300000002</v>
      </c>
      <c r="Q70" s="1302">
        <f t="shared" si="15"/>
        <v>-506095.43300000002</v>
      </c>
      <c r="R70" s="1302">
        <f t="shared" si="15"/>
        <v>-506095.43300000002</v>
      </c>
      <c r="S70" s="1302">
        <f t="shared" si="15"/>
        <v>-506095.43300000002</v>
      </c>
      <c r="T70" s="1302">
        <f t="shared" si="15"/>
        <v>-506095.43300000002</v>
      </c>
      <c r="U70" s="1302">
        <f t="shared" si="15"/>
        <v>-506095.43300000002</v>
      </c>
      <c r="V70" s="1302">
        <f t="shared" si="15"/>
        <v>-506095.43300000002</v>
      </c>
      <c r="W70" s="1302">
        <f t="shared" si="15"/>
        <v>-506095.43300000002</v>
      </c>
      <c r="X70" s="1302">
        <f t="shared" si="15"/>
        <v>-506095.43300000002</v>
      </c>
      <c r="Y70" s="1302">
        <f t="shared" si="15"/>
        <v>-506095.43300000002</v>
      </c>
      <c r="Z70" s="1302">
        <f t="shared" si="15"/>
        <v>-506095.43300000002</v>
      </c>
      <c r="AA70" s="1302">
        <f t="shared" si="15"/>
        <v>-507269.73800000001</v>
      </c>
      <c r="AB70" s="1302">
        <f t="shared" si="15"/>
        <v>-507269.73800000001</v>
      </c>
      <c r="AC70" s="1302">
        <f t="shared" si="15"/>
        <v>-507269.73800000001</v>
      </c>
      <c r="AD70" s="1302">
        <f t="shared" si="15"/>
        <v>-507269.73800000001</v>
      </c>
      <c r="AE70" s="1302">
        <f t="shared" si="15"/>
        <v>-507269.739</v>
      </c>
      <c r="AF70" s="1302">
        <f t="shared" si="15"/>
        <v>-507269.739</v>
      </c>
      <c r="AG70" s="1302">
        <f t="shared" si="15"/>
        <v>-507269.739</v>
      </c>
      <c r="AH70" s="1311"/>
      <c r="AN70" s="1280">
        <v>7523.0129999999999</v>
      </c>
    </row>
    <row r="71" spans="1:40" x14ac:dyDescent="0.2">
      <c r="A71" s="1236"/>
      <c r="B71" s="1237"/>
      <c r="C71" s="1302"/>
      <c r="D71" s="1302"/>
      <c r="E71" s="1302"/>
      <c r="F71" s="1303"/>
      <c r="G71" s="1303"/>
      <c r="H71" s="1303"/>
      <c r="I71" s="1303"/>
      <c r="J71" s="1303"/>
      <c r="K71" s="1303"/>
      <c r="L71" s="1303"/>
      <c r="M71" s="1303"/>
      <c r="N71" s="1303"/>
      <c r="O71" s="1303"/>
      <c r="P71" s="1304"/>
      <c r="Q71" s="1303"/>
      <c r="R71" s="1303"/>
      <c r="S71" s="1303"/>
      <c r="T71" s="1303"/>
      <c r="U71" s="1303"/>
      <c r="V71" s="1303"/>
      <c r="W71" s="1303"/>
      <c r="X71" s="1303"/>
      <c r="Y71" s="1303"/>
      <c r="Z71" s="1303"/>
      <c r="AA71" s="1303"/>
      <c r="AB71" s="1303"/>
      <c r="AC71" s="1303"/>
      <c r="AD71" s="1303"/>
      <c r="AE71" s="1303"/>
      <c r="AF71" s="1303"/>
      <c r="AG71" s="1303"/>
      <c r="AH71" s="1207"/>
      <c r="AN71" s="1280">
        <v>716.57600000000002</v>
      </c>
    </row>
    <row r="72" spans="1:40" ht="13.5" thickBot="1" x14ac:dyDescent="0.25">
      <c r="A72" s="1250"/>
      <c r="B72" s="1307"/>
      <c r="C72" s="1312"/>
      <c r="D72" s="1312"/>
      <c r="E72" s="1312"/>
      <c r="F72" s="1313"/>
      <c r="G72" s="1313"/>
      <c r="H72" s="1313"/>
      <c r="I72" s="1313"/>
      <c r="J72" s="1313"/>
      <c r="K72" s="1313"/>
      <c r="L72" s="1313"/>
      <c r="M72" s="1313"/>
      <c r="N72" s="1313"/>
      <c r="O72" s="1313"/>
      <c r="P72" s="1314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207"/>
      <c r="AN72" s="1315">
        <v>1326.8</v>
      </c>
    </row>
    <row r="73" spans="1:40" x14ac:dyDescent="0.2">
      <c r="A73" s="1316"/>
      <c r="B73" s="1207"/>
      <c r="C73" s="1227"/>
      <c r="D73" s="1227"/>
      <c r="E73" s="1227"/>
      <c r="F73" s="1227"/>
      <c r="G73" s="1227"/>
      <c r="H73" s="1317"/>
      <c r="I73" s="1317"/>
      <c r="J73" s="1317"/>
      <c r="K73" s="1317"/>
      <c r="L73" s="1317"/>
      <c r="M73" s="1317"/>
      <c r="N73" s="1317"/>
      <c r="O73" s="1317"/>
      <c r="P73" s="1318"/>
      <c r="Q73" s="1317"/>
      <c r="R73" s="1317"/>
      <c r="S73" s="1317"/>
      <c r="T73" s="1317"/>
      <c r="U73" s="1317"/>
      <c r="V73" s="1317"/>
      <c r="W73" s="1317"/>
      <c r="X73" s="1317"/>
      <c r="Y73" s="1317"/>
      <c r="Z73" s="1317"/>
      <c r="AA73" s="1317"/>
      <c r="AB73" s="1317"/>
      <c r="AC73" s="1317"/>
      <c r="AD73" s="1317"/>
      <c r="AE73" s="1317"/>
      <c r="AF73" s="1317"/>
      <c r="AG73" s="1317"/>
      <c r="AH73" s="1207"/>
      <c r="AN73" s="1315">
        <v>4180.9530000000004</v>
      </c>
    </row>
    <row r="74" spans="1:40" x14ac:dyDescent="0.2">
      <c r="A74" s="1316" t="s">
        <v>40</v>
      </c>
      <c r="B74" s="1207"/>
      <c r="C74" s="1303"/>
      <c r="D74" s="1303"/>
      <c r="E74" s="1303"/>
      <c r="F74" s="1303"/>
      <c r="G74" s="1303"/>
      <c r="H74" s="1303"/>
      <c r="I74" s="1303"/>
      <c r="J74" s="1303"/>
      <c r="K74" s="1303"/>
      <c r="L74" s="1303"/>
      <c r="M74" s="1303"/>
      <c r="N74" s="1303"/>
      <c r="O74" s="1303"/>
      <c r="P74" s="1303"/>
      <c r="Q74" s="1303"/>
      <c r="R74" s="1303"/>
      <c r="S74" s="1303"/>
      <c r="T74" s="1303"/>
      <c r="U74" s="1303"/>
      <c r="V74" s="1303"/>
      <c r="W74" s="1303"/>
      <c r="X74" s="1303"/>
      <c r="Y74" s="1303"/>
      <c r="Z74" s="1303"/>
      <c r="AA74" s="1303"/>
      <c r="AB74" s="1303"/>
      <c r="AC74" s="1303"/>
      <c r="AD74" s="1303"/>
      <c r="AE74" s="1303"/>
      <c r="AF74" s="1303"/>
      <c r="AG74" s="1303"/>
      <c r="AH74" s="1227">
        <f>SUM(C74:AG74)</f>
        <v>0</v>
      </c>
      <c r="AI74" s="1320"/>
      <c r="AJ74" s="1320"/>
      <c r="AK74" s="1321"/>
      <c r="AN74" s="1315">
        <v>2761.194</v>
      </c>
    </row>
    <row r="75" spans="1:40" x14ac:dyDescent="0.2">
      <c r="A75" s="1316" t="s">
        <v>42</v>
      </c>
      <c r="B75" s="1207"/>
      <c r="C75" s="1303"/>
      <c r="D75" s="1303"/>
      <c r="E75" s="1303"/>
      <c r="F75" s="1319"/>
      <c r="G75" s="1319"/>
      <c r="H75" s="1319"/>
      <c r="I75" s="1319">
        <f t="shared" ref="I75" si="16">+F57</f>
        <v>0</v>
      </c>
      <c r="J75" s="1319"/>
      <c r="K75" s="1319"/>
      <c r="L75" s="1319"/>
      <c r="M75" s="1319"/>
      <c r="N75" s="1319"/>
      <c r="O75" s="1319"/>
      <c r="P75" s="1319"/>
      <c r="Q75" s="1319"/>
      <c r="R75" s="1319"/>
      <c r="S75" s="1319"/>
      <c r="T75" s="1319"/>
      <c r="U75" s="1319"/>
      <c r="V75" s="1319"/>
      <c r="W75" s="1319"/>
      <c r="X75" s="1319"/>
      <c r="Y75" s="1319"/>
      <c r="Z75" s="1319"/>
      <c r="AA75" s="1319"/>
      <c r="AB75" s="1319"/>
      <c r="AC75" s="1319"/>
      <c r="AD75" s="1319"/>
      <c r="AE75" s="1319"/>
      <c r="AF75" s="1319"/>
      <c r="AG75" s="1319"/>
      <c r="AH75" s="1227">
        <f>SUM(C75:AG75)</f>
        <v>0</v>
      </c>
      <c r="AI75" s="1320"/>
      <c r="AJ75" s="1320"/>
      <c r="AK75" s="1321"/>
      <c r="AN75" s="1315">
        <v>6804.6840000000002</v>
      </c>
    </row>
    <row r="76" spans="1:40" ht="13.5" thickBot="1" x14ac:dyDescent="0.25">
      <c r="A76" s="1316"/>
      <c r="B76" s="1207"/>
      <c r="C76" s="1219"/>
      <c r="D76" s="1219"/>
      <c r="E76" s="1219"/>
      <c r="F76" s="1219"/>
      <c r="G76" s="1220"/>
      <c r="H76" s="1322"/>
      <c r="I76" s="1219"/>
      <c r="J76" s="1219"/>
      <c r="K76" s="1219"/>
      <c r="L76" s="1219"/>
      <c r="M76" s="1219"/>
      <c r="N76" s="1219"/>
      <c r="O76" s="1219"/>
      <c r="P76" s="1221"/>
      <c r="Q76" s="1219"/>
      <c r="R76" s="1219"/>
      <c r="S76" s="1219"/>
      <c r="T76" s="1219"/>
      <c r="U76" s="1219"/>
      <c r="V76" s="1322"/>
      <c r="W76" s="1322"/>
      <c r="X76" s="1219"/>
      <c r="Y76" s="1219"/>
      <c r="Z76" s="1219"/>
      <c r="AA76" s="1219"/>
      <c r="AB76" s="1219"/>
      <c r="AC76" s="1219"/>
      <c r="AD76" s="1219"/>
      <c r="AE76" s="1219"/>
      <c r="AF76" s="1219"/>
      <c r="AG76" s="1219"/>
      <c r="AH76" s="1207"/>
      <c r="AI76" s="1320"/>
      <c r="AJ76" s="1320"/>
      <c r="AK76" s="1321"/>
      <c r="AN76" s="1315">
        <v>14590.134</v>
      </c>
    </row>
    <row r="77" spans="1:40" x14ac:dyDescent="0.2">
      <c r="A77" s="1323" t="s">
        <v>495</v>
      </c>
      <c r="B77" s="1324" t="s">
        <v>509</v>
      </c>
      <c r="C77" s="1325"/>
      <c r="D77" s="1326"/>
      <c r="E77" s="1326"/>
      <c r="F77" s="1326"/>
      <c r="G77" s="1327"/>
      <c r="H77" s="1328"/>
      <c r="I77" s="1326"/>
      <c r="J77" s="1326"/>
      <c r="K77" s="1326"/>
      <c r="L77" s="1326"/>
      <c r="M77" s="1326"/>
      <c r="N77" s="1326"/>
      <c r="O77" s="1326"/>
      <c r="P77" s="1329"/>
      <c r="Q77" s="1326"/>
      <c r="R77" s="1326"/>
      <c r="S77" s="1326"/>
      <c r="T77" s="1326"/>
      <c r="U77" s="1326"/>
      <c r="V77" s="1328"/>
      <c r="W77" s="1328"/>
      <c r="X77" s="1326"/>
      <c r="Y77" s="1326"/>
      <c r="Z77" s="1326"/>
      <c r="AA77" s="1326"/>
      <c r="AB77" s="1326"/>
      <c r="AC77" s="1326"/>
      <c r="AD77" s="1326"/>
      <c r="AE77" s="1326"/>
      <c r="AF77" s="1326"/>
      <c r="AG77" s="1326"/>
      <c r="AH77" s="1330">
        <f>SUM(C77:AG77)</f>
        <v>0</v>
      </c>
      <c r="AI77" s="1320"/>
      <c r="AJ77" s="1320"/>
      <c r="AK77" s="1321"/>
      <c r="AN77" s="1280">
        <v>1034.9559999999999</v>
      </c>
    </row>
    <row r="78" spans="1:40" ht="13.5" thickBot="1" x14ac:dyDescent="0.25">
      <c r="A78" s="1331" t="s">
        <v>697</v>
      </c>
      <c r="B78" s="1332" t="s">
        <v>510</v>
      </c>
      <c r="C78" s="1333"/>
      <c r="D78" s="1334"/>
      <c r="E78" s="1334"/>
      <c r="F78" s="1334"/>
      <c r="G78" s="1334"/>
      <c r="H78" s="1335"/>
      <c r="I78" s="1336"/>
      <c r="J78" s="1334"/>
      <c r="K78" s="1334"/>
      <c r="L78" s="1335"/>
      <c r="M78" s="1334"/>
      <c r="N78" s="1334"/>
      <c r="O78" s="1334"/>
      <c r="P78" s="1337"/>
      <c r="Q78" s="1335"/>
      <c r="R78" s="1334"/>
      <c r="S78" s="1334"/>
      <c r="T78" s="1334"/>
      <c r="U78" s="1334"/>
      <c r="V78" s="1335"/>
      <c r="W78" s="1334"/>
      <c r="X78" s="1334"/>
      <c r="Y78" s="1334"/>
      <c r="Z78" s="1334"/>
      <c r="AA78" s="1335"/>
      <c r="AB78" s="1334"/>
      <c r="AC78" s="1334"/>
      <c r="AD78" s="1334"/>
      <c r="AE78" s="1334"/>
      <c r="AF78" s="1334"/>
      <c r="AG78" s="1334"/>
      <c r="AH78" s="1338">
        <f>SUM(C78:AG78)</f>
        <v>0</v>
      </c>
      <c r="AI78" s="1320"/>
      <c r="AJ78" s="1320"/>
      <c r="AK78" s="1321"/>
      <c r="AN78" s="1280"/>
    </row>
    <row r="79" spans="1:40" x14ac:dyDescent="0.2">
      <c r="A79" s="1323" t="s">
        <v>495</v>
      </c>
      <c r="B79" s="1324" t="s">
        <v>509</v>
      </c>
      <c r="C79" s="1339"/>
      <c r="D79" s="1339"/>
      <c r="E79" s="1339"/>
      <c r="F79" s="1339"/>
      <c r="G79" s="1339"/>
      <c r="H79" s="1340"/>
      <c r="I79" s="1341"/>
      <c r="J79" s="1339"/>
      <c r="K79" s="1339"/>
      <c r="L79" s="1340"/>
      <c r="M79" s="1339"/>
      <c r="N79" s="1339"/>
      <c r="O79" s="1339"/>
      <c r="P79" s="1342"/>
      <c r="Q79" s="1340"/>
      <c r="R79" s="1339"/>
      <c r="S79" s="1339"/>
      <c r="T79" s="1339"/>
      <c r="U79" s="1339"/>
      <c r="V79" s="1340"/>
      <c r="W79" s="1339"/>
      <c r="X79" s="1339"/>
      <c r="Y79" s="1339"/>
      <c r="Z79" s="1339"/>
      <c r="AA79" s="1340"/>
      <c r="AB79" s="1339"/>
      <c r="AC79" s="1339"/>
      <c r="AD79" s="1339"/>
      <c r="AE79" s="1339"/>
      <c r="AF79" s="1339"/>
      <c r="AG79" s="1339"/>
      <c r="AH79" s="1330">
        <f>SUM(C79:AG79)</f>
        <v>0</v>
      </c>
      <c r="AI79" s="1320"/>
      <c r="AJ79" s="1320"/>
      <c r="AK79" s="1321"/>
      <c r="AN79" s="1280"/>
    </row>
    <row r="80" spans="1:40" ht="13.5" thickBot="1" x14ac:dyDescent="0.25">
      <c r="A80" s="1331" t="s">
        <v>696</v>
      </c>
      <c r="B80" s="1332" t="s">
        <v>510</v>
      </c>
      <c r="C80" s="1339"/>
      <c r="D80" s="1339"/>
      <c r="E80" s="1339"/>
      <c r="F80" s="1339"/>
      <c r="G80" s="1339"/>
      <c r="H80" s="1340"/>
      <c r="I80" s="1341"/>
      <c r="J80" s="1339"/>
      <c r="K80" s="1339"/>
      <c r="L80" s="1340"/>
      <c r="M80" s="1339"/>
      <c r="N80" s="1339"/>
      <c r="O80" s="1339"/>
      <c r="P80" s="1342"/>
      <c r="Q80" s="1340"/>
      <c r="R80" s="1339"/>
      <c r="S80" s="1339"/>
      <c r="T80" s="1339"/>
      <c r="U80" s="1339"/>
      <c r="V80" s="1340"/>
      <c r="W80" s="1339"/>
      <c r="X80" s="1339"/>
      <c r="Y80" s="1339"/>
      <c r="Z80" s="1339"/>
      <c r="AA80" s="1340"/>
      <c r="AB80" s="1339"/>
      <c r="AC80" s="1339"/>
      <c r="AD80" s="1339"/>
      <c r="AE80" s="1339"/>
      <c r="AF80" s="1339"/>
      <c r="AG80" s="1339"/>
      <c r="AH80" s="1343"/>
      <c r="AI80" s="1320"/>
      <c r="AJ80" s="1320"/>
      <c r="AK80" s="1321"/>
      <c r="AN80" s="1280"/>
    </row>
    <row r="81" spans="1:43" x14ac:dyDescent="0.2">
      <c r="A81" s="1344"/>
      <c r="B81" s="1230"/>
      <c r="C81" s="1228"/>
      <c r="D81" s="1228"/>
      <c r="E81" s="1228"/>
      <c r="F81" s="1228"/>
      <c r="G81" s="1228"/>
      <c r="H81" s="1228"/>
      <c r="I81" s="1228"/>
      <c r="J81" s="1228"/>
      <c r="K81" s="1228"/>
      <c r="L81" s="1228"/>
      <c r="M81" s="1228"/>
      <c r="N81" s="1228"/>
      <c r="O81" s="1228"/>
      <c r="P81" s="1229"/>
      <c r="Q81" s="1228"/>
      <c r="R81" s="1228"/>
      <c r="S81" s="1228"/>
      <c r="T81" s="1228"/>
      <c r="U81" s="1228"/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320"/>
      <c r="AJ81" s="1320"/>
      <c r="AK81" s="1321"/>
      <c r="AN81" s="1280">
        <v>2000</v>
      </c>
    </row>
    <row r="82" spans="1:43" s="1321" customFormat="1" x14ac:dyDescent="0.2">
      <c r="A82" s="1236" t="s">
        <v>2</v>
      </c>
      <c r="B82" s="1207"/>
      <c r="C82" s="1345">
        <f>SUM(C84:C121)</f>
        <v>8178.7620000000006</v>
      </c>
      <c r="D82" s="1227"/>
      <c r="E82" s="1346"/>
      <c r="F82" s="1227"/>
      <c r="G82" s="1347"/>
      <c r="H82" s="1228"/>
      <c r="I82" s="1227"/>
      <c r="J82" s="1227"/>
      <c r="K82" s="1227"/>
      <c r="L82" s="1227"/>
      <c r="M82" s="1228"/>
      <c r="N82" s="1228"/>
      <c r="O82" s="1228"/>
      <c r="P82" s="1229"/>
      <c r="Q82" s="1228"/>
      <c r="R82" s="1228"/>
      <c r="S82" s="1228"/>
      <c r="T82" s="1227"/>
      <c r="U82" s="1227"/>
      <c r="V82" s="1227"/>
      <c r="W82" s="1227"/>
      <c r="X82" s="1227"/>
      <c r="Y82" s="1227"/>
      <c r="Z82" s="1227"/>
      <c r="AA82" s="1227"/>
      <c r="AB82" s="1227"/>
      <c r="AC82" s="1227"/>
      <c r="AD82" s="1227"/>
      <c r="AE82" s="1228"/>
      <c r="AF82" s="1227"/>
      <c r="AG82" s="1227"/>
      <c r="AH82" s="1207"/>
      <c r="AN82" s="1348">
        <v>2358.498</v>
      </c>
    </row>
    <row r="83" spans="1:43" s="1321" customFormat="1" x14ac:dyDescent="0.2">
      <c r="A83" s="1237"/>
      <c r="B83" s="1207"/>
      <c r="C83" s="1345"/>
      <c r="D83" s="1207"/>
      <c r="E83" s="1207"/>
      <c r="F83" s="1207"/>
      <c r="G83" s="1349"/>
      <c r="H83" s="1207"/>
      <c r="I83" s="1207"/>
      <c r="J83" s="1207"/>
      <c r="K83" s="1207"/>
      <c r="L83" s="1207"/>
      <c r="M83" s="1207"/>
      <c r="N83" s="1207"/>
      <c r="O83" s="1207"/>
      <c r="P83" s="1208"/>
      <c r="Q83" s="1207"/>
      <c r="R83" s="1207"/>
      <c r="S83" s="1207"/>
      <c r="T83" s="1207"/>
      <c r="U83" s="1207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N83" s="1348">
        <v>1458.3630000000001</v>
      </c>
    </row>
    <row r="84" spans="1:43" s="1321" customFormat="1" x14ac:dyDescent="0.2">
      <c r="A84" s="1207" t="s">
        <v>30</v>
      </c>
      <c r="B84" s="1350">
        <v>42415</v>
      </c>
      <c r="C84" s="1351"/>
      <c r="D84" s="1208"/>
      <c r="E84" s="1207"/>
      <c r="F84" s="1207"/>
      <c r="G84" s="1349"/>
      <c r="H84" s="1207"/>
      <c r="I84" s="1207"/>
      <c r="J84" s="1207"/>
      <c r="K84" s="1352"/>
      <c r="L84" s="1208"/>
      <c r="M84" s="1229"/>
      <c r="N84" s="1207"/>
      <c r="O84" s="1207"/>
      <c r="P84" s="1208"/>
      <c r="Q84" s="1207"/>
      <c r="R84" s="1207"/>
      <c r="S84" s="1207"/>
      <c r="T84" s="1207"/>
      <c r="U84" s="1207"/>
      <c r="V84" s="1207"/>
      <c r="W84" s="1207"/>
      <c r="X84" s="1207"/>
      <c r="Y84" s="1207"/>
      <c r="Z84" s="1207"/>
      <c r="AA84" s="1207"/>
      <c r="AB84" s="1207"/>
      <c r="AC84" s="1207"/>
      <c r="AD84" s="1207"/>
      <c r="AE84" s="1207"/>
      <c r="AF84" s="1207"/>
      <c r="AG84" s="1207"/>
      <c r="AH84" s="1207"/>
      <c r="AN84" s="1315">
        <v>718.548</v>
      </c>
    </row>
    <row r="85" spans="1:43" s="1321" customFormat="1" x14ac:dyDescent="0.2">
      <c r="A85" s="1207"/>
      <c r="B85" s="1350">
        <v>42255</v>
      </c>
      <c r="C85" s="1351"/>
      <c r="D85" s="1208"/>
      <c r="F85" s="1207"/>
      <c r="G85" s="1353"/>
      <c r="H85" s="1207"/>
      <c r="I85" s="1207"/>
      <c r="J85" s="1207"/>
      <c r="K85" s="1208"/>
      <c r="L85" s="1208"/>
      <c r="M85" s="1208"/>
      <c r="N85" s="1207"/>
      <c r="O85" s="1207"/>
      <c r="P85" s="1208"/>
      <c r="Q85" s="1207"/>
      <c r="R85" s="1207"/>
      <c r="S85" s="1207"/>
      <c r="T85" s="1207"/>
      <c r="U85" s="1207"/>
      <c r="V85" s="1207"/>
      <c r="W85" s="1207"/>
      <c r="X85" s="1207"/>
      <c r="Y85" s="1207"/>
      <c r="Z85" s="1207"/>
      <c r="AA85" s="1207"/>
      <c r="AB85" s="1207"/>
      <c r="AC85" s="1207"/>
      <c r="AD85" s="1207"/>
      <c r="AE85" s="1207"/>
      <c r="AF85" s="1207"/>
      <c r="AG85" s="1207"/>
      <c r="AH85" s="1207"/>
      <c r="AN85" s="1315">
        <v>1820.952</v>
      </c>
    </row>
    <row r="86" spans="1:43" x14ac:dyDescent="0.2">
      <c r="A86" s="1207"/>
      <c r="B86" s="1350">
        <v>42248</v>
      </c>
      <c r="C86" s="1345"/>
      <c r="D86" s="1354"/>
      <c r="E86" s="1207"/>
      <c r="F86" s="1207"/>
      <c r="G86" s="1353"/>
      <c r="H86" s="1207"/>
      <c r="I86" s="1207"/>
      <c r="J86" s="1207"/>
      <c r="K86" s="1352"/>
      <c r="L86" s="1208"/>
      <c r="M86" s="1208"/>
      <c r="N86" s="1207"/>
      <c r="O86" s="1207"/>
      <c r="P86" s="1208"/>
      <c r="Q86" s="1207"/>
      <c r="R86" s="1207"/>
      <c r="S86" s="1207"/>
      <c r="T86" s="1207"/>
      <c r="U86" s="1207"/>
      <c r="V86" s="1207"/>
      <c r="W86" s="1207"/>
      <c r="X86" s="1207"/>
      <c r="Y86" s="1207"/>
      <c r="Z86" s="1207"/>
      <c r="AA86" s="1207"/>
      <c r="AB86" s="1207"/>
      <c r="AC86" s="1207"/>
      <c r="AD86" s="1207"/>
      <c r="AE86" s="1207"/>
      <c r="AF86" s="1207"/>
      <c r="AG86" s="1207"/>
      <c r="AH86" s="1207"/>
      <c r="AI86" s="1355"/>
      <c r="AJ86" s="1320"/>
      <c r="AN86" s="1315">
        <v>2110.3739999999998</v>
      </c>
      <c r="AP86" s="1209">
        <v>1701.6279999999999</v>
      </c>
      <c r="AQ86" s="1209" t="s">
        <v>491</v>
      </c>
    </row>
    <row r="87" spans="1:43" x14ac:dyDescent="0.2">
      <c r="A87" s="1207"/>
      <c r="B87" s="1350">
        <v>42248</v>
      </c>
      <c r="C87" s="1356"/>
      <c r="D87" s="1345"/>
      <c r="E87" s="1357"/>
      <c r="F87" s="1207"/>
      <c r="G87" s="1349"/>
      <c r="H87" s="1207"/>
      <c r="I87" s="1207"/>
      <c r="J87" s="1207"/>
      <c r="K87" s="1207"/>
      <c r="L87" s="1207"/>
      <c r="M87" s="1207"/>
      <c r="N87" s="1207"/>
      <c r="O87" s="1207"/>
      <c r="P87" s="1208"/>
      <c r="Q87" s="1207"/>
      <c r="R87" s="1207"/>
      <c r="S87" s="1207"/>
      <c r="T87" s="1207"/>
      <c r="U87" s="1207"/>
      <c r="V87" s="1207"/>
      <c r="W87" s="1207"/>
      <c r="X87" s="1207"/>
      <c r="Y87" s="1207"/>
      <c r="Z87" s="1207"/>
      <c r="AA87" s="1207"/>
      <c r="AB87" s="1207"/>
      <c r="AC87" s="1207"/>
      <c r="AD87" s="1207"/>
      <c r="AE87" s="1207"/>
      <c r="AF87" s="1207"/>
      <c r="AG87" s="1207"/>
      <c r="AH87" s="1207"/>
      <c r="AI87" s="1280"/>
      <c r="AN87" s="1315">
        <v>2000</v>
      </c>
      <c r="AP87" s="1209">
        <v>5818.643</v>
      </c>
      <c r="AQ87" s="1209" t="s">
        <v>492</v>
      </c>
    </row>
    <row r="88" spans="1:43" x14ac:dyDescent="0.2">
      <c r="A88" s="1207" t="s">
        <v>31</v>
      </c>
      <c r="B88" s="1350">
        <v>42520</v>
      </c>
      <c r="C88" s="1358"/>
      <c r="D88" s="1354"/>
      <c r="E88" s="1354"/>
      <c r="F88" s="1354"/>
      <c r="G88" s="1349"/>
      <c r="H88" s="1207"/>
      <c r="I88" s="1207"/>
      <c r="J88" s="1207"/>
      <c r="K88" s="1207"/>
      <c r="L88" s="1207"/>
      <c r="M88" s="1207"/>
      <c r="N88" s="1207"/>
      <c r="O88" s="1207"/>
      <c r="P88" s="1208"/>
      <c r="Q88" s="1207"/>
      <c r="R88" s="1207"/>
      <c r="S88" s="1207"/>
      <c r="T88" s="1207"/>
      <c r="U88" s="1207"/>
      <c r="V88" s="1207"/>
      <c r="W88" s="1207"/>
      <c r="X88" s="1207"/>
      <c r="Y88" s="1207"/>
      <c r="Z88" s="1207"/>
      <c r="AA88" s="1207"/>
      <c r="AB88" s="1207"/>
      <c r="AC88" s="1207"/>
      <c r="AD88" s="1207"/>
      <c r="AE88" s="1207"/>
      <c r="AF88" s="1207"/>
      <c r="AG88" s="1207"/>
      <c r="AH88" s="1207"/>
      <c r="AI88" s="1280"/>
      <c r="AN88" s="1315">
        <v>1841.7439999999999</v>
      </c>
    </row>
    <row r="89" spans="1:43" x14ac:dyDescent="0.2">
      <c r="A89" s="1207"/>
      <c r="B89" s="1350">
        <v>42521</v>
      </c>
      <c r="C89" s="1354"/>
      <c r="D89" s="1354"/>
      <c r="E89" s="1354"/>
      <c r="F89" s="1207"/>
      <c r="G89" s="1353"/>
      <c r="H89" s="1207"/>
      <c r="I89" s="1207"/>
      <c r="J89" s="1207"/>
      <c r="K89" s="1207"/>
      <c r="L89" s="1207"/>
      <c r="M89" s="1207"/>
      <c r="N89" s="1207"/>
      <c r="O89" s="1207"/>
      <c r="P89" s="1208"/>
      <c r="Q89" s="1207"/>
      <c r="R89" s="1207"/>
      <c r="S89" s="1207"/>
      <c r="T89" s="1207"/>
      <c r="U89" s="1207"/>
      <c r="V89" s="1207"/>
      <c r="W89" s="1207"/>
      <c r="X89" s="1207"/>
      <c r="Y89" s="1207"/>
      <c r="Z89" s="1207"/>
      <c r="AA89" s="1207"/>
      <c r="AB89" s="1207"/>
      <c r="AC89" s="1207"/>
      <c r="AD89" s="1207"/>
      <c r="AE89" s="1207"/>
      <c r="AF89" s="1207"/>
      <c r="AG89" s="1207"/>
      <c r="AH89" s="1207"/>
      <c r="AI89" s="1280"/>
      <c r="AN89" s="1315">
        <v>747.24800000000005</v>
      </c>
    </row>
    <row r="90" spans="1:43" x14ac:dyDescent="0.2">
      <c r="A90" s="1207"/>
      <c r="B90" s="1350">
        <v>42524</v>
      </c>
      <c r="C90" s="1359"/>
      <c r="D90" s="1354"/>
      <c r="E90" s="1552"/>
      <c r="F90" s="1207"/>
      <c r="G90" s="1360"/>
      <c r="H90" s="1207"/>
      <c r="I90" s="1207"/>
      <c r="J90" s="1207"/>
      <c r="K90" s="1207"/>
      <c r="L90" s="1207"/>
      <c r="M90" s="1207"/>
      <c r="N90" s="1207"/>
      <c r="O90" s="1207"/>
      <c r="P90" s="1208"/>
      <c r="Q90" s="1207"/>
      <c r="R90" s="1207"/>
      <c r="S90" s="1207"/>
      <c r="T90" s="1207"/>
      <c r="U90" s="1207"/>
      <c r="V90" s="1207"/>
      <c r="W90" s="1207"/>
      <c r="X90" s="1207"/>
      <c r="Y90" s="1207"/>
      <c r="Z90" s="1207"/>
      <c r="AA90" s="1207"/>
      <c r="AB90" s="1207"/>
      <c r="AC90" s="1207"/>
      <c r="AD90" s="1207"/>
      <c r="AE90" s="1207"/>
      <c r="AF90" s="1207"/>
      <c r="AG90" s="1207"/>
      <c r="AH90" s="1207"/>
      <c r="AI90" s="1280"/>
      <c r="AN90" s="1315">
        <v>4413.4639999999999</v>
      </c>
    </row>
    <row r="91" spans="1:43" x14ac:dyDescent="0.2">
      <c r="A91" s="1207"/>
      <c r="B91" s="1350">
        <v>42528</v>
      </c>
      <c r="C91" s="1358"/>
      <c r="D91" s="1354"/>
      <c r="E91" s="1354"/>
      <c r="F91" s="1207"/>
      <c r="G91" s="1360"/>
      <c r="H91" s="1207"/>
      <c r="I91" s="1207"/>
      <c r="J91" s="1207"/>
      <c r="K91" s="1207"/>
      <c r="L91" s="1207"/>
      <c r="M91" s="1207"/>
      <c r="N91" s="1207"/>
      <c r="O91" s="1207"/>
      <c r="P91" s="1208"/>
      <c r="Q91" s="1207"/>
      <c r="R91" s="1207"/>
      <c r="S91" s="1207"/>
      <c r="T91" s="1207"/>
      <c r="U91" s="1207"/>
      <c r="V91" s="1207"/>
      <c r="W91" s="1207"/>
      <c r="X91" s="1207"/>
      <c r="Y91" s="1207"/>
      <c r="Z91" s="1207"/>
      <c r="AA91" s="1207"/>
      <c r="AB91" s="1207"/>
      <c r="AC91" s="1207"/>
      <c r="AD91" s="1207"/>
      <c r="AE91" s="1207"/>
      <c r="AF91" s="1207"/>
      <c r="AG91" s="1207"/>
      <c r="AH91" s="1207"/>
      <c r="AN91" s="1315">
        <v>1836.3130000000001</v>
      </c>
    </row>
    <row r="92" spans="1:43" x14ac:dyDescent="0.2">
      <c r="A92" s="1207"/>
      <c r="B92" s="1350">
        <v>42514</v>
      </c>
      <c r="C92" s="1363"/>
      <c r="D92" s="1354"/>
      <c r="E92" s="1354"/>
      <c r="F92" s="1207"/>
      <c r="G92" s="1207"/>
      <c r="H92" s="1207"/>
      <c r="I92" s="1207"/>
      <c r="J92" s="1207"/>
      <c r="K92" s="1207"/>
      <c r="L92" s="1207"/>
      <c r="M92" s="1207"/>
      <c r="N92" s="1207"/>
      <c r="O92" s="1207"/>
      <c r="P92" s="1208"/>
      <c r="Q92" s="1207"/>
      <c r="R92" s="1207"/>
      <c r="S92" s="1207"/>
      <c r="T92" s="1207"/>
      <c r="U92" s="1207"/>
      <c r="V92" s="1207"/>
      <c r="W92" s="1207"/>
      <c r="X92" s="1207"/>
      <c r="Y92" s="1207"/>
      <c r="Z92" s="1207"/>
      <c r="AA92" s="1207"/>
      <c r="AB92" s="1207"/>
      <c r="AC92" s="1207"/>
      <c r="AD92" s="1207"/>
      <c r="AE92" s="1207"/>
      <c r="AF92" s="1207"/>
      <c r="AG92" s="1207"/>
      <c r="AH92" s="1207"/>
      <c r="AN92" s="1315">
        <v>8000</v>
      </c>
    </row>
    <row r="93" spans="1:43" x14ac:dyDescent="0.2">
      <c r="A93" s="1207"/>
      <c r="B93" s="1350">
        <v>42513</v>
      </c>
      <c r="C93" s="1363"/>
      <c r="D93" s="1354"/>
      <c r="E93" s="1354"/>
      <c r="F93" s="1207"/>
      <c r="G93" s="1207"/>
      <c r="H93" s="1207"/>
      <c r="I93" s="1207"/>
      <c r="J93" s="1207"/>
      <c r="K93" s="1207"/>
      <c r="L93" s="1207"/>
      <c r="M93" s="1207"/>
      <c r="N93" s="1207"/>
      <c r="O93" s="1207"/>
      <c r="P93" s="1208"/>
      <c r="Q93" s="1207"/>
      <c r="R93" s="1207"/>
      <c r="S93" s="1207"/>
      <c r="T93" s="1207"/>
      <c r="U93" s="1207"/>
      <c r="V93" s="1207"/>
      <c r="W93" s="1207"/>
      <c r="X93" s="1207"/>
      <c r="Y93" s="1207"/>
      <c r="Z93" s="1207"/>
      <c r="AA93" s="1207"/>
      <c r="AB93" s="1207"/>
      <c r="AC93" s="1207"/>
      <c r="AD93" s="1207"/>
      <c r="AE93" s="1207"/>
      <c r="AF93" s="1207"/>
      <c r="AG93" s="1207"/>
      <c r="AH93" s="1207"/>
      <c r="AN93" s="1280">
        <f>SUM(AN44:AN92)</f>
        <v>167376.80400000003</v>
      </c>
      <c r="AP93" s="1361">
        <f>AN93+AP86+AP87</f>
        <v>174897.07500000004</v>
      </c>
    </row>
    <row r="94" spans="1:43" x14ac:dyDescent="0.2">
      <c r="A94" s="1207"/>
      <c r="B94" s="1350">
        <v>42512</v>
      </c>
      <c r="C94" s="1363"/>
      <c r="D94" s="1354"/>
      <c r="E94" s="1354"/>
      <c r="F94" s="1207"/>
      <c r="G94" s="1207"/>
      <c r="H94" s="1207"/>
      <c r="I94" s="1207"/>
      <c r="J94" s="1207"/>
      <c r="K94" s="1207"/>
      <c r="L94" s="1207"/>
      <c r="M94" s="1207"/>
      <c r="N94" s="1207"/>
      <c r="O94" s="1207"/>
      <c r="P94" s="1208"/>
      <c r="Q94" s="1207"/>
      <c r="R94" s="1207"/>
      <c r="S94" s="1207"/>
      <c r="T94" s="1207"/>
      <c r="U94" s="1207"/>
      <c r="V94" s="1207"/>
      <c r="W94" s="1207"/>
      <c r="X94" s="1207"/>
      <c r="Y94" s="1207"/>
      <c r="Z94" s="1207"/>
      <c r="AA94" s="1207"/>
      <c r="AB94" s="1207"/>
      <c r="AC94" s="1207"/>
      <c r="AD94" s="1207"/>
      <c r="AE94" s="1207"/>
      <c r="AF94" s="1207"/>
      <c r="AG94" s="1207"/>
      <c r="AH94" s="1207"/>
      <c r="AN94" s="1280"/>
      <c r="AP94" s="1361"/>
    </row>
    <row r="95" spans="1:43" x14ac:dyDescent="0.2">
      <c r="A95" s="1207"/>
      <c r="B95" s="1350">
        <v>42515</v>
      </c>
      <c r="C95" s="1363"/>
      <c r="D95" s="1354"/>
      <c r="E95" s="1354"/>
      <c r="F95" s="1207"/>
      <c r="G95" s="1207"/>
      <c r="H95" s="1207"/>
      <c r="I95" s="1207"/>
      <c r="J95" s="1207"/>
      <c r="K95" s="1207"/>
      <c r="L95" s="1207"/>
      <c r="M95" s="1207"/>
      <c r="N95" s="1207"/>
      <c r="O95" s="1207"/>
      <c r="P95" s="1208"/>
      <c r="Q95" s="1207"/>
      <c r="R95" s="1207"/>
      <c r="S95" s="1207"/>
      <c r="T95" s="1207"/>
      <c r="U95" s="1207"/>
      <c r="V95" s="1207"/>
      <c r="W95" s="1207"/>
      <c r="X95" s="1207"/>
      <c r="Y95" s="1207"/>
      <c r="Z95" s="1207"/>
      <c r="AA95" s="1207"/>
      <c r="AB95" s="1207"/>
      <c r="AC95" s="1207"/>
      <c r="AD95" s="1207"/>
      <c r="AE95" s="1207"/>
      <c r="AF95" s="1207"/>
      <c r="AG95" s="1207"/>
      <c r="AH95" s="1207"/>
      <c r="AN95" s="1280"/>
      <c r="AP95" s="1361"/>
    </row>
    <row r="96" spans="1:43" x14ac:dyDescent="0.2">
      <c r="A96" s="1207"/>
      <c r="B96" s="1350">
        <v>42516</v>
      </c>
      <c r="C96" s="1363"/>
      <c r="D96" s="1354"/>
      <c r="E96" s="1354"/>
      <c r="F96" s="1207"/>
      <c r="G96" s="1207"/>
      <c r="H96" s="1207"/>
      <c r="I96" s="1207"/>
      <c r="J96" s="1207"/>
      <c r="K96" s="1207"/>
      <c r="L96" s="1207"/>
      <c r="M96" s="1207"/>
      <c r="N96" s="1207"/>
      <c r="O96" s="1207"/>
      <c r="P96" s="1208"/>
      <c r="Q96" s="1207"/>
      <c r="R96" s="1207"/>
      <c r="S96" s="1207"/>
      <c r="T96" s="1207"/>
      <c r="U96" s="1207"/>
      <c r="V96" s="1207"/>
      <c r="W96" s="1207"/>
      <c r="X96" s="1207"/>
      <c r="Y96" s="1207"/>
      <c r="Z96" s="1207"/>
      <c r="AA96" s="1207"/>
      <c r="AB96" s="1207"/>
      <c r="AC96" s="1207"/>
      <c r="AD96" s="1207"/>
      <c r="AE96" s="1207"/>
      <c r="AF96" s="1207"/>
      <c r="AG96" s="1207"/>
      <c r="AH96" s="1207"/>
      <c r="AN96" s="1280"/>
      <c r="AP96" s="1361"/>
    </row>
    <row r="97" spans="1:42" x14ac:dyDescent="0.2">
      <c r="A97" s="1207"/>
      <c r="B97" s="1350">
        <v>42517</v>
      </c>
      <c r="C97" s="1363"/>
      <c r="D97" s="1354"/>
      <c r="E97" s="1354"/>
      <c r="F97" s="1207"/>
      <c r="G97" s="1207"/>
      <c r="H97" s="1207"/>
      <c r="I97" s="1207"/>
      <c r="J97" s="1207"/>
      <c r="K97" s="1207"/>
      <c r="L97" s="1207"/>
      <c r="M97" s="1207"/>
      <c r="N97" s="1207"/>
      <c r="O97" s="1207"/>
      <c r="P97" s="1208"/>
      <c r="Q97" s="1207"/>
      <c r="R97" s="1207"/>
      <c r="S97" s="1207"/>
      <c r="T97" s="1207"/>
      <c r="U97" s="1207"/>
      <c r="V97" s="1207"/>
      <c r="W97" s="1207"/>
      <c r="X97" s="1207"/>
      <c r="Y97" s="1207"/>
      <c r="Z97" s="1207"/>
      <c r="AA97" s="1207"/>
      <c r="AB97" s="1207"/>
      <c r="AC97" s="1207"/>
      <c r="AD97" s="1207"/>
      <c r="AE97" s="1207"/>
      <c r="AF97" s="1207"/>
      <c r="AG97" s="1207"/>
      <c r="AH97" s="1207"/>
      <c r="AN97" s="1280"/>
      <c r="AP97" s="1361"/>
    </row>
    <row r="98" spans="1:42" x14ac:dyDescent="0.2">
      <c r="A98" s="1207"/>
      <c r="B98" s="1350">
        <v>42518</v>
      </c>
      <c r="C98" s="1363"/>
      <c r="D98" s="1354"/>
      <c r="E98" s="1354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8"/>
      <c r="Q98" s="1207"/>
      <c r="R98" s="1207"/>
      <c r="S98" s="1207"/>
      <c r="T98" s="1207"/>
      <c r="U98" s="1207"/>
      <c r="V98" s="1207"/>
      <c r="W98" s="1207"/>
      <c r="X98" s="1207"/>
      <c r="Y98" s="1207"/>
      <c r="Z98" s="1207"/>
      <c r="AA98" s="1207"/>
      <c r="AB98" s="1207"/>
      <c r="AC98" s="1207"/>
      <c r="AD98" s="1207"/>
      <c r="AE98" s="1207"/>
      <c r="AF98" s="1207"/>
      <c r="AG98" s="1207"/>
      <c r="AH98" s="1207"/>
      <c r="AN98" s="1280"/>
      <c r="AP98" s="1361"/>
    </row>
    <row r="99" spans="1:42" x14ac:dyDescent="0.2">
      <c r="A99" s="1207"/>
      <c r="B99" s="1350">
        <v>42519</v>
      </c>
      <c r="C99" s="1363"/>
      <c r="D99" s="1354"/>
      <c r="E99" s="1354"/>
      <c r="F99" s="1207"/>
      <c r="G99" s="1207"/>
      <c r="H99" s="1207"/>
      <c r="I99" s="1207"/>
      <c r="J99" s="1207"/>
      <c r="K99" s="1207"/>
      <c r="L99" s="1207"/>
      <c r="M99" s="1207"/>
      <c r="N99" s="1207"/>
      <c r="O99" s="1207"/>
      <c r="P99" s="1208"/>
      <c r="Q99" s="1207"/>
      <c r="R99" s="1207"/>
      <c r="S99" s="1207"/>
      <c r="T99" s="1207"/>
      <c r="U99" s="1207"/>
      <c r="V99" s="1207"/>
      <c r="W99" s="1207"/>
      <c r="X99" s="1207"/>
      <c r="Y99" s="1207"/>
      <c r="Z99" s="1207"/>
      <c r="AA99" s="1207"/>
      <c r="AB99" s="1207"/>
      <c r="AC99" s="1207"/>
      <c r="AD99" s="1207"/>
      <c r="AE99" s="1207"/>
      <c r="AF99" s="1207"/>
      <c r="AG99" s="1207"/>
      <c r="AH99" s="1207"/>
      <c r="AN99" s="1280"/>
      <c r="AP99" s="1361"/>
    </row>
    <row r="100" spans="1:42" x14ac:dyDescent="0.2">
      <c r="A100" s="1207"/>
      <c r="B100" s="1350">
        <v>42520</v>
      </c>
      <c r="C100" s="1363"/>
      <c r="D100" s="1354"/>
      <c r="E100" s="1354"/>
      <c r="F100" s="1207"/>
      <c r="G100" s="1207"/>
      <c r="H100" s="1207"/>
      <c r="I100" s="1207"/>
      <c r="J100" s="1207"/>
      <c r="K100" s="1207"/>
      <c r="L100" s="1207"/>
      <c r="M100" s="1207"/>
      <c r="N100" s="1207"/>
      <c r="O100" s="1207"/>
      <c r="P100" s="1208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07"/>
      <c r="AA100" s="1207"/>
      <c r="AB100" s="1207"/>
      <c r="AC100" s="1207"/>
      <c r="AD100" s="1207"/>
      <c r="AE100" s="1207"/>
      <c r="AF100" s="1207"/>
      <c r="AG100" s="1207"/>
      <c r="AH100" s="1207"/>
      <c r="AN100" s="1280"/>
      <c r="AP100" s="1361"/>
    </row>
    <row r="101" spans="1:42" x14ac:dyDescent="0.2">
      <c r="A101" s="1207"/>
      <c r="B101" s="1350">
        <v>42521</v>
      </c>
      <c r="C101" s="1363"/>
      <c r="D101" s="1354"/>
      <c r="E101" s="1354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8"/>
      <c r="Q101" s="1207"/>
      <c r="R101" s="1207"/>
      <c r="S101" s="1207"/>
      <c r="T101" s="1207"/>
      <c r="U101" s="1207"/>
      <c r="V101" s="1207"/>
      <c r="W101" s="1207"/>
      <c r="X101" s="1207"/>
      <c r="Y101" s="1207"/>
      <c r="Z101" s="1207"/>
      <c r="AA101" s="1207"/>
      <c r="AB101" s="1207"/>
      <c r="AC101" s="1207"/>
      <c r="AD101" s="1207"/>
      <c r="AE101" s="1207"/>
      <c r="AF101" s="1207"/>
      <c r="AG101" s="1207"/>
      <c r="AH101" s="1207"/>
      <c r="AN101" s="1280"/>
      <c r="AP101" s="1361"/>
    </row>
    <row r="102" spans="1:42" x14ac:dyDescent="0.2">
      <c r="A102" s="1207"/>
      <c r="B102" s="1350">
        <v>42502</v>
      </c>
      <c r="C102" s="1363"/>
      <c r="D102" s="1354"/>
      <c r="E102" s="1354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8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07"/>
      <c r="AA102" s="1207"/>
      <c r="AB102" s="1207"/>
      <c r="AC102" s="1207"/>
      <c r="AD102" s="1207"/>
      <c r="AE102" s="1207"/>
      <c r="AF102" s="1207"/>
      <c r="AG102" s="1207"/>
      <c r="AH102" s="1207"/>
      <c r="AN102" s="1280"/>
      <c r="AP102" s="1361"/>
    </row>
    <row r="103" spans="1:42" x14ac:dyDescent="0.2">
      <c r="A103" s="1207"/>
      <c r="B103" s="1350">
        <v>42501</v>
      </c>
      <c r="C103" s="1363"/>
      <c r="D103" s="1354"/>
      <c r="E103" s="1354"/>
      <c r="F103" s="1207"/>
      <c r="G103" s="1207"/>
      <c r="H103" s="1207"/>
      <c r="I103" s="1207"/>
      <c r="J103" s="1207"/>
      <c r="K103" s="1207"/>
      <c r="L103" s="1207"/>
      <c r="M103" s="1207"/>
      <c r="N103" s="1207"/>
      <c r="O103" s="1207"/>
      <c r="P103" s="1208"/>
      <c r="Q103" s="1207"/>
      <c r="R103" s="1207"/>
      <c r="S103" s="1207"/>
      <c r="T103" s="1207"/>
      <c r="U103" s="1207"/>
      <c r="V103" s="1207"/>
      <c r="W103" s="1207"/>
      <c r="X103" s="1207"/>
      <c r="Y103" s="1207"/>
      <c r="Z103" s="1207"/>
      <c r="AA103" s="1207"/>
      <c r="AB103" s="1207"/>
      <c r="AC103" s="1207"/>
      <c r="AD103" s="1207"/>
      <c r="AE103" s="1207"/>
      <c r="AF103" s="1207"/>
      <c r="AG103" s="1207"/>
      <c r="AH103" s="1207"/>
      <c r="AN103" s="1280"/>
      <c r="AP103" s="1361"/>
    </row>
    <row r="104" spans="1:42" x14ac:dyDescent="0.2">
      <c r="A104" s="1207"/>
      <c r="B104" s="1350">
        <v>42503</v>
      </c>
      <c r="C104" s="1364"/>
      <c r="D104" s="1354"/>
      <c r="E104" s="1354"/>
      <c r="F104" s="1207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8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07"/>
      <c r="AA104" s="1207"/>
      <c r="AB104" s="1207"/>
      <c r="AC104" s="1207"/>
      <c r="AD104" s="1207"/>
      <c r="AE104" s="1207"/>
      <c r="AF104" s="1207"/>
      <c r="AG104" s="1207"/>
      <c r="AH104" s="1207"/>
      <c r="AN104" s="1280"/>
      <c r="AP104" s="1361"/>
    </row>
    <row r="105" spans="1:42" x14ac:dyDescent="0.2">
      <c r="A105" s="1207"/>
      <c r="B105" s="1350">
        <v>42471</v>
      </c>
      <c r="C105" s="1364">
        <v>7316.4530000000004</v>
      </c>
      <c r="D105" s="1354"/>
      <c r="E105" s="1354"/>
      <c r="F105" s="1207"/>
      <c r="G105" s="1207"/>
      <c r="H105" s="1207"/>
      <c r="I105" s="1207"/>
      <c r="J105" s="1207"/>
      <c r="K105" s="1207"/>
      <c r="L105" s="1207"/>
      <c r="M105" s="1207"/>
      <c r="N105" s="1207"/>
      <c r="O105" s="1207"/>
      <c r="P105" s="1208"/>
      <c r="Q105" s="1207"/>
      <c r="R105" s="1207"/>
      <c r="S105" s="1207"/>
      <c r="T105" s="1207"/>
      <c r="U105" s="1207"/>
      <c r="V105" s="1207"/>
      <c r="W105" s="1207"/>
      <c r="X105" s="1207"/>
      <c r="Y105" s="1207"/>
      <c r="Z105" s="1207"/>
      <c r="AA105" s="1207"/>
      <c r="AB105" s="1207"/>
      <c r="AC105" s="1207"/>
      <c r="AD105" s="1207"/>
      <c r="AE105" s="1207"/>
      <c r="AF105" s="1207"/>
      <c r="AG105" s="1207"/>
      <c r="AH105" s="1207"/>
      <c r="AN105" s="1280"/>
      <c r="AP105" s="1361"/>
    </row>
    <row r="106" spans="1:42" x14ac:dyDescent="0.2">
      <c r="A106" s="1207"/>
      <c r="B106" s="1350">
        <v>42508</v>
      </c>
      <c r="C106" s="1364"/>
      <c r="D106" s="1354"/>
      <c r="E106" s="1354"/>
      <c r="F106" s="1207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8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07"/>
      <c r="AA106" s="1207"/>
      <c r="AB106" s="1207"/>
      <c r="AC106" s="1207"/>
      <c r="AD106" s="1207"/>
      <c r="AE106" s="1207"/>
      <c r="AF106" s="1207"/>
      <c r="AG106" s="1207"/>
      <c r="AH106" s="1207"/>
      <c r="AN106" s="1280"/>
      <c r="AP106" s="1361"/>
    </row>
    <row r="107" spans="1:42" x14ac:dyDescent="0.2">
      <c r="A107" s="1207"/>
      <c r="B107" s="1350">
        <v>42437</v>
      </c>
      <c r="C107" s="1364"/>
      <c r="D107" s="1354"/>
      <c r="E107" s="1354"/>
      <c r="F107" s="1207"/>
      <c r="G107" s="1207"/>
      <c r="H107" s="1207"/>
      <c r="I107" s="1207"/>
      <c r="J107" s="1207"/>
      <c r="K107" s="1207"/>
      <c r="L107" s="1207"/>
      <c r="M107" s="1207"/>
      <c r="N107" s="1207"/>
      <c r="O107" s="1207"/>
      <c r="P107" s="1208"/>
      <c r="Q107" s="1207"/>
      <c r="R107" s="1207"/>
      <c r="S107" s="1207"/>
      <c r="T107" s="1207"/>
      <c r="U107" s="1207"/>
      <c r="V107" s="1207"/>
      <c r="W107" s="1207"/>
      <c r="X107" s="1207"/>
      <c r="Y107" s="1207"/>
      <c r="Z107" s="1207"/>
      <c r="AA107" s="1207"/>
      <c r="AB107" s="1207"/>
      <c r="AC107" s="1207"/>
      <c r="AD107" s="1207"/>
      <c r="AE107" s="1207"/>
      <c r="AF107" s="1207"/>
      <c r="AG107" s="1207"/>
      <c r="AH107" s="1207"/>
      <c r="AN107" s="1280"/>
      <c r="AP107" s="1361"/>
    </row>
    <row r="108" spans="1:42" x14ac:dyDescent="0.2">
      <c r="A108" s="1207" t="s">
        <v>436</v>
      </c>
      <c r="B108" s="1350">
        <v>42349</v>
      </c>
      <c r="C108" s="1358"/>
      <c r="D108" s="1354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8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N108" s="1280"/>
    </row>
    <row r="109" spans="1:42" x14ac:dyDescent="0.2">
      <c r="A109" s="1365" t="s">
        <v>32</v>
      </c>
      <c r="B109" s="1350">
        <v>42515</v>
      </c>
      <c r="C109" s="1351">
        <f>88018.766-49810.072-38208.694</f>
        <v>0</v>
      </c>
      <c r="D109" s="1354"/>
      <c r="E109" s="1207"/>
      <c r="F109" s="1207"/>
      <c r="G109" s="1346"/>
      <c r="H109" s="1354"/>
      <c r="I109" s="1207"/>
      <c r="J109" s="1207"/>
      <c r="K109" s="1207"/>
      <c r="L109" s="1207"/>
      <c r="M109" s="1207"/>
      <c r="N109" s="1207"/>
      <c r="O109" s="1207"/>
      <c r="P109" s="1208"/>
      <c r="Q109" s="1207"/>
      <c r="R109" s="1207"/>
      <c r="S109" s="1207"/>
      <c r="T109" s="1207"/>
      <c r="U109" s="1207"/>
      <c r="V109" s="1207"/>
      <c r="W109" s="1207"/>
      <c r="X109" s="1207"/>
      <c r="Y109" s="1207"/>
      <c r="Z109" s="1207"/>
      <c r="AA109" s="1207"/>
      <c r="AB109" s="1207"/>
      <c r="AC109" s="1207"/>
      <c r="AD109" s="1207"/>
      <c r="AE109" s="1207"/>
      <c r="AF109" s="1207"/>
      <c r="AG109" s="1207"/>
      <c r="AH109" s="1207"/>
      <c r="AN109" s="1280">
        <v>222914.55799999999</v>
      </c>
    </row>
    <row r="110" spans="1:42" x14ac:dyDescent="0.2">
      <c r="A110" s="1365" t="s">
        <v>33</v>
      </c>
      <c r="B110" s="1350">
        <v>42517</v>
      </c>
      <c r="C110" s="1351"/>
      <c r="D110" s="1354"/>
      <c r="E110" s="1351"/>
      <c r="F110" s="121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8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07"/>
      <c r="AA110" s="1207"/>
      <c r="AB110" s="1207"/>
      <c r="AC110" s="1207"/>
      <c r="AD110" s="1207"/>
      <c r="AE110" s="1207"/>
      <c r="AF110" s="1207"/>
      <c r="AG110" s="1207"/>
      <c r="AH110" s="1207"/>
    </row>
    <row r="111" spans="1:42" x14ac:dyDescent="0.2">
      <c r="A111" s="1365" t="s">
        <v>32</v>
      </c>
      <c r="B111" s="1350">
        <v>42520</v>
      </c>
      <c r="C111" s="1351">
        <f>46383.831-28002.91-18380.921</f>
        <v>0</v>
      </c>
      <c r="D111" s="1207"/>
      <c r="E111" s="1350"/>
      <c r="F111" s="1219"/>
      <c r="G111" s="1207"/>
      <c r="H111" s="1207"/>
      <c r="I111" s="1207"/>
      <c r="J111" s="1207"/>
      <c r="K111" s="1207"/>
      <c r="L111" s="1207"/>
      <c r="M111" s="1207"/>
      <c r="N111" s="1207"/>
      <c r="O111" s="1207"/>
      <c r="P111" s="1208"/>
      <c r="Q111" s="1207"/>
      <c r="R111" s="1207"/>
      <c r="S111" s="1207"/>
      <c r="T111" s="1207"/>
      <c r="U111" s="1207"/>
      <c r="V111" s="1207"/>
      <c r="W111" s="1207"/>
      <c r="X111" s="1207"/>
      <c r="Y111" s="1207"/>
      <c r="Z111" s="1207"/>
      <c r="AA111" s="1207"/>
      <c r="AB111" s="1207"/>
      <c r="AC111" s="1207"/>
      <c r="AD111" s="1207"/>
      <c r="AE111" s="1207"/>
      <c r="AF111" s="1207"/>
      <c r="AG111" s="1207"/>
      <c r="AH111" s="1207"/>
      <c r="AN111" s="1361">
        <f>AN109-AN93</f>
        <v>55537.753999999957</v>
      </c>
    </row>
    <row r="112" spans="1:42" x14ac:dyDescent="0.2">
      <c r="A112" s="1365" t="s">
        <v>33</v>
      </c>
      <c r="B112" s="1350">
        <v>42521</v>
      </c>
      <c r="C112" s="1351"/>
      <c r="D112" s="1207"/>
      <c r="E112" s="1350"/>
      <c r="F112" s="121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8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07"/>
      <c r="AA112" s="1207"/>
      <c r="AB112" s="1207"/>
      <c r="AC112" s="1207"/>
      <c r="AD112" s="1207"/>
      <c r="AE112" s="1207"/>
      <c r="AF112" s="1207"/>
      <c r="AG112" s="1207"/>
      <c r="AH112" s="1207"/>
    </row>
    <row r="113" spans="1:34" x14ac:dyDescent="0.2">
      <c r="A113" s="1365" t="s">
        <v>33</v>
      </c>
      <c r="B113" s="1350">
        <v>42499</v>
      </c>
      <c r="C113" s="1351"/>
      <c r="D113" s="1207"/>
      <c r="E113" s="1207"/>
      <c r="F113" s="1207"/>
      <c r="G113" s="1207"/>
      <c r="H113" s="1207"/>
      <c r="I113" s="1207"/>
      <c r="J113" s="1207"/>
      <c r="K113" s="1207"/>
      <c r="L113" s="1207"/>
      <c r="M113" s="1207"/>
      <c r="N113" s="1207"/>
      <c r="O113" s="1207"/>
      <c r="P113" s="1208"/>
      <c r="Q113" s="1207"/>
      <c r="R113" s="1207"/>
      <c r="S113" s="1207"/>
      <c r="T113" s="1207"/>
      <c r="U113" s="1207"/>
      <c r="V113" s="1207"/>
      <c r="W113" s="1207"/>
      <c r="X113" s="1207"/>
      <c r="Y113" s="1207"/>
      <c r="Z113" s="1207"/>
      <c r="AA113" s="1207"/>
      <c r="AB113" s="1207"/>
      <c r="AC113" s="1207"/>
      <c r="AD113" s="1207"/>
      <c r="AE113" s="1207"/>
      <c r="AF113" s="1207"/>
      <c r="AG113" s="1207"/>
      <c r="AH113" s="1207"/>
    </row>
    <row r="114" spans="1:34" x14ac:dyDescent="0.2">
      <c r="A114" s="1365" t="s">
        <v>32</v>
      </c>
      <c r="B114" s="1350">
        <v>42460</v>
      </c>
      <c r="C114" s="1351"/>
      <c r="D114" s="1207"/>
      <c r="E114" s="1354"/>
      <c r="F114" s="1207"/>
      <c r="G114" s="1207"/>
      <c r="H114" s="1207"/>
      <c r="I114" s="1207"/>
      <c r="J114" s="1207"/>
      <c r="K114" s="1207"/>
      <c r="L114" s="1207"/>
      <c r="M114" s="1207"/>
      <c r="N114" s="1207"/>
      <c r="O114" s="1207"/>
      <c r="P114" s="1208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07"/>
      <c r="AA114" s="1207"/>
      <c r="AB114" s="1207"/>
      <c r="AC114" s="1207"/>
      <c r="AD114" s="1207"/>
      <c r="AE114" s="1207"/>
      <c r="AF114" s="1207"/>
      <c r="AG114" s="1207"/>
      <c r="AH114" s="1207"/>
    </row>
    <row r="115" spans="1:34" x14ac:dyDescent="0.2">
      <c r="A115" s="1365" t="s">
        <v>32</v>
      </c>
      <c r="B115" s="1350">
        <v>42467</v>
      </c>
      <c r="C115" s="1351"/>
      <c r="D115" s="1354"/>
      <c r="E115" s="1354"/>
      <c r="F115" s="1207"/>
      <c r="G115" s="1207"/>
      <c r="H115" s="1207"/>
      <c r="I115" s="1207"/>
      <c r="J115" s="1207"/>
      <c r="K115" s="1207"/>
      <c r="L115" s="1207"/>
      <c r="M115" s="1207"/>
      <c r="N115" s="1207"/>
      <c r="O115" s="1207"/>
      <c r="P115" s="1208"/>
      <c r="Q115" s="1207"/>
      <c r="R115" s="1207"/>
      <c r="S115" s="1207"/>
      <c r="T115" s="1207"/>
      <c r="U115" s="1207"/>
      <c r="V115" s="1207"/>
      <c r="W115" s="1207"/>
      <c r="X115" s="1207"/>
      <c r="Y115" s="1207"/>
      <c r="Z115" s="1207"/>
      <c r="AA115" s="1207"/>
      <c r="AB115" s="1207"/>
      <c r="AC115" s="1207"/>
      <c r="AD115" s="1207"/>
      <c r="AE115" s="1207"/>
      <c r="AF115" s="1207"/>
      <c r="AG115" s="1207"/>
      <c r="AH115" s="1207"/>
    </row>
    <row r="116" spans="1:34" x14ac:dyDescent="0.2">
      <c r="A116" s="1365" t="s">
        <v>33</v>
      </c>
      <c r="B116" s="1350">
        <v>42467</v>
      </c>
      <c r="C116" s="1351"/>
      <c r="D116" s="1207"/>
      <c r="E116" s="1207"/>
      <c r="F116" s="1207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8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07"/>
      <c r="AA116" s="1207"/>
      <c r="AB116" s="1207"/>
      <c r="AC116" s="1207"/>
      <c r="AD116" s="1207"/>
      <c r="AE116" s="1207"/>
      <c r="AF116" s="1207"/>
      <c r="AG116" s="1207"/>
      <c r="AH116" s="1207"/>
    </row>
    <row r="117" spans="1:34" x14ac:dyDescent="0.2">
      <c r="A117" s="1365" t="s">
        <v>32</v>
      </c>
      <c r="B117" s="1350">
        <v>42468</v>
      </c>
      <c r="C117" s="1351"/>
      <c r="D117" s="1207"/>
      <c r="E117" s="1354"/>
      <c r="F117" s="1207"/>
      <c r="G117" s="1207"/>
      <c r="H117" s="1207"/>
      <c r="I117" s="1207"/>
      <c r="J117" s="1207"/>
      <c r="K117" s="1207"/>
      <c r="L117" s="1207"/>
      <c r="M117" s="1207"/>
      <c r="N117" s="1207"/>
      <c r="O117" s="1207"/>
      <c r="P117" s="1208"/>
      <c r="Q117" s="1207"/>
      <c r="R117" s="1207"/>
      <c r="S117" s="1207"/>
      <c r="T117" s="1207"/>
      <c r="U117" s="1207"/>
      <c r="V117" s="1207"/>
      <c r="W117" s="1207"/>
      <c r="X117" s="1207"/>
      <c r="Y117" s="1207"/>
      <c r="Z117" s="1207"/>
      <c r="AA117" s="1207"/>
      <c r="AB117" s="1207"/>
      <c r="AC117" s="1207"/>
      <c r="AD117" s="1207"/>
      <c r="AE117" s="1207"/>
      <c r="AF117" s="1207"/>
      <c r="AG117" s="1207"/>
      <c r="AH117" s="1207"/>
    </row>
    <row r="118" spans="1:34" x14ac:dyDescent="0.2">
      <c r="A118" s="1365" t="s">
        <v>33</v>
      </c>
      <c r="B118" s="1350">
        <v>42471</v>
      </c>
      <c r="C118" s="1351"/>
      <c r="D118" s="1366"/>
      <c r="E118" s="1207"/>
      <c r="F118" s="1207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8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07"/>
      <c r="AA118" s="1207"/>
      <c r="AB118" s="1207"/>
      <c r="AC118" s="1207"/>
      <c r="AD118" s="1207"/>
      <c r="AE118" s="1207"/>
      <c r="AF118" s="1207"/>
      <c r="AG118" s="1207"/>
      <c r="AH118" s="1207"/>
    </row>
    <row r="119" spans="1:34" x14ac:dyDescent="0.2">
      <c r="A119" s="1365" t="s">
        <v>33</v>
      </c>
      <c r="B119" s="1350">
        <v>42248</v>
      </c>
      <c r="C119" s="1351"/>
      <c r="D119" s="1207"/>
      <c r="E119" s="1366"/>
      <c r="F119" s="1207"/>
      <c r="G119" s="1207"/>
      <c r="H119" s="1207"/>
      <c r="I119" s="1207"/>
      <c r="J119" s="1207"/>
      <c r="K119" s="1207"/>
      <c r="L119" s="1207"/>
      <c r="M119" s="1207"/>
      <c r="N119" s="1207"/>
      <c r="O119" s="1207"/>
      <c r="P119" s="1208"/>
      <c r="Q119" s="1207"/>
      <c r="R119" s="1207"/>
      <c r="S119" s="1207"/>
      <c r="T119" s="1207"/>
      <c r="U119" s="1207"/>
      <c r="V119" s="1207"/>
      <c r="W119" s="1207"/>
      <c r="X119" s="1207"/>
      <c r="Y119" s="1207"/>
      <c r="Z119" s="1207"/>
      <c r="AA119" s="1207"/>
      <c r="AB119" s="1207"/>
      <c r="AC119" s="1207"/>
      <c r="AD119" s="1207"/>
      <c r="AE119" s="1207"/>
      <c r="AF119" s="1207"/>
      <c r="AG119" s="1207"/>
      <c r="AH119" s="1207"/>
    </row>
    <row r="120" spans="1:34" x14ac:dyDescent="0.2">
      <c r="A120" s="1365" t="s">
        <v>33</v>
      </c>
      <c r="B120" s="1350">
        <v>42514</v>
      </c>
      <c r="C120" s="1367"/>
      <c r="D120" s="1207"/>
      <c r="E120" s="1354"/>
      <c r="F120" s="1207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8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</row>
    <row r="121" spans="1:34" x14ac:dyDescent="0.2">
      <c r="A121" s="1316" t="s">
        <v>1283</v>
      </c>
      <c r="B121" s="1350">
        <v>42506</v>
      </c>
      <c r="C121" s="1351">
        <f>2339.309-1477</f>
        <v>862.3090000000002</v>
      </c>
      <c r="D121" s="1207"/>
      <c r="E121" s="1207"/>
      <c r="F121" s="1207"/>
      <c r="G121" s="1354"/>
      <c r="H121" s="1354"/>
      <c r="I121" s="1207"/>
      <c r="J121" s="1207"/>
      <c r="K121" s="1207"/>
      <c r="L121" s="1207"/>
      <c r="M121" s="1207"/>
      <c r="N121" s="1207"/>
      <c r="O121" s="1207"/>
      <c r="P121" s="1208"/>
      <c r="Q121" s="1207"/>
      <c r="R121" s="1207"/>
      <c r="S121" s="1207"/>
      <c r="T121" s="1207"/>
      <c r="U121" s="1207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</row>
    <row r="122" spans="1:34" x14ac:dyDescent="0.2">
      <c r="A122" s="1207"/>
      <c r="B122" s="1350"/>
      <c r="C122" s="1345"/>
      <c r="D122" s="1207"/>
      <c r="E122" s="1207"/>
      <c r="F122" s="1207"/>
      <c r="G122" s="1354"/>
      <c r="H122" s="1207"/>
      <c r="I122" s="1207"/>
      <c r="J122" s="1207"/>
      <c r="K122" s="1207"/>
      <c r="L122" s="1207"/>
      <c r="M122" s="1207"/>
      <c r="N122" s="1207"/>
      <c r="O122" s="1207"/>
      <c r="P122" s="1208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07"/>
      <c r="AA122" s="1207"/>
      <c r="AB122" s="1207"/>
      <c r="AC122" s="1207"/>
      <c r="AD122" s="1207"/>
      <c r="AE122" s="1207"/>
      <c r="AF122" s="1207"/>
      <c r="AG122" s="1207"/>
      <c r="AH122" s="1207"/>
    </row>
    <row r="123" spans="1:34" x14ac:dyDescent="0.2">
      <c r="A123" s="1207"/>
      <c r="B123" s="1350"/>
      <c r="C123" s="1207"/>
      <c r="D123" s="1207"/>
      <c r="E123" s="1207"/>
      <c r="F123" s="1207"/>
      <c r="G123" s="1207"/>
      <c r="H123" s="1367"/>
      <c r="I123" s="1207"/>
      <c r="J123" s="1207"/>
      <c r="K123" s="1207"/>
      <c r="L123" s="1207"/>
      <c r="M123" s="1207"/>
      <c r="N123" s="1207"/>
      <c r="O123" s="1207"/>
      <c r="P123" s="1208"/>
      <c r="Q123" s="1207"/>
      <c r="R123" s="1207"/>
      <c r="S123" s="1207"/>
      <c r="T123" s="1207"/>
      <c r="U123" s="1207"/>
      <c r="V123" s="1207"/>
      <c r="W123" s="1207"/>
      <c r="X123" s="1207"/>
      <c r="Y123" s="1207"/>
      <c r="Z123" s="1207"/>
      <c r="AA123" s="1207"/>
      <c r="AB123" s="1207"/>
      <c r="AC123" s="1207"/>
      <c r="AD123" s="1207"/>
      <c r="AE123" s="1207"/>
      <c r="AF123" s="1207"/>
      <c r="AG123" s="1207"/>
      <c r="AH123" s="1207"/>
    </row>
    <row r="124" spans="1:34" x14ac:dyDescent="0.2">
      <c r="A124" s="1207"/>
      <c r="B124" s="1350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8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07"/>
      <c r="AA124" s="1207"/>
      <c r="AB124" s="1207"/>
      <c r="AC124" s="1207"/>
      <c r="AD124" s="1207"/>
      <c r="AE124" s="1207"/>
      <c r="AF124" s="1207"/>
      <c r="AG124" s="1207"/>
      <c r="AH124" s="1207"/>
    </row>
    <row r="125" spans="1:34" x14ac:dyDescent="0.2">
      <c r="A125" s="1316"/>
      <c r="B125" s="1350"/>
      <c r="C125" s="1345"/>
      <c r="D125" s="1207"/>
      <c r="E125" s="1207"/>
      <c r="F125" s="1207"/>
      <c r="G125" s="1207"/>
      <c r="H125" s="1207"/>
      <c r="I125" s="1207"/>
      <c r="J125" s="1207"/>
      <c r="K125" s="1207"/>
      <c r="L125" s="1207"/>
      <c r="M125" s="1207"/>
      <c r="N125" s="1207"/>
      <c r="O125" s="1207"/>
      <c r="P125" s="1208"/>
      <c r="Q125" s="1207"/>
      <c r="R125" s="1207"/>
      <c r="S125" s="1207"/>
      <c r="T125" s="1207"/>
      <c r="U125" s="1207"/>
      <c r="V125" s="1207"/>
      <c r="W125" s="1207"/>
      <c r="X125" s="1207"/>
      <c r="Y125" s="1207"/>
      <c r="Z125" s="1207"/>
      <c r="AA125" s="1207"/>
      <c r="AB125" s="1207"/>
      <c r="AC125" s="1207"/>
      <c r="AD125" s="1207"/>
      <c r="AE125" s="1207"/>
      <c r="AF125" s="1207"/>
      <c r="AG125" s="1207"/>
      <c r="AH125" s="1207"/>
    </row>
    <row r="126" spans="1:34" x14ac:dyDescent="0.2">
      <c r="A126" s="1316"/>
      <c r="B126" s="1350"/>
      <c r="C126" s="1345"/>
      <c r="D126" s="1207"/>
      <c r="E126" s="1207"/>
      <c r="F126" s="1207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8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07"/>
      <c r="AA126" s="1207"/>
      <c r="AB126" s="1207"/>
      <c r="AC126" s="1207"/>
      <c r="AD126" s="1207"/>
      <c r="AE126" s="1207"/>
      <c r="AF126" s="1207"/>
      <c r="AG126" s="1207"/>
      <c r="AH126" s="1207"/>
    </row>
    <row r="127" spans="1:34" x14ac:dyDescent="0.2">
      <c r="A127" s="1207"/>
      <c r="B127" s="1207"/>
      <c r="C127" s="1207"/>
      <c r="D127" s="1207"/>
      <c r="E127" s="1207"/>
      <c r="F127" s="1207"/>
      <c r="G127" s="1207"/>
      <c r="H127" s="1207"/>
      <c r="I127" s="1207"/>
      <c r="J127" s="1207"/>
      <c r="K127" s="1207"/>
      <c r="L127" s="1207"/>
      <c r="M127" s="1207"/>
      <c r="N127" s="1207"/>
      <c r="O127" s="1207"/>
      <c r="P127" s="1208"/>
      <c r="Q127" s="1207"/>
      <c r="R127" s="1207"/>
      <c r="S127" s="1207"/>
      <c r="T127" s="1207"/>
      <c r="U127" s="1207"/>
      <c r="V127" s="1207"/>
      <c r="W127" s="1207"/>
      <c r="X127" s="1207"/>
      <c r="Y127" s="1207"/>
      <c r="Z127" s="1207"/>
      <c r="AA127" s="1207"/>
      <c r="AB127" s="1207"/>
      <c r="AC127" s="1207"/>
      <c r="AD127" s="1207"/>
      <c r="AE127" s="1207"/>
      <c r="AF127" s="1207"/>
      <c r="AG127" s="1207"/>
      <c r="AH127" s="1207"/>
    </row>
    <row r="128" spans="1:34" x14ac:dyDescent="0.2">
      <c r="A128" s="1207"/>
      <c r="B128" s="1207"/>
      <c r="C128" s="1207"/>
      <c r="D128" s="1207"/>
      <c r="E128" s="1207"/>
      <c r="F128" s="1207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8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07"/>
      <c r="AA128" s="1207"/>
      <c r="AB128" s="1207"/>
      <c r="AC128" s="1207"/>
      <c r="AD128" s="1207"/>
      <c r="AE128" s="1207"/>
      <c r="AF128" s="1207"/>
      <c r="AG128" s="1207"/>
      <c r="AH128" s="1207"/>
    </row>
    <row r="129" spans="1:34" x14ac:dyDescent="0.2">
      <c r="A129" s="1207"/>
      <c r="B129" s="1207"/>
      <c r="C129" s="1207"/>
      <c r="D129" s="1207"/>
      <c r="E129" s="1207"/>
      <c r="F129" s="1207"/>
      <c r="G129" s="1207"/>
      <c r="H129" s="1207"/>
      <c r="I129" s="1207"/>
      <c r="J129" s="1207"/>
      <c r="K129" s="1207"/>
      <c r="L129" s="1207"/>
      <c r="M129" s="1207"/>
      <c r="N129" s="1207"/>
      <c r="O129" s="1207"/>
      <c r="P129" s="1208"/>
      <c r="Q129" s="1207"/>
      <c r="R129" s="1207"/>
      <c r="S129" s="1207"/>
      <c r="T129" s="1207"/>
      <c r="U129" s="1207"/>
      <c r="V129" s="1207"/>
      <c r="W129" s="1207"/>
      <c r="X129" s="1207"/>
      <c r="Y129" s="1207"/>
      <c r="Z129" s="1207"/>
      <c r="AA129" s="1207"/>
      <c r="AB129" s="1207"/>
      <c r="AC129" s="1207"/>
      <c r="AD129" s="1207"/>
      <c r="AE129" s="1207"/>
      <c r="AF129" s="1207"/>
      <c r="AG129" s="1207"/>
      <c r="AH129" s="1207"/>
    </row>
    <row r="130" spans="1:34" x14ac:dyDescent="0.2">
      <c r="A130" s="1207"/>
      <c r="B130" s="1207"/>
      <c r="C130" s="1207"/>
      <c r="D130" s="1207"/>
      <c r="E130" s="1207"/>
      <c r="F130" s="1207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8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07"/>
      <c r="AA130" s="1207"/>
      <c r="AB130" s="1207"/>
      <c r="AC130" s="1207"/>
      <c r="AD130" s="1207"/>
      <c r="AE130" s="1207"/>
      <c r="AF130" s="1207"/>
      <c r="AG130" s="1207"/>
      <c r="AH130" s="1207"/>
    </row>
    <row r="131" spans="1:34" ht="13.5" thickBot="1" x14ac:dyDescent="0.25">
      <c r="A131" s="1207"/>
      <c r="B131" s="1207"/>
      <c r="C131" s="1207"/>
      <c r="D131" s="1207"/>
      <c r="E131" s="1207"/>
      <c r="F131" s="1207"/>
      <c r="G131" s="1207"/>
      <c r="H131" s="1207"/>
      <c r="I131" s="1207"/>
      <c r="J131" s="1207"/>
      <c r="K131" s="1207"/>
      <c r="L131" s="1207"/>
      <c r="M131" s="1207"/>
      <c r="N131" s="1207"/>
      <c r="O131" s="1207"/>
      <c r="P131" s="1208"/>
      <c r="Q131" s="1207"/>
      <c r="R131" s="1207"/>
      <c r="S131" s="1207"/>
      <c r="T131" s="1207"/>
      <c r="U131" s="1207"/>
      <c r="V131" s="1207"/>
      <c r="W131" s="1207"/>
      <c r="X131" s="1207"/>
      <c r="Y131" s="1207"/>
      <c r="Z131" s="1207"/>
      <c r="AA131" s="1207"/>
      <c r="AB131" s="1207"/>
      <c r="AC131" s="1207"/>
      <c r="AD131" s="1207"/>
      <c r="AE131" s="1207"/>
      <c r="AF131" s="1207"/>
      <c r="AG131" s="1207"/>
      <c r="AH131" s="1207"/>
    </row>
    <row r="132" spans="1:34" x14ac:dyDescent="0.2">
      <c r="A132" s="1233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34"/>
      <c r="O132" s="1234"/>
      <c r="P132" s="1235"/>
      <c r="Q132" s="1234"/>
      <c r="R132" s="1234"/>
      <c r="S132" s="1234"/>
      <c r="T132" s="1234"/>
      <c r="U132" s="1234"/>
      <c r="V132" s="1234"/>
      <c r="W132" s="1234"/>
      <c r="X132" s="1234"/>
      <c r="Y132" s="1234"/>
      <c r="Z132" s="1234"/>
      <c r="AA132" s="1234"/>
      <c r="AB132" s="1234"/>
      <c r="AC132" s="1234"/>
      <c r="AD132" s="1234"/>
      <c r="AE132" s="1234"/>
      <c r="AF132" s="1234"/>
      <c r="AG132" s="1234"/>
      <c r="AH132" s="1207"/>
    </row>
    <row r="133" spans="1:34" x14ac:dyDescent="0.2">
      <c r="A133" s="1236"/>
      <c r="B133" s="1237" t="s">
        <v>37</v>
      </c>
      <c r="C133" s="1237"/>
      <c r="D133" s="1237"/>
      <c r="E133" s="1238" t="s">
        <v>816</v>
      </c>
      <c r="F133" s="1239" t="s">
        <v>95</v>
      </c>
      <c r="G133" s="1491" t="s">
        <v>6</v>
      </c>
      <c r="H133" s="1239"/>
      <c r="I133" s="1239"/>
      <c r="J133" s="1239"/>
      <c r="K133" s="1239"/>
      <c r="L133" s="1239"/>
      <c r="M133" s="1239"/>
      <c r="N133" s="1239"/>
      <c r="O133" s="1239"/>
      <c r="P133" s="1240"/>
      <c r="Q133" s="1239"/>
      <c r="R133" s="1239"/>
      <c r="S133" s="1239"/>
      <c r="T133" s="1239"/>
      <c r="U133" s="1239"/>
      <c r="V133" s="1239"/>
      <c r="W133" s="1239"/>
      <c r="X133" s="1239"/>
      <c r="Y133" s="1239"/>
      <c r="Z133" s="1239"/>
      <c r="AA133" s="1239"/>
      <c r="AB133" s="1239"/>
      <c r="AC133" s="1239"/>
      <c r="AD133" s="1239"/>
      <c r="AE133" s="1239"/>
      <c r="AF133" s="1239"/>
      <c r="AG133" s="1239"/>
      <c r="AH133" s="1207"/>
    </row>
    <row r="134" spans="1:34" x14ac:dyDescent="0.2">
      <c r="A134" s="1236"/>
      <c r="B134" s="1237"/>
      <c r="C134" s="1237"/>
      <c r="D134" s="1239"/>
      <c r="E134" s="1237"/>
      <c r="F134" s="1237"/>
      <c r="G134" s="1237"/>
      <c r="H134" s="1237"/>
      <c r="I134" s="1237"/>
      <c r="J134" s="1237"/>
      <c r="K134" s="1237"/>
      <c r="L134" s="1237"/>
      <c r="M134" s="1237"/>
      <c r="N134" s="1237"/>
      <c r="O134" s="1237"/>
      <c r="P134" s="1241"/>
      <c r="Q134" s="1237"/>
      <c r="R134" s="1237"/>
      <c r="S134" s="1237"/>
      <c r="T134" s="1237"/>
      <c r="U134" s="1237"/>
      <c r="V134" s="1237"/>
      <c r="W134" s="1237"/>
      <c r="X134" s="1237"/>
      <c r="Y134" s="1237"/>
      <c r="Z134" s="1237"/>
      <c r="AA134" s="1237"/>
      <c r="AB134" s="1237"/>
      <c r="AC134" s="1237"/>
      <c r="AD134" s="1237"/>
      <c r="AE134" s="1237"/>
      <c r="AF134" s="1237"/>
      <c r="AG134" s="1237"/>
      <c r="AH134" s="1207"/>
    </row>
    <row r="135" spans="1:34" x14ac:dyDescent="0.2">
      <c r="A135" s="1368"/>
      <c r="B135" s="1237"/>
      <c r="C135" s="1239"/>
      <c r="D135" s="1239">
        <v>42529</v>
      </c>
      <c r="E135" s="1237"/>
      <c r="F135" s="1237"/>
      <c r="G135" s="1237"/>
      <c r="H135" s="1237"/>
      <c r="I135" s="1237"/>
      <c r="J135" s="1237"/>
      <c r="K135" s="1237"/>
      <c r="L135" s="1237"/>
      <c r="M135" s="1237"/>
      <c r="N135" s="1237"/>
      <c r="O135" s="1237"/>
      <c r="P135" s="1241"/>
      <c r="Q135" s="1237"/>
      <c r="R135" s="1237"/>
      <c r="S135" s="1237"/>
      <c r="T135" s="1237"/>
      <c r="U135" s="1237"/>
      <c r="V135" s="1237"/>
      <c r="W135" s="1237"/>
      <c r="X135" s="1237"/>
      <c r="Y135" s="1237"/>
      <c r="Z135" s="1237"/>
      <c r="AA135" s="1237"/>
      <c r="AB135" s="1237"/>
      <c r="AC135" s="1237"/>
      <c r="AD135" s="1237"/>
      <c r="AE135" s="1237"/>
      <c r="AF135" s="1237"/>
      <c r="AG135" s="1237"/>
      <c r="AH135" s="1207"/>
    </row>
    <row r="136" spans="1:34" x14ac:dyDescent="0.2">
      <c r="A136" s="1236"/>
      <c r="B136" s="1237"/>
      <c r="C136" s="1239"/>
      <c r="D136" s="1239"/>
      <c r="E136" s="1237"/>
      <c r="F136" s="1237"/>
      <c r="G136" s="1237"/>
      <c r="H136" s="1237"/>
      <c r="I136" s="1237"/>
      <c r="J136" s="1237"/>
      <c r="K136" s="1237"/>
      <c r="L136" s="1237"/>
      <c r="M136" s="1237"/>
      <c r="N136" s="1237"/>
      <c r="O136" s="1237"/>
      <c r="P136" s="1241"/>
      <c r="Q136" s="1237"/>
      <c r="R136" s="1237"/>
      <c r="S136" s="1237"/>
      <c r="T136" s="1237"/>
      <c r="U136" s="1237"/>
      <c r="V136" s="1237"/>
      <c r="W136" s="1237"/>
      <c r="X136" s="1237"/>
      <c r="Y136" s="1237"/>
      <c r="Z136" s="1237"/>
      <c r="AA136" s="1237"/>
      <c r="AB136" s="1237"/>
      <c r="AC136" s="1237"/>
      <c r="AD136" s="1237"/>
      <c r="AE136" s="1237"/>
      <c r="AF136" s="1237"/>
      <c r="AG136" s="1237"/>
      <c r="AH136" s="1207"/>
    </row>
    <row r="137" spans="1:34" ht="13.5" thickBot="1" x14ac:dyDescent="0.25">
      <c r="A137" s="1236"/>
      <c r="B137" s="1237"/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1237"/>
      <c r="M137" s="1237"/>
      <c r="N137" s="1237"/>
      <c r="O137" s="1237"/>
      <c r="P137" s="1241"/>
      <c r="Q137" s="1237"/>
      <c r="R137" s="1237"/>
      <c r="S137" s="1237"/>
      <c r="T137" s="1237"/>
      <c r="U137" s="1237"/>
      <c r="V137" s="1237"/>
      <c r="W137" s="1237"/>
      <c r="X137" s="1237"/>
      <c r="Y137" s="1237"/>
      <c r="Z137" s="1237"/>
      <c r="AA137" s="1237"/>
      <c r="AB137" s="1237"/>
      <c r="AC137" s="1237"/>
      <c r="AD137" s="1237"/>
      <c r="AE137" s="1237"/>
      <c r="AF137" s="1237"/>
      <c r="AG137" s="1237"/>
      <c r="AH137" s="1207"/>
    </row>
    <row r="138" spans="1:34" ht="13.5" thickBot="1" x14ac:dyDescent="0.25">
      <c r="A138" s="1236"/>
      <c r="B138" s="1237"/>
      <c r="C138" s="1243"/>
      <c r="D138" s="1244" t="s">
        <v>16</v>
      </c>
      <c r="E138" s="1244"/>
      <c r="F138" s="1244"/>
      <c r="G138" s="1244"/>
      <c r="H138" s="1244"/>
      <c r="I138" s="1244"/>
      <c r="J138" s="1244"/>
      <c r="K138" s="1244"/>
      <c r="L138" s="1244"/>
      <c r="M138" s="1244"/>
      <c r="N138" s="1244"/>
      <c r="O138" s="1244"/>
      <c r="P138" s="1245"/>
      <c r="Q138" s="1244"/>
      <c r="R138" s="1244"/>
      <c r="S138" s="1244"/>
      <c r="T138" s="1244"/>
      <c r="U138" s="1244"/>
      <c r="V138" s="1244"/>
      <c r="W138" s="1244"/>
      <c r="X138" s="1244"/>
      <c r="Y138" s="1244"/>
      <c r="Z138" s="1244"/>
      <c r="AA138" s="1244"/>
      <c r="AB138" s="1244"/>
      <c r="AC138" s="1244"/>
      <c r="AD138" s="1244"/>
      <c r="AE138" s="1244"/>
      <c r="AF138" s="1244"/>
      <c r="AG138" s="1244"/>
      <c r="AH138" s="1207"/>
    </row>
    <row r="139" spans="1:34" ht="13.5" thickBot="1" x14ac:dyDescent="0.25">
      <c r="A139" s="1236"/>
      <c r="B139" s="1237"/>
      <c r="C139" s="1246" t="s">
        <v>452</v>
      </c>
      <c r="D139" s="1246" t="s">
        <v>453</v>
      </c>
      <c r="E139" s="1246" t="s">
        <v>434</v>
      </c>
      <c r="F139" s="1246" t="s">
        <v>390</v>
      </c>
      <c r="G139" s="1246" t="s">
        <v>454</v>
      </c>
      <c r="H139" s="1246" t="s">
        <v>455</v>
      </c>
      <c r="I139" s="1246" t="s">
        <v>456</v>
      </c>
      <c r="J139" s="1246" t="s">
        <v>457</v>
      </c>
      <c r="K139" s="1246" t="s">
        <v>458</v>
      </c>
      <c r="L139" s="1246" t="s">
        <v>216</v>
      </c>
      <c r="M139" s="1246" t="s">
        <v>459</v>
      </c>
      <c r="N139" s="1246" t="s">
        <v>297</v>
      </c>
      <c r="O139" s="1246" t="s">
        <v>211</v>
      </c>
      <c r="P139" s="1247" t="s">
        <v>270</v>
      </c>
      <c r="Q139" s="1246">
        <v>15</v>
      </c>
      <c r="R139" s="1246">
        <v>16</v>
      </c>
      <c r="S139" s="1246" t="s">
        <v>461</v>
      </c>
      <c r="T139" s="1246" t="s">
        <v>442</v>
      </c>
      <c r="U139" s="1246" t="s">
        <v>462</v>
      </c>
      <c r="V139" s="1246" t="s">
        <v>470</v>
      </c>
      <c r="W139" s="1246" t="s">
        <v>471</v>
      </c>
      <c r="X139" s="1246" t="s">
        <v>472</v>
      </c>
      <c r="Y139" s="1246" t="s">
        <v>463</v>
      </c>
      <c r="Z139" s="1246" t="s">
        <v>465</v>
      </c>
      <c r="AA139" s="1246" t="s">
        <v>466</v>
      </c>
      <c r="AB139" s="1246" t="s">
        <v>435</v>
      </c>
      <c r="AC139" s="1246" t="s">
        <v>467</v>
      </c>
      <c r="AD139" s="1246" t="s">
        <v>464</v>
      </c>
      <c r="AE139" s="1246" t="s">
        <v>429</v>
      </c>
      <c r="AF139" s="1246" t="s">
        <v>149</v>
      </c>
      <c r="AG139" s="1246" t="s">
        <v>210</v>
      </c>
      <c r="AH139" s="1207"/>
    </row>
    <row r="140" spans="1:34" x14ac:dyDescent="0.2">
      <c r="A140" s="1233"/>
      <c r="B140" s="1248"/>
      <c r="C140" s="1237"/>
      <c r="D140" s="1237"/>
      <c r="E140" s="1237"/>
      <c r="F140" s="1237"/>
      <c r="G140" s="1237"/>
      <c r="H140" s="1237"/>
      <c r="I140" s="1237"/>
      <c r="J140" s="1237"/>
      <c r="K140" s="1237"/>
      <c r="L140" s="1237"/>
      <c r="M140" s="1237"/>
      <c r="N140" s="1237"/>
      <c r="O140" s="1237"/>
      <c r="P140" s="1241"/>
      <c r="Q140" s="1237"/>
      <c r="R140" s="1237"/>
      <c r="S140" s="1237"/>
      <c r="T140" s="1237"/>
      <c r="U140" s="1237"/>
      <c r="V140" s="1237"/>
      <c r="W140" s="1237"/>
      <c r="X140" s="1237"/>
      <c r="Y140" s="1237"/>
      <c r="Z140" s="1237"/>
      <c r="AA140" s="1237"/>
      <c r="AB140" s="1237"/>
      <c r="AC140" s="1237"/>
      <c r="AD140" s="1237"/>
      <c r="AE140" s="1237"/>
      <c r="AF140" s="1237"/>
      <c r="AG140" s="1237"/>
      <c r="AH140" s="1207"/>
    </row>
    <row r="141" spans="1:34" x14ac:dyDescent="0.2">
      <c r="A141" s="1236" t="s">
        <v>0</v>
      </c>
      <c r="B141" s="1249">
        <v>-7413.1729999999998</v>
      </c>
      <c r="C141" s="1237"/>
      <c r="D141" s="1237"/>
      <c r="E141" s="1237"/>
      <c r="F141" s="1237"/>
      <c r="G141" s="1237"/>
      <c r="H141" s="1237"/>
      <c r="I141" s="1237"/>
      <c r="J141" s="1237"/>
      <c r="K141" s="1237"/>
      <c r="L141" s="1237"/>
      <c r="M141" s="1237"/>
      <c r="N141" s="1237"/>
      <c r="O141" s="1237"/>
      <c r="P141" s="1241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07"/>
    </row>
    <row r="142" spans="1:34" ht="13.5" thickBot="1" x14ac:dyDescent="0.25">
      <c r="A142" s="1250"/>
      <c r="B142" s="1251"/>
      <c r="C142" s="1237"/>
      <c r="D142" s="1237"/>
      <c r="E142" s="1237"/>
      <c r="F142" s="1237"/>
      <c r="G142" s="1237"/>
      <c r="H142" s="1237"/>
      <c r="I142" s="1237"/>
      <c r="J142" s="1237"/>
      <c r="K142" s="1237"/>
      <c r="L142" s="1237"/>
      <c r="M142" s="1237"/>
      <c r="N142" s="1237"/>
      <c r="O142" s="1237"/>
      <c r="P142" s="1241"/>
      <c r="Q142" s="1237"/>
      <c r="R142" s="1237"/>
      <c r="S142" s="1237"/>
      <c r="T142" s="1237"/>
      <c r="U142" s="1237"/>
      <c r="V142" s="1237"/>
      <c r="W142" s="1237"/>
      <c r="X142" s="1237"/>
      <c r="Y142" s="1237"/>
      <c r="Z142" s="1237"/>
      <c r="AA142" s="1237"/>
      <c r="AB142" s="1237"/>
      <c r="AC142" s="1237"/>
      <c r="AD142" s="1237"/>
      <c r="AE142" s="1237"/>
      <c r="AF142" s="1237"/>
      <c r="AG142" s="1237"/>
      <c r="AH142" s="1207"/>
    </row>
    <row r="143" spans="1:34" x14ac:dyDescent="0.2">
      <c r="A143" s="1233"/>
      <c r="B143" s="1253"/>
      <c r="C143" s="1237"/>
      <c r="D143" s="1237"/>
      <c r="E143" s="1237"/>
      <c r="F143" s="1237"/>
      <c r="G143" s="1237"/>
      <c r="H143" s="1237"/>
      <c r="I143" s="1237"/>
      <c r="J143" s="1237"/>
      <c r="K143" s="1237"/>
      <c r="L143" s="1237"/>
      <c r="M143" s="1237"/>
      <c r="N143" s="1237"/>
      <c r="O143" s="1237"/>
      <c r="P143" s="1241"/>
      <c r="Q143" s="1237"/>
      <c r="R143" s="1237"/>
      <c r="S143" s="1237"/>
      <c r="T143" s="1237"/>
      <c r="U143" s="1237"/>
      <c r="V143" s="1237"/>
      <c r="W143" s="1237"/>
      <c r="X143" s="1237"/>
      <c r="Y143" s="1237"/>
      <c r="Z143" s="1237"/>
      <c r="AA143" s="1237"/>
      <c r="AB143" s="1237"/>
      <c r="AC143" s="1237"/>
      <c r="AD143" s="1237"/>
      <c r="AE143" s="1237"/>
      <c r="AF143" s="1237"/>
      <c r="AG143" s="1237"/>
      <c r="AH143" s="1207"/>
    </row>
    <row r="144" spans="1:34" x14ac:dyDescent="0.2">
      <c r="A144" s="1236" t="s">
        <v>1</v>
      </c>
      <c r="B144" s="1249">
        <f>B145+B146+B147</f>
        <v>0</v>
      </c>
      <c r="C144" s="1237"/>
      <c r="D144" s="1237"/>
      <c r="E144" s="1237"/>
      <c r="F144" s="1237"/>
      <c r="G144" s="1237"/>
      <c r="H144" s="1237"/>
      <c r="I144" s="1237"/>
      <c r="J144" s="1237"/>
      <c r="K144" s="1237"/>
      <c r="L144" s="1237"/>
      <c r="M144" s="1237"/>
      <c r="N144" s="1237"/>
      <c r="O144" s="1237"/>
      <c r="P144" s="1241"/>
      <c r="Q144" s="1237"/>
      <c r="R144" s="1237"/>
      <c r="S144" s="1237"/>
      <c r="T144" s="1237"/>
      <c r="U144" s="1237"/>
      <c r="V144" s="1237"/>
      <c r="W144" s="1237"/>
      <c r="X144" s="1237"/>
      <c r="Y144" s="1237"/>
      <c r="Z144" s="1237"/>
      <c r="AA144" s="1237"/>
      <c r="AB144" s="1237"/>
      <c r="AC144" s="1237"/>
      <c r="AD144" s="1237"/>
      <c r="AE144" s="1237"/>
      <c r="AF144" s="1237"/>
      <c r="AG144" s="1237"/>
      <c r="AH144" s="1207"/>
    </row>
    <row r="145" spans="1:34" x14ac:dyDescent="0.2">
      <c r="A145" s="1236" t="s">
        <v>38</v>
      </c>
      <c r="B145" s="1249">
        <f>C195</f>
        <v>0</v>
      </c>
      <c r="C145" s="1237"/>
      <c r="D145" s="1237"/>
      <c r="E145" s="1237"/>
      <c r="F145" s="1237"/>
      <c r="G145" s="1237"/>
      <c r="H145" s="1237"/>
      <c r="I145" s="1237"/>
      <c r="J145" s="1237"/>
      <c r="K145" s="1237"/>
      <c r="L145" s="1237"/>
      <c r="M145" s="1237"/>
      <c r="N145" s="1237"/>
      <c r="O145" s="1237"/>
      <c r="P145" s="1241"/>
      <c r="Q145" s="1237"/>
      <c r="R145" s="1237"/>
      <c r="S145" s="1237"/>
      <c r="T145" s="1237"/>
      <c r="U145" s="1237"/>
      <c r="V145" s="1237"/>
      <c r="W145" s="1237"/>
      <c r="X145" s="1237"/>
      <c r="Y145" s="1237"/>
      <c r="Z145" s="1237"/>
      <c r="AA145" s="1237"/>
      <c r="AB145" s="1237"/>
      <c r="AC145" s="1237"/>
      <c r="AD145" s="1237"/>
      <c r="AE145" s="1237"/>
      <c r="AF145" s="1237"/>
      <c r="AG145" s="1237"/>
      <c r="AH145" s="1207"/>
    </row>
    <row r="146" spans="1:34" x14ac:dyDescent="0.2">
      <c r="A146" s="1236" t="s">
        <v>39</v>
      </c>
      <c r="B146" s="1249">
        <f>C215</f>
        <v>0</v>
      </c>
      <c r="C146" s="1237"/>
      <c r="D146" s="1237"/>
      <c r="E146" s="1237"/>
      <c r="F146" s="1237"/>
      <c r="G146" s="1237"/>
      <c r="H146" s="1237"/>
      <c r="I146" s="1237"/>
      <c r="J146" s="1237"/>
      <c r="K146" s="1237"/>
      <c r="L146" s="1237"/>
      <c r="M146" s="1237"/>
      <c r="N146" s="1237"/>
      <c r="O146" s="1237"/>
      <c r="P146" s="1241"/>
      <c r="Q146" s="1237"/>
      <c r="R146" s="1237"/>
      <c r="S146" s="1237"/>
      <c r="T146" s="1237"/>
      <c r="U146" s="1237"/>
      <c r="V146" s="1237"/>
      <c r="W146" s="1237"/>
      <c r="X146" s="1237"/>
      <c r="Y146" s="1237"/>
      <c r="Z146" s="1237"/>
      <c r="AA146" s="1237"/>
      <c r="AB146" s="1237"/>
      <c r="AC146" s="1237"/>
      <c r="AD146" s="1237"/>
      <c r="AE146" s="1237"/>
      <c r="AF146" s="1237"/>
      <c r="AG146" s="1237"/>
      <c r="AH146" s="1207"/>
    </row>
    <row r="147" spans="1:34" x14ac:dyDescent="0.2">
      <c r="A147" s="1236" t="s">
        <v>3</v>
      </c>
      <c r="B147" s="1249"/>
      <c r="C147" s="1237"/>
      <c r="D147" s="1237"/>
      <c r="E147" s="1237"/>
      <c r="F147" s="1237"/>
      <c r="G147" s="1237"/>
      <c r="H147" s="1237"/>
      <c r="I147" s="1237"/>
      <c r="J147" s="1237"/>
      <c r="K147" s="1237"/>
      <c r="L147" s="1237"/>
      <c r="M147" s="1237"/>
      <c r="N147" s="1237"/>
      <c r="O147" s="1237"/>
      <c r="P147" s="1241"/>
      <c r="Q147" s="1237"/>
      <c r="R147" s="1237"/>
      <c r="S147" s="1237"/>
      <c r="T147" s="1237"/>
      <c r="U147" s="1237"/>
      <c r="V147" s="1237"/>
      <c r="W147" s="1237"/>
      <c r="X147" s="1237"/>
      <c r="Y147" s="1237"/>
      <c r="Z147" s="1237"/>
      <c r="AA147" s="1237"/>
      <c r="AB147" s="1237"/>
      <c r="AC147" s="1237"/>
      <c r="AD147" s="1237"/>
      <c r="AE147" s="1237"/>
      <c r="AF147" s="1237"/>
      <c r="AG147" s="1237"/>
      <c r="AH147" s="1207"/>
    </row>
    <row r="148" spans="1:34" ht="13.5" thickBot="1" x14ac:dyDescent="0.25">
      <c r="A148" s="1250"/>
      <c r="B148" s="1251"/>
      <c r="C148" s="1237"/>
      <c r="D148" s="1237"/>
      <c r="E148" s="1237"/>
      <c r="F148" s="1237"/>
      <c r="G148" s="1237"/>
      <c r="H148" s="1237"/>
      <c r="I148" s="1237"/>
      <c r="J148" s="1237"/>
      <c r="K148" s="1237"/>
      <c r="L148" s="1237"/>
      <c r="M148" s="1237"/>
      <c r="N148" s="1237"/>
      <c r="O148" s="1237"/>
      <c r="P148" s="1241"/>
      <c r="Q148" s="1237"/>
      <c r="R148" s="1237"/>
      <c r="S148" s="1237"/>
      <c r="T148" s="1237"/>
      <c r="U148" s="1237"/>
      <c r="V148" s="1237"/>
      <c r="W148" s="1237"/>
      <c r="X148" s="1237"/>
      <c r="Y148" s="1237"/>
      <c r="Z148" s="1237"/>
      <c r="AA148" s="1237"/>
      <c r="AB148" s="1237"/>
      <c r="AC148" s="1237"/>
      <c r="AD148" s="1237"/>
      <c r="AE148" s="1237"/>
      <c r="AF148" s="1237"/>
      <c r="AG148" s="1237"/>
      <c r="AH148" s="1207"/>
    </row>
    <row r="149" spans="1:34" x14ac:dyDescent="0.2">
      <c r="A149" s="1233"/>
      <c r="B149" s="1253"/>
      <c r="C149" s="1237"/>
      <c r="D149" s="1237"/>
      <c r="E149" s="1237"/>
      <c r="F149" s="1237"/>
      <c r="G149" s="1237"/>
      <c r="H149" s="1237"/>
      <c r="I149" s="1237"/>
      <c r="J149" s="1237"/>
      <c r="K149" s="1237"/>
      <c r="L149" s="1237"/>
      <c r="M149" s="1237"/>
      <c r="N149" s="1237"/>
      <c r="O149" s="1237"/>
      <c r="P149" s="1241"/>
      <c r="Q149" s="1237"/>
      <c r="R149" s="1237"/>
      <c r="S149" s="1237"/>
      <c r="T149" s="1237"/>
      <c r="U149" s="1237"/>
      <c r="V149" s="1237"/>
      <c r="W149" s="1237"/>
      <c r="X149" s="1237"/>
      <c r="Y149" s="1237"/>
      <c r="Z149" s="1237"/>
      <c r="AA149" s="1237"/>
      <c r="AB149" s="1237"/>
      <c r="AC149" s="1237"/>
      <c r="AD149" s="1237"/>
      <c r="AE149" s="1237"/>
      <c r="AF149" s="1237"/>
      <c r="AG149" s="1237"/>
      <c r="AH149" s="1207"/>
    </row>
    <row r="150" spans="1:34" x14ac:dyDescent="0.2">
      <c r="A150" s="1236" t="s">
        <v>4</v>
      </c>
      <c r="B150" s="1249">
        <f>B141+B144</f>
        <v>-7413.1729999999998</v>
      </c>
      <c r="C150" s="1237"/>
      <c r="D150" s="1237"/>
      <c r="E150" s="1237"/>
      <c r="F150" s="1237"/>
      <c r="G150" s="1237"/>
      <c r="H150" s="1237"/>
      <c r="I150" s="1237"/>
      <c r="J150" s="1237"/>
      <c r="K150" s="1237"/>
      <c r="L150" s="1237"/>
      <c r="M150" s="1237"/>
      <c r="N150" s="1237"/>
      <c r="O150" s="1237"/>
      <c r="P150" s="1241"/>
      <c r="Q150" s="1237"/>
      <c r="R150" s="1237"/>
      <c r="S150" s="1237"/>
      <c r="T150" s="1237"/>
      <c r="U150" s="1237"/>
      <c r="V150" s="1237"/>
      <c r="W150" s="1237"/>
      <c r="X150" s="1237"/>
      <c r="Y150" s="1237"/>
      <c r="Z150" s="1237"/>
      <c r="AA150" s="1237"/>
      <c r="AB150" s="1237"/>
      <c r="AC150" s="1237"/>
      <c r="AD150" s="1237"/>
      <c r="AE150" s="1237"/>
      <c r="AF150" s="1237"/>
      <c r="AG150" s="1237"/>
      <c r="AH150" s="1207"/>
    </row>
    <row r="151" spans="1:34" ht="13.5" thickBot="1" x14ac:dyDescent="0.25">
      <c r="A151" s="1250"/>
      <c r="B151" s="1251"/>
      <c r="C151" s="1237"/>
      <c r="D151" s="1237"/>
      <c r="E151" s="1237"/>
      <c r="F151" s="1237"/>
      <c r="G151" s="1237"/>
      <c r="H151" s="1237"/>
      <c r="I151" s="1237"/>
      <c r="J151" s="1237"/>
      <c r="K151" s="1237"/>
      <c r="L151" s="1237"/>
      <c r="M151" s="1237"/>
      <c r="N151" s="1237"/>
      <c r="O151" s="1237"/>
      <c r="P151" s="1241"/>
      <c r="Q151" s="1237"/>
      <c r="R151" s="1237"/>
      <c r="S151" s="1237"/>
      <c r="T151" s="1237"/>
      <c r="U151" s="1237"/>
      <c r="V151" s="1237"/>
      <c r="W151" s="1237"/>
      <c r="X151" s="1237"/>
      <c r="Y151" s="1237"/>
      <c r="Z151" s="1237"/>
      <c r="AA151" s="1237"/>
      <c r="AB151" s="1237"/>
      <c r="AC151" s="1237"/>
      <c r="AD151" s="1237"/>
      <c r="AE151" s="1237"/>
      <c r="AF151" s="1237"/>
      <c r="AG151" s="1237"/>
      <c r="AH151" s="1207"/>
    </row>
    <row r="152" spans="1:34" x14ac:dyDescent="0.2">
      <c r="A152" s="1233"/>
      <c r="B152" s="1253"/>
      <c r="C152" s="1237"/>
      <c r="D152" s="1237"/>
      <c r="E152" s="1237"/>
      <c r="F152" s="1237"/>
      <c r="G152" s="1237"/>
      <c r="H152" s="1237"/>
      <c r="I152" s="1237"/>
      <c r="J152" s="1237"/>
      <c r="K152" s="1237"/>
      <c r="L152" s="1237"/>
      <c r="M152" s="1237"/>
      <c r="N152" s="1237"/>
      <c r="O152" s="1237"/>
      <c r="P152" s="1241"/>
      <c r="Q152" s="1237"/>
      <c r="R152" s="1237"/>
      <c r="S152" s="1237"/>
      <c r="T152" s="1237"/>
      <c r="U152" s="1237"/>
      <c r="V152" s="1237"/>
      <c r="W152" s="1237"/>
      <c r="X152" s="1237"/>
      <c r="Y152" s="1237"/>
      <c r="Z152" s="1237"/>
      <c r="AA152" s="1237"/>
      <c r="AB152" s="1237"/>
      <c r="AC152" s="1237"/>
      <c r="AD152" s="1237"/>
      <c r="AE152" s="1237"/>
      <c r="AF152" s="1237"/>
      <c r="AG152" s="1237"/>
      <c r="AH152" s="1207"/>
    </row>
    <row r="153" spans="1:34" ht="20.25" x14ac:dyDescent="0.3">
      <c r="A153" s="1236" t="s">
        <v>17</v>
      </c>
      <c r="B153" s="1249"/>
      <c r="C153" s="1237"/>
      <c r="D153" s="1237"/>
      <c r="E153" s="1237"/>
      <c r="F153" s="1237"/>
      <c r="G153" s="1237"/>
      <c r="H153" s="1237"/>
      <c r="I153" s="1749"/>
      <c r="J153" s="1749"/>
      <c r="K153" s="1749"/>
      <c r="L153" s="1749"/>
      <c r="M153" s="1748"/>
      <c r="N153" s="1748"/>
      <c r="O153" s="1748"/>
      <c r="P153" s="1748"/>
      <c r="Q153" s="1748"/>
      <c r="R153" s="1748"/>
      <c r="S153" s="1748"/>
      <c r="T153" s="1748"/>
      <c r="U153" s="1748"/>
      <c r="V153" s="1752"/>
      <c r="W153" s="1752"/>
      <c r="X153" s="1752"/>
      <c r="Y153" s="1237"/>
      <c r="Z153" s="1237"/>
      <c r="AA153" s="1237"/>
      <c r="AB153" s="1237"/>
      <c r="AC153" s="1237"/>
      <c r="AD153" s="1237"/>
      <c r="AE153" s="1237"/>
      <c r="AF153" s="1237"/>
      <c r="AG153" s="1237"/>
      <c r="AH153" s="1207"/>
    </row>
    <row r="154" spans="1:34" ht="13.5" thickBot="1" x14ac:dyDescent="0.25">
      <c r="A154" s="1250"/>
      <c r="B154" s="1251"/>
      <c r="C154" s="1237"/>
      <c r="D154" s="1237"/>
      <c r="E154" s="1237"/>
      <c r="F154" s="1237"/>
      <c r="G154" s="1237"/>
      <c r="H154" s="1237"/>
      <c r="I154" s="1237"/>
      <c r="J154" s="1237"/>
      <c r="K154" s="1237"/>
      <c r="L154" s="1237"/>
      <c r="M154" s="1237"/>
      <c r="N154" s="1237"/>
      <c r="O154" s="1237"/>
      <c r="P154" s="1241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07"/>
    </row>
    <row r="155" spans="1:34" x14ac:dyDescent="0.2">
      <c r="A155" s="1233"/>
      <c r="B155" s="1253"/>
      <c r="C155" s="1237"/>
      <c r="D155" s="1369"/>
      <c r="E155" s="1237"/>
      <c r="F155" s="1237"/>
      <c r="G155" s="1237"/>
      <c r="H155" s="1237"/>
      <c r="I155" s="1237"/>
      <c r="J155" s="1237"/>
      <c r="K155" s="1237"/>
      <c r="L155" s="1237"/>
      <c r="M155" s="1237"/>
      <c r="N155" s="1237"/>
      <c r="O155" s="1237"/>
      <c r="P155" s="1241"/>
      <c r="Q155" s="1237"/>
      <c r="R155" s="1237"/>
      <c r="S155" s="1237"/>
      <c r="T155" s="1237"/>
      <c r="U155" s="1491"/>
      <c r="V155" s="1237"/>
      <c r="W155" s="1237"/>
      <c r="X155" s="1237"/>
      <c r="Y155" s="1237"/>
      <c r="Z155" s="1491"/>
      <c r="AA155" s="1237"/>
      <c r="AB155" s="1237"/>
      <c r="AC155" s="1369"/>
      <c r="AD155" s="1237"/>
      <c r="AF155" s="1237"/>
      <c r="AG155" s="1237"/>
      <c r="AH155" s="1207"/>
    </row>
    <row r="156" spans="1:34" x14ac:dyDescent="0.2">
      <c r="A156" s="1236" t="s">
        <v>5</v>
      </c>
      <c r="B156" s="1249">
        <f>B150-B153</f>
        <v>-7413.1729999999998</v>
      </c>
      <c r="C156" s="1491"/>
      <c r="D156" s="1369"/>
      <c r="E156" s="1370" t="s">
        <v>1313</v>
      </c>
      <c r="F156" s="1491"/>
      <c r="G156" s="1256"/>
      <c r="H156" s="1491"/>
      <c r="I156" s="1491"/>
      <c r="J156" s="1237"/>
      <c r="K156" s="1491" t="s">
        <v>92</v>
      </c>
      <c r="L156" s="1491"/>
      <c r="M156" s="1491"/>
      <c r="N156" s="1237"/>
      <c r="O156" s="1491"/>
      <c r="P156" s="1212"/>
      <c r="Q156" s="1491"/>
      <c r="R156" s="1491"/>
      <c r="S156" s="1491"/>
      <c r="T156" s="1256"/>
      <c r="U156" s="1491"/>
      <c r="V156" s="1491"/>
      <c r="W156" s="1541" t="s">
        <v>1340</v>
      </c>
      <c r="X156" s="1509"/>
      <c r="Y156" s="1491" t="s">
        <v>92</v>
      </c>
      <c r="Z156" s="1491"/>
      <c r="AA156" s="1491" t="s">
        <v>1315</v>
      </c>
      <c r="AB156" s="1491"/>
      <c r="AC156" s="1371"/>
      <c r="AD156" s="1491"/>
      <c r="AE156" s="1223"/>
      <c r="AF156" s="1491"/>
      <c r="AG156" s="1491"/>
      <c r="AH156" s="1207"/>
    </row>
    <row r="157" spans="1:34" ht="13.5" thickBot="1" x14ac:dyDescent="0.25">
      <c r="A157" s="1250"/>
      <c r="B157" s="1251"/>
      <c r="C157" s="1237"/>
      <c r="D157" s="1237"/>
      <c r="E157" s="1237"/>
      <c r="F157" s="1237"/>
      <c r="G157" s="1237"/>
      <c r="H157" s="1237"/>
      <c r="I157" s="1237"/>
      <c r="J157" s="1237"/>
      <c r="K157" s="1237"/>
      <c r="L157" s="1237"/>
      <c r="M157" s="1237"/>
      <c r="N157" s="1237"/>
      <c r="O157" s="1237"/>
      <c r="P157" s="1212"/>
      <c r="Q157" s="1491"/>
      <c r="R157" s="1491"/>
      <c r="S157" s="1491"/>
      <c r="T157" s="1491"/>
      <c r="U157" s="1491"/>
      <c r="V157" s="1491"/>
      <c r="W157" s="1491"/>
      <c r="X157" s="1491"/>
      <c r="Y157" s="1491"/>
      <c r="Z157" s="1491"/>
      <c r="AA157" s="1491"/>
      <c r="AB157" s="1491"/>
      <c r="AC157" s="1491"/>
      <c r="AD157" s="1491"/>
      <c r="AE157" s="1491"/>
      <c r="AF157" s="1491"/>
      <c r="AG157" s="1491"/>
      <c r="AH157" s="1207"/>
    </row>
    <row r="158" spans="1:34" x14ac:dyDescent="0.2">
      <c r="A158" s="1269"/>
      <c r="B158" s="1237"/>
      <c r="C158" s="1270"/>
      <c r="D158" s="1272"/>
      <c r="E158" s="1272"/>
      <c r="F158" s="1271"/>
      <c r="G158" s="1271"/>
      <c r="H158" s="1271"/>
      <c r="I158" s="1271"/>
      <c r="J158" s="1271"/>
      <c r="K158" s="1271"/>
      <c r="L158" s="1271"/>
      <c r="M158" s="1271"/>
      <c r="N158" s="1271"/>
      <c r="O158" s="1271"/>
      <c r="P158" s="1273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07"/>
    </row>
    <row r="159" spans="1:34" ht="13.5" thickBot="1" x14ac:dyDescent="0.25">
      <c r="A159" s="1274" t="s">
        <v>7</v>
      </c>
      <c r="B159" s="1237"/>
      <c r="C159" s="1275">
        <f t="shared" ref="C159:AG159" si="17">C160+C161+C162+C166+C165+C163+C164</f>
        <v>0</v>
      </c>
      <c r="D159" s="1275">
        <f t="shared" si="17"/>
        <v>0</v>
      </c>
      <c r="E159" s="1275">
        <f t="shared" si="17"/>
        <v>0</v>
      </c>
      <c r="F159" s="1275">
        <f t="shared" si="17"/>
        <v>0</v>
      </c>
      <c r="G159" s="1275">
        <f t="shared" si="17"/>
        <v>0</v>
      </c>
      <c r="H159" s="1275">
        <f t="shared" si="17"/>
        <v>0</v>
      </c>
      <c r="I159" s="1275">
        <f t="shared" si="17"/>
        <v>0</v>
      </c>
      <c r="J159" s="1275">
        <f t="shared" si="17"/>
        <v>0</v>
      </c>
      <c r="K159" s="1275">
        <f t="shared" si="17"/>
        <v>0</v>
      </c>
      <c r="L159" s="1275">
        <f t="shared" si="17"/>
        <v>0</v>
      </c>
      <c r="M159" s="1275">
        <f t="shared" si="17"/>
        <v>0</v>
      </c>
      <c r="N159" s="1275">
        <f t="shared" si="17"/>
        <v>0</v>
      </c>
      <c r="O159" s="1275">
        <f t="shared" si="17"/>
        <v>0</v>
      </c>
      <c r="P159" s="1276">
        <f t="shared" si="17"/>
        <v>0</v>
      </c>
      <c r="Q159" s="1275">
        <f t="shared" si="17"/>
        <v>0</v>
      </c>
      <c r="R159" s="1275">
        <f t="shared" si="17"/>
        <v>0</v>
      </c>
      <c r="S159" s="1275">
        <f t="shared" si="17"/>
        <v>0</v>
      </c>
      <c r="T159" s="1275">
        <f t="shared" si="17"/>
        <v>0</v>
      </c>
      <c r="U159" s="1275">
        <f t="shared" si="17"/>
        <v>0</v>
      </c>
      <c r="V159" s="1275">
        <f t="shared" si="17"/>
        <v>0</v>
      </c>
      <c r="W159" s="1275">
        <f t="shared" si="17"/>
        <v>0</v>
      </c>
      <c r="X159" s="1275">
        <f t="shared" si="17"/>
        <v>0</v>
      </c>
      <c r="Y159" s="1275">
        <f t="shared" si="17"/>
        <v>0</v>
      </c>
      <c r="Z159" s="1275">
        <f t="shared" si="17"/>
        <v>0</v>
      </c>
      <c r="AA159" s="1275">
        <f t="shared" si="17"/>
        <v>0</v>
      </c>
      <c r="AB159" s="1275">
        <f t="shared" si="17"/>
        <v>0</v>
      </c>
      <c r="AC159" s="1275">
        <f t="shared" si="17"/>
        <v>0</v>
      </c>
      <c r="AD159" s="1275">
        <f t="shared" si="17"/>
        <v>0</v>
      </c>
      <c r="AE159" s="1275">
        <f t="shared" si="17"/>
        <v>0</v>
      </c>
      <c r="AF159" s="1275">
        <f t="shared" si="17"/>
        <v>0</v>
      </c>
      <c r="AG159" s="1275">
        <f t="shared" si="17"/>
        <v>0</v>
      </c>
      <c r="AH159" s="1227">
        <f t="shared" ref="AH159:AH167" si="18">SUM(C159:AG159)</f>
        <v>0</v>
      </c>
    </row>
    <row r="160" spans="1:34" x14ac:dyDescent="0.2">
      <c r="A160" s="1274" t="s">
        <v>8</v>
      </c>
      <c r="B160" s="1237"/>
      <c r="C160" s="1302"/>
      <c r="D160" s="1302"/>
      <c r="E160" s="1302"/>
      <c r="F160" s="1303"/>
      <c r="G160" s="1303"/>
      <c r="H160" s="1303"/>
      <c r="I160" s="1303"/>
      <c r="J160" s="1303"/>
      <c r="K160" s="1303"/>
      <c r="L160" s="1303"/>
      <c r="M160" s="1303"/>
      <c r="N160" s="1303"/>
      <c r="O160" s="1303"/>
      <c r="P160" s="1304"/>
      <c r="Q160" s="1303"/>
      <c r="R160" s="1303"/>
      <c r="S160" s="1303"/>
      <c r="T160" s="1303"/>
      <c r="U160" s="1303"/>
      <c r="V160" s="1303"/>
      <c r="W160" s="1303"/>
      <c r="X160" s="1303"/>
      <c r="Y160" s="1303"/>
      <c r="Z160" s="1303"/>
      <c r="AA160" s="1303"/>
      <c r="AB160" s="1303"/>
      <c r="AC160" s="1303"/>
      <c r="AD160" s="1303"/>
      <c r="AE160" s="1303"/>
      <c r="AF160" s="1303"/>
      <c r="AG160" s="1303"/>
      <c r="AH160" s="1227">
        <f t="shared" si="18"/>
        <v>0</v>
      </c>
    </row>
    <row r="161" spans="1:35" x14ac:dyDescent="0.2">
      <c r="A161" s="1274" t="s">
        <v>9</v>
      </c>
      <c r="B161" s="1237"/>
      <c r="C161" s="1302"/>
      <c r="D161" s="1302"/>
      <c r="E161" s="1302"/>
      <c r="F161" s="1303"/>
      <c r="G161" s="1303"/>
      <c r="H161" s="1303"/>
      <c r="I161" s="1303"/>
      <c r="J161" s="1303"/>
      <c r="K161" s="1303"/>
      <c r="L161" s="1303"/>
      <c r="M161" s="1303"/>
      <c r="N161" s="1303"/>
      <c r="O161" s="1303"/>
      <c r="P161" s="1304"/>
      <c r="Q161" s="1303"/>
      <c r="R161" s="1303"/>
      <c r="S161" s="1303"/>
      <c r="T161" s="1303"/>
      <c r="U161" s="1303"/>
      <c r="V161" s="1303"/>
      <c r="W161" s="1303"/>
      <c r="X161" s="1303"/>
      <c r="Y161" s="1303"/>
      <c r="Z161" s="1303"/>
      <c r="AA161" s="1303"/>
      <c r="AB161" s="1303"/>
      <c r="AC161" s="1303"/>
      <c r="AD161" s="1303"/>
      <c r="AE161" s="1303"/>
      <c r="AF161" s="1303"/>
      <c r="AG161" s="1303"/>
      <c r="AH161" s="1227">
        <f t="shared" si="18"/>
        <v>0</v>
      </c>
    </row>
    <row r="162" spans="1:35" s="1289" customFormat="1" x14ac:dyDescent="0.2">
      <c r="A162" s="1285" t="s">
        <v>10</v>
      </c>
      <c r="B162" s="1372"/>
      <c r="C162" s="1373"/>
      <c r="D162" s="1374"/>
      <c r="E162" s="1374"/>
      <c r="F162" s="1375"/>
      <c r="G162" s="1376"/>
      <c r="H162" s="1375"/>
      <c r="I162" s="1375"/>
      <c r="J162" s="1375"/>
      <c r="K162" s="1375">
        <v>-25796</v>
      </c>
      <c r="L162" s="1375"/>
      <c r="M162" s="1375"/>
      <c r="N162" s="1375"/>
      <c r="O162" s="1375"/>
      <c r="P162" s="1375"/>
      <c r="Q162" s="1375"/>
      <c r="R162" s="1375"/>
      <c r="S162" s="1375"/>
      <c r="T162" s="1376"/>
      <c r="U162" s="1375"/>
      <c r="V162" s="1375"/>
      <c r="W162" s="1375"/>
      <c r="X162" s="1375"/>
      <c r="Y162" s="1375">
        <v>-36900</v>
      </c>
      <c r="Z162" s="1375"/>
      <c r="AA162" s="1375"/>
      <c r="AB162" s="1375"/>
      <c r="AC162" s="1375"/>
      <c r="AD162" s="1375"/>
      <c r="AE162" s="1378"/>
      <c r="AF162" s="1375"/>
      <c r="AG162" s="1375"/>
      <c r="AH162" s="1231">
        <f t="shared" si="18"/>
        <v>-62696</v>
      </c>
    </row>
    <row r="163" spans="1:35" s="1289" customFormat="1" x14ac:dyDescent="0.2">
      <c r="A163" s="1285" t="s">
        <v>356</v>
      </c>
      <c r="B163" s="1372"/>
      <c r="C163" s="1492"/>
      <c r="D163" s="1492"/>
      <c r="E163" s="1492"/>
      <c r="F163" s="1492"/>
      <c r="G163" s="1492"/>
      <c r="H163" s="1492"/>
      <c r="I163" s="1492"/>
      <c r="J163" s="1492"/>
      <c r="K163" s="1292">
        <v>25796</v>
      </c>
      <c r="L163" s="1492"/>
      <c r="M163" s="1492"/>
      <c r="N163" s="1492"/>
      <c r="O163" s="1492"/>
      <c r="P163" s="1492"/>
      <c r="Q163" s="1492"/>
      <c r="R163" s="1492"/>
      <c r="S163" s="1492"/>
      <c r="T163" s="1492"/>
      <c r="U163" s="1492"/>
      <c r="V163" s="1492"/>
      <c r="W163" s="1492"/>
      <c r="X163" s="1292"/>
      <c r="Y163" s="1292">
        <v>36900</v>
      </c>
      <c r="Z163" s="1292"/>
      <c r="AA163" s="1292"/>
      <c r="AB163" s="1492"/>
      <c r="AC163" s="1492"/>
      <c r="AD163" s="1492"/>
      <c r="AE163" s="1492"/>
      <c r="AF163" s="1492"/>
      <c r="AG163" s="1492"/>
      <c r="AH163" s="1231">
        <f t="shared" si="18"/>
        <v>62696</v>
      </c>
    </row>
    <row r="164" spans="1:35" x14ac:dyDescent="0.2">
      <c r="A164" s="1274" t="s">
        <v>357</v>
      </c>
      <c r="B164" s="1237"/>
      <c r="C164" s="1306"/>
      <c r="D164" s="1302"/>
      <c r="E164" s="1306"/>
      <c r="F164" s="1303"/>
      <c r="G164" s="1303"/>
      <c r="H164" s="1304"/>
      <c r="I164" s="1304"/>
      <c r="J164" s="1304"/>
      <c r="K164" s="1304"/>
      <c r="L164" s="1304"/>
      <c r="M164" s="1304"/>
      <c r="N164" s="1304"/>
      <c r="O164" s="1304"/>
      <c r="P164" s="1304"/>
      <c r="Q164" s="1304"/>
      <c r="R164" s="1304"/>
      <c r="S164" s="1304"/>
      <c r="T164" s="1304"/>
      <c r="U164" s="1304"/>
      <c r="V164" s="1304"/>
      <c r="W164" s="1304"/>
      <c r="X164" s="1304"/>
      <c r="Y164" s="1304"/>
      <c r="Z164" s="1304"/>
      <c r="AA164" s="1304"/>
      <c r="AB164" s="1304"/>
      <c r="AC164" s="1304"/>
      <c r="AD164" s="1304"/>
      <c r="AE164" s="1304"/>
      <c r="AF164" s="1304"/>
      <c r="AG164" s="1304"/>
      <c r="AH164" s="1227">
        <f t="shared" si="18"/>
        <v>0</v>
      </c>
    </row>
    <row r="165" spans="1:35" x14ac:dyDescent="0.2">
      <c r="A165" s="1274" t="s">
        <v>41</v>
      </c>
      <c r="B165" s="1237"/>
      <c r="C165" s="1306"/>
      <c r="D165" s="1302"/>
      <c r="E165" s="1306"/>
      <c r="F165" s="1303"/>
      <c r="G165" s="1303"/>
      <c r="H165" s="1304"/>
      <c r="I165" s="1304"/>
      <c r="J165" s="1304"/>
      <c r="K165" s="1304"/>
      <c r="L165" s="1304"/>
      <c r="M165" s="1304"/>
      <c r="N165" s="1304"/>
      <c r="O165" s="1304"/>
      <c r="P165" s="1304"/>
      <c r="Q165" s="1304"/>
      <c r="R165" s="1304"/>
      <c r="S165" s="1304"/>
      <c r="T165" s="1304"/>
      <c r="U165" s="1304"/>
      <c r="V165" s="1304"/>
      <c r="W165" s="1304"/>
      <c r="X165" s="1304"/>
      <c r="Y165" s="1304"/>
      <c r="Z165" s="1304"/>
      <c r="AA165" s="1304"/>
      <c r="AB165" s="1304"/>
      <c r="AC165" s="1304"/>
      <c r="AD165" s="1304"/>
      <c r="AE165" s="1304"/>
      <c r="AF165" s="1304"/>
      <c r="AG165" s="1304"/>
      <c r="AH165" s="1227">
        <f t="shared" si="18"/>
        <v>0</v>
      </c>
    </row>
    <row r="166" spans="1:35" x14ac:dyDescent="0.2">
      <c r="A166" s="1274" t="s">
        <v>11</v>
      </c>
      <c r="B166" s="1237"/>
      <c r="C166" s="1302"/>
      <c r="D166" s="1306"/>
      <c r="E166" s="1306"/>
      <c r="F166" s="1304"/>
      <c r="G166" s="1304"/>
      <c r="H166" s="1304"/>
      <c r="I166" s="1304"/>
      <c r="J166" s="1304"/>
      <c r="K166" s="1304"/>
      <c r="L166" s="1304"/>
      <c r="M166" s="1304"/>
      <c r="N166" s="1304"/>
      <c r="O166" s="1304"/>
      <c r="P166" s="1304"/>
      <c r="Q166" s="1304"/>
      <c r="R166" s="1304"/>
      <c r="S166" s="1304"/>
      <c r="T166" s="1304"/>
      <c r="U166" s="1304"/>
      <c r="V166" s="1304"/>
      <c r="W166" s="1304"/>
      <c r="X166" s="1304"/>
      <c r="Y166" s="1304"/>
      <c r="Z166" s="1304"/>
      <c r="AA166" s="1304"/>
      <c r="AB166" s="1318"/>
      <c r="AC166" s="1304"/>
      <c r="AD166" s="1304"/>
      <c r="AE166" s="1304"/>
      <c r="AF166" s="1304"/>
      <c r="AG166" s="1304"/>
      <c r="AH166" s="1227">
        <f t="shared" si="18"/>
        <v>0</v>
      </c>
    </row>
    <row r="167" spans="1:35" ht="13.5" thickBot="1" x14ac:dyDescent="0.25">
      <c r="A167" s="1294"/>
      <c r="B167" s="1237"/>
      <c r="C167" s="1302"/>
      <c r="D167" s="1302"/>
      <c r="E167" s="1302"/>
      <c r="F167" s="1303"/>
      <c r="G167" s="1303"/>
      <c r="H167" s="1303"/>
      <c r="I167" s="1303"/>
      <c r="J167" s="1303"/>
      <c r="K167" s="1303"/>
      <c r="L167" s="1303"/>
      <c r="M167" s="1303"/>
      <c r="N167" s="1303"/>
      <c r="O167" s="1303"/>
      <c r="P167" s="1304"/>
      <c r="Q167" s="1303"/>
      <c r="R167" s="1303"/>
      <c r="S167" s="1303"/>
      <c r="T167" s="1303"/>
      <c r="U167" s="1303"/>
      <c r="V167" s="1303"/>
      <c r="W167" s="1303"/>
      <c r="X167" s="1303"/>
      <c r="Y167" s="1303"/>
      <c r="Z167" s="1303"/>
      <c r="AA167" s="1303"/>
      <c r="AB167" s="1303"/>
      <c r="AC167" s="1303"/>
      <c r="AD167" s="1303"/>
      <c r="AE167" s="1303"/>
      <c r="AF167" s="1303"/>
      <c r="AG167" s="1303"/>
      <c r="AH167" s="1227">
        <f t="shared" si="18"/>
        <v>0</v>
      </c>
    </row>
    <row r="168" spans="1:35" x14ac:dyDescent="0.2">
      <c r="A168" s="1269"/>
      <c r="B168" s="1237"/>
      <c r="C168" s="1296"/>
      <c r="D168" s="1297"/>
      <c r="E168" s="1297"/>
      <c r="F168" s="1298"/>
      <c r="G168" s="1298"/>
      <c r="H168" s="1298"/>
      <c r="I168" s="1298"/>
      <c r="J168" s="1298"/>
      <c r="K168" s="1298"/>
      <c r="L168" s="1298"/>
      <c r="M168" s="1298"/>
      <c r="N168" s="1298"/>
      <c r="O168" s="1298"/>
      <c r="P168" s="1299"/>
      <c r="Q168" s="1298"/>
      <c r="R168" s="1298"/>
      <c r="S168" s="1298"/>
      <c r="T168" s="1298"/>
      <c r="U168" s="1298"/>
      <c r="V168" s="1298"/>
      <c r="W168" s="1298"/>
      <c r="X168" s="1298"/>
      <c r="Y168" s="1298"/>
      <c r="Z168" s="1298"/>
      <c r="AA168" s="1298"/>
      <c r="AB168" s="1298"/>
      <c r="AC168" s="1298"/>
      <c r="AD168" s="1298"/>
      <c r="AE168" s="1298"/>
      <c r="AF168" s="1298"/>
      <c r="AG168" s="1298"/>
      <c r="AH168" s="1207"/>
    </row>
    <row r="169" spans="1:35" ht="13.5" thickBot="1" x14ac:dyDescent="0.25">
      <c r="A169" s="1274" t="s">
        <v>12</v>
      </c>
      <c r="B169" s="1237"/>
      <c r="C169" s="1275">
        <f t="shared" ref="C169:AG169" si="19">C170</f>
        <v>0</v>
      </c>
      <c r="D169" s="1275">
        <f t="shared" si="19"/>
        <v>0</v>
      </c>
      <c r="E169" s="1275">
        <f t="shared" si="19"/>
        <v>0</v>
      </c>
      <c r="F169" s="1275">
        <f t="shared" si="19"/>
        <v>0</v>
      </c>
      <c r="G169" s="1275">
        <f t="shared" si="19"/>
        <v>0</v>
      </c>
      <c r="H169" s="1275">
        <f t="shared" si="19"/>
        <v>0</v>
      </c>
      <c r="I169" s="1275">
        <f t="shared" si="19"/>
        <v>0</v>
      </c>
      <c r="J169" s="1275">
        <f t="shared" si="19"/>
        <v>0</v>
      </c>
      <c r="K169" s="1275">
        <f t="shared" si="19"/>
        <v>0</v>
      </c>
      <c r="L169" s="1275">
        <f t="shared" si="19"/>
        <v>0</v>
      </c>
      <c r="M169" s="1275">
        <f t="shared" si="19"/>
        <v>0</v>
      </c>
      <c r="N169" s="1275">
        <f t="shared" si="19"/>
        <v>0</v>
      </c>
      <c r="O169" s="1275">
        <f t="shared" si="19"/>
        <v>0</v>
      </c>
      <c r="P169" s="1276">
        <f t="shared" si="19"/>
        <v>0</v>
      </c>
      <c r="Q169" s="1275">
        <f t="shared" si="19"/>
        <v>0</v>
      </c>
      <c r="R169" s="1275">
        <f t="shared" si="19"/>
        <v>0</v>
      </c>
      <c r="S169" s="1275">
        <f t="shared" si="19"/>
        <v>0</v>
      </c>
      <c r="T169" s="1275">
        <f t="shared" si="19"/>
        <v>0</v>
      </c>
      <c r="U169" s="1275">
        <f t="shared" si="19"/>
        <v>0</v>
      </c>
      <c r="V169" s="1275">
        <f t="shared" si="19"/>
        <v>0</v>
      </c>
      <c r="W169" s="1275">
        <f t="shared" si="19"/>
        <v>0</v>
      </c>
      <c r="X169" s="1275">
        <f t="shared" si="19"/>
        <v>0</v>
      </c>
      <c r="Y169" s="1275">
        <f t="shared" si="19"/>
        <v>0</v>
      </c>
      <c r="Z169" s="1275">
        <f t="shared" si="19"/>
        <v>0</v>
      </c>
      <c r="AA169" s="1275">
        <f t="shared" si="19"/>
        <v>0</v>
      </c>
      <c r="AB169" s="1275">
        <f t="shared" si="19"/>
        <v>0</v>
      </c>
      <c r="AC169" s="1275">
        <f t="shared" si="19"/>
        <v>0</v>
      </c>
      <c r="AD169" s="1275">
        <f t="shared" si="19"/>
        <v>0</v>
      </c>
      <c r="AE169" s="1275">
        <f t="shared" si="19"/>
        <v>0</v>
      </c>
      <c r="AF169" s="1275">
        <f t="shared" si="19"/>
        <v>0</v>
      </c>
      <c r="AG169" s="1275">
        <f t="shared" si="19"/>
        <v>0</v>
      </c>
      <c r="AH169" s="1207"/>
    </row>
    <row r="170" spans="1:35" x14ac:dyDescent="0.2">
      <c r="A170" s="1274" t="s">
        <v>8</v>
      </c>
      <c r="B170" s="1237"/>
      <c r="C170" s="1302"/>
      <c r="D170" s="1302"/>
      <c r="E170" s="1302"/>
      <c r="F170" s="1303"/>
      <c r="G170" s="1303"/>
      <c r="H170" s="1303"/>
      <c r="I170" s="1303"/>
      <c r="J170" s="1303"/>
      <c r="K170" s="1303"/>
      <c r="L170" s="1303"/>
      <c r="M170" s="1303"/>
      <c r="N170" s="1303"/>
      <c r="O170" s="1303"/>
      <c r="P170" s="1304"/>
      <c r="Q170" s="1303"/>
      <c r="R170" s="1303"/>
      <c r="S170" s="1303"/>
      <c r="T170" s="1303"/>
      <c r="U170" s="1303"/>
      <c r="V170" s="1303"/>
      <c r="W170" s="1303"/>
      <c r="X170" s="1303"/>
      <c r="Y170" s="1303"/>
      <c r="Z170" s="1303"/>
      <c r="AA170" s="1303"/>
      <c r="AB170" s="1303"/>
      <c r="AC170" s="1303"/>
      <c r="AD170" s="1303"/>
      <c r="AE170" s="1303"/>
      <c r="AF170" s="1303"/>
      <c r="AG170" s="1303"/>
      <c r="AH170" s="1207"/>
    </row>
    <row r="171" spans="1:35" x14ac:dyDescent="0.2">
      <c r="A171" s="1274" t="s">
        <v>775</v>
      </c>
      <c r="B171" s="1237"/>
      <c r="C171" s="1473">
        <v>3671.538</v>
      </c>
      <c r="D171" s="1473"/>
      <c r="E171" s="1473"/>
      <c r="F171" s="1473"/>
      <c r="G171" s="1473">
        <v>5449.52</v>
      </c>
      <c r="H171" s="1473"/>
      <c r="I171" s="1473"/>
      <c r="J171" s="1473"/>
      <c r="K171" s="1473"/>
      <c r="L171" s="1473">
        <v>1182.7439999999999</v>
      </c>
      <c r="M171" s="1473"/>
      <c r="N171" s="1473"/>
      <c r="O171" s="1473"/>
      <c r="P171" s="1473"/>
      <c r="Q171" s="1473">
        <v>547.80100000000004</v>
      </c>
      <c r="R171" s="1473"/>
      <c r="S171" s="1473"/>
      <c r="T171" s="1473"/>
      <c r="U171" s="1473">
        <v>2814.4789999999998</v>
      </c>
      <c r="V171" s="1473">
        <v>862.63800000000003</v>
      </c>
      <c r="W171" s="1473"/>
      <c r="X171" s="1473"/>
      <c r="Y171" s="1473"/>
      <c r="Z171" s="1473"/>
      <c r="AA171" s="1473">
        <v>2104.9720000000002</v>
      </c>
      <c r="AB171" s="1473"/>
      <c r="AC171" s="1473"/>
      <c r="AD171" s="1473">
        <v>1461.65</v>
      </c>
      <c r="AE171" s="1473"/>
      <c r="AF171" s="1473">
        <v>7803.3140000000003</v>
      </c>
      <c r="AG171" s="1473">
        <v>13261.294000000002</v>
      </c>
      <c r="AH171" s="1227"/>
    </row>
    <row r="172" spans="1:35" ht="13.5" thickBot="1" x14ac:dyDescent="0.25">
      <c r="A172" s="1294"/>
      <c r="B172" s="1237"/>
      <c r="C172" s="1302"/>
      <c r="D172" s="1302"/>
      <c r="E172" s="1302"/>
      <c r="F172" s="1303"/>
      <c r="G172" s="1303"/>
      <c r="H172" s="1303"/>
      <c r="I172" s="1303"/>
      <c r="J172" s="1303"/>
      <c r="K172" s="1303"/>
      <c r="L172" s="1303"/>
      <c r="M172" s="1303"/>
      <c r="N172" s="1303"/>
      <c r="O172" s="1303"/>
      <c r="P172" s="1304"/>
      <c r="Q172" s="1303"/>
      <c r="R172" s="1303"/>
      <c r="S172" s="1303"/>
      <c r="T172" s="1303"/>
      <c r="U172" s="1303"/>
      <c r="V172" s="1303"/>
      <c r="W172" s="1303"/>
      <c r="X172" s="1303"/>
      <c r="Y172" s="1303"/>
      <c r="Z172" s="1303"/>
      <c r="AA172" s="1303"/>
      <c r="AB172" s="1303"/>
      <c r="AC172" s="1303"/>
      <c r="AD172" s="1303"/>
      <c r="AE172" s="1303"/>
      <c r="AF172" s="1303"/>
      <c r="AG172" s="1303"/>
      <c r="AH172" s="1207"/>
    </row>
    <row r="173" spans="1:35" x14ac:dyDescent="0.2">
      <c r="A173" s="1269"/>
      <c r="B173" s="1237"/>
      <c r="C173" s="1296"/>
      <c r="D173" s="1297"/>
      <c r="E173" s="1297"/>
      <c r="F173" s="1298"/>
      <c r="G173" s="1298"/>
      <c r="H173" s="1298"/>
      <c r="I173" s="1298"/>
      <c r="J173" s="1298"/>
      <c r="K173" s="1298"/>
      <c r="L173" s="1298"/>
      <c r="M173" s="1298"/>
      <c r="N173" s="1298"/>
      <c r="O173" s="1298"/>
      <c r="P173" s="1299"/>
      <c r="Q173" s="1298"/>
      <c r="R173" s="1298"/>
      <c r="S173" s="1298"/>
      <c r="T173" s="1298"/>
      <c r="U173" s="1298"/>
      <c r="V173" s="1298"/>
      <c r="W173" s="1298"/>
      <c r="X173" s="1298"/>
      <c r="Y173" s="1298"/>
      <c r="Z173" s="1298"/>
      <c r="AA173" s="1298"/>
      <c r="AB173" s="1298"/>
      <c r="AC173" s="1298"/>
      <c r="AD173" s="1298"/>
      <c r="AE173" s="1298"/>
      <c r="AF173" s="1298"/>
      <c r="AG173" s="1298"/>
      <c r="AH173" s="1207"/>
    </row>
    <row r="174" spans="1:35" x14ac:dyDescent="0.2">
      <c r="A174" s="1274" t="s">
        <v>13</v>
      </c>
      <c r="B174" s="1237"/>
      <c r="C174" s="1300">
        <f t="shared" ref="C174:AG174" si="20">C169-C159</f>
        <v>0</v>
      </c>
      <c r="D174" s="1300">
        <f t="shared" si="20"/>
        <v>0</v>
      </c>
      <c r="E174" s="1300">
        <f t="shared" si="20"/>
        <v>0</v>
      </c>
      <c r="F174" s="1300">
        <f t="shared" si="20"/>
        <v>0</v>
      </c>
      <c r="G174" s="1300">
        <f t="shared" si="20"/>
        <v>0</v>
      </c>
      <c r="H174" s="1300">
        <f t="shared" si="20"/>
        <v>0</v>
      </c>
      <c r="I174" s="1300">
        <f t="shared" si="20"/>
        <v>0</v>
      </c>
      <c r="J174" s="1300">
        <f t="shared" si="20"/>
        <v>0</v>
      </c>
      <c r="K174" s="1300">
        <f t="shared" si="20"/>
        <v>0</v>
      </c>
      <c r="L174" s="1300">
        <f t="shared" si="20"/>
        <v>0</v>
      </c>
      <c r="M174" s="1300">
        <f t="shared" si="20"/>
        <v>0</v>
      </c>
      <c r="N174" s="1300">
        <f t="shared" si="20"/>
        <v>0</v>
      </c>
      <c r="O174" s="1300">
        <f t="shared" si="20"/>
        <v>0</v>
      </c>
      <c r="P174" s="1301">
        <f t="shared" si="20"/>
        <v>0</v>
      </c>
      <c r="Q174" s="1300">
        <f t="shared" si="20"/>
        <v>0</v>
      </c>
      <c r="R174" s="1300">
        <f t="shared" si="20"/>
        <v>0</v>
      </c>
      <c r="S174" s="1300">
        <f t="shared" si="20"/>
        <v>0</v>
      </c>
      <c r="T174" s="1300">
        <f t="shared" si="20"/>
        <v>0</v>
      </c>
      <c r="U174" s="1300">
        <f t="shared" si="20"/>
        <v>0</v>
      </c>
      <c r="V174" s="1300">
        <f t="shared" si="20"/>
        <v>0</v>
      </c>
      <c r="W174" s="1300">
        <f t="shared" si="20"/>
        <v>0</v>
      </c>
      <c r="X174" s="1300">
        <f t="shared" si="20"/>
        <v>0</v>
      </c>
      <c r="Y174" s="1300">
        <f t="shared" si="20"/>
        <v>0</v>
      </c>
      <c r="Z174" s="1300">
        <f t="shared" si="20"/>
        <v>0</v>
      </c>
      <c r="AA174" s="1300">
        <f t="shared" si="20"/>
        <v>0</v>
      </c>
      <c r="AB174" s="1300">
        <f t="shared" si="20"/>
        <v>0</v>
      </c>
      <c r="AC174" s="1300">
        <f t="shared" si="20"/>
        <v>0</v>
      </c>
      <c r="AD174" s="1300">
        <f t="shared" si="20"/>
        <v>0</v>
      </c>
      <c r="AE174" s="1300">
        <f t="shared" si="20"/>
        <v>0</v>
      </c>
      <c r="AF174" s="1300">
        <f t="shared" si="20"/>
        <v>0</v>
      </c>
      <c r="AG174" s="1300">
        <f t="shared" si="20"/>
        <v>0</v>
      </c>
      <c r="AH174" s="1207"/>
    </row>
    <row r="175" spans="1:35" ht="13.5" thickBot="1" x14ac:dyDescent="0.25">
      <c r="A175" s="1274"/>
      <c r="B175" s="1237"/>
      <c r="C175" s="1300"/>
      <c r="D175" s="1302"/>
      <c r="E175" s="1302"/>
      <c r="F175" s="1303"/>
      <c r="G175" s="1303"/>
      <c r="H175" s="1303"/>
      <c r="I175" s="1303"/>
      <c r="J175" s="1303"/>
      <c r="K175" s="1303"/>
      <c r="L175" s="1303"/>
      <c r="M175" s="1303"/>
      <c r="N175" s="1303"/>
      <c r="O175" s="1303"/>
      <c r="P175" s="1304"/>
      <c r="Q175" s="1303"/>
      <c r="R175" s="1303"/>
      <c r="S175" s="1303"/>
      <c r="T175" s="1303"/>
      <c r="U175" s="1303"/>
      <c r="V175" s="1303"/>
      <c r="W175" s="1303"/>
      <c r="X175" s="1303"/>
      <c r="Y175" s="1303"/>
      <c r="Z175" s="1303"/>
      <c r="AA175" s="1303"/>
      <c r="AB175" s="1303"/>
      <c r="AC175" s="1303"/>
      <c r="AD175" s="1303"/>
      <c r="AE175" s="1303"/>
      <c r="AF175" s="1303"/>
      <c r="AG175" s="1303"/>
      <c r="AH175" s="1207"/>
      <c r="AI175" s="1209" t="s">
        <v>813</v>
      </c>
    </row>
    <row r="176" spans="1:35" x14ac:dyDescent="0.2">
      <c r="A176" s="1233"/>
      <c r="B176" s="1234"/>
      <c r="C176" s="1305"/>
      <c r="D176" s="1297"/>
      <c r="E176" s="1297"/>
      <c r="F176" s="1298"/>
      <c r="G176" s="1298"/>
      <c r="H176" s="1298"/>
      <c r="I176" s="1298"/>
      <c r="J176" s="1298"/>
      <c r="K176" s="1298"/>
      <c r="L176" s="1298"/>
      <c r="M176" s="1298"/>
      <c r="N176" s="1298"/>
      <c r="O176" s="1298"/>
      <c r="P176" s="1299"/>
      <c r="Q176" s="1298"/>
      <c r="R176" s="1298"/>
      <c r="S176" s="1298"/>
      <c r="T176" s="1298"/>
      <c r="U176" s="1298"/>
      <c r="V176" s="1298"/>
      <c r="W176" s="1298"/>
      <c r="X176" s="1298"/>
      <c r="Y176" s="1298"/>
      <c r="Z176" s="1298"/>
      <c r="AA176" s="1298"/>
      <c r="AB176" s="1298"/>
      <c r="AC176" s="1298"/>
      <c r="AD176" s="1298"/>
      <c r="AE176" s="1298"/>
      <c r="AF176" s="1298"/>
      <c r="AG176" s="1298"/>
      <c r="AH176" s="1207"/>
    </row>
    <row r="177" spans="1:34" x14ac:dyDescent="0.2">
      <c r="A177" s="1236" t="s">
        <v>15</v>
      </c>
      <c r="B177" s="1237"/>
      <c r="C177" s="1302">
        <f>B156+C174</f>
        <v>-7413.1729999999998</v>
      </c>
      <c r="D177" s="1302">
        <f t="shared" ref="D177:AG177" si="21">C184+D174</f>
        <v>-7413.1729999999998</v>
      </c>
      <c r="E177" s="1302">
        <f t="shared" si="21"/>
        <v>-7413.1729999999998</v>
      </c>
      <c r="F177" s="1302">
        <f t="shared" si="21"/>
        <v>-7413.1729999999998</v>
      </c>
      <c r="G177" s="1302">
        <f t="shared" si="21"/>
        <v>-7413.1729999999998</v>
      </c>
      <c r="H177" s="1302">
        <f t="shared" si="21"/>
        <v>-7413.1729999999998</v>
      </c>
      <c r="I177" s="1302">
        <f t="shared" si="21"/>
        <v>-7413.1729999999998</v>
      </c>
      <c r="J177" s="1302">
        <f t="shared" si="21"/>
        <v>-7413.1729999999998</v>
      </c>
      <c r="K177" s="1302">
        <f t="shared" si="21"/>
        <v>-7413.1729999999998</v>
      </c>
      <c r="L177" s="1302">
        <f t="shared" si="21"/>
        <v>-7413.1729999999998</v>
      </c>
      <c r="M177" s="1302">
        <f t="shared" si="21"/>
        <v>-7413.1729999999998</v>
      </c>
      <c r="N177" s="1302">
        <f t="shared" si="21"/>
        <v>-7413.1729999999998</v>
      </c>
      <c r="O177" s="1302">
        <f t="shared" si="21"/>
        <v>-7413.1729999999998</v>
      </c>
      <c r="P177" s="1306">
        <f t="shared" si="21"/>
        <v>-7413.1729999999998</v>
      </c>
      <c r="Q177" s="1302">
        <f t="shared" si="21"/>
        <v>-7413.1729999999998</v>
      </c>
      <c r="R177" s="1302">
        <f t="shared" si="21"/>
        <v>-7413.1729999999998</v>
      </c>
      <c r="S177" s="1302">
        <f t="shared" si="21"/>
        <v>-7413.1729999999998</v>
      </c>
      <c r="T177" s="1302">
        <f t="shared" si="21"/>
        <v>-7413.1729999999998</v>
      </c>
      <c r="U177" s="1302">
        <f t="shared" si="21"/>
        <v>-7413.1729999999998</v>
      </c>
      <c r="V177" s="1302">
        <f t="shared" si="21"/>
        <v>-7413.1729999999998</v>
      </c>
      <c r="W177" s="1302">
        <f t="shared" si="21"/>
        <v>-7413.1729999999998</v>
      </c>
      <c r="X177" s="1302">
        <f t="shared" si="21"/>
        <v>-7413.1729999999998</v>
      </c>
      <c r="Y177" s="1302">
        <f t="shared" si="21"/>
        <v>-7413.1729999999998</v>
      </c>
      <c r="Z177" s="1302">
        <f t="shared" si="21"/>
        <v>-7413.1729999999998</v>
      </c>
      <c r="AA177" s="1302">
        <f t="shared" si="21"/>
        <v>-7413.1729999999998</v>
      </c>
      <c r="AB177" s="1302">
        <f t="shared" si="21"/>
        <v>-7413.1729999999998</v>
      </c>
      <c r="AC177" s="1302">
        <f t="shared" si="21"/>
        <v>-7413.1729999999998</v>
      </c>
      <c r="AD177" s="1302">
        <f t="shared" si="21"/>
        <v>-7413.1729999999998</v>
      </c>
      <c r="AE177" s="1302">
        <f t="shared" si="21"/>
        <v>-7413.1729999999998</v>
      </c>
      <c r="AF177" s="1302">
        <f t="shared" si="21"/>
        <v>-7413.1729999999998</v>
      </c>
      <c r="AG177" s="1302">
        <f t="shared" si="21"/>
        <v>-7413.1729999999998</v>
      </c>
      <c r="AH177" s="1207"/>
    </row>
    <row r="178" spans="1:34" ht="13.5" thickBot="1" x14ac:dyDescent="0.25">
      <c r="A178" s="1250"/>
      <c r="B178" s="1307"/>
      <c r="C178" s="1308"/>
      <c r="D178" s="1308"/>
      <c r="E178" s="1308"/>
      <c r="F178" s="1309"/>
      <c r="G178" s="1309"/>
      <c r="H178" s="1309"/>
      <c r="I178" s="1309"/>
      <c r="J178" s="1309"/>
      <c r="K178" s="1309"/>
      <c r="L178" s="1309"/>
      <c r="M178" s="1309"/>
      <c r="N178" s="1309"/>
      <c r="O178" s="1309"/>
      <c r="P178" s="1310"/>
      <c r="Q178" s="1309"/>
      <c r="R178" s="1309"/>
      <c r="S178" s="1309"/>
      <c r="T178" s="1309"/>
      <c r="U178" s="1309"/>
      <c r="V178" s="1309"/>
      <c r="W178" s="1309"/>
      <c r="X178" s="1309"/>
      <c r="Y178" s="1309"/>
      <c r="Z178" s="1309"/>
      <c r="AA178" s="1309"/>
      <c r="AB178" s="1309"/>
      <c r="AC178" s="1309"/>
      <c r="AD178" s="1309"/>
      <c r="AE178" s="1309"/>
      <c r="AF178" s="1309"/>
      <c r="AG178" s="1309"/>
      <c r="AH178" s="1207"/>
    </row>
    <row r="179" spans="1:34" x14ac:dyDescent="0.2">
      <c r="A179" s="1233"/>
      <c r="B179" s="1234"/>
      <c r="C179" s="1297"/>
      <c r="D179" s="1297"/>
      <c r="E179" s="1297"/>
      <c r="F179" s="1298"/>
      <c r="G179" s="1298"/>
      <c r="H179" s="1298"/>
      <c r="I179" s="1298"/>
      <c r="J179" s="1298"/>
      <c r="K179" s="1298"/>
      <c r="L179" s="1298"/>
      <c r="M179" s="1298"/>
      <c r="N179" s="1298"/>
      <c r="O179" s="1298"/>
      <c r="P179" s="1299"/>
      <c r="Q179" s="1298"/>
      <c r="R179" s="1298"/>
      <c r="S179" s="1298"/>
      <c r="T179" s="1298"/>
      <c r="U179" s="1298"/>
      <c r="V179" s="1298"/>
      <c r="W179" s="1298"/>
      <c r="X179" s="1298"/>
      <c r="Y179" s="1298"/>
      <c r="Z179" s="1298"/>
      <c r="AA179" s="1298"/>
      <c r="AB179" s="1298"/>
      <c r="AC179" s="1298"/>
      <c r="AD179" s="1298"/>
      <c r="AE179" s="1298"/>
      <c r="AF179" s="1298"/>
      <c r="AG179" s="1298"/>
      <c r="AH179" s="1207"/>
    </row>
    <row r="180" spans="1:34" x14ac:dyDescent="0.2">
      <c r="A180" s="1236" t="s">
        <v>82</v>
      </c>
      <c r="B180" s="1237"/>
      <c r="C180" s="1302">
        <f t="shared" ref="C180:AG181" si="22">C188</f>
        <v>0</v>
      </c>
      <c r="D180" s="1302">
        <f t="shared" si="22"/>
        <v>0</v>
      </c>
      <c r="E180" s="1302">
        <f t="shared" si="22"/>
        <v>0</v>
      </c>
      <c r="F180" s="1302">
        <f t="shared" si="22"/>
        <v>0</v>
      </c>
      <c r="G180" s="1302">
        <f t="shared" si="22"/>
        <v>0</v>
      </c>
      <c r="H180" s="1302">
        <f t="shared" si="22"/>
        <v>0</v>
      </c>
      <c r="I180" s="1302">
        <f t="shared" si="22"/>
        <v>0</v>
      </c>
      <c r="J180" s="1302">
        <f t="shared" si="22"/>
        <v>0</v>
      </c>
      <c r="K180" s="1302">
        <f t="shared" si="22"/>
        <v>0</v>
      </c>
      <c r="L180" s="1302">
        <f t="shared" si="22"/>
        <v>0</v>
      </c>
      <c r="M180" s="1302">
        <f t="shared" si="22"/>
        <v>0</v>
      </c>
      <c r="N180" s="1302">
        <f t="shared" si="22"/>
        <v>0</v>
      </c>
      <c r="O180" s="1302">
        <f t="shared" si="22"/>
        <v>0</v>
      </c>
      <c r="P180" s="1306">
        <f t="shared" si="22"/>
        <v>0</v>
      </c>
      <c r="Q180" s="1302">
        <f t="shared" si="22"/>
        <v>0</v>
      </c>
      <c r="R180" s="1302">
        <f t="shared" si="22"/>
        <v>0</v>
      </c>
      <c r="S180" s="1302">
        <f t="shared" si="22"/>
        <v>0</v>
      </c>
      <c r="T180" s="1302">
        <f t="shared" si="22"/>
        <v>0</v>
      </c>
      <c r="U180" s="1302">
        <f t="shared" si="22"/>
        <v>0</v>
      </c>
      <c r="V180" s="1302">
        <f t="shared" si="22"/>
        <v>0</v>
      </c>
      <c r="W180" s="1302">
        <f t="shared" si="22"/>
        <v>0</v>
      </c>
      <c r="X180" s="1302">
        <f t="shared" si="22"/>
        <v>0</v>
      </c>
      <c r="Y180" s="1302">
        <f t="shared" si="22"/>
        <v>0</v>
      </c>
      <c r="Z180" s="1302">
        <f t="shared" si="22"/>
        <v>0</v>
      </c>
      <c r="AA180" s="1302">
        <f t="shared" si="22"/>
        <v>0</v>
      </c>
      <c r="AB180" s="1302">
        <f t="shared" si="22"/>
        <v>0</v>
      </c>
      <c r="AC180" s="1302">
        <f t="shared" si="22"/>
        <v>0</v>
      </c>
      <c r="AD180" s="1302">
        <f t="shared" si="22"/>
        <v>0</v>
      </c>
      <c r="AE180" s="1302">
        <f t="shared" si="22"/>
        <v>0</v>
      </c>
      <c r="AF180" s="1302">
        <f t="shared" si="22"/>
        <v>0</v>
      </c>
      <c r="AG180" s="1302">
        <f t="shared" si="22"/>
        <v>0</v>
      </c>
      <c r="AH180" s="1207"/>
    </row>
    <row r="181" spans="1:34" x14ac:dyDescent="0.2">
      <c r="A181" s="1236" t="s">
        <v>83</v>
      </c>
      <c r="B181" s="1237"/>
      <c r="C181" s="1306">
        <f t="shared" si="22"/>
        <v>0</v>
      </c>
      <c r="D181" s="1306">
        <f t="shared" si="22"/>
        <v>0</v>
      </c>
      <c r="E181" s="1306">
        <f t="shared" si="22"/>
        <v>0</v>
      </c>
      <c r="F181" s="1306">
        <f t="shared" si="22"/>
        <v>0</v>
      </c>
      <c r="G181" s="1306">
        <f t="shared" si="22"/>
        <v>0</v>
      </c>
      <c r="H181" s="1306">
        <f t="shared" si="22"/>
        <v>0</v>
      </c>
      <c r="I181" s="1306">
        <f t="shared" si="22"/>
        <v>0</v>
      </c>
      <c r="J181" s="1306">
        <f t="shared" si="22"/>
        <v>0</v>
      </c>
      <c r="K181" s="1306">
        <f t="shared" si="22"/>
        <v>0</v>
      </c>
      <c r="L181" s="1306">
        <f t="shared" si="22"/>
        <v>0</v>
      </c>
      <c r="M181" s="1306">
        <f t="shared" si="22"/>
        <v>0</v>
      </c>
      <c r="N181" s="1306">
        <f t="shared" si="22"/>
        <v>0</v>
      </c>
      <c r="O181" s="1306">
        <f t="shared" si="22"/>
        <v>0</v>
      </c>
      <c r="P181" s="1306">
        <f t="shared" si="22"/>
        <v>0</v>
      </c>
      <c r="Q181" s="1306">
        <f t="shared" si="22"/>
        <v>0</v>
      </c>
      <c r="R181" s="1306">
        <f t="shared" si="22"/>
        <v>0</v>
      </c>
      <c r="S181" s="1306">
        <f t="shared" si="22"/>
        <v>0</v>
      </c>
      <c r="T181" s="1306">
        <f t="shared" si="22"/>
        <v>0</v>
      </c>
      <c r="U181" s="1306">
        <f t="shared" si="22"/>
        <v>0</v>
      </c>
      <c r="V181" s="1306">
        <f t="shared" si="22"/>
        <v>0</v>
      </c>
      <c r="W181" s="1306">
        <f t="shared" si="22"/>
        <v>0</v>
      </c>
      <c r="X181" s="1306">
        <f t="shared" si="22"/>
        <v>0</v>
      </c>
      <c r="Y181" s="1306">
        <f t="shared" si="22"/>
        <v>0</v>
      </c>
      <c r="Z181" s="1306">
        <f t="shared" si="22"/>
        <v>0</v>
      </c>
      <c r="AA181" s="1306">
        <f t="shared" si="22"/>
        <v>0</v>
      </c>
      <c r="AB181" s="1306">
        <f t="shared" si="22"/>
        <v>0</v>
      </c>
      <c r="AC181" s="1306">
        <f t="shared" si="22"/>
        <v>0</v>
      </c>
      <c r="AD181" s="1306">
        <f t="shared" si="22"/>
        <v>0</v>
      </c>
      <c r="AE181" s="1306">
        <f t="shared" si="22"/>
        <v>0</v>
      </c>
      <c r="AF181" s="1306">
        <f t="shared" si="22"/>
        <v>0</v>
      </c>
      <c r="AG181" s="1306">
        <f t="shared" si="22"/>
        <v>0</v>
      </c>
      <c r="AH181" s="1207"/>
    </row>
    <row r="182" spans="1:34" ht="13.5" thickBot="1" x14ac:dyDescent="0.25">
      <c r="A182" s="1250"/>
      <c r="B182" s="1307"/>
      <c r="C182" s="1308"/>
      <c r="D182" s="1308"/>
      <c r="E182" s="1308"/>
      <c r="F182" s="1309"/>
      <c r="G182" s="1309"/>
      <c r="H182" s="1309"/>
      <c r="I182" s="1309"/>
      <c r="J182" s="1309"/>
      <c r="K182" s="1309"/>
      <c r="L182" s="1309"/>
      <c r="M182" s="1309"/>
      <c r="N182" s="1309"/>
      <c r="O182" s="1309"/>
      <c r="P182" s="1310"/>
      <c r="Q182" s="1309"/>
      <c r="R182" s="1309"/>
      <c r="S182" s="1309"/>
      <c r="T182" s="1309"/>
      <c r="U182" s="1309"/>
      <c r="V182" s="1309"/>
      <c r="W182" s="1309"/>
      <c r="X182" s="1309"/>
      <c r="Y182" s="1309"/>
      <c r="Z182" s="1309"/>
      <c r="AA182" s="1309"/>
      <c r="AB182" s="1309"/>
      <c r="AC182" s="1309"/>
      <c r="AD182" s="1309"/>
      <c r="AE182" s="1309"/>
      <c r="AF182" s="1309"/>
      <c r="AG182" s="1309"/>
      <c r="AH182" s="1207"/>
    </row>
    <row r="183" spans="1:34" x14ac:dyDescent="0.2">
      <c r="A183" s="1236"/>
      <c r="B183" s="1237"/>
      <c r="C183" s="1302"/>
      <c r="D183" s="1302"/>
      <c r="E183" s="1302"/>
      <c r="F183" s="1303"/>
      <c r="G183" s="1303"/>
      <c r="H183" s="1303"/>
      <c r="I183" s="1303"/>
      <c r="J183" s="1303"/>
      <c r="K183" s="1303"/>
      <c r="L183" s="1303"/>
      <c r="M183" s="1303"/>
      <c r="N183" s="1303"/>
      <c r="O183" s="1303"/>
      <c r="P183" s="1304"/>
      <c r="Q183" s="1303"/>
      <c r="R183" s="1303"/>
      <c r="S183" s="1303"/>
      <c r="T183" s="1303"/>
      <c r="U183" s="1303"/>
      <c r="V183" s="1303"/>
      <c r="W183" s="1303"/>
      <c r="X183" s="1303"/>
      <c r="Y183" s="1303"/>
      <c r="Z183" s="1303"/>
      <c r="AA183" s="1303"/>
      <c r="AB183" s="1303"/>
      <c r="AC183" s="1303"/>
      <c r="AD183" s="1303"/>
      <c r="AE183" s="1303"/>
      <c r="AF183" s="1303"/>
      <c r="AG183" s="1303"/>
      <c r="AH183" s="1208"/>
    </row>
    <row r="184" spans="1:34" x14ac:dyDescent="0.2">
      <c r="A184" s="1236" t="s">
        <v>14</v>
      </c>
      <c r="B184" s="1237"/>
      <c r="C184" s="1302">
        <f t="shared" ref="C184:AG184" si="23">C177+C180+C181</f>
        <v>-7413.1729999999998</v>
      </c>
      <c r="D184" s="1302">
        <f t="shared" si="23"/>
        <v>-7413.1729999999998</v>
      </c>
      <c r="E184" s="1302">
        <f t="shared" si="23"/>
        <v>-7413.1729999999998</v>
      </c>
      <c r="F184" s="1302">
        <f t="shared" si="23"/>
        <v>-7413.1729999999998</v>
      </c>
      <c r="G184" s="1302">
        <f t="shared" si="23"/>
        <v>-7413.1729999999998</v>
      </c>
      <c r="H184" s="1302">
        <f t="shared" si="23"/>
        <v>-7413.1729999999998</v>
      </c>
      <c r="I184" s="1302">
        <f t="shared" si="23"/>
        <v>-7413.1729999999998</v>
      </c>
      <c r="J184" s="1302">
        <f t="shared" si="23"/>
        <v>-7413.1729999999998</v>
      </c>
      <c r="K184" s="1302">
        <f t="shared" si="23"/>
        <v>-7413.1729999999998</v>
      </c>
      <c r="L184" s="1302">
        <f t="shared" si="23"/>
        <v>-7413.1729999999998</v>
      </c>
      <c r="M184" s="1302">
        <f t="shared" si="23"/>
        <v>-7413.1729999999998</v>
      </c>
      <c r="N184" s="1302">
        <f t="shared" si="23"/>
        <v>-7413.1729999999998</v>
      </c>
      <c r="O184" s="1302">
        <f t="shared" si="23"/>
        <v>-7413.1729999999998</v>
      </c>
      <c r="P184" s="1306">
        <f t="shared" si="23"/>
        <v>-7413.1729999999998</v>
      </c>
      <c r="Q184" s="1302">
        <f t="shared" si="23"/>
        <v>-7413.1729999999998</v>
      </c>
      <c r="R184" s="1302">
        <f t="shared" si="23"/>
        <v>-7413.1729999999998</v>
      </c>
      <c r="S184" s="1302">
        <f t="shared" si="23"/>
        <v>-7413.1729999999998</v>
      </c>
      <c r="T184" s="1302">
        <f t="shared" si="23"/>
        <v>-7413.1729999999998</v>
      </c>
      <c r="U184" s="1302">
        <f t="shared" si="23"/>
        <v>-7413.1729999999998</v>
      </c>
      <c r="V184" s="1302">
        <f t="shared" si="23"/>
        <v>-7413.1729999999998</v>
      </c>
      <c r="W184" s="1302">
        <f t="shared" si="23"/>
        <v>-7413.1729999999998</v>
      </c>
      <c r="X184" s="1302">
        <f t="shared" si="23"/>
        <v>-7413.1729999999998</v>
      </c>
      <c r="Y184" s="1302">
        <f t="shared" si="23"/>
        <v>-7413.1729999999998</v>
      </c>
      <c r="Z184" s="1302">
        <f t="shared" si="23"/>
        <v>-7413.1729999999998</v>
      </c>
      <c r="AA184" s="1302">
        <f t="shared" si="23"/>
        <v>-7413.1729999999998</v>
      </c>
      <c r="AB184" s="1302">
        <f t="shared" si="23"/>
        <v>-7413.1729999999998</v>
      </c>
      <c r="AC184" s="1302">
        <f t="shared" si="23"/>
        <v>-7413.1729999999998</v>
      </c>
      <c r="AD184" s="1302">
        <f t="shared" si="23"/>
        <v>-7413.1729999999998</v>
      </c>
      <c r="AE184" s="1302">
        <f t="shared" si="23"/>
        <v>-7413.1729999999998</v>
      </c>
      <c r="AF184" s="1302">
        <f t="shared" si="23"/>
        <v>-7413.1729999999998</v>
      </c>
      <c r="AG184" s="1302">
        <f t="shared" si="23"/>
        <v>-7413.1729999999998</v>
      </c>
      <c r="AH184" s="1229"/>
    </row>
    <row r="185" spans="1:34" x14ac:dyDescent="0.2">
      <c r="A185" s="1236"/>
      <c r="B185" s="1237"/>
      <c r="C185" s="1302"/>
      <c r="D185" s="1302"/>
      <c r="E185" s="1302"/>
      <c r="F185" s="1303"/>
      <c r="G185" s="1303"/>
      <c r="H185" s="1303"/>
      <c r="I185" s="1303"/>
      <c r="J185" s="1303"/>
      <c r="K185" s="1303"/>
      <c r="L185" s="1303"/>
      <c r="M185" s="1303"/>
      <c r="N185" s="1303"/>
      <c r="O185" s="1303"/>
      <c r="P185" s="1304"/>
      <c r="Q185" s="1303"/>
      <c r="R185" s="1303"/>
      <c r="S185" s="1303"/>
      <c r="T185" s="1303"/>
      <c r="U185" s="1303"/>
      <c r="V185" s="1303"/>
      <c r="W185" s="1303"/>
      <c r="X185" s="1303"/>
      <c r="Y185" s="1303"/>
      <c r="Z185" s="1303"/>
      <c r="AA185" s="1303"/>
      <c r="AB185" s="1303"/>
      <c r="AC185" s="1303"/>
      <c r="AD185" s="1303"/>
      <c r="AE185" s="1303"/>
      <c r="AF185" s="1303"/>
      <c r="AG185" s="1303"/>
      <c r="AH185" s="1208"/>
    </row>
    <row r="186" spans="1:34" ht="13.5" thickBot="1" x14ac:dyDescent="0.25">
      <c r="A186" s="1250"/>
      <c r="B186" s="1307"/>
      <c r="C186" s="1312"/>
      <c r="D186" s="1312"/>
      <c r="E186" s="1312"/>
      <c r="F186" s="1313"/>
      <c r="G186" s="1313"/>
      <c r="H186" s="1313"/>
      <c r="I186" s="1313"/>
      <c r="J186" s="1313"/>
      <c r="K186" s="1313"/>
      <c r="L186" s="1313"/>
      <c r="M186" s="1313"/>
      <c r="N186" s="1313"/>
      <c r="O186" s="1313"/>
      <c r="P186" s="1314"/>
      <c r="Q186" s="1313"/>
      <c r="R186" s="1313"/>
      <c r="S186" s="1313"/>
      <c r="T186" s="1313"/>
      <c r="U186" s="1313"/>
      <c r="V186" s="1313"/>
      <c r="W186" s="1313"/>
      <c r="X186" s="1313"/>
      <c r="Y186" s="1313"/>
      <c r="Z186" s="1313"/>
      <c r="AA186" s="1313"/>
      <c r="AB186" s="1313"/>
      <c r="AC186" s="1313"/>
      <c r="AD186" s="1313"/>
      <c r="AE186" s="1313"/>
      <c r="AF186" s="1313"/>
      <c r="AG186" s="1313"/>
      <c r="AH186" s="1208"/>
    </row>
    <row r="187" spans="1:34" x14ac:dyDescent="0.2">
      <c r="A187" s="1316"/>
      <c r="B187" s="1207"/>
      <c r="C187" s="1227"/>
      <c r="D187" s="1227"/>
      <c r="E187" s="1227"/>
      <c r="F187" s="1227"/>
      <c r="G187" s="1227"/>
      <c r="H187" s="1227"/>
      <c r="I187" s="1227"/>
      <c r="J187" s="1227"/>
      <c r="K187" s="1227"/>
      <c r="L187" s="1227"/>
      <c r="M187" s="1227"/>
      <c r="N187" s="1227"/>
      <c r="O187" s="1227"/>
      <c r="P187" s="1229"/>
      <c r="Q187" s="1227"/>
      <c r="R187" s="1227"/>
      <c r="S187" s="1227"/>
      <c r="T187" s="1227"/>
      <c r="U187" s="1227"/>
      <c r="V187" s="1227"/>
      <c r="W187" s="1227"/>
      <c r="X187" s="1227"/>
      <c r="Y187" s="1227"/>
      <c r="Z187" s="1227"/>
      <c r="AA187" s="1227"/>
      <c r="AB187" s="1227"/>
      <c r="AC187" s="1227"/>
      <c r="AD187" s="1227"/>
      <c r="AE187" s="1227"/>
      <c r="AF187" s="1227"/>
      <c r="AG187" s="1227"/>
      <c r="AH187" s="1208"/>
    </row>
    <row r="188" spans="1:34" x14ac:dyDescent="0.2">
      <c r="A188" s="1344"/>
      <c r="B188" s="1383"/>
      <c r="C188" s="1219"/>
      <c r="D188" s="1219"/>
      <c r="E188" s="1219"/>
      <c r="F188" s="1219"/>
      <c r="G188" s="1219"/>
      <c r="H188" s="1219"/>
      <c r="I188" s="1219"/>
      <c r="J188" s="1219"/>
      <c r="K188" s="1219"/>
      <c r="L188" s="1219"/>
      <c r="M188" s="1219"/>
      <c r="N188" s="1219"/>
      <c r="O188" s="1221"/>
      <c r="P188" s="1221"/>
      <c r="Q188" s="1219"/>
      <c r="R188" s="1219"/>
      <c r="S188" s="1219"/>
      <c r="T188" s="1219"/>
      <c r="U188" s="1219"/>
      <c r="V188" s="1219"/>
      <c r="W188" s="1219"/>
      <c r="X188" s="1219"/>
      <c r="Y188" s="1219"/>
      <c r="Z188" s="1219"/>
      <c r="AA188" s="1538"/>
      <c r="AB188" s="1219"/>
      <c r="AC188" s="1219"/>
      <c r="AD188" s="1219"/>
      <c r="AE188" s="1219"/>
      <c r="AF188" s="1219"/>
      <c r="AG188" s="1219"/>
      <c r="AH188" s="1229"/>
    </row>
    <row r="189" spans="1:34" x14ac:dyDescent="0.2">
      <c r="A189" s="1316"/>
      <c r="B189" s="1207"/>
      <c r="C189" s="1219"/>
      <c r="D189" s="1219"/>
      <c r="E189" s="1219"/>
      <c r="F189" s="1219"/>
      <c r="G189" s="1219"/>
      <c r="H189" s="1219"/>
      <c r="I189" s="1219"/>
      <c r="J189" s="1219"/>
      <c r="K189" s="1219"/>
      <c r="L189" s="1219"/>
      <c r="M189" s="1219"/>
      <c r="N189" s="1219"/>
      <c r="O189" s="1219"/>
      <c r="P189" s="1221"/>
      <c r="Q189" s="1219"/>
      <c r="R189" s="1219"/>
      <c r="S189" s="1219"/>
      <c r="T189" s="1219"/>
      <c r="U189" s="1219"/>
      <c r="V189" s="1219"/>
      <c r="W189" s="1219"/>
      <c r="X189" s="1219"/>
      <c r="Y189" s="1219"/>
      <c r="Z189" s="1219"/>
      <c r="AA189" s="1219"/>
      <c r="AB189" s="1219"/>
      <c r="AC189" s="1219"/>
      <c r="AD189" s="1219"/>
      <c r="AE189" s="1219"/>
      <c r="AF189" s="1219"/>
      <c r="AG189" s="1219"/>
      <c r="AH189" s="1229"/>
    </row>
    <row r="190" spans="1:34" x14ac:dyDescent="0.2">
      <c r="A190" s="1210" t="s">
        <v>415</v>
      </c>
      <c r="B190" s="1215">
        <f>SUM(B191:B194)</f>
        <v>375000</v>
      </c>
      <c r="C190" s="1207"/>
      <c r="D190" s="1207"/>
      <c r="E190" s="1207"/>
      <c r="F190" s="1207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8"/>
      <c r="Q190" s="1207"/>
      <c r="R190" s="1207"/>
      <c r="S190" s="1207"/>
      <c r="T190" s="1385"/>
      <c r="U190" s="1345"/>
      <c r="V190" s="1207"/>
      <c r="W190" s="1207"/>
      <c r="X190" s="1207"/>
      <c r="Y190" s="1207"/>
      <c r="Z190" s="1207"/>
      <c r="AA190" s="1384"/>
      <c r="AB190" s="1207"/>
      <c r="AC190" s="1207"/>
      <c r="AD190" s="1207"/>
      <c r="AE190" s="1207"/>
      <c r="AF190" s="1207"/>
      <c r="AG190" s="1207"/>
      <c r="AH190" s="1207"/>
    </row>
    <row r="191" spans="1:34" x14ac:dyDescent="0.2">
      <c r="A191" s="1365" t="s">
        <v>414</v>
      </c>
      <c r="B191" s="1219">
        <v>25000</v>
      </c>
      <c r="C191" s="1207"/>
      <c r="D191" s="1229"/>
      <c r="E191" s="1207"/>
      <c r="F191" s="1207"/>
      <c r="G191" s="1207"/>
      <c r="H191" s="1207"/>
      <c r="I191" s="1207"/>
      <c r="J191" s="1207"/>
      <c r="K191" s="1207"/>
      <c r="L191" s="1207"/>
      <c r="M191" s="1207"/>
      <c r="N191" s="1207"/>
      <c r="O191" s="1207"/>
      <c r="P191" s="1208"/>
      <c r="Q191" s="1207"/>
      <c r="R191" s="1207"/>
      <c r="S191" s="1219"/>
      <c r="T191" s="1350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</row>
    <row r="192" spans="1:34" x14ac:dyDescent="0.2">
      <c r="A192" s="1365" t="s">
        <v>287</v>
      </c>
      <c r="B192" s="1219">
        <v>200000</v>
      </c>
      <c r="C192" s="1207"/>
      <c r="D192" s="1207"/>
      <c r="E192" s="1207"/>
      <c r="F192" s="1207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8"/>
      <c r="Q192" s="1207"/>
      <c r="R192" s="1207"/>
      <c r="S192" s="1219"/>
      <c r="T192" s="1350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</row>
    <row r="193" spans="1:34" x14ac:dyDescent="0.2">
      <c r="A193" s="1316" t="s">
        <v>413</v>
      </c>
      <c r="B193" s="1386">
        <v>75000</v>
      </c>
      <c r="C193" s="1207"/>
      <c r="D193" s="1207"/>
      <c r="E193" s="1207"/>
      <c r="F193" s="1207"/>
      <c r="G193" s="1207"/>
      <c r="H193" s="1207"/>
      <c r="I193" s="1207"/>
      <c r="J193" s="1207"/>
      <c r="K193" s="1207"/>
      <c r="L193" s="1227"/>
      <c r="M193" s="1207"/>
      <c r="N193" s="1207"/>
      <c r="O193" s="1207"/>
      <c r="P193" s="1208"/>
      <c r="Q193" s="1207"/>
      <c r="R193" s="1207"/>
      <c r="S193" s="1219"/>
      <c r="T193" s="1350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</row>
    <row r="194" spans="1:34" x14ac:dyDescent="0.2">
      <c r="A194" s="1316" t="s">
        <v>441</v>
      </c>
      <c r="B194" s="1219">
        <v>75000</v>
      </c>
      <c r="C194" s="1207"/>
      <c r="D194" s="1207"/>
      <c r="E194" s="1207"/>
      <c r="F194" s="1207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8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</row>
    <row r="195" spans="1:34" x14ac:dyDescent="0.2">
      <c r="A195" s="1207"/>
      <c r="B195" s="1207"/>
      <c r="C195" s="1207"/>
      <c r="D195" s="1207"/>
      <c r="E195" s="1207"/>
      <c r="F195" s="1207"/>
      <c r="G195" s="1207"/>
      <c r="H195" s="1207"/>
      <c r="I195" s="1207"/>
      <c r="J195" s="1207"/>
      <c r="K195" s="1207"/>
      <c r="L195" s="1207"/>
      <c r="M195" s="1207"/>
      <c r="N195" s="1207"/>
      <c r="O195" s="1207"/>
      <c r="P195" s="1208"/>
      <c r="Q195" s="1207"/>
      <c r="R195" s="1207"/>
      <c r="S195" s="1207"/>
      <c r="T195" s="1207"/>
      <c r="U195" s="1207"/>
      <c r="V195" s="1207"/>
      <c r="W195" s="1207"/>
      <c r="X195" s="1207"/>
      <c r="Y195" s="1207"/>
      <c r="Z195" s="1207"/>
      <c r="AA195" s="1207"/>
      <c r="AB195" s="1207"/>
      <c r="AC195" s="1207"/>
      <c r="AD195" s="1207"/>
      <c r="AE195" s="1207"/>
      <c r="AF195" s="1207"/>
      <c r="AG195" s="1207"/>
      <c r="AH195" s="1207"/>
    </row>
    <row r="196" spans="1:34" ht="13.5" thickBot="1" x14ac:dyDescent="0.25">
      <c r="A196" s="1207"/>
      <c r="B196" s="1207"/>
      <c r="C196" s="1207"/>
      <c r="D196" s="1207"/>
      <c r="E196" s="1207"/>
      <c r="F196" s="1207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8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07"/>
      <c r="AA196" s="1207"/>
      <c r="AB196" s="1207"/>
      <c r="AC196" s="1207"/>
      <c r="AD196" s="1207"/>
      <c r="AE196" s="1207"/>
      <c r="AF196" s="1207"/>
      <c r="AG196" s="1207"/>
      <c r="AH196" s="1207"/>
    </row>
    <row r="197" spans="1:34" x14ac:dyDescent="0.2">
      <c r="A197" s="1233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34"/>
      <c r="O197" s="1234"/>
      <c r="P197" s="1235"/>
      <c r="Q197" s="1234"/>
      <c r="R197" s="1234"/>
      <c r="S197" s="1234"/>
      <c r="T197" s="1234"/>
      <c r="U197" s="1234"/>
      <c r="V197" s="1234"/>
      <c r="W197" s="1234"/>
      <c r="X197" s="1234"/>
      <c r="Y197" s="1234"/>
      <c r="Z197" s="1234"/>
      <c r="AA197" s="1234"/>
      <c r="AB197" s="1234"/>
      <c r="AC197" s="1234"/>
      <c r="AD197" s="1234"/>
      <c r="AE197" s="1234"/>
      <c r="AF197" s="1234"/>
      <c r="AG197" s="1234"/>
      <c r="AH197" s="1207"/>
    </row>
    <row r="198" spans="1:34" x14ac:dyDescent="0.2">
      <c r="A198" s="1236"/>
      <c r="B198" s="1237" t="s">
        <v>37</v>
      </c>
      <c r="C198" s="1237"/>
      <c r="D198" s="1237"/>
      <c r="E198" s="1238" t="s">
        <v>816</v>
      </c>
      <c r="F198" s="1239" t="s">
        <v>96</v>
      </c>
      <c r="G198" s="1491"/>
      <c r="H198" s="1239"/>
      <c r="I198" s="1239"/>
      <c r="J198" s="1239"/>
      <c r="K198" s="1239"/>
      <c r="L198" s="1239"/>
      <c r="M198" s="1239"/>
      <c r="N198" s="1239"/>
      <c r="O198" s="1239"/>
      <c r="P198" s="1240"/>
      <c r="Q198" s="1239"/>
      <c r="R198" s="1239"/>
      <c r="S198" s="1239"/>
      <c r="T198" s="1239"/>
      <c r="U198" s="1239"/>
      <c r="V198" s="1239"/>
      <c r="W198" s="1239"/>
      <c r="X198" s="1239"/>
      <c r="Y198" s="1239"/>
      <c r="Z198" s="1239"/>
      <c r="AA198" s="1239"/>
      <c r="AB198" s="1239"/>
      <c r="AC198" s="1239"/>
      <c r="AD198" s="1239"/>
      <c r="AE198" s="1239"/>
      <c r="AF198" s="1239"/>
      <c r="AG198" s="1239"/>
      <c r="AH198" s="1207"/>
    </row>
    <row r="199" spans="1:34" x14ac:dyDescent="0.2">
      <c r="A199" s="1236"/>
      <c r="B199" s="1237"/>
      <c r="C199" s="1237"/>
      <c r="D199" s="1239"/>
      <c r="E199" s="1237"/>
      <c r="F199" s="1237"/>
      <c r="G199" s="1237"/>
      <c r="H199" s="1237"/>
      <c r="I199" s="1237"/>
      <c r="J199" s="1237"/>
      <c r="K199" s="1237"/>
      <c r="L199" s="1237"/>
      <c r="M199" s="1237"/>
      <c r="N199" s="1237"/>
      <c r="O199" s="1237"/>
      <c r="P199" s="1241"/>
      <c r="Q199" s="1237"/>
      <c r="R199" s="1237"/>
      <c r="S199" s="1237"/>
      <c r="T199" s="1237"/>
      <c r="U199" s="1237"/>
      <c r="V199" s="1237"/>
      <c r="W199" s="1237"/>
      <c r="X199" s="1237"/>
      <c r="Y199" s="1237"/>
      <c r="Z199" s="1237"/>
      <c r="AA199" s="1237"/>
      <c r="AB199" s="1237"/>
      <c r="AC199" s="1237"/>
      <c r="AD199" s="1237"/>
      <c r="AE199" s="1237"/>
      <c r="AF199" s="1237"/>
      <c r="AG199" s="1237"/>
      <c r="AH199" s="1207"/>
    </row>
    <row r="200" spans="1:34" x14ac:dyDescent="0.2">
      <c r="A200" s="1236"/>
      <c r="B200" s="1237"/>
      <c r="C200" s="1239"/>
      <c r="D200" s="1239">
        <v>42529</v>
      </c>
      <c r="E200" s="1237"/>
      <c r="F200" s="1237"/>
      <c r="G200" s="1237"/>
      <c r="H200" s="1237"/>
      <c r="I200" s="1237"/>
      <c r="J200" s="1237"/>
      <c r="K200" s="1237"/>
      <c r="L200" s="1237"/>
      <c r="M200" s="1237"/>
      <c r="N200" s="1237"/>
      <c r="O200" s="1237"/>
      <c r="P200" s="1241"/>
      <c r="Q200" s="1237"/>
      <c r="R200" s="1237"/>
      <c r="S200" s="1237"/>
      <c r="T200" s="1237"/>
      <c r="U200" s="1237"/>
      <c r="V200" s="1237"/>
      <c r="W200" s="1237"/>
      <c r="X200" s="1237"/>
      <c r="Y200" s="1237"/>
      <c r="Z200" s="1237"/>
      <c r="AA200" s="1237"/>
      <c r="AB200" s="1237"/>
      <c r="AC200" s="1237"/>
      <c r="AD200" s="1237"/>
      <c r="AE200" s="1237"/>
      <c r="AF200" s="1237"/>
      <c r="AG200" s="1237"/>
      <c r="AH200" s="1207"/>
    </row>
    <row r="201" spans="1:34" x14ac:dyDescent="0.2">
      <c r="A201" s="1236"/>
      <c r="B201" s="1237"/>
      <c r="C201" s="1239"/>
      <c r="D201" s="1239"/>
      <c r="E201" s="1237"/>
      <c r="F201" s="1237"/>
      <c r="G201" s="1237"/>
      <c r="H201" s="1237"/>
      <c r="I201" s="1237"/>
      <c r="J201" s="1237"/>
      <c r="K201" s="1237"/>
      <c r="L201" s="1237"/>
      <c r="M201" s="1237"/>
      <c r="N201" s="1237"/>
      <c r="O201" s="1237"/>
      <c r="P201" s="1241"/>
      <c r="Q201" s="1237"/>
      <c r="R201" s="1237"/>
      <c r="S201" s="1237"/>
      <c r="T201" s="1237"/>
      <c r="U201" s="1237"/>
      <c r="V201" s="1237"/>
      <c r="W201" s="1237"/>
      <c r="X201" s="1237"/>
      <c r="Y201" s="1237"/>
      <c r="Z201" s="1237"/>
      <c r="AA201" s="1237"/>
      <c r="AB201" s="1237"/>
      <c r="AC201" s="1237"/>
      <c r="AD201" s="1237"/>
      <c r="AE201" s="1237"/>
      <c r="AF201" s="1237"/>
      <c r="AG201" s="1237"/>
      <c r="AH201" s="1207"/>
    </row>
    <row r="202" spans="1:34" ht="13.5" thickBot="1" x14ac:dyDescent="0.25">
      <c r="A202" s="1236"/>
      <c r="B202" s="1237"/>
      <c r="C202" s="1237"/>
      <c r="D202" s="1237"/>
      <c r="E202" s="1237"/>
      <c r="F202" s="1237"/>
      <c r="G202" s="1237"/>
      <c r="H202" s="1237"/>
      <c r="I202" s="1237"/>
      <c r="J202" s="1237"/>
      <c r="K202" s="1237"/>
      <c r="L202" s="1237"/>
      <c r="M202" s="1237"/>
      <c r="N202" s="1237"/>
      <c r="O202" s="1237"/>
      <c r="P202" s="1241"/>
      <c r="Q202" s="1237"/>
      <c r="R202" s="1237"/>
      <c r="S202" s="1237"/>
      <c r="T202" s="1237"/>
      <c r="U202" s="1237"/>
      <c r="V202" s="1237"/>
      <c r="W202" s="1237"/>
      <c r="X202" s="1237"/>
      <c r="Y202" s="1237"/>
      <c r="Z202" s="1237"/>
      <c r="AA202" s="1237"/>
      <c r="AB202" s="1237"/>
      <c r="AC202" s="1237"/>
      <c r="AD202" s="1237"/>
      <c r="AE202" s="1237"/>
      <c r="AF202" s="1237"/>
      <c r="AG202" s="1237"/>
      <c r="AH202" s="1207"/>
    </row>
    <row r="203" spans="1:34" ht="13.5" thickBot="1" x14ac:dyDescent="0.25">
      <c r="A203" s="1236"/>
      <c r="B203" s="1237"/>
      <c r="C203" s="1243"/>
      <c r="D203" s="1244" t="s">
        <v>16</v>
      </c>
      <c r="E203" s="1244"/>
      <c r="F203" s="1244"/>
      <c r="G203" s="1244"/>
      <c r="H203" s="1244"/>
      <c r="I203" s="1244"/>
      <c r="J203" s="1244"/>
      <c r="K203" s="1244"/>
      <c r="L203" s="1244"/>
      <c r="M203" s="1244"/>
      <c r="N203" s="1244"/>
      <c r="O203" s="1244"/>
      <c r="P203" s="1245"/>
      <c r="Q203" s="1244"/>
      <c r="R203" s="1244"/>
      <c r="S203" s="1244"/>
      <c r="T203" s="1244"/>
      <c r="U203" s="1244"/>
      <c r="V203" s="1244"/>
      <c r="W203" s="1244"/>
      <c r="X203" s="1244"/>
      <c r="Y203" s="1244"/>
      <c r="Z203" s="1244"/>
      <c r="AA203" s="1244"/>
      <c r="AB203" s="1244"/>
      <c r="AC203" s="1244"/>
      <c r="AD203" s="1244"/>
      <c r="AE203" s="1244"/>
      <c r="AF203" s="1244"/>
      <c r="AG203" s="1244"/>
      <c r="AH203" s="1207"/>
    </row>
    <row r="204" spans="1:34" ht="13.5" thickBot="1" x14ac:dyDescent="0.25">
      <c r="A204" s="1236"/>
      <c r="B204" s="1237"/>
      <c r="C204" s="1246" t="s">
        <v>452</v>
      </c>
      <c r="D204" s="1246" t="s">
        <v>453</v>
      </c>
      <c r="E204" s="1246" t="s">
        <v>434</v>
      </c>
      <c r="F204" s="1246" t="s">
        <v>390</v>
      </c>
      <c r="G204" s="1246" t="s">
        <v>454</v>
      </c>
      <c r="H204" s="1246" t="s">
        <v>455</v>
      </c>
      <c r="I204" s="1246" t="s">
        <v>456</v>
      </c>
      <c r="J204" s="1246" t="s">
        <v>457</v>
      </c>
      <c r="K204" s="1246" t="s">
        <v>458</v>
      </c>
      <c r="L204" s="1246" t="s">
        <v>216</v>
      </c>
      <c r="M204" s="1246" t="s">
        <v>459</v>
      </c>
      <c r="N204" s="1246" t="s">
        <v>297</v>
      </c>
      <c r="O204" s="1246" t="s">
        <v>211</v>
      </c>
      <c r="P204" s="1247" t="s">
        <v>270</v>
      </c>
      <c r="Q204" s="1246">
        <v>15</v>
      </c>
      <c r="R204" s="1246">
        <v>16</v>
      </c>
      <c r="S204" s="1246" t="s">
        <v>461</v>
      </c>
      <c r="T204" s="1246" t="s">
        <v>442</v>
      </c>
      <c r="U204" s="1246" t="s">
        <v>462</v>
      </c>
      <c r="V204" s="1246" t="s">
        <v>470</v>
      </c>
      <c r="W204" s="1246" t="s">
        <v>471</v>
      </c>
      <c r="X204" s="1246" t="s">
        <v>472</v>
      </c>
      <c r="Y204" s="1246" t="s">
        <v>463</v>
      </c>
      <c r="Z204" s="1246" t="s">
        <v>465</v>
      </c>
      <c r="AA204" s="1246" t="s">
        <v>466</v>
      </c>
      <c r="AB204" s="1246" t="s">
        <v>435</v>
      </c>
      <c r="AC204" s="1246" t="s">
        <v>467</v>
      </c>
      <c r="AD204" s="1246" t="s">
        <v>464</v>
      </c>
      <c r="AE204" s="1246" t="s">
        <v>429</v>
      </c>
      <c r="AF204" s="1246" t="s">
        <v>149</v>
      </c>
      <c r="AG204" s="1246" t="s">
        <v>210</v>
      </c>
      <c r="AH204" s="1207"/>
    </row>
    <row r="205" spans="1:34" x14ac:dyDescent="0.2">
      <c r="A205" s="1233"/>
      <c r="B205" s="1248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37"/>
      <c r="O205" s="1237"/>
      <c r="P205" s="1241"/>
      <c r="Q205" s="1237"/>
      <c r="R205" s="1237"/>
      <c r="S205" s="1237"/>
      <c r="T205" s="1237"/>
      <c r="U205" s="1237"/>
      <c r="V205" s="1237"/>
      <c r="W205" s="1237"/>
      <c r="X205" s="1237"/>
      <c r="Y205" s="1237"/>
      <c r="Z205" s="1237"/>
      <c r="AA205" s="1237"/>
      <c r="AB205" s="1237"/>
      <c r="AC205" s="1237"/>
      <c r="AD205" s="1237"/>
      <c r="AE205" s="1237"/>
      <c r="AF205" s="1237"/>
      <c r="AG205" s="1237"/>
      <c r="AH205" s="1207"/>
    </row>
    <row r="206" spans="1:34" x14ac:dyDescent="0.2">
      <c r="A206" s="1236" t="s">
        <v>0</v>
      </c>
      <c r="B206" s="1249">
        <v>-23524.322</v>
      </c>
      <c r="C206" s="1237"/>
      <c r="D206" s="1237"/>
      <c r="E206" s="1237"/>
      <c r="F206" s="1237"/>
      <c r="G206" s="1237"/>
      <c r="H206" s="1237"/>
      <c r="I206" s="1237"/>
      <c r="J206" s="1237"/>
      <c r="K206" s="1237"/>
      <c r="L206" s="1237"/>
      <c r="M206" s="1237"/>
      <c r="N206" s="1237"/>
      <c r="O206" s="1237"/>
      <c r="P206" s="1241"/>
      <c r="Q206" s="1237"/>
      <c r="R206" s="1237"/>
      <c r="S206" s="1237"/>
      <c r="T206" s="1237"/>
      <c r="U206" s="1237"/>
      <c r="V206" s="1237"/>
      <c r="W206" s="1237"/>
      <c r="X206" s="1237"/>
      <c r="Y206" s="1237"/>
      <c r="Z206" s="1237"/>
      <c r="AA206" s="1237"/>
      <c r="AB206" s="1237"/>
      <c r="AC206" s="1237"/>
      <c r="AD206" s="1237"/>
      <c r="AE206" s="1237"/>
      <c r="AF206" s="1237"/>
      <c r="AG206" s="1237"/>
      <c r="AH206" s="1207"/>
    </row>
    <row r="207" spans="1:34" ht="13.5" thickBot="1" x14ac:dyDescent="0.25">
      <c r="A207" s="1250"/>
      <c r="B207" s="1251"/>
      <c r="C207" s="1237"/>
      <c r="D207" s="1237"/>
      <c r="E207" s="1237"/>
      <c r="F207" s="1237"/>
      <c r="G207" s="1237"/>
      <c r="H207" s="1237"/>
      <c r="I207" s="1237"/>
      <c r="J207" s="1237"/>
      <c r="K207" s="1237"/>
      <c r="L207" s="1237"/>
      <c r="M207" s="1237"/>
      <c r="N207" s="1237"/>
      <c r="O207" s="1237"/>
      <c r="P207" s="1241"/>
      <c r="Q207" s="1237"/>
      <c r="R207" s="1237"/>
      <c r="S207" s="1237"/>
      <c r="T207" s="1237"/>
      <c r="U207" s="1237"/>
      <c r="V207" s="1237"/>
      <c r="W207" s="1237"/>
      <c r="X207" s="1237"/>
      <c r="Y207" s="1237"/>
      <c r="Z207" s="1237"/>
      <c r="AA207" s="1237"/>
      <c r="AB207" s="1237"/>
      <c r="AC207" s="1237"/>
      <c r="AD207" s="1237"/>
      <c r="AE207" s="1237"/>
      <c r="AF207" s="1237"/>
      <c r="AG207" s="1237"/>
      <c r="AH207" s="1207"/>
    </row>
    <row r="208" spans="1:34" x14ac:dyDescent="0.2">
      <c r="A208" s="1233"/>
      <c r="B208" s="1253"/>
      <c r="C208" s="1237"/>
      <c r="D208" s="1237"/>
      <c r="E208" s="1237"/>
      <c r="F208" s="1237"/>
      <c r="G208" s="1237"/>
      <c r="H208" s="1237"/>
      <c r="I208" s="1237"/>
      <c r="J208" s="1237"/>
      <c r="K208" s="1237"/>
      <c r="L208" s="1237"/>
      <c r="M208" s="1237"/>
      <c r="N208" s="1237"/>
      <c r="O208" s="1237"/>
      <c r="P208" s="1241"/>
      <c r="Q208" s="1237"/>
      <c r="R208" s="1237"/>
      <c r="S208" s="1237"/>
      <c r="T208" s="1237"/>
      <c r="U208" s="1237"/>
      <c r="V208" s="1237"/>
      <c r="W208" s="1237"/>
      <c r="X208" s="1237"/>
      <c r="Y208" s="1237"/>
      <c r="Z208" s="1237"/>
      <c r="AA208" s="1237"/>
      <c r="AB208" s="1237"/>
      <c r="AC208" s="1237"/>
      <c r="AD208" s="1237"/>
      <c r="AE208" s="1237"/>
      <c r="AF208" s="1237"/>
      <c r="AG208" s="1237"/>
      <c r="AH208" s="1207"/>
    </row>
    <row r="209" spans="1:34" x14ac:dyDescent="0.2">
      <c r="A209" s="1236" t="s">
        <v>1</v>
      </c>
      <c r="B209" s="1249">
        <f>B210+B211+B212</f>
        <v>0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7"/>
      <c r="O209" s="1237"/>
      <c r="P209" s="1241"/>
      <c r="Q209" s="1237"/>
      <c r="R209" s="1237"/>
      <c r="S209" s="1237"/>
      <c r="T209" s="1237"/>
      <c r="U209" s="1237"/>
      <c r="V209" s="1237"/>
      <c r="W209" s="1237"/>
      <c r="X209" s="1237"/>
      <c r="Y209" s="1237"/>
      <c r="Z209" s="1237"/>
      <c r="AA209" s="1237"/>
      <c r="AB209" s="1237"/>
      <c r="AC209" s="1237"/>
      <c r="AD209" s="1237"/>
      <c r="AE209" s="1237"/>
      <c r="AF209" s="1237"/>
      <c r="AG209" s="1237"/>
      <c r="AH209" s="1207"/>
    </row>
    <row r="210" spans="1:34" x14ac:dyDescent="0.2">
      <c r="A210" s="1236" t="s">
        <v>38</v>
      </c>
      <c r="B210" s="1249">
        <f>C258</f>
        <v>0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7"/>
      <c r="O210" s="1237"/>
      <c r="P210" s="1241"/>
      <c r="Q210" s="1237"/>
      <c r="R210" s="1237"/>
      <c r="S210" s="1237"/>
      <c r="T210" s="1237"/>
      <c r="U210" s="1237"/>
      <c r="V210" s="1237"/>
      <c r="W210" s="1237"/>
      <c r="X210" s="1237"/>
      <c r="Y210" s="1237"/>
      <c r="Z210" s="1237"/>
      <c r="AA210" s="1237"/>
      <c r="AB210" s="1237"/>
      <c r="AC210" s="1237"/>
      <c r="AD210" s="1237"/>
      <c r="AE210" s="1237"/>
      <c r="AF210" s="1237"/>
      <c r="AG210" s="1237"/>
      <c r="AH210" s="1207"/>
    </row>
    <row r="211" spans="1:34" x14ac:dyDescent="0.2">
      <c r="A211" s="1236" t="s">
        <v>39</v>
      </c>
      <c r="B211" s="1249">
        <f>C280</f>
        <v>0</v>
      </c>
      <c r="C211" s="1237"/>
      <c r="D211" s="1237"/>
      <c r="E211" s="1237"/>
      <c r="F211" s="1237"/>
      <c r="G211" s="1237"/>
      <c r="H211" s="1237"/>
      <c r="I211" s="1237"/>
      <c r="J211" s="1237"/>
      <c r="K211" s="1237"/>
      <c r="L211" s="1237"/>
      <c r="M211" s="1237"/>
      <c r="N211" s="1237"/>
      <c r="O211" s="1237"/>
      <c r="P211" s="1241"/>
      <c r="Q211" s="1237"/>
      <c r="R211" s="1237"/>
      <c r="S211" s="1237"/>
      <c r="T211" s="1237"/>
      <c r="U211" s="1237"/>
      <c r="V211" s="1237"/>
      <c r="W211" s="1237"/>
      <c r="X211" s="1237"/>
      <c r="Y211" s="1237"/>
      <c r="Z211" s="1237"/>
      <c r="AA211" s="1237"/>
      <c r="AB211" s="1237"/>
      <c r="AC211" s="1237"/>
      <c r="AD211" s="1237"/>
      <c r="AE211" s="1237"/>
      <c r="AF211" s="1237"/>
      <c r="AG211" s="1237"/>
      <c r="AH211" s="1207"/>
    </row>
    <row r="212" spans="1:34" x14ac:dyDescent="0.2">
      <c r="A212" s="1236" t="s">
        <v>3</v>
      </c>
      <c r="B212" s="1249"/>
      <c r="C212" s="1237"/>
      <c r="D212" s="1237"/>
      <c r="E212" s="1237"/>
      <c r="F212" s="1237"/>
      <c r="G212" s="1237"/>
      <c r="H212" s="1237"/>
      <c r="I212" s="1237"/>
      <c r="J212" s="1237"/>
      <c r="K212" s="1237"/>
      <c r="L212" s="1237"/>
      <c r="M212" s="1237"/>
      <c r="N212" s="1237"/>
      <c r="O212" s="1237"/>
      <c r="P212" s="1241"/>
      <c r="Q212" s="1237"/>
      <c r="R212" s="1237"/>
      <c r="S212" s="1237"/>
      <c r="T212" s="1237"/>
      <c r="U212" s="1237"/>
      <c r="V212" s="1237"/>
      <c r="W212" s="1237"/>
      <c r="X212" s="1237"/>
      <c r="Y212" s="1237"/>
      <c r="Z212" s="1237"/>
      <c r="AA212" s="1237"/>
      <c r="AB212" s="1237"/>
      <c r="AC212" s="1237"/>
      <c r="AD212" s="1237"/>
      <c r="AE212" s="1237"/>
      <c r="AF212" s="1237"/>
      <c r="AG212" s="1237"/>
      <c r="AH212" s="1207"/>
    </row>
    <row r="213" spans="1:34" ht="13.5" thickBot="1" x14ac:dyDescent="0.25">
      <c r="A213" s="1250"/>
      <c r="B213" s="1251"/>
      <c r="C213" s="1237"/>
      <c r="D213" s="1237"/>
      <c r="E213" s="1237"/>
      <c r="F213" s="1237"/>
      <c r="G213" s="1237"/>
      <c r="H213" s="1237"/>
      <c r="I213" s="1237"/>
      <c r="J213" s="1237"/>
      <c r="K213" s="1237"/>
      <c r="L213" s="1237"/>
      <c r="M213" s="1237"/>
      <c r="N213" s="1237"/>
      <c r="O213" s="1237"/>
      <c r="P213" s="1241"/>
      <c r="Q213" s="1237"/>
      <c r="R213" s="1237"/>
      <c r="S213" s="1237"/>
      <c r="T213" s="1237"/>
      <c r="U213" s="1237"/>
      <c r="V213" s="1237"/>
      <c r="W213" s="1237"/>
      <c r="X213" s="1237"/>
      <c r="Y213" s="1237"/>
      <c r="Z213" s="1237"/>
      <c r="AA213" s="1237"/>
      <c r="AB213" s="1237"/>
      <c r="AC213" s="1237"/>
      <c r="AD213" s="1237"/>
      <c r="AE213" s="1237"/>
      <c r="AF213" s="1237"/>
      <c r="AG213" s="1237"/>
      <c r="AH213" s="1207"/>
    </row>
    <row r="214" spans="1:34" x14ac:dyDescent="0.2">
      <c r="A214" s="1233"/>
      <c r="B214" s="1253"/>
      <c r="C214" s="1237"/>
      <c r="D214" s="1237"/>
      <c r="E214" s="1237"/>
      <c r="F214" s="1237"/>
      <c r="G214" s="1237"/>
      <c r="H214" s="1237"/>
      <c r="I214" s="1237"/>
      <c r="J214" s="1237"/>
      <c r="K214" s="1237"/>
      <c r="L214" s="1237"/>
      <c r="M214" s="1237"/>
      <c r="N214" s="1237"/>
      <c r="O214" s="1237"/>
      <c r="P214" s="1241"/>
      <c r="Q214" s="1237"/>
      <c r="R214" s="1237"/>
      <c r="S214" s="1237"/>
      <c r="T214" s="1237"/>
      <c r="U214" s="1237"/>
      <c r="V214" s="1237"/>
      <c r="W214" s="1237"/>
      <c r="X214" s="1237"/>
      <c r="Y214" s="1237"/>
      <c r="Z214" s="1237"/>
      <c r="AA214" s="1237"/>
      <c r="AB214" s="1237"/>
      <c r="AC214" s="1237"/>
      <c r="AD214" s="1237"/>
      <c r="AE214" s="1237"/>
      <c r="AF214" s="1237"/>
      <c r="AG214" s="1237"/>
      <c r="AH214" s="1207"/>
    </row>
    <row r="215" spans="1:34" x14ac:dyDescent="0.2">
      <c r="A215" s="1236" t="s">
        <v>4</v>
      </c>
      <c r="B215" s="1249">
        <f>B206-B209</f>
        <v>-23524.322</v>
      </c>
      <c r="C215" s="1237"/>
      <c r="D215" s="1237"/>
      <c r="E215" s="1237"/>
      <c r="F215" s="1237"/>
      <c r="G215" s="1237"/>
      <c r="H215" s="1237"/>
      <c r="I215" s="1237"/>
      <c r="J215" s="1237"/>
      <c r="K215" s="1237"/>
      <c r="L215" s="1237"/>
      <c r="M215" s="1237"/>
      <c r="N215" s="1237"/>
      <c r="O215" s="1237"/>
      <c r="P215" s="1241"/>
      <c r="Q215" s="1237"/>
      <c r="R215" s="1237"/>
      <c r="S215" s="1237"/>
      <c r="T215" s="1237"/>
      <c r="U215" s="1237"/>
      <c r="V215" s="1237"/>
      <c r="W215" s="1237"/>
      <c r="X215" s="1237"/>
      <c r="Y215" s="1237"/>
      <c r="Z215" s="1237"/>
      <c r="AA215" s="1237"/>
      <c r="AB215" s="1237"/>
      <c r="AC215" s="1237"/>
      <c r="AD215" s="1237"/>
      <c r="AE215" s="1237"/>
      <c r="AF215" s="1237"/>
      <c r="AG215" s="1237"/>
      <c r="AH215" s="1207"/>
    </row>
    <row r="216" spans="1:34" ht="13.5" thickBot="1" x14ac:dyDescent="0.25">
      <c r="A216" s="1250"/>
      <c r="B216" s="1251"/>
      <c r="C216" s="1237"/>
      <c r="D216" s="1237"/>
      <c r="E216" s="1237"/>
      <c r="F216" s="1237"/>
      <c r="G216" s="1237"/>
      <c r="H216" s="1237"/>
      <c r="I216" s="1237"/>
      <c r="J216" s="1237"/>
      <c r="K216" s="1237"/>
      <c r="L216" s="1237"/>
      <c r="M216" s="1237"/>
      <c r="N216" s="1237"/>
      <c r="O216" s="1237"/>
      <c r="P216" s="1241"/>
      <c r="Q216" s="1237"/>
      <c r="R216" s="1237"/>
      <c r="S216" s="1237"/>
      <c r="T216" s="1237"/>
      <c r="U216" s="1237"/>
      <c r="V216" s="1237"/>
      <c r="W216" s="1237"/>
      <c r="X216" s="1237"/>
      <c r="Y216" s="1237"/>
      <c r="Z216" s="1237"/>
      <c r="AA216" s="1237"/>
      <c r="AB216" s="1237"/>
      <c r="AC216" s="1237"/>
      <c r="AD216" s="1237"/>
      <c r="AE216" s="1237"/>
      <c r="AF216" s="1237"/>
      <c r="AG216" s="1237"/>
      <c r="AH216" s="1207"/>
    </row>
    <row r="217" spans="1:34" x14ac:dyDescent="0.2">
      <c r="A217" s="1233"/>
      <c r="B217" s="1253"/>
      <c r="C217" s="1237"/>
      <c r="D217" s="1237"/>
      <c r="E217" s="1237"/>
      <c r="F217" s="1237"/>
      <c r="G217" s="1237"/>
      <c r="H217" s="1237"/>
      <c r="I217" s="1237"/>
      <c r="J217" s="1237"/>
      <c r="K217" s="1237"/>
      <c r="L217" s="1237"/>
      <c r="M217" s="1237"/>
      <c r="N217" s="1237"/>
      <c r="O217" s="1237"/>
      <c r="P217" s="1241"/>
      <c r="Q217" s="1237"/>
      <c r="R217" s="1237"/>
      <c r="S217" s="1237"/>
      <c r="T217" s="1237"/>
      <c r="U217" s="1237"/>
      <c r="V217" s="1237"/>
      <c r="W217" s="1237"/>
      <c r="X217" s="1237"/>
      <c r="Y217" s="1237"/>
      <c r="Z217" s="1237"/>
      <c r="AA217" s="1237"/>
      <c r="AB217" s="1237"/>
      <c r="AC217" s="1237"/>
      <c r="AD217" s="1237"/>
      <c r="AE217" s="1237"/>
      <c r="AF217" s="1237"/>
      <c r="AG217" s="1237"/>
      <c r="AH217" s="1207"/>
    </row>
    <row r="218" spans="1:34" x14ac:dyDescent="0.2">
      <c r="A218" s="1236" t="s">
        <v>17</v>
      </c>
      <c r="B218" s="1249"/>
      <c r="C218" s="1237"/>
      <c r="D218" s="1237"/>
      <c r="E218" s="1237"/>
      <c r="F218" s="1237"/>
      <c r="G218" s="1237"/>
      <c r="H218" s="1237"/>
      <c r="I218" s="1237"/>
      <c r="J218" s="1237"/>
      <c r="K218" s="1237"/>
      <c r="L218" s="1237"/>
      <c r="M218" s="1237"/>
      <c r="N218" s="1237"/>
      <c r="O218" s="1237"/>
      <c r="P218" s="1241"/>
      <c r="Q218" s="1237"/>
      <c r="R218" s="1237"/>
      <c r="S218" s="1237"/>
      <c r="T218" s="1237"/>
      <c r="U218" s="1237"/>
      <c r="V218" s="1237"/>
      <c r="W218" s="1237"/>
      <c r="X218" s="1237"/>
      <c r="Y218" s="1237"/>
      <c r="Z218" s="1237"/>
      <c r="AA218" s="1237"/>
      <c r="AB218" s="1237"/>
      <c r="AC218" s="1237"/>
      <c r="AD218" s="1237"/>
      <c r="AE218" s="1237"/>
      <c r="AF218" s="1237"/>
      <c r="AG218" s="1237"/>
      <c r="AH218" s="1207"/>
    </row>
    <row r="219" spans="1:34" ht="13.5" thickBot="1" x14ac:dyDescent="0.25">
      <c r="A219" s="1250"/>
      <c r="B219" s="1251"/>
      <c r="C219" s="1237"/>
      <c r="D219" s="1237"/>
      <c r="E219" s="1237"/>
      <c r="F219" s="1237"/>
      <c r="G219" s="1237"/>
      <c r="H219" s="1237"/>
      <c r="I219" s="1237"/>
      <c r="J219" s="1237"/>
      <c r="K219" s="1237"/>
      <c r="L219" s="1237"/>
      <c r="M219" s="1237"/>
      <c r="N219" s="1237"/>
      <c r="O219" s="1237"/>
      <c r="P219" s="1241"/>
      <c r="Q219" s="1237"/>
      <c r="R219" s="1237"/>
      <c r="S219" s="1237"/>
      <c r="T219" s="1237"/>
      <c r="U219" s="1237"/>
      <c r="V219" s="1237"/>
      <c r="W219" s="1237"/>
      <c r="X219" s="1258"/>
      <c r="Y219" s="1237"/>
      <c r="Z219" s="1237"/>
      <c r="AA219" s="1237"/>
      <c r="AB219" s="1237"/>
      <c r="AC219" s="1237"/>
      <c r="AD219" s="1237"/>
      <c r="AE219" s="1237"/>
      <c r="AF219" s="1237"/>
      <c r="AG219" s="1237"/>
      <c r="AH219" s="1207"/>
    </row>
    <row r="220" spans="1:34" x14ac:dyDescent="0.2">
      <c r="A220" s="1233"/>
      <c r="B220" s="1253"/>
      <c r="C220" s="1212"/>
      <c r="D220" s="1491"/>
      <c r="E220" s="1237"/>
      <c r="F220" s="1237"/>
      <c r="G220" s="1490"/>
      <c r="H220" s="1491"/>
      <c r="I220" s="1491"/>
      <c r="J220" s="1491"/>
      <c r="K220" s="1491"/>
      <c r="L220" s="1753"/>
      <c r="M220" s="1753"/>
      <c r="N220" s="1237"/>
      <c r="O220" s="1237"/>
      <c r="P220" s="1241"/>
      <c r="Q220" s="1212"/>
      <c r="R220" s="1237"/>
      <c r="S220" s="1237"/>
      <c r="T220" s="1237"/>
      <c r="U220" s="1237"/>
      <c r="V220" s="1237"/>
      <c r="W220" s="1237"/>
      <c r="X220" s="1237"/>
      <c r="Y220" s="1548" t="s">
        <v>493</v>
      </c>
      <c r="Z220" s="1527"/>
      <c r="AA220" s="1237"/>
      <c r="AB220" s="1237"/>
      <c r="AC220" s="1256"/>
      <c r="AD220" s="1369"/>
      <c r="AE220" s="1491"/>
      <c r="AF220" s="1491"/>
      <c r="AH220" s="1207"/>
    </row>
    <row r="221" spans="1:34" x14ac:dyDescent="0.2">
      <c r="A221" s="1236" t="s">
        <v>5</v>
      </c>
      <c r="B221" s="1249">
        <f>B215-B218</f>
        <v>-23524.322</v>
      </c>
      <c r="C221" s="1212" t="s">
        <v>1330</v>
      </c>
      <c r="D221" s="1491"/>
      <c r="E221" s="1370"/>
      <c r="G221" s="1490"/>
      <c r="H221" s="1491"/>
      <c r="I221" s="1491"/>
      <c r="J221" s="1491"/>
      <c r="L221" s="1491"/>
      <c r="M221" s="1491"/>
      <c r="N221" s="1491"/>
      <c r="O221" s="1212"/>
      <c r="P221" s="1212"/>
      <c r="Q221" s="1212"/>
      <c r="R221" s="1237"/>
      <c r="S221" s="1491"/>
      <c r="T221" s="1491"/>
      <c r="U221" s="1491"/>
      <c r="V221" s="1491"/>
      <c r="W221" s="1237"/>
      <c r="X221" s="1388"/>
      <c r="Y221" s="1491"/>
      <c r="Z221" s="1237" t="s">
        <v>1342</v>
      </c>
      <c r="AA221" s="1535" t="s">
        <v>1081</v>
      </c>
      <c r="AB221" s="1491"/>
      <c r="AC221" s="1491" t="s">
        <v>145</v>
      </c>
      <c r="AD221" s="1369" t="s">
        <v>831</v>
      </c>
      <c r="AE221" s="1491"/>
      <c r="AF221" s="1491"/>
      <c r="AG221" s="1370"/>
      <c r="AH221" s="1207"/>
    </row>
    <row r="222" spans="1:34" ht="13.5" thickBot="1" x14ac:dyDescent="0.25">
      <c r="A222" s="1250"/>
      <c r="B222" s="1251"/>
      <c r="D222" s="1237"/>
      <c r="E222" s="1237"/>
      <c r="F222" s="1237"/>
      <c r="G222" s="1237"/>
      <c r="H222" s="1491"/>
      <c r="I222" s="1237"/>
      <c r="J222" s="1491"/>
      <c r="K222" s="1237"/>
      <c r="L222" s="1237"/>
      <c r="M222" s="1237"/>
      <c r="N222" s="1237"/>
      <c r="O222" s="1237"/>
      <c r="P222" s="1241"/>
      <c r="Q222" s="1237"/>
      <c r="R222" s="1237"/>
      <c r="S222" s="1237"/>
      <c r="T222" s="1237"/>
      <c r="U222" s="1491"/>
      <c r="V222" s="1237"/>
      <c r="W222" s="1237"/>
      <c r="X222" s="1237"/>
      <c r="Y222" s="1237"/>
      <c r="Z222" s="1237"/>
      <c r="AA222" s="1237"/>
      <c r="AB222" s="1237"/>
      <c r="AC222" s="1237"/>
      <c r="AD222" s="1237"/>
      <c r="AE222" s="1237"/>
      <c r="AF222" s="1237"/>
      <c r="AG222" s="1237"/>
      <c r="AH222" s="1207"/>
    </row>
    <row r="223" spans="1:34" x14ac:dyDescent="0.2">
      <c r="A223" s="1269"/>
      <c r="B223" s="1237"/>
      <c r="C223" s="1270"/>
      <c r="D223" s="1272"/>
      <c r="E223" s="1271"/>
      <c r="F223" s="1271"/>
      <c r="G223" s="1271"/>
      <c r="H223" s="1271"/>
      <c r="I223" s="1271"/>
      <c r="J223" s="1271"/>
      <c r="K223" s="1271"/>
      <c r="L223" s="1271"/>
      <c r="M223" s="1271"/>
      <c r="N223" s="1271"/>
      <c r="O223" s="1271"/>
      <c r="P223" s="1273"/>
      <c r="Q223" s="1271"/>
      <c r="R223" s="1271"/>
      <c r="S223" s="1271"/>
      <c r="T223" s="1271"/>
      <c r="U223" s="1271"/>
      <c r="V223" s="1271"/>
      <c r="W223" s="1271"/>
      <c r="X223" s="1271"/>
      <c r="Y223" s="1271"/>
      <c r="Z223" s="1271"/>
      <c r="AA223" s="1271"/>
      <c r="AB223" s="1271"/>
      <c r="AC223" s="1271"/>
      <c r="AD223" s="1271"/>
      <c r="AE223" s="1271"/>
      <c r="AF223" s="1271"/>
      <c r="AG223" s="1271"/>
      <c r="AH223" s="1207"/>
    </row>
    <row r="224" spans="1:34" ht="13.5" thickBot="1" x14ac:dyDescent="0.25">
      <c r="A224" s="1274" t="s">
        <v>7</v>
      </c>
      <c r="B224" s="1237"/>
      <c r="C224" s="1275">
        <f t="shared" ref="C224:AG224" si="24">C225+C226+C227+C229+C228</f>
        <v>0</v>
      </c>
      <c r="D224" s="1275">
        <f t="shared" si="24"/>
        <v>0</v>
      </c>
      <c r="E224" s="1275">
        <f t="shared" si="24"/>
        <v>0</v>
      </c>
      <c r="F224" s="1275">
        <f t="shared" si="24"/>
        <v>0</v>
      </c>
      <c r="G224" s="1275">
        <f t="shared" si="24"/>
        <v>0</v>
      </c>
      <c r="H224" s="1275">
        <f t="shared" si="24"/>
        <v>0</v>
      </c>
      <c r="I224" s="1275">
        <f t="shared" si="24"/>
        <v>0</v>
      </c>
      <c r="J224" s="1275">
        <f t="shared" si="24"/>
        <v>0</v>
      </c>
      <c r="K224" s="1275">
        <f t="shared" si="24"/>
        <v>0</v>
      </c>
      <c r="L224" s="1275">
        <f t="shared" si="24"/>
        <v>0</v>
      </c>
      <c r="M224" s="1275">
        <f t="shared" si="24"/>
        <v>0</v>
      </c>
      <c r="N224" s="1275">
        <f t="shared" si="24"/>
        <v>0</v>
      </c>
      <c r="O224" s="1275">
        <f t="shared" si="24"/>
        <v>0</v>
      </c>
      <c r="P224" s="1276">
        <f t="shared" si="24"/>
        <v>0</v>
      </c>
      <c r="Q224" s="1275">
        <f t="shared" si="24"/>
        <v>0</v>
      </c>
      <c r="R224" s="1275">
        <f t="shared" si="24"/>
        <v>0</v>
      </c>
      <c r="S224" s="1275">
        <f t="shared" si="24"/>
        <v>0</v>
      </c>
      <c r="T224" s="1275">
        <f t="shared" si="24"/>
        <v>0</v>
      </c>
      <c r="U224" s="1275">
        <f t="shared" si="24"/>
        <v>0</v>
      </c>
      <c r="V224" s="1275">
        <f t="shared" si="24"/>
        <v>0</v>
      </c>
      <c r="W224" s="1275">
        <f>W225+W226+W227+W229+W228</f>
        <v>0</v>
      </c>
      <c r="X224" s="1275">
        <f t="shared" si="24"/>
        <v>0</v>
      </c>
      <c r="Y224" s="1275">
        <f t="shared" si="24"/>
        <v>0</v>
      </c>
      <c r="Z224" s="1275">
        <f t="shared" si="24"/>
        <v>0</v>
      </c>
      <c r="AA224" s="1275">
        <f t="shared" si="24"/>
        <v>0</v>
      </c>
      <c r="AB224" s="1275">
        <f t="shared" si="24"/>
        <v>0</v>
      </c>
      <c r="AC224" s="1275">
        <f t="shared" si="24"/>
        <v>0</v>
      </c>
      <c r="AD224" s="1275">
        <f t="shared" si="24"/>
        <v>0</v>
      </c>
      <c r="AE224" s="1275">
        <f t="shared" si="24"/>
        <v>0</v>
      </c>
      <c r="AF224" s="1275">
        <f t="shared" si="24"/>
        <v>0</v>
      </c>
      <c r="AG224" s="1275">
        <f t="shared" si="24"/>
        <v>0</v>
      </c>
      <c r="AH224" s="1227">
        <f>SUM(C224:AG224)</f>
        <v>0</v>
      </c>
    </row>
    <row r="225" spans="1:34" x14ac:dyDescent="0.2">
      <c r="A225" s="1274" t="s">
        <v>8</v>
      </c>
      <c r="B225" s="1389"/>
      <c r="C225" s="1302"/>
      <c r="D225" s="1302"/>
      <c r="E225" s="1303"/>
      <c r="F225" s="1303"/>
      <c r="G225" s="1303"/>
      <c r="H225" s="1303"/>
      <c r="I225" s="1303"/>
      <c r="J225" s="1303"/>
      <c r="K225" s="1303"/>
      <c r="L225" s="1303"/>
      <c r="M225" s="1303"/>
      <c r="N225" s="1303"/>
      <c r="O225" s="1303"/>
      <c r="P225" s="1304"/>
      <c r="Q225" s="1303"/>
      <c r="R225" s="1303"/>
      <c r="S225" s="1303"/>
      <c r="T225" s="1303"/>
      <c r="U225" s="1303"/>
      <c r="V225" s="1303"/>
      <c r="W225" s="1303"/>
      <c r="X225" s="1303"/>
      <c r="Y225" s="1303"/>
      <c r="Z225" s="1303"/>
      <c r="AA225" s="1303"/>
      <c r="AB225" s="1303"/>
      <c r="AC225" s="1303"/>
      <c r="AD225" s="1303"/>
      <c r="AE225" s="1303"/>
      <c r="AF225" s="1303"/>
      <c r="AG225" s="1303"/>
      <c r="AH225" s="1227">
        <f>SUM(C225:AG225)</f>
        <v>0</v>
      </c>
    </row>
    <row r="226" spans="1:34" x14ac:dyDescent="0.2">
      <c r="A226" s="1274" t="s">
        <v>9</v>
      </c>
      <c r="B226" s="1389"/>
      <c r="C226" s="1302"/>
      <c r="D226" s="1302"/>
      <c r="E226" s="1303"/>
      <c r="F226" s="1303"/>
      <c r="G226" s="1303"/>
      <c r="H226" s="1303"/>
      <c r="I226" s="1303"/>
      <c r="J226" s="1303"/>
      <c r="K226" s="1303"/>
      <c r="L226" s="1303"/>
      <c r="M226" s="1319"/>
      <c r="N226" s="1303"/>
      <c r="O226" s="1303"/>
      <c r="P226" s="1304"/>
      <c r="Q226" s="1303"/>
      <c r="R226" s="1303"/>
      <c r="S226" s="1303"/>
      <c r="T226" s="1303"/>
      <c r="U226" s="1303"/>
      <c r="V226" s="1454"/>
      <c r="W226" s="1443"/>
      <c r="X226" s="1303"/>
      <c r="Y226" s="1303"/>
      <c r="Z226" s="1303"/>
      <c r="AA226" s="1303"/>
      <c r="AB226" s="1303"/>
      <c r="AC226" s="1303"/>
      <c r="AD226" s="1303"/>
      <c r="AE226" s="1303"/>
      <c r="AF226" s="1303"/>
      <c r="AG226" s="1303"/>
      <c r="AH226" s="1227">
        <f>SUM(C226:AG226)</f>
        <v>0</v>
      </c>
    </row>
    <row r="227" spans="1:34" s="1289" customFormat="1" x14ac:dyDescent="0.2">
      <c r="A227" s="1285" t="s">
        <v>10</v>
      </c>
      <c r="B227" s="1372"/>
      <c r="C227" s="1374"/>
      <c r="D227" s="1374"/>
      <c r="E227" s="1375"/>
      <c r="F227" s="1375"/>
      <c r="G227" s="1375"/>
      <c r="H227" s="1375"/>
      <c r="I227" s="1390"/>
      <c r="J227" s="1375"/>
      <c r="K227" s="1375"/>
      <c r="L227" s="1391"/>
      <c r="M227" s="1375"/>
      <c r="N227" s="1375"/>
      <c r="O227" s="1375"/>
      <c r="P227" s="1375"/>
      <c r="Q227" s="1375"/>
      <c r="R227" s="1375"/>
      <c r="S227" s="1375"/>
      <c r="T227" s="1375"/>
      <c r="U227" s="1375"/>
      <c r="V227" s="1375"/>
      <c r="W227" s="1375"/>
      <c r="X227" s="1377"/>
      <c r="Y227" s="1375"/>
      <c r="Z227" s="1375"/>
      <c r="AA227" s="1375"/>
      <c r="AB227" s="1375"/>
      <c r="AC227" s="1375"/>
      <c r="AD227" s="1378"/>
      <c r="AE227" s="1375"/>
      <c r="AF227" s="1375"/>
      <c r="AG227" s="1375"/>
      <c r="AH227" s="1231">
        <f>SUM(C227:AG227)</f>
        <v>0</v>
      </c>
    </row>
    <row r="228" spans="1:34" s="1289" customFormat="1" x14ac:dyDescent="0.2">
      <c r="A228" s="1285" t="s">
        <v>356</v>
      </c>
      <c r="B228" s="1372"/>
      <c r="C228" s="1292"/>
      <c r="D228" s="1292"/>
      <c r="E228" s="1292"/>
      <c r="F228" s="1292"/>
      <c r="G228" s="1292"/>
      <c r="H228" s="1292"/>
      <c r="I228" s="1292"/>
      <c r="J228" s="1292"/>
      <c r="K228" s="1292"/>
      <c r="L228" s="1292"/>
      <c r="M228" s="1292"/>
      <c r="N228" s="1292"/>
      <c r="O228" s="1292"/>
      <c r="P228" s="1292"/>
      <c r="Q228" s="1292"/>
      <c r="R228" s="1292"/>
      <c r="S228" s="1292"/>
      <c r="T228" s="1292"/>
      <c r="U228" s="1292"/>
      <c r="V228" s="1292"/>
      <c r="W228" s="1292"/>
      <c r="X228" s="1292"/>
      <c r="Y228" s="1292"/>
      <c r="Z228" s="1375"/>
      <c r="AA228" s="1292"/>
      <c r="AB228" s="1292"/>
      <c r="AC228" s="1292"/>
      <c r="AD228" s="1292"/>
      <c r="AE228" s="1292"/>
      <c r="AF228" s="1292"/>
      <c r="AG228" s="1292"/>
      <c r="AH228" s="1456">
        <f>SUM(C228:AG228)</f>
        <v>0</v>
      </c>
    </row>
    <row r="229" spans="1:34" x14ac:dyDescent="0.2">
      <c r="A229" s="1274" t="s">
        <v>11</v>
      </c>
      <c r="B229" s="1237"/>
      <c r="C229" s="1302"/>
      <c r="D229" s="1306"/>
      <c r="E229" s="1306"/>
      <c r="F229" s="1304"/>
      <c r="G229" s="1304"/>
      <c r="H229" s="1304"/>
      <c r="I229" s="1304"/>
      <c r="J229" s="1304"/>
      <c r="K229" s="1304"/>
      <c r="L229" s="1304"/>
      <c r="M229" s="1304"/>
      <c r="N229" s="1304"/>
      <c r="O229" s="1304"/>
      <c r="P229" s="1304"/>
      <c r="Q229" s="1304"/>
      <c r="R229" s="1304"/>
      <c r="S229" s="1304"/>
      <c r="T229" s="1304"/>
      <c r="U229" s="1304"/>
      <c r="V229" s="1304"/>
      <c r="W229" s="1304"/>
      <c r="X229" s="1304"/>
      <c r="Y229" s="1304"/>
      <c r="Z229" s="1304"/>
      <c r="AA229" s="1304"/>
      <c r="AB229" s="1304"/>
      <c r="AC229" s="1304"/>
      <c r="AD229" s="1304"/>
      <c r="AE229" s="1304"/>
      <c r="AF229" s="1473"/>
      <c r="AG229" s="1454"/>
      <c r="AH229" s="1207"/>
    </row>
    <row r="230" spans="1:34" ht="13.5" thickBot="1" x14ac:dyDescent="0.25">
      <c r="A230" s="1294"/>
      <c r="B230" s="1237"/>
      <c r="C230" s="1302"/>
      <c r="D230" s="1302"/>
      <c r="E230" s="1302"/>
      <c r="F230" s="1303"/>
      <c r="G230" s="1303"/>
      <c r="H230" s="1303"/>
      <c r="I230" s="1303"/>
      <c r="J230" s="1303"/>
      <c r="K230" s="1303"/>
      <c r="L230" s="1303"/>
      <c r="M230" s="1303"/>
      <c r="N230" s="1303"/>
      <c r="O230" s="1303"/>
      <c r="P230" s="1304"/>
      <c r="Q230" s="1303"/>
      <c r="R230" s="1303"/>
      <c r="S230" s="1303"/>
      <c r="T230" s="1303"/>
      <c r="U230" s="1303"/>
      <c r="V230" s="1303"/>
      <c r="W230" s="1303"/>
      <c r="X230" s="1303"/>
      <c r="Y230" s="1303"/>
      <c r="Z230" s="1303"/>
      <c r="AA230" s="1303"/>
      <c r="AB230" s="1303"/>
      <c r="AC230" s="1303"/>
      <c r="AD230" s="1303"/>
      <c r="AE230" s="1303"/>
      <c r="AF230" s="1303"/>
      <c r="AG230" s="1303"/>
      <c r="AH230" s="1207"/>
    </row>
    <row r="231" spans="1:34" x14ac:dyDescent="0.2">
      <c r="A231" s="1269"/>
      <c r="B231" s="1237"/>
      <c r="C231" s="1296"/>
      <c r="D231" s="1297"/>
      <c r="E231" s="1297"/>
      <c r="F231" s="1298"/>
      <c r="G231" s="1298"/>
      <c r="H231" s="1298"/>
      <c r="I231" s="1298"/>
      <c r="J231" s="1298"/>
      <c r="K231" s="1298"/>
      <c r="L231" s="1298"/>
      <c r="M231" s="1298"/>
      <c r="N231" s="1298"/>
      <c r="O231" s="1298"/>
      <c r="P231" s="1299"/>
      <c r="Q231" s="1298"/>
      <c r="R231" s="1298"/>
      <c r="S231" s="1298"/>
      <c r="T231" s="1298"/>
      <c r="U231" s="1298"/>
      <c r="V231" s="1298"/>
      <c r="W231" s="1298"/>
      <c r="X231" s="1298"/>
      <c r="Y231" s="1298"/>
      <c r="Z231" s="1298"/>
      <c r="AA231" s="1298"/>
      <c r="AB231" s="1298"/>
      <c r="AC231" s="1298"/>
      <c r="AD231" s="1298"/>
      <c r="AE231" s="1298"/>
      <c r="AF231" s="1298"/>
      <c r="AG231" s="1298"/>
      <c r="AH231" s="1207"/>
    </row>
    <row r="232" spans="1:34" ht="13.5" thickBot="1" x14ac:dyDescent="0.25">
      <c r="A232" s="1274" t="s">
        <v>12</v>
      </c>
      <c r="B232" s="1237"/>
      <c r="C232" s="1275">
        <f t="shared" ref="C232:AG232" si="25">C233</f>
        <v>0</v>
      </c>
      <c r="D232" s="1275">
        <f t="shared" si="25"/>
        <v>0</v>
      </c>
      <c r="E232" s="1275">
        <f t="shared" si="25"/>
        <v>0</v>
      </c>
      <c r="F232" s="1275">
        <f t="shared" si="25"/>
        <v>0</v>
      </c>
      <c r="G232" s="1275">
        <f t="shared" si="25"/>
        <v>0</v>
      </c>
      <c r="H232" s="1275">
        <f t="shared" si="25"/>
        <v>0</v>
      </c>
      <c r="I232" s="1275">
        <f t="shared" si="25"/>
        <v>0</v>
      </c>
      <c r="J232" s="1275">
        <f t="shared" si="25"/>
        <v>0</v>
      </c>
      <c r="K232" s="1275">
        <f t="shared" si="25"/>
        <v>0</v>
      </c>
      <c r="L232" s="1275">
        <f t="shared" si="25"/>
        <v>0</v>
      </c>
      <c r="M232" s="1275">
        <f t="shared" si="25"/>
        <v>0</v>
      </c>
      <c r="N232" s="1275">
        <f t="shared" si="25"/>
        <v>0</v>
      </c>
      <c r="O232" s="1275">
        <f t="shared" si="25"/>
        <v>0</v>
      </c>
      <c r="P232" s="1276">
        <f t="shared" si="25"/>
        <v>0</v>
      </c>
      <c r="Q232" s="1275">
        <f t="shared" si="25"/>
        <v>0</v>
      </c>
      <c r="R232" s="1275">
        <f t="shared" si="25"/>
        <v>0</v>
      </c>
      <c r="S232" s="1275">
        <f t="shared" si="25"/>
        <v>0</v>
      </c>
      <c r="T232" s="1275">
        <f t="shared" si="25"/>
        <v>0</v>
      </c>
      <c r="U232" s="1275">
        <f t="shared" si="25"/>
        <v>0</v>
      </c>
      <c r="V232" s="1275">
        <f t="shared" si="25"/>
        <v>0</v>
      </c>
      <c r="W232" s="1275">
        <f t="shared" si="25"/>
        <v>0</v>
      </c>
      <c r="X232" s="1275">
        <f t="shared" si="25"/>
        <v>0</v>
      </c>
      <c r="Y232" s="1275">
        <f t="shared" si="25"/>
        <v>0</v>
      </c>
      <c r="Z232" s="1275">
        <f t="shared" si="25"/>
        <v>0</v>
      </c>
      <c r="AA232" s="1275">
        <f t="shared" si="25"/>
        <v>0</v>
      </c>
      <c r="AB232" s="1275">
        <f t="shared" si="25"/>
        <v>0</v>
      </c>
      <c r="AC232" s="1275">
        <f t="shared" si="25"/>
        <v>0</v>
      </c>
      <c r="AD232" s="1275">
        <f t="shared" si="25"/>
        <v>0</v>
      </c>
      <c r="AE232" s="1275">
        <f t="shared" si="25"/>
        <v>0</v>
      </c>
      <c r="AF232" s="1275">
        <f t="shared" si="25"/>
        <v>0</v>
      </c>
      <c r="AG232" s="1275">
        <f t="shared" si="25"/>
        <v>0</v>
      </c>
      <c r="AH232" s="1207"/>
    </row>
    <row r="233" spans="1:34" x14ac:dyDescent="0.2">
      <c r="A233" s="1274" t="s">
        <v>8</v>
      </c>
      <c r="B233" s="1237"/>
      <c r="C233" s="1302"/>
      <c r="D233" s="1302"/>
      <c r="E233" s="1302"/>
      <c r="F233" s="1303"/>
      <c r="G233" s="1303"/>
      <c r="H233" s="1303"/>
      <c r="I233" s="1303"/>
      <c r="J233" s="1303"/>
      <c r="K233" s="1303"/>
      <c r="L233" s="1303"/>
      <c r="M233" s="1303"/>
      <c r="N233" s="1303"/>
      <c r="O233" s="1303"/>
      <c r="P233" s="1304"/>
      <c r="Q233" s="1303"/>
      <c r="R233" s="1303"/>
      <c r="S233" s="1303"/>
      <c r="T233" s="1303"/>
      <c r="U233" s="1303"/>
      <c r="V233" s="1303"/>
      <c r="W233" s="1303"/>
      <c r="X233" s="1303"/>
      <c r="Y233" s="1303"/>
      <c r="Z233" s="1303"/>
      <c r="AA233" s="1303"/>
      <c r="AB233" s="1303"/>
      <c r="AC233" s="1303"/>
      <c r="AD233" s="1303"/>
      <c r="AE233" s="1303"/>
      <c r="AF233" s="1303"/>
      <c r="AG233" s="1303"/>
      <c r="AH233" s="1207"/>
    </row>
    <row r="234" spans="1:34" x14ac:dyDescent="0.2">
      <c r="A234" s="1274" t="s">
        <v>775</v>
      </c>
      <c r="B234" s="1237"/>
      <c r="C234" s="1473"/>
      <c r="D234" s="1473"/>
      <c r="E234" s="1473">
        <v>1265.4670000000001</v>
      </c>
      <c r="F234" s="1473">
        <v>1109.838</v>
      </c>
      <c r="G234" s="1473">
        <v>1461.68</v>
      </c>
      <c r="H234" s="1473">
        <v>4482.4639999999999</v>
      </c>
      <c r="I234" s="1473">
        <v>1461.69</v>
      </c>
      <c r="J234" s="1473">
        <v>1000</v>
      </c>
      <c r="K234" s="1473">
        <v>1120</v>
      </c>
      <c r="L234" s="1473">
        <v>1000</v>
      </c>
      <c r="M234" s="1473">
        <v>1120</v>
      </c>
      <c r="N234" s="1473"/>
      <c r="O234" s="1473">
        <v>5316.8270000000002</v>
      </c>
      <c r="P234" s="1473">
        <v>2000</v>
      </c>
      <c r="Q234" s="1473">
        <v>2982.3890000000001</v>
      </c>
      <c r="R234" s="1473">
        <v>2581.71</v>
      </c>
      <c r="S234" s="1473"/>
      <c r="T234" s="1473">
        <v>2796.6170000000002</v>
      </c>
      <c r="U234" s="1473">
        <v>8532.4220000000005</v>
      </c>
      <c r="V234" s="1473">
        <v>2120</v>
      </c>
      <c r="W234" s="1473">
        <v>5399.7730000000001</v>
      </c>
      <c r="X234" s="1473">
        <v>1461.61</v>
      </c>
      <c r="Y234" s="1473">
        <v>2031.7060000000001</v>
      </c>
      <c r="Z234" s="1473"/>
      <c r="AA234" s="1473">
        <v>4725.8729999999996</v>
      </c>
      <c r="AB234" s="1473"/>
      <c r="AC234" s="1473"/>
      <c r="AD234" s="1473"/>
      <c r="AE234" s="1473"/>
      <c r="AF234" s="1473">
        <v>4361.4880000000003</v>
      </c>
      <c r="AG234" s="1473">
        <v>5705.4529999999995</v>
      </c>
      <c r="AH234" s="1455">
        <f>SUM(C234:AG234)</f>
        <v>64037.006999999998</v>
      </c>
    </row>
    <row r="235" spans="1:34" ht="13.5" thickBot="1" x14ac:dyDescent="0.25">
      <c r="A235" s="1294"/>
      <c r="B235" s="1237"/>
      <c r="C235" s="1302"/>
      <c r="D235" s="1302"/>
      <c r="E235" s="1302"/>
      <c r="F235" s="1303"/>
      <c r="G235" s="1303"/>
      <c r="H235" s="1303"/>
      <c r="I235" s="1303"/>
      <c r="J235" s="1303"/>
      <c r="K235" s="1303"/>
      <c r="L235" s="1303"/>
      <c r="M235" s="1303"/>
      <c r="N235" s="1303"/>
      <c r="O235" s="1303"/>
      <c r="P235" s="1304"/>
      <c r="Q235" s="1303"/>
      <c r="R235" s="1303"/>
      <c r="S235" s="1303"/>
      <c r="T235" s="1303"/>
      <c r="U235" s="1303"/>
      <c r="V235" s="1303"/>
      <c r="W235" s="1303"/>
      <c r="X235" s="1303"/>
      <c r="Y235" s="1303"/>
      <c r="Z235" s="1303"/>
      <c r="AA235" s="1303"/>
      <c r="AB235" s="1303"/>
      <c r="AC235" s="1303"/>
      <c r="AD235" s="1303"/>
      <c r="AE235" s="1303"/>
      <c r="AF235" s="1303"/>
      <c r="AG235" s="1303"/>
      <c r="AH235" s="1207"/>
    </row>
    <row r="236" spans="1:34" x14ac:dyDescent="0.2">
      <c r="A236" s="1269"/>
      <c r="B236" s="1237"/>
      <c r="C236" s="1296"/>
      <c r="D236" s="1297"/>
      <c r="E236" s="1297"/>
      <c r="F236" s="1298"/>
      <c r="G236" s="1298"/>
      <c r="H236" s="1298"/>
      <c r="I236" s="1298"/>
      <c r="J236" s="1298"/>
      <c r="K236" s="1298"/>
      <c r="L236" s="1298"/>
      <c r="M236" s="1298"/>
      <c r="N236" s="1298"/>
      <c r="O236" s="1298"/>
      <c r="P236" s="1299"/>
      <c r="Q236" s="1298"/>
      <c r="R236" s="1298"/>
      <c r="S236" s="1298"/>
      <c r="T236" s="1298"/>
      <c r="U236" s="1298"/>
      <c r="V236" s="1298"/>
      <c r="W236" s="1298"/>
      <c r="X236" s="1298"/>
      <c r="Y236" s="1298"/>
      <c r="Z236" s="1298"/>
      <c r="AA236" s="1298"/>
      <c r="AB236" s="1298"/>
      <c r="AC236" s="1298"/>
      <c r="AD236" s="1298"/>
      <c r="AE236" s="1298"/>
      <c r="AF236" s="1298"/>
      <c r="AG236" s="1298"/>
      <c r="AH236" s="1207"/>
    </row>
    <row r="237" spans="1:34" x14ac:dyDescent="0.2">
      <c r="A237" s="1274" t="s">
        <v>13</v>
      </c>
      <c r="B237" s="1237"/>
      <c r="C237" s="1300">
        <f t="shared" ref="C237:AG237" si="26">C232-C224</f>
        <v>0</v>
      </c>
      <c r="D237" s="1300">
        <f t="shared" si="26"/>
        <v>0</v>
      </c>
      <c r="E237" s="1300">
        <f t="shared" si="26"/>
        <v>0</v>
      </c>
      <c r="F237" s="1300">
        <f t="shared" si="26"/>
        <v>0</v>
      </c>
      <c r="G237" s="1300">
        <f t="shared" si="26"/>
        <v>0</v>
      </c>
      <c r="H237" s="1300">
        <f t="shared" si="26"/>
        <v>0</v>
      </c>
      <c r="I237" s="1300">
        <f t="shared" si="26"/>
        <v>0</v>
      </c>
      <c r="J237" s="1300">
        <f t="shared" si="26"/>
        <v>0</v>
      </c>
      <c r="K237" s="1300">
        <f t="shared" si="26"/>
        <v>0</v>
      </c>
      <c r="L237" s="1300">
        <f t="shared" si="26"/>
        <v>0</v>
      </c>
      <c r="M237" s="1300">
        <f t="shared" si="26"/>
        <v>0</v>
      </c>
      <c r="N237" s="1300">
        <f t="shared" si="26"/>
        <v>0</v>
      </c>
      <c r="O237" s="1300">
        <f t="shared" si="26"/>
        <v>0</v>
      </c>
      <c r="P237" s="1301">
        <f t="shared" si="26"/>
        <v>0</v>
      </c>
      <c r="Q237" s="1300">
        <f t="shared" si="26"/>
        <v>0</v>
      </c>
      <c r="R237" s="1300">
        <f t="shared" si="26"/>
        <v>0</v>
      </c>
      <c r="S237" s="1300">
        <f t="shared" si="26"/>
        <v>0</v>
      </c>
      <c r="T237" s="1300">
        <f t="shared" si="26"/>
        <v>0</v>
      </c>
      <c r="U237" s="1300">
        <f t="shared" si="26"/>
        <v>0</v>
      </c>
      <c r="V237" s="1300">
        <f t="shared" si="26"/>
        <v>0</v>
      </c>
      <c r="W237" s="1300">
        <f t="shared" si="26"/>
        <v>0</v>
      </c>
      <c r="X237" s="1300">
        <f t="shared" si="26"/>
        <v>0</v>
      </c>
      <c r="Y237" s="1300">
        <f t="shared" si="26"/>
        <v>0</v>
      </c>
      <c r="Z237" s="1300">
        <f t="shared" si="26"/>
        <v>0</v>
      </c>
      <c r="AA237" s="1300">
        <f t="shared" si="26"/>
        <v>0</v>
      </c>
      <c r="AB237" s="1300">
        <f t="shared" si="26"/>
        <v>0</v>
      </c>
      <c r="AC237" s="1300">
        <f t="shared" si="26"/>
        <v>0</v>
      </c>
      <c r="AD237" s="1300">
        <f t="shared" si="26"/>
        <v>0</v>
      </c>
      <c r="AE237" s="1300">
        <f t="shared" si="26"/>
        <v>0</v>
      </c>
      <c r="AF237" s="1300">
        <f t="shared" si="26"/>
        <v>0</v>
      </c>
      <c r="AG237" s="1300">
        <f t="shared" si="26"/>
        <v>0</v>
      </c>
      <c r="AH237" s="1207"/>
    </row>
    <row r="238" spans="1:34" ht="13.5" thickBot="1" x14ac:dyDescent="0.25">
      <c r="A238" s="1274"/>
      <c r="B238" s="1237"/>
      <c r="C238" s="1300"/>
      <c r="D238" s="1302"/>
      <c r="E238" s="1302"/>
      <c r="F238" s="1303"/>
      <c r="G238" s="1303"/>
      <c r="H238" s="1303"/>
      <c r="I238" s="1303"/>
      <c r="J238" s="1303"/>
      <c r="K238" s="1303"/>
      <c r="L238" s="1303"/>
      <c r="M238" s="1303"/>
      <c r="N238" s="1303"/>
      <c r="O238" s="1303"/>
      <c r="P238" s="1304"/>
      <c r="Q238" s="1303"/>
      <c r="R238" s="1303"/>
      <c r="S238" s="1303"/>
      <c r="T238" s="1303"/>
      <c r="U238" s="1303"/>
      <c r="V238" s="1303"/>
      <c r="W238" s="1303"/>
      <c r="X238" s="1303"/>
      <c r="Y238" s="1303"/>
      <c r="Z238" s="1303"/>
      <c r="AA238" s="1303"/>
      <c r="AB238" s="1303"/>
      <c r="AC238" s="1303"/>
      <c r="AD238" s="1303"/>
      <c r="AE238" s="1303"/>
      <c r="AF238" s="1303"/>
      <c r="AG238" s="1303"/>
      <c r="AH238" s="1207"/>
    </row>
    <row r="239" spans="1:34" x14ac:dyDescent="0.2">
      <c r="A239" s="1233"/>
      <c r="B239" s="1234"/>
      <c r="C239" s="1305"/>
      <c r="D239" s="1297"/>
      <c r="E239" s="1297"/>
      <c r="F239" s="1298"/>
      <c r="G239" s="1298"/>
      <c r="H239" s="1298"/>
      <c r="I239" s="1298"/>
      <c r="J239" s="1298"/>
      <c r="K239" s="1298"/>
      <c r="L239" s="1298"/>
      <c r="M239" s="1298"/>
      <c r="N239" s="1298"/>
      <c r="O239" s="1298"/>
      <c r="P239" s="1299"/>
      <c r="Q239" s="1298"/>
      <c r="R239" s="1298"/>
      <c r="S239" s="1298"/>
      <c r="T239" s="1298"/>
      <c r="U239" s="1298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07"/>
    </row>
    <row r="240" spans="1:34" x14ac:dyDescent="0.2">
      <c r="A240" s="1236" t="s">
        <v>15</v>
      </c>
      <c r="B240" s="1237"/>
      <c r="C240" s="1302">
        <f>B221+C237</f>
        <v>-23524.322</v>
      </c>
      <c r="D240" s="1302">
        <f t="shared" ref="D240:AG240" si="27">C247+D237</f>
        <v>-23524.322</v>
      </c>
      <c r="E240" s="1302">
        <f t="shared" si="27"/>
        <v>-23524.322</v>
      </c>
      <c r="F240" s="1302">
        <f t="shared" si="27"/>
        <v>-23524.322</v>
      </c>
      <c r="G240" s="1302">
        <f t="shared" si="27"/>
        <v>-23524.322</v>
      </c>
      <c r="H240" s="1302">
        <f t="shared" si="27"/>
        <v>-23524.322</v>
      </c>
      <c r="I240" s="1302">
        <f t="shared" si="27"/>
        <v>-23524.322</v>
      </c>
      <c r="J240" s="1302">
        <f t="shared" si="27"/>
        <v>-23524.322</v>
      </c>
      <c r="K240" s="1302">
        <f t="shared" si="27"/>
        <v>-23524.322</v>
      </c>
      <c r="L240" s="1302">
        <f t="shared" si="27"/>
        <v>-23524.322</v>
      </c>
      <c r="M240" s="1302">
        <f t="shared" si="27"/>
        <v>-23524.322</v>
      </c>
      <c r="N240" s="1302">
        <f t="shared" si="27"/>
        <v>-23524.322</v>
      </c>
      <c r="O240" s="1302">
        <f t="shared" si="27"/>
        <v>-23524.322</v>
      </c>
      <c r="P240" s="1306">
        <f t="shared" si="27"/>
        <v>-23524.322</v>
      </c>
      <c r="Q240" s="1302">
        <f t="shared" si="27"/>
        <v>-23524.322</v>
      </c>
      <c r="R240" s="1302">
        <f t="shared" si="27"/>
        <v>-23524.322</v>
      </c>
      <c r="S240" s="1302">
        <f t="shared" si="27"/>
        <v>-23524.322</v>
      </c>
      <c r="T240" s="1302">
        <f t="shared" si="27"/>
        <v>-23524.322</v>
      </c>
      <c r="U240" s="1302">
        <f t="shared" si="27"/>
        <v>-23524.322</v>
      </c>
      <c r="V240" s="1302">
        <f t="shared" si="27"/>
        <v>-23524.322</v>
      </c>
      <c r="W240" s="1302">
        <f t="shared" si="27"/>
        <v>-23524.322</v>
      </c>
      <c r="X240" s="1302">
        <f t="shared" si="27"/>
        <v>-23524.322</v>
      </c>
      <c r="Y240" s="1302">
        <f t="shared" si="27"/>
        <v>-23524.322</v>
      </c>
      <c r="Z240" s="1302">
        <f t="shared" si="27"/>
        <v>-23524.322</v>
      </c>
      <c r="AA240" s="1302">
        <f t="shared" si="27"/>
        <v>-23524.322</v>
      </c>
      <c r="AB240" s="1302">
        <f t="shared" si="27"/>
        <v>-23524.322</v>
      </c>
      <c r="AC240" s="1302">
        <f t="shared" si="27"/>
        <v>-23524.322</v>
      </c>
      <c r="AD240" s="1302">
        <f t="shared" si="27"/>
        <v>-23524.322</v>
      </c>
      <c r="AE240" s="1302">
        <f t="shared" si="27"/>
        <v>-23524.322</v>
      </c>
      <c r="AF240" s="1302">
        <f t="shared" si="27"/>
        <v>-23524.322</v>
      </c>
      <c r="AG240" s="1302">
        <f t="shared" si="27"/>
        <v>-23524.322</v>
      </c>
      <c r="AH240" s="1207"/>
    </row>
    <row r="241" spans="1:34" ht="13.5" thickBot="1" x14ac:dyDescent="0.25">
      <c r="A241" s="1250"/>
      <c r="B241" s="1307"/>
      <c r="C241" s="1308"/>
      <c r="D241" s="1308"/>
      <c r="E241" s="1308"/>
      <c r="F241" s="1309"/>
      <c r="G241" s="1309"/>
      <c r="H241" s="1309"/>
      <c r="I241" s="1309"/>
      <c r="J241" s="1309"/>
      <c r="K241" s="1309"/>
      <c r="L241" s="1309"/>
      <c r="M241" s="1309"/>
      <c r="N241" s="1309"/>
      <c r="O241" s="1309"/>
      <c r="P241" s="1310"/>
      <c r="Q241" s="1309"/>
      <c r="R241" s="1309"/>
      <c r="S241" s="1309"/>
      <c r="T241" s="1309"/>
      <c r="U241" s="1309"/>
      <c r="V241" s="1309"/>
      <c r="W241" s="1309"/>
      <c r="X241" s="1309"/>
      <c r="Y241" s="1309"/>
      <c r="Z241" s="1309"/>
      <c r="AA241" s="1309"/>
      <c r="AB241" s="1309"/>
      <c r="AC241" s="1309"/>
      <c r="AD241" s="1309"/>
      <c r="AE241" s="1309"/>
      <c r="AF241" s="1309"/>
      <c r="AG241" s="1309"/>
      <c r="AH241" s="1207"/>
    </row>
    <row r="242" spans="1:34" x14ac:dyDescent="0.2">
      <c r="A242" s="1233"/>
      <c r="B242" s="1234"/>
      <c r="C242" s="1297"/>
      <c r="D242" s="1297"/>
      <c r="E242" s="1297"/>
      <c r="F242" s="1298"/>
      <c r="G242" s="1298"/>
      <c r="H242" s="1298"/>
      <c r="I242" s="1298"/>
      <c r="J242" s="1298"/>
      <c r="K242" s="1298"/>
      <c r="L242" s="1298"/>
      <c r="M242" s="1298"/>
      <c r="N242" s="1298"/>
      <c r="O242" s="1298"/>
      <c r="P242" s="1299"/>
      <c r="Q242" s="1298"/>
      <c r="R242" s="1298"/>
      <c r="S242" s="1298"/>
      <c r="T242" s="1298"/>
      <c r="U242" s="1298"/>
      <c r="V242" s="1298"/>
      <c r="W242" s="1298"/>
      <c r="X242" s="1298"/>
      <c r="Y242" s="1298"/>
      <c r="Z242" s="1298"/>
      <c r="AA242" s="1298"/>
      <c r="AB242" s="1298"/>
      <c r="AC242" s="1298"/>
      <c r="AD242" s="1298"/>
      <c r="AE242" s="1298"/>
      <c r="AF242" s="1298"/>
      <c r="AG242" s="1298"/>
      <c r="AH242" s="1207"/>
    </row>
    <row r="243" spans="1:34" x14ac:dyDescent="0.2">
      <c r="A243" s="1236" t="s">
        <v>82</v>
      </c>
      <c r="B243" s="1237"/>
      <c r="C243" s="1302">
        <f t="shared" ref="C243:AG244" si="28">C251</f>
        <v>0</v>
      </c>
      <c r="D243" s="1302">
        <f t="shared" si="28"/>
        <v>0</v>
      </c>
      <c r="E243" s="1302">
        <f t="shared" si="28"/>
        <v>0</v>
      </c>
      <c r="F243" s="1302">
        <f t="shared" si="28"/>
        <v>0</v>
      </c>
      <c r="G243" s="1302">
        <f t="shared" si="28"/>
        <v>0</v>
      </c>
      <c r="H243" s="1302">
        <f t="shared" si="28"/>
        <v>0</v>
      </c>
      <c r="I243" s="1302">
        <f t="shared" si="28"/>
        <v>0</v>
      </c>
      <c r="J243" s="1302">
        <f t="shared" si="28"/>
        <v>0</v>
      </c>
      <c r="K243" s="1302">
        <f t="shared" si="28"/>
        <v>0</v>
      </c>
      <c r="L243" s="1302">
        <f t="shared" si="28"/>
        <v>0</v>
      </c>
      <c r="M243" s="1302">
        <f t="shared" si="28"/>
        <v>0</v>
      </c>
      <c r="N243" s="1302">
        <f t="shared" si="28"/>
        <v>0</v>
      </c>
      <c r="O243" s="1302">
        <f t="shared" si="28"/>
        <v>0</v>
      </c>
      <c r="P243" s="1306">
        <f t="shared" si="28"/>
        <v>0</v>
      </c>
      <c r="Q243" s="1302">
        <f t="shared" si="28"/>
        <v>0</v>
      </c>
      <c r="R243" s="1302">
        <f t="shared" si="28"/>
        <v>0</v>
      </c>
      <c r="S243" s="1302">
        <f t="shared" si="28"/>
        <v>0</v>
      </c>
      <c r="T243" s="1302">
        <f t="shared" si="28"/>
        <v>0</v>
      </c>
      <c r="U243" s="1302">
        <f t="shared" si="28"/>
        <v>0</v>
      </c>
      <c r="V243" s="1302">
        <f t="shared" si="28"/>
        <v>0</v>
      </c>
      <c r="W243" s="1302">
        <f t="shared" si="28"/>
        <v>0</v>
      </c>
      <c r="X243" s="1302">
        <f t="shared" si="28"/>
        <v>0</v>
      </c>
      <c r="Y243" s="1302">
        <f t="shared" si="28"/>
        <v>0</v>
      </c>
      <c r="Z243" s="1302">
        <f t="shared" si="28"/>
        <v>0</v>
      </c>
      <c r="AA243" s="1302">
        <f t="shared" si="28"/>
        <v>0</v>
      </c>
      <c r="AB243" s="1302">
        <f t="shared" si="28"/>
        <v>0</v>
      </c>
      <c r="AC243" s="1302">
        <f t="shared" si="28"/>
        <v>0</v>
      </c>
      <c r="AD243" s="1302">
        <f t="shared" si="28"/>
        <v>0</v>
      </c>
      <c r="AE243" s="1302">
        <f t="shared" si="28"/>
        <v>0</v>
      </c>
      <c r="AF243" s="1302">
        <f t="shared" si="28"/>
        <v>0</v>
      </c>
      <c r="AG243" s="1302">
        <f t="shared" si="28"/>
        <v>0</v>
      </c>
      <c r="AH243" s="1207"/>
    </row>
    <row r="244" spans="1:34" x14ac:dyDescent="0.2">
      <c r="A244" s="1236" t="s">
        <v>83</v>
      </c>
      <c r="B244" s="1237"/>
      <c r="C244" s="1306">
        <f t="shared" si="28"/>
        <v>0</v>
      </c>
      <c r="D244" s="1306">
        <f t="shared" si="28"/>
        <v>0</v>
      </c>
      <c r="E244" s="1306">
        <f t="shared" si="28"/>
        <v>0</v>
      </c>
      <c r="F244" s="1306">
        <f t="shared" si="28"/>
        <v>0</v>
      </c>
      <c r="G244" s="1306">
        <f t="shared" si="28"/>
        <v>0</v>
      </c>
      <c r="H244" s="1306">
        <f t="shared" si="28"/>
        <v>0</v>
      </c>
      <c r="I244" s="1306">
        <f t="shared" si="28"/>
        <v>0</v>
      </c>
      <c r="J244" s="1306">
        <f t="shared" si="28"/>
        <v>0</v>
      </c>
      <c r="K244" s="1306">
        <f t="shared" si="28"/>
        <v>0</v>
      </c>
      <c r="L244" s="1306">
        <f t="shared" si="28"/>
        <v>0</v>
      </c>
      <c r="M244" s="1306">
        <f t="shared" si="28"/>
        <v>0</v>
      </c>
      <c r="N244" s="1306">
        <f t="shared" si="28"/>
        <v>0</v>
      </c>
      <c r="O244" s="1306">
        <f t="shared" si="28"/>
        <v>0</v>
      </c>
      <c r="P244" s="1306">
        <f t="shared" si="28"/>
        <v>0</v>
      </c>
      <c r="Q244" s="1306">
        <f t="shared" si="28"/>
        <v>0</v>
      </c>
      <c r="R244" s="1306">
        <f t="shared" si="28"/>
        <v>0</v>
      </c>
      <c r="S244" s="1306">
        <f t="shared" si="28"/>
        <v>0</v>
      </c>
      <c r="T244" s="1306">
        <f t="shared" si="28"/>
        <v>0</v>
      </c>
      <c r="U244" s="1306">
        <f t="shared" si="28"/>
        <v>0</v>
      </c>
      <c r="V244" s="1306">
        <f t="shared" si="28"/>
        <v>0</v>
      </c>
      <c r="W244" s="1306">
        <f t="shared" si="28"/>
        <v>0</v>
      </c>
      <c r="X244" s="1306">
        <f t="shared" si="28"/>
        <v>0</v>
      </c>
      <c r="Y244" s="1306">
        <f t="shared" si="28"/>
        <v>0</v>
      </c>
      <c r="Z244" s="1306">
        <f t="shared" si="28"/>
        <v>0</v>
      </c>
      <c r="AA244" s="1306">
        <f t="shared" si="28"/>
        <v>0</v>
      </c>
      <c r="AB244" s="1306">
        <f t="shared" si="28"/>
        <v>0</v>
      </c>
      <c r="AC244" s="1306">
        <f t="shared" si="28"/>
        <v>0</v>
      </c>
      <c r="AD244" s="1306">
        <f t="shared" si="28"/>
        <v>0</v>
      </c>
      <c r="AE244" s="1306">
        <f t="shared" si="28"/>
        <v>0</v>
      </c>
      <c r="AF244" s="1306">
        <f t="shared" si="28"/>
        <v>0</v>
      </c>
      <c r="AG244" s="1306">
        <f t="shared" si="28"/>
        <v>0</v>
      </c>
      <c r="AH244" s="1207"/>
    </row>
    <row r="245" spans="1:34" ht="13.5" thickBot="1" x14ac:dyDescent="0.25">
      <c r="A245" s="1250"/>
      <c r="B245" s="1307"/>
      <c r="C245" s="1308"/>
      <c r="D245" s="1308"/>
      <c r="E245" s="1308"/>
      <c r="F245" s="1309"/>
      <c r="G245" s="1309"/>
      <c r="H245" s="1309"/>
      <c r="I245" s="1309"/>
      <c r="J245" s="1309"/>
      <c r="K245" s="1309"/>
      <c r="L245" s="1309"/>
      <c r="M245" s="1309"/>
      <c r="N245" s="1309"/>
      <c r="O245" s="1309"/>
      <c r="P245" s="1310"/>
      <c r="Q245" s="1309"/>
      <c r="R245" s="1309"/>
      <c r="S245" s="1309"/>
      <c r="T245" s="1309"/>
      <c r="U245" s="1309"/>
      <c r="V245" s="1309"/>
      <c r="W245" s="1309"/>
      <c r="X245" s="1309"/>
      <c r="Y245" s="1309"/>
      <c r="Z245" s="1309"/>
      <c r="AA245" s="1309"/>
      <c r="AB245" s="1309"/>
      <c r="AC245" s="1309"/>
      <c r="AD245" s="1309"/>
      <c r="AE245" s="1309"/>
      <c r="AF245" s="1309"/>
      <c r="AG245" s="1309"/>
      <c r="AH245" s="1207"/>
    </row>
    <row r="246" spans="1:34" x14ac:dyDescent="0.2">
      <c r="A246" s="1236"/>
      <c r="B246" s="1237"/>
      <c r="C246" s="1302"/>
      <c r="D246" s="1302"/>
      <c r="E246" s="1302"/>
      <c r="F246" s="1303"/>
      <c r="G246" s="1303"/>
      <c r="H246" s="1303"/>
      <c r="I246" s="1303"/>
      <c r="J246" s="1303"/>
      <c r="K246" s="1303"/>
      <c r="L246" s="1303"/>
      <c r="M246" s="1303"/>
      <c r="N246" s="1303"/>
      <c r="O246" s="1303"/>
      <c r="P246" s="1304"/>
      <c r="Q246" s="1303"/>
      <c r="R246" s="1303"/>
      <c r="S246" s="1303"/>
      <c r="T246" s="1303"/>
      <c r="U246" s="1303"/>
      <c r="V246" s="1303"/>
      <c r="W246" s="1303"/>
      <c r="X246" s="1303"/>
      <c r="Y246" s="1303"/>
      <c r="Z246" s="1303"/>
      <c r="AA246" s="1303"/>
      <c r="AB246" s="1303"/>
      <c r="AC246" s="1303"/>
      <c r="AD246" s="1303"/>
      <c r="AE246" s="1303"/>
      <c r="AF246" s="1303"/>
      <c r="AG246" s="1303"/>
      <c r="AH246" s="1207"/>
    </row>
    <row r="247" spans="1:34" x14ac:dyDescent="0.2">
      <c r="A247" s="1236" t="s">
        <v>14</v>
      </c>
      <c r="B247" s="1237"/>
      <c r="C247" s="1302">
        <f t="shared" ref="C247:AG247" si="29">C240+C243+C244</f>
        <v>-23524.322</v>
      </c>
      <c r="D247" s="1302">
        <f t="shared" si="29"/>
        <v>-23524.322</v>
      </c>
      <c r="E247" s="1302">
        <f t="shared" si="29"/>
        <v>-23524.322</v>
      </c>
      <c r="F247" s="1302">
        <f t="shared" si="29"/>
        <v>-23524.322</v>
      </c>
      <c r="G247" s="1302">
        <f t="shared" si="29"/>
        <v>-23524.322</v>
      </c>
      <c r="H247" s="1302">
        <f t="shared" si="29"/>
        <v>-23524.322</v>
      </c>
      <c r="I247" s="1302">
        <f t="shared" si="29"/>
        <v>-23524.322</v>
      </c>
      <c r="J247" s="1302">
        <f t="shared" si="29"/>
        <v>-23524.322</v>
      </c>
      <c r="K247" s="1302">
        <f t="shared" si="29"/>
        <v>-23524.322</v>
      </c>
      <c r="L247" s="1302">
        <f t="shared" si="29"/>
        <v>-23524.322</v>
      </c>
      <c r="M247" s="1302">
        <f t="shared" si="29"/>
        <v>-23524.322</v>
      </c>
      <c r="N247" s="1302">
        <f t="shared" si="29"/>
        <v>-23524.322</v>
      </c>
      <c r="O247" s="1302">
        <f t="shared" si="29"/>
        <v>-23524.322</v>
      </c>
      <c r="P247" s="1306">
        <f t="shared" si="29"/>
        <v>-23524.322</v>
      </c>
      <c r="Q247" s="1302">
        <f t="shared" si="29"/>
        <v>-23524.322</v>
      </c>
      <c r="R247" s="1302">
        <f t="shared" si="29"/>
        <v>-23524.322</v>
      </c>
      <c r="S247" s="1302">
        <f t="shared" si="29"/>
        <v>-23524.322</v>
      </c>
      <c r="T247" s="1302">
        <f t="shared" si="29"/>
        <v>-23524.322</v>
      </c>
      <c r="U247" s="1302">
        <f t="shared" si="29"/>
        <v>-23524.322</v>
      </c>
      <c r="V247" s="1302">
        <f t="shared" si="29"/>
        <v>-23524.322</v>
      </c>
      <c r="W247" s="1302">
        <f t="shared" si="29"/>
        <v>-23524.322</v>
      </c>
      <c r="X247" s="1302">
        <f t="shared" si="29"/>
        <v>-23524.322</v>
      </c>
      <c r="Y247" s="1302">
        <f t="shared" si="29"/>
        <v>-23524.322</v>
      </c>
      <c r="Z247" s="1302">
        <f t="shared" si="29"/>
        <v>-23524.322</v>
      </c>
      <c r="AA247" s="1302">
        <f t="shared" si="29"/>
        <v>-23524.322</v>
      </c>
      <c r="AB247" s="1302">
        <f t="shared" si="29"/>
        <v>-23524.322</v>
      </c>
      <c r="AC247" s="1302">
        <f t="shared" si="29"/>
        <v>-23524.322</v>
      </c>
      <c r="AD247" s="1302">
        <f t="shared" si="29"/>
        <v>-23524.322</v>
      </c>
      <c r="AE247" s="1302">
        <f t="shared" si="29"/>
        <v>-23524.322</v>
      </c>
      <c r="AF247" s="1302">
        <f t="shared" si="29"/>
        <v>-23524.322</v>
      </c>
      <c r="AG247" s="1302">
        <f t="shared" si="29"/>
        <v>-23524.322</v>
      </c>
      <c r="AH247" s="1207"/>
    </row>
    <row r="248" spans="1:34" x14ac:dyDescent="0.2">
      <c r="A248" s="1236"/>
      <c r="B248" s="1237"/>
      <c r="C248" s="1302"/>
      <c r="D248" s="1302"/>
      <c r="E248" s="1302"/>
      <c r="F248" s="1303"/>
      <c r="G248" s="1303"/>
      <c r="H248" s="1303"/>
      <c r="I248" s="1303"/>
      <c r="J248" s="1303"/>
      <c r="K248" s="1303"/>
      <c r="L248" s="1303"/>
      <c r="M248" s="1303"/>
      <c r="N248" s="1303"/>
      <c r="O248" s="1303"/>
      <c r="P248" s="1304"/>
      <c r="Q248" s="1303"/>
      <c r="R248" s="1303"/>
      <c r="S248" s="1303"/>
      <c r="T248" s="1303"/>
      <c r="U248" s="1303"/>
      <c r="V248" s="1303"/>
      <c r="W248" s="1303"/>
      <c r="X248" s="1303"/>
      <c r="Y248" s="1303"/>
      <c r="Z248" s="1303"/>
      <c r="AA248" s="1303"/>
      <c r="AB248" s="1303"/>
      <c r="AC248" s="1303"/>
      <c r="AD248" s="1303"/>
      <c r="AE248" s="1303"/>
      <c r="AF248" s="1303"/>
      <c r="AG248" s="1303"/>
      <c r="AH248" s="1207"/>
    </row>
    <row r="249" spans="1:34" ht="13.5" thickBot="1" x14ac:dyDescent="0.25">
      <c r="A249" s="1250"/>
      <c r="B249" s="1307"/>
      <c r="C249" s="1312"/>
      <c r="D249" s="1312"/>
      <c r="E249" s="1312"/>
      <c r="F249" s="1313"/>
      <c r="G249" s="1313"/>
      <c r="H249" s="1313"/>
      <c r="I249" s="1313"/>
      <c r="J249" s="1313"/>
      <c r="K249" s="1313"/>
      <c r="L249" s="1313"/>
      <c r="M249" s="1313"/>
      <c r="N249" s="1313"/>
      <c r="O249" s="1313"/>
      <c r="P249" s="1314"/>
      <c r="Q249" s="1313"/>
      <c r="R249" s="1313"/>
      <c r="S249" s="1313"/>
      <c r="T249" s="1313"/>
      <c r="U249" s="1313"/>
      <c r="V249" s="1313"/>
      <c r="W249" s="1313"/>
      <c r="X249" s="1313"/>
      <c r="Y249" s="1313"/>
      <c r="Z249" s="1313"/>
      <c r="AA249" s="1313"/>
      <c r="AB249" s="1313"/>
      <c r="AC249" s="1313"/>
      <c r="AD249" s="1313"/>
      <c r="AE249" s="1313"/>
      <c r="AF249" s="1313"/>
      <c r="AG249" s="1313"/>
      <c r="AH249" s="1207"/>
    </row>
    <row r="250" spans="1:34" x14ac:dyDescent="0.2">
      <c r="A250" s="1316"/>
      <c r="B250" s="1207"/>
      <c r="C250" s="1227"/>
      <c r="D250" s="1227"/>
      <c r="E250" s="1227"/>
      <c r="F250" s="1227"/>
      <c r="G250" s="1227"/>
      <c r="H250" s="1227"/>
      <c r="I250" s="1227"/>
      <c r="J250" s="1227"/>
      <c r="K250" s="1227"/>
      <c r="L250" s="1227"/>
      <c r="M250" s="1227"/>
      <c r="N250" s="1227"/>
      <c r="O250" s="1227"/>
      <c r="P250" s="1229"/>
      <c r="Q250" s="1227"/>
      <c r="R250" s="1227"/>
      <c r="S250" s="1227"/>
      <c r="T250" s="1227"/>
      <c r="U250" s="1227"/>
      <c r="V250" s="1227"/>
      <c r="W250" s="1227"/>
      <c r="X250" s="1227"/>
      <c r="Y250" s="1227"/>
      <c r="Z250" s="1227"/>
      <c r="AA250" s="1227"/>
      <c r="AB250" s="1227"/>
      <c r="AC250" s="1227"/>
      <c r="AD250" s="1227"/>
      <c r="AE250" s="1227"/>
      <c r="AF250" s="1227"/>
      <c r="AG250" s="1227"/>
      <c r="AH250" s="1227">
        <f>SUM(C250:AG250)</f>
        <v>0</v>
      </c>
    </row>
    <row r="251" spans="1:34" x14ac:dyDescent="0.2">
      <c r="A251" s="1316"/>
      <c r="B251" s="1207"/>
      <c r="C251" s="1219"/>
      <c r="D251" s="1219"/>
      <c r="E251" s="1219"/>
      <c r="F251" s="1219"/>
      <c r="G251" s="1220"/>
      <c r="H251" s="1219"/>
      <c r="I251" s="1219"/>
      <c r="J251" s="1219"/>
      <c r="K251" s="1219"/>
      <c r="L251" s="1220"/>
      <c r="M251" s="1220"/>
      <c r="N251" s="1221"/>
      <c r="O251" s="1220"/>
      <c r="P251" s="1221"/>
      <c r="Q251" s="1219"/>
      <c r="R251" s="1219"/>
      <c r="S251" s="1219"/>
      <c r="T251" s="1219"/>
      <c r="U251" s="1219"/>
      <c r="V251" s="1221"/>
      <c r="W251" s="1219"/>
      <c r="X251" s="1219"/>
      <c r="Y251" s="1219"/>
      <c r="Z251" s="1219"/>
      <c r="AA251" s="1538"/>
      <c r="AB251" s="1219"/>
      <c r="AC251" s="1219"/>
      <c r="AD251" s="1220"/>
      <c r="AE251" s="1219"/>
      <c r="AF251" s="1221"/>
      <c r="AG251" s="1219"/>
      <c r="AH251" s="1345"/>
    </row>
    <row r="252" spans="1:34" x14ac:dyDescent="0.2">
      <c r="A252" s="1207"/>
      <c r="B252" s="1207"/>
      <c r="C252" s="1207"/>
      <c r="D252" s="1219"/>
      <c r="E252" s="1347"/>
      <c r="F252" s="1207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8"/>
      <c r="Q252" s="1227"/>
      <c r="R252" s="1207"/>
      <c r="S252" s="1345"/>
      <c r="T252" s="1207"/>
      <c r="U252" s="1207"/>
      <c r="V252" s="1207"/>
      <c r="W252" s="1207"/>
      <c r="X252" s="1207"/>
      <c r="Y252" s="1345"/>
      <c r="Z252" s="1345"/>
      <c r="AA252" s="1345"/>
      <c r="AB252" s="1345"/>
      <c r="AC252" s="1345"/>
      <c r="AD252" s="1345"/>
      <c r="AE252" s="1345"/>
      <c r="AF252" s="1345"/>
      <c r="AG252" s="1345"/>
      <c r="AH252" s="1227">
        <f>SUM(C252:AG252)</f>
        <v>0</v>
      </c>
    </row>
    <row r="253" spans="1:34" x14ac:dyDescent="0.2">
      <c r="A253" s="1210" t="s">
        <v>415</v>
      </c>
      <c r="B253" s="1215">
        <f>B254+B255+B257</f>
        <v>425000</v>
      </c>
      <c r="C253" s="1207"/>
      <c r="D253" s="1207"/>
      <c r="E253" s="1207"/>
      <c r="F253" s="1207"/>
      <c r="G253" s="1207"/>
      <c r="H253" s="1207"/>
      <c r="I253" s="1207"/>
      <c r="J253" s="1207"/>
      <c r="K253" s="1392"/>
      <c r="L253" s="1207"/>
      <c r="M253" s="1207"/>
      <c r="N253" s="1207"/>
      <c r="O253" s="1207"/>
      <c r="P253" s="1208"/>
      <c r="Q253" s="1207"/>
      <c r="R253" s="1207"/>
      <c r="S253" s="1207"/>
      <c r="T253" s="1207"/>
      <c r="U253" s="1207"/>
      <c r="V253" s="1207"/>
      <c r="W253" s="1207"/>
      <c r="X253" s="1207"/>
      <c r="Y253" s="1207"/>
      <c r="Z253" s="1207"/>
      <c r="AA253" s="1384"/>
      <c r="AB253" s="1207"/>
      <c r="AC253" s="1207"/>
      <c r="AD253" s="1207"/>
      <c r="AE253" s="1207"/>
      <c r="AF253" s="1207"/>
      <c r="AG253" s="1207"/>
      <c r="AH253" s="1207"/>
    </row>
    <row r="254" spans="1:34" x14ac:dyDescent="0.2">
      <c r="A254" s="1365" t="s">
        <v>414</v>
      </c>
      <c r="B254" s="1219">
        <v>25000</v>
      </c>
      <c r="C254" s="1207"/>
      <c r="D254" s="1207"/>
      <c r="E254" s="1227"/>
      <c r="F254" s="1227"/>
      <c r="G254" s="1227"/>
      <c r="H254" s="1207"/>
      <c r="I254" s="1207"/>
      <c r="J254" s="1207"/>
      <c r="K254" s="1207"/>
      <c r="L254" s="1207"/>
      <c r="M254" s="1207"/>
      <c r="N254" s="1207"/>
      <c r="O254" s="1207"/>
      <c r="P254" s="1208"/>
      <c r="Q254" s="1207"/>
      <c r="R254" s="1207"/>
      <c r="S254" s="1207"/>
      <c r="T254" s="1207"/>
      <c r="U254" s="1227"/>
      <c r="V254" s="1207"/>
      <c r="W254" s="1207"/>
      <c r="X254" s="1207"/>
      <c r="Y254" s="1207"/>
      <c r="Z254" s="1207"/>
      <c r="AA254" s="1354"/>
      <c r="AB254" s="1207"/>
      <c r="AC254" s="1207"/>
      <c r="AD254" s="1207"/>
      <c r="AE254" s="1207"/>
      <c r="AF254" s="1207"/>
      <c r="AG254" s="1227"/>
      <c r="AH254" s="1207"/>
    </row>
    <row r="255" spans="1:34" x14ac:dyDescent="0.2">
      <c r="A255" s="1365" t="s">
        <v>287</v>
      </c>
      <c r="B255" s="1219">
        <v>300000</v>
      </c>
      <c r="C255" s="1207"/>
      <c r="D255" s="1207"/>
      <c r="E255" s="1207"/>
      <c r="F255" s="1207"/>
      <c r="G255" s="1207"/>
      <c r="H255" s="1207"/>
      <c r="I255" s="1207"/>
      <c r="J255" s="1207"/>
      <c r="K255" s="1207"/>
      <c r="L255" s="1207"/>
      <c r="M255" s="1207"/>
      <c r="N255" s="1207"/>
      <c r="O255" s="1207"/>
      <c r="P255" s="1208"/>
      <c r="Q255" s="1207"/>
      <c r="R255" s="1207"/>
      <c r="S255" s="1207"/>
      <c r="T255" s="1207"/>
      <c r="U255" s="1227"/>
      <c r="V255" s="1207"/>
      <c r="W255" s="1207"/>
      <c r="X255" s="1207"/>
      <c r="Y255" s="1207"/>
      <c r="Z255" s="1207"/>
      <c r="AA255" s="1207"/>
      <c r="AB255" s="1207"/>
      <c r="AC255" s="1207"/>
      <c r="AD255" s="1207"/>
      <c r="AE255" s="1207"/>
      <c r="AF255" s="1392"/>
      <c r="AG255" s="1207"/>
      <c r="AH255" s="1207"/>
    </row>
    <row r="256" spans="1:34" x14ac:dyDescent="0.2">
      <c r="A256" s="1316" t="s">
        <v>413</v>
      </c>
      <c r="B256" s="1219"/>
      <c r="C256" s="1207"/>
      <c r="D256" s="1207"/>
      <c r="E256" s="1207"/>
      <c r="F256" s="1207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8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07"/>
      <c r="AA256" s="1207"/>
      <c r="AB256" s="1207"/>
      <c r="AC256" s="1207"/>
      <c r="AD256" s="1207"/>
      <c r="AE256" s="1207"/>
      <c r="AF256" s="1207"/>
      <c r="AG256" s="1207"/>
      <c r="AH256" s="1207"/>
    </row>
    <row r="257" spans="1:34" x14ac:dyDescent="0.2">
      <c r="A257" s="1316" t="s">
        <v>441</v>
      </c>
      <c r="B257" s="1219">
        <v>100000</v>
      </c>
      <c r="C257" s="1207"/>
      <c r="D257" s="1207"/>
      <c r="E257" s="1207"/>
      <c r="F257" s="1207"/>
      <c r="G257" s="1207"/>
      <c r="H257" s="1207"/>
      <c r="I257" s="1207"/>
      <c r="J257" s="1207"/>
      <c r="K257" s="1207"/>
      <c r="L257" s="1207"/>
      <c r="M257" s="1207"/>
      <c r="N257" s="1207"/>
      <c r="O257" s="1207"/>
      <c r="P257" s="1208"/>
      <c r="Q257" s="1207"/>
      <c r="R257" s="1207"/>
      <c r="S257" s="1207"/>
      <c r="T257" s="1207"/>
      <c r="U257" s="1207"/>
      <c r="V257" s="1207"/>
      <c r="W257" s="1207"/>
      <c r="X257" s="1207"/>
      <c r="Y257" s="1207"/>
      <c r="Z257" s="1207"/>
      <c r="AA257" s="1207"/>
      <c r="AB257" s="1207"/>
      <c r="AC257" s="1207"/>
      <c r="AD257" s="1207"/>
      <c r="AE257" s="1207"/>
      <c r="AF257" s="1207"/>
      <c r="AG257" s="1207"/>
      <c r="AH257" s="1207"/>
    </row>
    <row r="258" spans="1:34" x14ac:dyDescent="0.2">
      <c r="A258" s="1207"/>
      <c r="B258" s="1207"/>
      <c r="C258" s="1207"/>
      <c r="D258" s="1207"/>
      <c r="E258" s="1207"/>
      <c r="F258" s="1207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8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07"/>
      <c r="AA258" s="1207"/>
      <c r="AB258" s="1207"/>
      <c r="AC258" s="1207"/>
      <c r="AD258" s="1207"/>
      <c r="AE258" s="1207"/>
      <c r="AF258" s="1207"/>
      <c r="AG258" s="1207"/>
      <c r="AH258" s="1207"/>
    </row>
    <row r="259" spans="1:34" x14ac:dyDescent="0.2">
      <c r="A259" s="1207"/>
      <c r="B259" s="1207"/>
      <c r="C259" s="1207"/>
      <c r="D259" s="1207"/>
      <c r="E259" s="1207"/>
      <c r="F259" s="1207"/>
      <c r="G259" s="1207"/>
      <c r="H259" s="1207"/>
      <c r="I259" s="1207"/>
      <c r="J259" s="1207"/>
      <c r="K259" s="1207"/>
      <c r="L259" s="1207"/>
      <c r="M259" s="1207"/>
      <c r="N259" s="1207"/>
      <c r="O259" s="1207"/>
      <c r="P259" s="1208"/>
      <c r="Q259" s="1207"/>
      <c r="R259" s="1207"/>
      <c r="S259" s="1207"/>
      <c r="T259" s="1207"/>
      <c r="U259" s="1207"/>
      <c r="V259" s="1207"/>
      <c r="W259" s="1207"/>
      <c r="X259" s="1207"/>
      <c r="Y259" s="1207"/>
      <c r="Z259" s="1207"/>
      <c r="AA259" s="1207"/>
      <c r="AB259" s="1207"/>
      <c r="AC259" s="1207"/>
      <c r="AD259" s="1207"/>
      <c r="AE259" s="1207"/>
      <c r="AF259" s="1207"/>
      <c r="AG259" s="1207"/>
      <c r="AH259" s="1207"/>
    </row>
    <row r="260" spans="1:34" ht="13.5" thickBot="1" x14ac:dyDescent="0.25">
      <c r="A260" s="1207"/>
      <c r="B260" s="1207"/>
      <c r="C260" s="1207"/>
      <c r="D260" s="1207"/>
      <c r="E260" s="1207"/>
      <c r="F260" s="1207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8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1207"/>
      <c r="AD260" s="1207"/>
      <c r="AE260" s="1207"/>
      <c r="AF260" s="1207"/>
      <c r="AG260" s="1207"/>
      <c r="AH260" s="1207"/>
    </row>
    <row r="261" spans="1:34" x14ac:dyDescent="0.2">
      <c r="A261" s="1233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34"/>
      <c r="O261" s="1234"/>
      <c r="P261" s="1235"/>
      <c r="Q261" s="1234"/>
      <c r="R261" s="1234"/>
      <c r="S261" s="1234"/>
      <c r="T261" s="1234"/>
      <c r="U261" s="1234"/>
      <c r="V261" s="1234"/>
      <c r="W261" s="1234"/>
      <c r="X261" s="1234"/>
      <c r="Y261" s="1234"/>
      <c r="Z261" s="1234"/>
      <c r="AA261" s="1234"/>
      <c r="AB261" s="1234"/>
      <c r="AC261" s="1234"/>
      <c r="AD261" s="1234"/>
      <c r="AE261" s="1234"/>
      <c r="AF261" s="1234"/>
      <c r="AG261" s="1234"/>
      <c r="AH261" s="1207"/>
    </row>
    <row r="262" spans="1:34" x14ac:dyDescent="0.2">
      <c r="A262" s="1236"/>
      <c r="B262" s="1237" t="s">
        <v>37</v>
      </c>
      <c r="C262" s="1237"/>
      <c r="D262" s="1237"/>
      <c r="E262" s="1238" t="s">
        <v>816</v>
      </c>
      <c r="F262" s="1239" t="s">
        <v>340</v>
      </c>
      <c r="G262" s="1491"/>
      <c r="H262" s="1239"/>
      <c r="I262" s="1239"/>
      <c r="J262" s="1239"/>
      <c r="K262" s="1239"/>
      <c r="L262" s="1239"/>
      <c r="M262" s="1239"/>
      <c r="N262" s="1239"/>
      <c r="O262" s="1239"/>
      <c r="P262" s="1240"/>
      <c r="Q262" s="1239"/>
      <c r="R262" s="1239"/>
      <c r="S262" s="1239"/>
      <c r="T262" s="1239"/>
      <c r="U262" s="1239"/>
      <c r="V262" s="1239"/>
      <c r="W262" s="1239"/>
      <c r="X262" s="1239"/>
      <c r="Y262" s="1239"/>
      <c r="Z262" s="1239"/>
      <c r="AA262" s="1239"/>
      <c r="AB262" s="1239"/>
      <c r="AC262" s="1239"/>
      <c r="AD262" s="1239"/>
      <c r="AE262" s="1239"/>
      <c r="AF262" s="1239"/>
      <c r="AG262" s="1239"/>
      <c r="AH262" s="1207"/>
    </row>
    <row r="263" spans="1:34" x14ac:dyDescent="0.2">
      <c r="A263" s="1236"/>
      <c r="B263" s="1237"/>
      <c r="C263" s="1237"/>
      <c r="D263" s="1237"/>
      <c r="E263" s="1237"/>
      <c r="F263" s="1237"/>
      <c r="G263" s="1237"/>
      <c r="H263" s="1237"/>
      <c r="I263" s="1237"/>
      <c r="J263" s="1237"/>
      <c r="K263" s="1237"/>
      <c r="L263" s="1237"/>
      <c r="M263" s="1237"/>
      <c r="N263" s="1237"/>
      <c r="O263" s="1237"/>
      <c r="P263" s="1241"/>
      <c r="Q263" s="1237"/>
      <c r="R263" s="1237"/>
      <c r="S263" s="1237"/>
      <c r="T263" s="1237"/>
      <c r="U263" s="1237"/>
      <c r="V263" s="1237"/>
      <c r="W263" s="1237"/>
      <c r="X263" s="1237"/>
      <c r="Y263" s="1237"/>
      <c r="Z263" s="1237"/>
      <c r="AA263" s="1237"/>
      <c r="AB263" s="1237"/>
      <c r="AC263" s="1237"/>
      <c r="AD263" s="1237"/>
      <c r="AE263" s="1237"/>
      <c r="AF263" s="1237"/>
      <c r="AG263" s="1237"/>
      <c r="AH263" s="1207"/>
    </row>
    <row r="264" spans="1:34" x14ac:dyDescent="0.2">
      <c r="A264" s="1236"/>
      <c r="B264" s="1237"/>
      <c r="C264" s="1239"/>
      <c r="D264" s="1239">
        <v>42529</v>
      </c>
      <c r="E264" s="1237"/>
      <c r="F264" s="1237"/>
      <c r="G264" s="1237"/>
      <c r="H264" s="1237"/>
      <c r="I264" s="1237"/>
      <c r="J264" s="1237"/>
      <c r="K264" s="1237"/>
      <c r="L264" s="1237"/>
      <c r="M264" s="1237"/>
      <c r="N264" s="1237"/>
      <c r="O264" s="1237"/>
      <c r="P264" s="1241"/>
      <c r="Q264" s="1237"/>
      <c r="R264" s="1237"/>
      <c r="S264" s="1237"/>
      <c r="T264" s="1237"/>
      <c r="U264" s="1237"/>
      <c r="V264" s="1237"/>
      <c r="W264" s="1237"/>
      <c r="X264" s="1237"/>
      <c r="Y264" s="1237"/>
      <c r="Z264" s="1237"/>
      <c r="AA264" s="1237"/>
      <c r="AB264" s="1237"/>
      <c r="AC264" s="1237"/>
      <c r="AD264" s="1237"/>
      <c r="AE264" s="1237"/>
      <c r="AF264" s="1237"/>
      <c r="AG264" s="1237"/>
      <c r="AH264" s="1207"/>
    </row>
    <row r="265" spans="1:34" x14ac:dyDescent="0.2">
      <c r="A265" s="1236"/>
      <c r="B265" s="1237"/>
      <c r="C265" s="1239"/>
      <c r="D265" s="1239"/>
      <c r="E265" s="1237"/>
      <c r="F265" s="1237"/>
      <c r="G265" s="1237"/>
      <c r="H265" s="1237"/>
      <c r="I265" s="1237"/>
      <c r="J265" s="1237"/>
      <c r="K265" s="1237"/>
      <c r="L265" s="1237"/>
      <c r="M265" s="1237"/>
      <c r="N265" s="1237"/>
      <c r="O265" s="1237"/>
      <c r="P265" s="1241"/>
      <c r="Q265" s="1237"/>
      <c r="R265" s="1237"/>
      <c r="S265" s="1237"/>
      <c r="T265" s="1237"/>
      <c r="U265" s="1237"/>
      <c r="V265" s="1237"/>
      <c r="W265" s="1237"/>
      <c r="X265" s="1237"/>
      <c r="Y265" s="1237"/>
      <c r="Z265" s="1237"/>
      <c r="AA265" s="1237"/>
      <c r="AB265" s="1237"/>
      <c r="AC265" s="1237"/>
      <c r="AD265" s="1237"/>
      <c r="AE265" s="1237"/>
      <c r="AF265" s="1237"/>
      <c r="AG265" s="1237"/>
      <c r="AH265" s="1207"/>
    </row>
    <row r="266" spans="1:34" ht="13.5" thickBot="1" x14ac:dyDescent="0.25">
      <c r="A266" s="1236"/>
      <c r="B266" s="1237"/>
      <c r="C266" s="1237"/>
      <c r="D266" s="1237"/>
      <c r="E266" s="1237"/>
      <c r="F266" s="1237"/>
      <c r="G266" s="1237"/>
      <c r="H266" s="1237"/>
      <c r="I266" s="1237"/>
      <c r="J266" s="1237"/>
      <c r="K266" s="1237"/>
      <c r="L266" s="1237"/>
      <c r="M266" s="1237"/>
      <c r="N266" s="1237"/>
      <c r="O266" s="1237"/>
      <c r="P266" s="1241"/>
      <c r="Q266" s="1237"/>
      <c r="R266" s="1237"/>
      <c r="S266" s="1237"/>
      <c r="T266" s="1237"/>
      <c r="U266" s="1237"/>
      <c r="V266" s="1237"/>
      <c r="W266" s="1237"/>
      <c r="X266" s="1237"/>
      <c r="Y266" s="1237"/>
      <c r="Z266" s="1237"/>
      <c r="AA266" s="1237"/>
      <c r="AB266" s="1237"/>
      <c r="AC266" s="1237"/>
      <c r="AD266" s="1237"/>
      <c r="AE266" s="1237"/>
      <c r="AF266" s="1237"/>
      <c r="AG266" s="1237"/>
      <c r="AH266" s="1207"/>
    </row>
    <row r="267" spans="1:34" ht="13.5" thickBot="1" x14ac:dyDescent="0.25">
      <c r="A267" s="1236"/>
      <c r="B267" s="1237"/>
      <c r="C267" s="1243"/>
      <c r="D267" s="1244" t="s">
        <v>16</v>
      </c>
      <c r="E267" s="1244"/>
      <c r="F267" s="1244"/>
      <c r="G267" s="1244"/>
      <c r="H267" s="1244"/>
      <c r="I267" s="1244"/>
      <c r="J267" s="1244"/>
      <c r="K267" s="1244"/>
      <c r="L267" s="1244"/>
      <c r="M267" s="1244"/>
      <c r="N267" s="1244"/>
      <c r="O267" s="1244"/>
      <c r="P267" s="1245"/>
      <c r="Q267" s="1244"/>
      <c r="R267" s="1244"/>
      <c r="S267" s="1244"/>
      <c r="T267" s="1244"/>
      <c r="U267" s="1244"/>
      <c r="V267" s="1244"/>
      <c r="W267" s="1244"/>
      <c r="X267" s="1244"/>
      <c r="Y267" s="1244"/>
      <c r="Z267" s="1244"/>
      <c r="AA267" s="1244"/>
      <c r="AB267" s="1244"/>
      <c r="AC267" s="1244"/>
      <c r="AD267" s="1244"/>
      <c r="AE267" s="1244"/>
      <c r="AF267" s="1244"/>
      <c r="AG267" s="1244"/>
      <c r="AH267" s="1207"/>
    </row>
    <row r="268" spans="1:34" ht="13.5" thickBot="1" x14ac:dyDescent="0.25">
      <c r="A268" s="1236"/>
      <c r="B268" s="1237"/>
      <c r="C268" s="1246" t="s">
        <v>452</v>
      </c>
      <c r="D268" s="1246" t="s">
        <v>453</v>
      </c>
      <c r="E268" s="1246" t="s">
        <v>434</v>
      </c>
      <c r="F268" s="1246" t="s">
        <v>390</v>
      </c>
      <c r="G268" s="1246" t="s">
        <v>454</v>
      </c>
      <c r="H268" s="1246" t="s">
        <v>455</v>
      </c>
      <c r="I268" s="1246" t="s">
        <v>456</v>
      </c>
      <c r="J268" s="1246" t="s">
        <v>457</v>
      </c>
      <c r="K268" s="1246" t="s">
        <v>458</v>
      </c>
      <c r="L268" s="1246" t="s">
        <v>216</v>
      </c>
      <c r="M268" s="1246" t="s">
        <v>459</v>
      </c>
      <c r="N268" s="1246" t="s">
        <v>297</v>
      </c>
      <c r="O268" s="1246" t="s">
        <v>211</v>
      </c>
      <c r="P268" s="1247" t="s">
        <v>270</v>
      </c>
      <c r="Q268" s="1246">
        <v>15</v>
      </c>
      <c r="R268" s="1246">
        <v>16</v>
      </c>
      <c r="S268" s="1246" t="s">
        <v>461</v>
      </c>
      <c r="T268" s="1246" t="s">
        <v>442</v>
      </c>
      <c r="U268" s="1246" t="s">
        <v>462</v>
      </c>
      <c r="V268" s="1246" t="s">
        <v>470</v>
      </c>
      <c r="W268" s="1246" t="s">
        <v>471</v>
      </c>
      <c r="X268" s="1246" t="s">
        <v>472</v>
      </c>
      <c r="Y268" s="1246" t="s">
        <v>463</v>
      </c>
      <c r="Z268" s="1246" t="s">
        <v>465</v>
      </c>
      <c r="AA268" s="1246" t="s">
        <v>466</v>
      </c>
      <c r="AB268" s="1246" t="s">
        <v>435</v>
      </c>
      <c r="AC268" s="1246" t="s">
        <v>467</v>
      </c>
      <c r="AD268" s="1246" t="s">
        <v>464</v>
      </c>
      <c r="AE268" s="1246" t="s">
        <v>429</v>
      </c>
      <c r="AF268" s="1246" t="s">
        <v>149</v>
      </c>
      <c r="AG268" s="1246" t="s">
        <v>210</v>
      </c>
      <c r="AH268" s="1207"/>
    </row>
    <row r="269" spans="1:34" x14ac:dyDescent="0.2">
      <c r="A269" s="1233"/>
      <c r="B269" s="1248"/>
      <c r="C269" s="1237"/>
      <c r="D269" s="1237"/>
      <c r="E269" s="1237"/>
      <c r="F269" s="1237"/>
      <c r="G269" s="1237"/>
      <c r="H269" s="1237"/>
      <c r="I269" s="1237"/>
      <c r="J269" s="1237"/>
      <c r="K269" s="1237"/>
      <c r="L269" s="1237"/>
      <c r="M269" s="1237"/>
      <c r="N269" s="1237"/>
      <c r="O269" s="1237"/>
      <c r="P269" s="1241"/>
      <c r="Q269" s="1237"/>
      <c r="R269" s="1237"/>
      <c r="S269" s="1237"/>
      <c r="T269" s="1237"/>
      <c r="U269" s="1237"/>
      <c r="V269" s="1237"/>
      <c r="W269" s="1237"/>
      <c r="X269" s="1237"/>
      <c r="Y269" s="1237"/>
      <c r="Z269" s="1237"/>
      <c r="AA269" s="1237"/>
      <c r="AB269" s="1237"/>
      <c r="AC269" s="1237"/>
      <c r="AD269" s="1237"/>
      <c r="AE269" s="1237"/>
      <c r="AF269" s="1237"/>
      <c r="AG269" s="1237"/>
      <c r="AH269" s="1207"/>
    </row>
    <row r="270" spans="1:34" x14ac:dyDescent="0.2">
      <c r="A270" s="1236" t="s">
        <v>0</v>
      </c>
      <c r="B270" s="1249">
        <v>-11720.539000000001</v>
      </c>
      <c r="C270" s="1237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41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07"/>
    </row>
    <row r="271" spans="1:34" ht="13.5" thickBot="1" x14ac:dyDescent="0.25">
      <c r="A271" s="1250"/>
      <c r="B271" s="1251"/>
      <c r="C271" s="1237"/>
      <c r="D271" s="1237"/>
      <c r="E271" s="1237"/>
      <c r="F271" s="1237"/>
      <c r="G271" s="1237"/>
      <c r="H271" s="1237"/>
      <c r="I271" s="1237"/>
      <c r="J271" s="1237"/>
      <c r="K271" s="1237"/>
      <c r="L271" s="1237"/>
      <c r="M271" s="1237"/>
      <c r="N271" s="1237"/>
      <c r="O271" s="1237"/>
      <c r="P271" s="1241"/>
      <c r="Q271" s="1237"/>
      <c r="R271" s="1237"/>
      <c r="S271" s="1237"/>
      <c r="T271" s="1237"/>
      <c r="U271" s="1237"/>
      <c r="V271" s="1237"/>
      <c r="W271" s="1237"/>
      <c r="X271" s="1237"/>
      <c r="Y271" s="1237"/>
      <c r="Z271" s="1237"/>
      <c r="AA271" s="1237"/>
      <c r="AB271" s="1237"/>
      <c r="AC271" s="1237"/>
      <c r="AD271" s="1237"/>
      <c r="AE271" s="1237"/>
      <c r="AF271" s="1237"/>
      <c r="AG271" s="1237"/>
      <c r="AH271" s="1207"/>
    </row>
    <row r="272" spans="1:34" x14ac:dyDescent="0.2">
      <c r="A272" s="1233"/>
      <c r="B272" s="1253"/>
      <c r="C272" s="1237"/>
      <c r="D272" s="1237"/>
      <c r="E272" s="1237"/>
      <c r="F272" s="1237"/>
      <c r="G272" s="1237"/>
      <c r="H272" s="1237"/>
      <c r="I272" s="1237"/>
      <c r="J272" s="1237"/>
      <c r="K272" s="1237"/>
      <c r="L272" s="1237"/>
      <c r="M272" s="1237"/>
      <c r="N272" s="1237"/>
      <c r="O272" s="1237"/>
      <c r="P272" s="1241"/>
      <c r="Q272" s="1237"/>
      <c r="R272" s="1237"/>
      <c r="S272" s="1237"/>
      <c r="T272" s="1237"/>
      <c r="U272" s="1237"/>
      <c r="V272" s="1237"/>
      <c r="W272" s="1237"/>
      <c r="X272" s="1237"/>
      <c r="Y272" s="1237"/>
      <c r="Z272" s="1237"/>
      <c r="AA272" s="1237"/>
      <c r="AB272" s="1237"/>
      <c r="AC272" s="1237"/>
      <c r="AD272" s="1237"/>
      <c r="AE272" s="1237"/>
      <c r="AF272" s="1237"/>
      <c r="AG272" s="1237"/>
      <c r="AH272" s="1207"/>
    </row>
    <row r="273" spans="1:34" x14ac:dyDescent="0.2">
      <c r="A273" s="1236" t="s">
        <v>1</v>
      </c>
      <c r="B273" s="1249">
        <f>B274+B275+B276</f>
        <v>0</v>
      </c>
      <c r="C273" s="1237"/>
      <c r="D273" s="1237"/>
      <c r="E273" s="1237"/>
      <c r="F273" s="1237"/>
      <c r="G273" s="1237"/>
      <c r="H273" s="1237"/>
      <c r="I273" s="1237"/>
      <c r="J273" s="1237"/>
      <c r="K273" s="1237"/>
      <c r="L273" s="1237"/>
      <c r="M273" s="1237"/>
      <c r="N273" s="1237"/>
      <c r="O273" s="1237"/>
      <c r="P273" s="1241"/>
      <c r="Q273" s="1237"/>
      <c r="R273" s="1237"/>
      <c r="S273" s="1237"/>
      <c r="T273" s="1237"/>
      <c r="U273" s="1237"/>
      <c r="V273" s="1237"/>
      <c r="W273" s="1237"/>
      <c r="X273" s="1237"/>
      <c r="Y273" s="1237"/>
      <c r="Z273" s="1237"/>
      <c r="AA273" s="1237"/>
      <c r="AB273" s="1237"/>
      <c r="AC273" s="1237"/>
      <c r="AD273" s="1237"/>
      <c r="AE273" s="1237"/>
      <c r="AF273" s="1237"/>
      <c r="AG273" s="1237"/>
      <c r="AH273" s="1207"/>
    </row>
    <row r="274" spans="1:34" x14ac:dyDescent="0.2">
      <c r="A274" s="1236" t="s">
        <v>38</v>
      </c>
      <c r="B274" s="1249">
        <f>C322</f>
        <v>0</v>
      </c>
      <c r="C274" s="1237"/>
      <c r="D274" s="1237"/>
      <c r="E274" s="1237"/>
      <c r="F274" s="1237"/>
      <c r="G274" s="1237"/>
      <c r="H274" s="1237"/>
      <c r="I274" s="1237"/>
      <c r="J274" s="1237"/>
      <c r="K274" s="1237"/>
      <c r="L274" s="1237"/>
      <c r="M274" s="1237"/>
      <c r="N274" s="1237"/>
      <c r="O274" s="1237"/>
      <c r="P274" s="1241"/>
      <c r="Q274" s="1237"/>
      <c r="R274" s="1237"/>
      <c r="S274" s="1237"/>
      <c r="T274" s="1237"/>
      <c r="U274" s="1237"/>
      <c r="V274" s="1237"/>
      <c r="W274" s="1237"/>
      <c r="X274" s="1237"/>
      <c r="Y274" s="1237"/>
      <c r="Z274" s="1237"/>
      <c r="AA274" s="1237"/>
      <c r="AB274" s="1237"/>
      <c r="AC274" s="1237"/>
      <c r="AD274" s="1237"/>
      <c r="AE274" s="1237"/>
      <c r="AF274" s="1237"/>
      <c r="AG274" s="1237"/>
      <c r="AH274" s="1207"/>
    </row>
    <row r="275" spans="1:34" x14ac:dyDescent="0.2">
      <c r="A275" s="1236" t="s">
        <v>39</v>
      </c>
      <c r="B275" s="1249">
        <f>C345</f>
        <v>0</v>
      </c>
      <c r="C275" s="1237"/>
      <c r="D275" s="1237"/>
      <c r="E275" s="1237"/>
      <c r="F275" s="1237"/>
      <c r="G275" s="1237"/>
      <c r="H275" s="1237"/>
      <c r="I275" s="1237"/>
      <c r="J275" s="1237"/>
      <c r="K275" s="1237"/>
      <c r="L275" s="1237"/>
      <c r="M275" s="1237"/>
      <c r="N275" s="1237"/>
      <c r="O275" s="1237"/>
      <c r="P275" s="1241"/>
      <c r="Q275" s="1237"/>
      <c r="R275" s="1237"/>
      <c r="S275" s="1237"/>
      <c r="T275" s="1237"/>
      <c r="U275" s="1237"/>
      <c r="V275" s="1237"/>
      <c r="W275" s="1237"/>
      <c r="X275" s="1237"/>
      <c r="Y275" s="1237"/>
      <c r="Z275" s="1237"/>
      <c r="AA275" s="1237"/>
      <c r="AB275" s="1237"/>
      <c r="AC275" s="1237"/>
      <c r="AD275" s="1237"/>
      <c r="AE275" s="1237"/>
      <c r="AF275" s="1237"/>
      <c r="AG275" s="1237"/>
      <c r="AH275" s="1207"/>
    </row>
    <row r="276" spans="1:34" x14ac:dyDescent="0.2">
      <c r="A276" s="1236" t="s">
        <v>3</v>
      </c>
      <c r="B276" s="1249"/>
      <c r="C276" s="1237"/>
      <c r="D276" s="1237"/>
      <c r="E276" s="1237"/>
      <c r="F276" s="1237"/>
      <c r="G276" s="1237"/>
      <c r="H276" s="1237"/>
      <c r="I276" s="1237"/>
      <c r="J276" s="1237"/>
      <c r="K276" s="1237"/>
      <c r="L276" s="1237"/>
      <c r="M276" s="1237"/>
      <c r="N276" s="1237"/>
      <c r="O276" s="1237"/>
      <c r="P276" s="1241"/>
      <c r="Q276" s="1237"/>
      <c r="R276" s="1237"/>
      <c r="S276" s="1237"/>
      <c r="T276" s="1237"/>
      <c r="U276" s="1237"/>
      <c r="V276" s="1237"/>
      <c r="W276" s="1237"/>
      <c r="X276" s="1237"/>
      <c r="Y276" s="1237"/>
      <c r="Z276" s="1237"/>
      <c r="AA276" s="1237"/>
      <c r="AB276" s="1237"/>
      <c r="AC276" s="1237"/>
      <c r="AD276" s="1237"/>
      <c r="AE276" s="1237"/>
      <c r="AF276" s="1237"/>
      <c r="AG276" s="1237"/>
      <c r="AH276" s="1207"/>
    </row>
    <row r="277" spans="1:34" ht="13.5" thickBot="1" x14ac:dyDescent="0.25">
      <c r="A277" s="1250"/>
      <c r="B277" s="1251"/>
      <c r="C277" s="1237"/>
      <c r="D277" s="1237"/>
      <c r="E277" s="1237"/>
      <c r="F277" s="1237"/>
      <c r="G277" s="1237"/>
      <c r="H277" s="1237"/>
      <c r="I277" s="1237"/>
      <c r="J277" s="1237"/>
      <c r="K277" s="1237"/>
      <c r="L277" s="1237"/>
      <c r="M277" s="1237"/>
      <c r="N277" s="1237"/>
      <c r="O277" s="1237"/>
      <c r="P277" s="1241"/>
      <c r="Q277" s="1237"/>
      <c r="R277" s="1237"/>
      <c r="S277" s="1237"/>
      <c r="T277" s="1237"/>
      <c r="U277" s="1237"/>
      <c r="V277" s="1237"/>
      <c r="W277" s="1237"/>
      <c r="X277" s="1237"/>
      <c r="Y277" s="1237"/>
      <c r="Z277" s="1237"/>
      <c r="AA277" s="1237"/>
      <c r="AB277" s="1237"/>
      <c r="AC277" s="1237"/>
      <c r="AD277" s="1237"/>
      <c r="AE277" s="1237"/>
      <c r="AF277" s="1237"/>
      <c r="AG277" s="1237"/>
      <c r="AH277" s="1207"/>
    </row>
    <row r="278" spans="1:34" x14ac:dyDescent="0.2">
      <c r="A278" s="1233"/>
      <c r="B278" s="1253"/>
      <c r="C278" s="1237"/>
      <c r="D278" s="1237"/>
      <c r="E278" s="1237"/>
      <c r="F278" s="1237"/>
      <c r="G278" s="1237"/>
      <c r="H278" s="1237"/>
      <c r="I278" s="1237"/>
      <c r="J278" s="1237"/>
      <c r="K278" s="1237"/>
      <c r="L278" s="1237"/>
      <c r="M278" s="1237"/>
      <c r="N278" s="1237"/>
      <c r="O278" s="1237"/>
      <c r="P278" s="1241"/>
      <c r="Q278" s="1237"/>
      <c r="R278" s="1237"/>
      <c r="S278" s="1237"/>
      <c r="T278" s="1237"/>
      <c r="U278" s="1237"/>
      <c r="V278" s="1237"/>
      <c r="W278" s="1237"/>
      <c r="X278" s="1237"/>
      <c r="Y278" s="1237"/>
      <c r="Z278" s="1237"/>
      <c r="AA278" s="1237"/>
      <c r="AB278" s="1237"/>
      <c r="AC278" s="1237"/>
      <c r="AD278" s="1237"/>
      <c r="AE278" s="1237"/>
      <c r="AF278" s="1237"/>
      <c r="AG278" s="1237"/>
      <c r="AH278" s="1207"/>
    </row>
    <row r="279" spans="1:34" x14ac:dyDescent="0.2">
      <c r="A279" s="1236" t="s">
        <v>4</v>
      </c>
      <c r="B279" s="1249">
        <f>B270-B273</f>
        <v>-11720.539000000001</v>
      </c>
      <c r="C279" s="1237"/>
      <c r="D279" s="1237"/>
      <c r="E279" s="1237"/>
      <c r="F279" s="1237"/>
      <c r="G279" s="1237"/>
      <c r="H279" s="1237"/>
      <c r="I279" s="1237"/>
      <c r="J279" s="1237"/>
      <c r="K279" s="1237"/>
      <c r="L279" s="1237"/>
      <c r="M279" s="1237"/>
      <c r="N279" s="1237"/>
      <c r="O279" s="1237"/>
      <c r="P279" s="1241"/>
      <c r="Q279" s="1237"/>
      <c r="R279" s="1237"/>
      <c r="S279" s="1237"/>
      <c r="T279" s="1237"/>
      <c r="U279" s="1237"/>
      <c r="V279" s="1237"/>
      <c r="W279" s="1237"/>
      <c r="X279" s="1237"/>
      <c r="Y279" s="1237"/>
      <c r="Z279" s="1237"/>
      <c r="AA279" s="1237"/>
      <c r="AB279" s="1237"/>
      <c r="AC279" s="1237"/>
      <c r="AD279" s="1237"/>
      <c r="AE279" s="1237"/>
      <c r="AF279" s="1237"/>
      <c r="AG279" s="1237"/>
      <c r="AH279" s="1207"/>
    </row>
    <row r="280" spans="1:34" ht="21" thickBot="1" x14ac:dyDescent="0.35">
      <c r="A280" s="1250"/>
      <c r="B280" s="1251"/>
      <c r="C280" s="1237"/>
      <c r="D280" s="1237"/>
      <c r="E280" s="1237"/>
      <c r="F280" s="1393"/>
      <c r="G280" s="1237"/>
      <c r="H280" s="1237"/>
      <c r="I280" s="1237"/>
      <c r="J280" s="1237"/>
      <c r="K280" s="1237"/>
      <c r="L280" s="1237"/>
      <c r="M280" s="1237"/>
      <c r="N280" s="1237"/>
      <c r="O280" s="1237"/>
      <c r="P280" s="1241"/>
      <c r="Q280" s="1237"/>
      <c r="R280" s="1237"/>
      <c r="S280" s="1237"/>
      <c r="T280" s="1237"/>
      <c r="U280" s="1237"/>
      <c r="V280" s="1237"/>
      <c r="W280" s="1237"/>
      <c r="X280" s="1237"/>
      <c r="Y280" s="1237"/>
      <c r="Z280" s="1237"/>
      <c r="AA280" s="1237"/>
      <c r="AB280" s="1237"/>
      <c r="AC280" s="1237"/>
      <c r="AD280" s="1237"/>
      <c r="AE280" s="1237"/>
      <c r="AF280" s="1237"/>
      <c r="AG280" s="1237"/>
      <c r="AH280" s="1207"/>
    </row>
    <row r="281" spans="1:34" x14ac:dyDescent="0.2">
      <c r="A281" s="1233"/>
      <c r="B281" s="1253"/>
      <c r="C281" s="1237"/>
      <c r="D281" s="1237"/>
      <c r="E281" s="1237"/>
      <c r="F281" s="1237"/>
      <c r="G281" s="1237"/>
      <c r="H281" s="1237"/>
      <c r="I281" s="1237"/>
      <c r="J281" s="1237"/>
      <c r="K281" s="1237"/>
      <c r="L281" s="1237"/>
      <c r="M281" s="1237"/>
      <c r="N281" s="1237"/>
      <c r="O281" s="1237"/>
      <c r="P281" s="1241"/>
      <c r="Q281" s="1237"/>
      <c r="R281" s="1237"/>
      <c r="S281" s="1237"/>
      <c r="T281" s="1237"/>
      <c r="U281" s="1237"/>
      <c r="V281" s="1237"/>
      <c r="W281" s="1237"/>
      <c r="X281" s="1237"/>
      <c r="Y281" s="1237"/>
      <c r="Z281" s="1237"/>
      <c r="AA281" s="1237"/>
      <c r="AB281" s="1237"/>
      <c r="AC281" s="1237"/>
      <c r="AD281" s="1237"/>
      <c r="AE281" s="1237"/>
      <c r="AF281" s="1237"/>
      <c r="AG281" s="1237"/>
      <c r="AH281" s="1207"/>
    </row>
    <row r="282" spans="1:34" x14ac:dyDescent="0.2">
      <c r="A282" s="1236" t="s">
        <v>17</v>
      </c>
      <c r="B282" s="1249"/>
      <c r="C282" s="1237"/>
      <c r="D282" s="1237"/>
      <c r="E282" s="1237"/>
      <c r="F282" s="1237"/>
      <c r="G282" s="1237"/>
      <c r="H282" s="1237"/>
      <c r="I282" s="1237"/>
      <c r="J282" s="1237"/>
      <c r="K282" s="1237"/>
      <c r="L282" s="1237"/>
      <c r="M282" s="1237"/>
      <c r="N282" s="1237"/>
      <c r="O282" s="1237"/>
      <c r="P282" s="1241"/>
      <c r="Q282" s="1237"/>
      <c r="R282" s="1237"/>
      <c r="S282" s="1237"/>
      <c r="T282" s="1237"/>
      <c r="U282" s="1237"/>
      <c r="V282" s="1237"/>
      <c r="W282" s="1237"/>
      <c r="X282" s="1237"/>
      <c r="Y282" s="1237"/>
      <c r="Z282" s="1237"/>
      <c r="AA282" s="1237"/>
      <c r="AB282" s="1237"/>
      <c r="AC282" s="1237"/>
      <c r="AD282" s="1237"/>
      <c r="AE282" s="1237"/>
      <c r="AF282" s="1237"/>
      <c r="AG282" s="1237"/>
      <c r="AH282" s="1207"/>
    </row>
    <row r="283" spans="1:34" ht="13.5" thickBot="1" x14ac:dyDescent="0.25">
      <c r="A283" s="1250"/>
      <c r="B283" s="1251"/>
      <c r="C283" s="1237"/>
      <c r="D283" s="1237"/>
      <c r="E283" s="1237"/>
      <c r="F283" s="1237"/>
      <c r="G283" s="1237"/>
      <c r="H283" s="1237"/>
      <c r="I283" s="1237"/>
      <c r="J283" s="1237"/>
      <c r="K283" s="1237"/>
      <c r="L283" s="1237"/>
      <c r="M283" s="1237"/>
      <c r="N283" s="1237"/>
      <c r="O283" s="1237"/>
      <c r="P283" s="1241"/>
      <c r="Q283" s="1237" t="s">
        <v>1336</v>
      </c>
      <c r="R283" s="1237"/>
      <c r="S283" s="1237"/>
      <c r="T283" s="1237"/>
      <c r="U283" s="1237"/>
      <c r="V283" s="1237"/>
      <c r="W283" s="1237"/>
      <c r="X283" s="1258"/>
      <c r="Y283" s="1237"/>
      <c r="Z283" s="1237"/>
      <c r="AA283" s="1237"/>
      <c r="AB283" s="1237"/>
      <c r="AC283" s="1237"/>
      <c r="AD283" s="1237"/>
      <c r="AE283" s="1237"/>
      <c r="AF283" s="1491"/>
      <c r="AG283" s="1237"/>
      <c r="AH283" s="1207"/>
    </row>
    <row r="284" spans="1:34" ht="23.25" x14ac:dyDescent="0.35">
      <c r="A284" s="1233"/>
      <c r="B284" s="1253"/>
      <c r="D284" s="1237"/>
      <c r="E284" s="1491"/>
      <c r="F284" s="1750"/>
      <c r="G284" s="1750"/>
      <c r="H284" s="1237"/>
      <c r="I284" s="1370"/>
      <c r="J284" s="1237"/>
      <c r="K284" s="1394"/>
      <c r="L284" s="1237"/>
      <c r="M284" s="1237"/>
      <c r="N284" s="1237"/>
      <c r="O284" s="1237"/>
      <c r="P284" s="1241"/>
      <c r="Q284" s="1754" t="s">
        <v>1317</v>
      </c>
      <c r="R284" s="1754"/>
      <c r="S284" s="1754"/>
      <c r="T284" s="1754"/>
      <c r="U284" s="1754"/>
      <c r="V284" s="1754"/>
      <c r="W284" s="1754"/>
      <c r="X284" s="1754"/>
      <c r="Y284" s="1491"/>
      <c r="Z284" s="1491"/>
      <c r="AA284" s="1491"/>
      <c r="AB284" s="1237"/>
      <c r="AC284" s="1237"/>
      <c r="AD284" s="1237"/>
      <c r="AE284" s="1237"/>
      <c r="AF284" s="1539" t="s">
        <v>1044</v>
      </c>
      <c r="AG284" s="1370"/>
      <c r="AH284" s="1207"/>
    </row>
    <row r="285" spans="1:34" x14ac:dyDescent="0.2">
      <c r="A285" s="1236" t="s">
        <v>5</v>
      </c>
      <c r="B285" s="1249">
        <f>B279-B282</f>
        <v>-11720.539000000001</v>
      </c>
      <c r="C285" s="1392"/>
      <c r="D285" s="1491"/>
      <c r="E285" s="1371"/>
      <c r="F285" s="1491"/>
      <c r="G285" s="1490"/>
      <c r="H285" s="1519" t="s">
        <v>1328</v>
      </c>
      <c r="I285" s="1491"/>
      <c r="J285" s="1521"/>
      <c r="K285" s="1520"/>
      <c r="L285" s="1503"/>
      <c r="M285" s="1491"/>
      <c r="N285" s="1491"/>
      <c r="O285" s="1491"/>
      <c r="P285" s="1212"/>
      <c r="Q285" s="1370" t="s">
        <v>953</v>
      </c>
      <c r="R285" s="1491"/>
      <c r="S285" s="1212"/>
      <c r="T285" s="1491"/>
      <c r="U285" s="1491"/>
      <c r="V285" s="1491" t="s">
        <v>1289</v>
      </c>
      <c r="W285" s="1237" t="s">
        <v>1341</v>
      </c>
      <c r="X285" s="1256"/>
      <c r="Y285" s="1546" t="s">
        <v>223</v>
      </c>
      <c r="Z285" s="1212"/>
      <c r="AA285" s="1212"/>
      <c r="AB285" s="1212"/>
      <c r="AC285" s="1395"/>
      <c r="AD285" s="1395"/>
      <c r="AE285" s="1547" t="s">
        <v>921</v>
      </c>
      <c r="AF285" s="1491" t="s">
        <v>1316</v>
      </c>
      <c r="AG285" s="1370"/>
      <c r="AH285" s="1207"/>
    </row>
    <row r="286" spans="1:34" ht="13.5" thickBot="1" x14ac:dyDescent="0.25">
      <c r="A286" s="1250"/>
      <c r="B286" s="1251"/>
      <c r="C286" s="1237"/>
      <c r="D286" s="1237"/>
      <c r="E286" s="1237"/>
      <c r="F286" s="1237"/>
      <c r="G286" s="1237"/>
      <c r="H286" s="1237"/>
      <c r="I286" s="1237"/>
      <c r="J286" s="1237"/>
      <c r="K286" s="1237"/>
      <c r="L286" s="1237"/>
      <c r="M286" s="1491"/>
      <c r="N286" s="1237"/>
      <c r="O286" s="1237"/>
      <c r="P286" s="1241"/>
      <c r="Q286" s="1237"/>
      <c r="R286" s="1237"/>
      <c r="S286" s="1237"/>
      <c r="T286" s="1237"/>
      <c r="U286" s="1237"/>
      <c r="V286" s="1237"/>
      <c r="W286" s="1237"/>
      <c r="X286" s="1237"/>
      <c r="Y286" s="1237"/>
      <c r="Z286" s="1237"/>
      <c r="AA286" s="1237"/>
      <c r="AB286" s="1237"/>
      <c r="AC286" s="1237"/>
      <c r="AD286" s="1237"/>
      <c r="AE286" s="1237"/>
      <c r="AF286" s="1237"/>
      <c r="AG286" s="1237"/>
      <c r="AH286" s="1207"/>
    </row>
    <row r="287" spans="1:34" x14ac:dyDescent="0.2">
      <c r="A287" s="1269"/>
      <c r="B287" s="1237"/>
      <c r="C287" s="1270"/>
      <c r="D287" s="1272"/>
      <c r="E287" s="1272"/>
      <c r="F287" s="1271"/>
      <c r="G287" s="1271"/>
      <c r="H287" s="1271"/>
      <c r="I287" s="1271"/>
      <c r="J287" s="1271"/>
      <c r="K287" s="1271"/>
      <c r="L287" s="1271"/>
      <c r="M287" s="1271"/>
      <c r="N287" s="1271"/>
      <c r="O287" s="1271"/>
      <c r="P287" s="1273"/>
      <c r="Q287" s="1271"/>
      <c r="R287" s="1271"/>
      <c r="S287" s="1271"/>
      <c r="T287" s="1271"/>
      <c r="U287" s="1271"/>
      <c r="V287" s="1271"/>
      <c r="W287" s="1271"/>
      <c r="X287" s="1271"/>
      <c r="Y287" s="1271"/>
      <c r="Z287" s="1271"/>
      <c r="AA287" s="1271"/>
      <c r="AB287" s="1271"/>
      <c r="AC287" s="1271"/>
      <c r="AD287" s="1271"/>
      <c r="AE287" s="1271"/>
      <c r="AF287" s="1271"/>
      <c r="AG287" s="1271"/>
      <c r="AH287" s="1207"/>
    </row>
    <row r="288" spans="1:34" ht="13.5" thickBot="1" x14ac:dyDescent="0.25">
      <c r="A288" s="1274" t="s">
        <v>7</v>
      </c>
      <c r="B288" s="1237"/>
      <c r="C288" s="1275">
        <f t="shared" ref="C288:AG288" si="30">C289+C290+C291+C293+C292</f>
        <v>0</v>
      </c>
      <c r="D288" s="1275">
        <f t="shared" si="30"/>
        <v>0</v>
      </c>
      <c r="E288" s="1275">
        <f t="shared" si="30"/>
        <v>0</v>
      </c>
      <c r="F288" s="1275">
        <f t="shared" si="30"/>
        <v>0</v>
      </c>
      <c r="G288" s="1275">
        <f t="shared" si="30"/>
        <v>0</v>
      </c>
      <c r="H288" s="1275">
        <f t="shared" si="30"/>
        <v>0</v>
      </c>
      <c r="I288" s="1275">
        <f t="shared" si="30"/>
        <v>0</v>
      </c>
      <c r="J288" s="1275">
        <f t="shared" si="30"/>
        <v>0</v>
      </c>
      <c r="K288" s="1275">
        <f t="shared" si="30"/>
        <v>0</v>
      </c>
      <c r="L288" s="1275">
        <f t="shared" si="30"/>
        <v>0</v>
      </c>
      <c r="M288" s="1275">
        <f t="shared" si="30"/>
        <v>0</v>
      </c>
      <c r="N288" s="1275">
        <f t="shared" si="30"/>
        <v>0</v>
      </c>
      <c r="O288" s="1275">
        <f t="shared" si="30"/>
        <v>0</v>
      </c>
      <c r="P288" s="1276">
        <f t="shared" si="30"/>
        <v>0</v>
      </c>
      <c r="Q288" s="1275">
        <f t="shared" si="30"/>
        <v>0</v>
      </c>
      <c r="R288" s="1275">
        <f t="shared" si="30"/>
        <v>0</v>
      </c>
      <c r="S288" s="1275">
        <f t="shared" si="30"/>
        <v>0</v>
      </c>
      <c r="T288" s="1275">
        <f t="shared" si="30"/>
        <v>0</v>
      </c>
      <c r="U288" s="1275">
        <f t="shared" si="30"/>
        <v>0</v>
      </c>
      <c r="V288" s="1275">
        <f>V289+V290+V291+V293+V292</f>
        <v>0</v>
      </c>
      <c r="W288" s="1275">
        <f t="shared" si="30"/>
        <v>0</v>
      </c>
      <c r="X288" s="1275">
        <f t="shared" si="30"/>
        <v>0</v>
      </c>
      <c r="Y288" s="1275">
        <f t="shared" si="30"/>
        <v>0</v>
      </c>
      <c r="Z288" s="1275">
        <f t="shared" si="30"/>
        <v>0</v>
      </c>
      <c r="AA288" s="1275">
        <f t="shared" si="30"/>
        <v>0</v>
      </c>
      <c r="AB288" s="1275">
        <f t="shared" si="30"/>
        <v>0</v>
      </c>
      <c r="AC288" s="1275">
        <f t="shared" si="30"/>
        <v>0</v>
      </c>
      <c r="AD288" s="1275">
        <f t="shared" si="30"/>
        <v>0</v>
      </c>
      <c r="AE288" s="1275">
        <f t="shared" si="30"/>
        <v>0</v>
      </c>
      <c r="AF288" s="1275">
        <f t="shared" si="30"/>
        <v>0</v>
      </c>
      <c r="AG288" s="1275">
        <f t="shared" si="30"/>
        <v>0</v>
      </c>
      <c r="AH288" s="1227">
        <f>SUM(C288:AG288)</f>
        <v>0</v>
      </c>
    </row>
    <row r="289" spans="1:34" x14ac:dyDescent="0.2">
      <c r="A289" s="1274" t="s">
        <v>8</v>
      </c>
      <c r="B289" s="1389"/>
      <c r="C289" s="1302"/>
      <c r="D289" s="1302"/>
      <c r="E289" s="1396"/>
      <c r="F289" s="1303"/>
      <c r="G289" s="1303"/>
      <c r="H289" s="1303"/>
      <c r="I289" s="1319"/>
      <c r="J289" s="1303"/>
      <c r="K289" s="1303"/>
      <c r="L289" s="1303"/>
      <c r="M289" s="1303"/>
      <c r="N289" s="1303"/>
      <c r="O289" s="1303"/>
      <c r="P289" s="1304"/>
      <c r="Q289" s="1303"/>
      <c r="R289" s="1303"/>
      <c r="S289" s="1303"/>
      <c r="T289" s="1303"/>
      <c r="U289" s="1303"/>
      <c r="V289" s="1282"/>
      <c r="W289" s="1303"/>
      <c r="X289" s="1303"/>
      <c r="Y289" s="1303"/>
      <c r="Z289" s="1303"/>
      <c r="AA289" s="1303"/>
      <c r="AB289" s="1303"/>
      <c r="AC289" s="1303"/>
      <c r="AD289" s="1303"/>
      <c r="AE289" s="1303"/>
      <c r="AF289" s="1303"/>
      <c r="AG289" s="1397"/>
      <c r="AH289" s="1227">
        <f>SUM(C289:AG289)</f>
        <v>0</v>
      </c>
    </row>
    <row r="290" spans="1:34" x14ac:dyDescent="0.2">
      <c r="A290" s="1274" t="s">
        <v>9</v>
      </c>
      <c r="B290" s="1389"/>
      <c r="C290" s="1282"/>
      <c r="D290" s="1282"/>
      <c r="E290" s="1282"/>
      <c r="F290" s="1282"/>
      <c r="G290" s="1282"/>
      <c r="H290" s="1282"/>
      <c r="I290" s="1282"/>
      <c r="J290" s="1282"/>
      <c r="K290" s="1282"/>
      <c r="L290" s="1282"/>
      <c r="M290" s="1282"/>
      <c r="N290" s="1282"/>
      <c r="O290" s="1282"/>
      <c r="P290" s="1282"/>
      <c r="Q290" s="1282"/>
      <c r="R290" s="1282"/>
      <c r="S290" s="1282"/>
      <c r="T290" s="1282"/>
      <c r="U290" s="1282"/>
      <c r="V290" s="1282"/>
      <c r="W290" s="1282"/>
      <c r="X290" s="1282"/>
      <c r="Y290" s="1282"/>
      <c r="Z290" s="1282"/>
      <c r="AA290" s="1282"/>
      <c r="AB290" s="1282"/>
      <c r="AC290" s="1282"/>
      <c r="AD290" s="1282"/>
      <c r="AE290" s="1282"/>
      <c r="AF290" s="1282"/>
      <c r="AG290" s="1282"/>
      <c r="AH290" s="1227">
        <f>SUM(C290:AG290)</f>
        <v>0</v>
      </c>
    </row>
    <row r="291" spans="1:34" s="1289" customFormat="1" x14ac:dyDescent="0.2">
      <c r="A291" s="1285" t="s">
        <v>10</v>
      </c>
      <c r="B291" s="1372"/>
      <c r="C291" s="1398"/>
      <c r="D291" s="1374"/>
      <c r="E291" s="1374"/>
      <c r="F291" s="1375"/>
      <c r="G291" s="1375"/>
      <c r="H291" s="1375"/>
      <c r="I291" s="1375"/>
      <c r="J291" s="1375"/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/>
      <c r="U291" s="1375"/>
      <c r="V291" s="1375"/>
      <c r="W291" s="1375"/>
      <c r="X291" s="1376"/>
      <c r="Y291" s="1375"/>
      <c r="Z291" s="1390"/>
      <c r="AA291" s="1399"/>
      <c r="AB291" s="1375"/>
      <c r="AC291" s="1375"/>
      <c r="AD291" s="1377"/>
      <c r="AE291" s="1375"/>
      <c r="AF291" s="1375"/>
      <c r="AG291" s="1375"/>
      <c r="AH291" s="1231">
        <f>SUM(C291:AG291)</f>
        <v>0</v>
      </c>
    </row>
    <row r="292" spans="1:34" s="1289" customFormat="1" x14ac:dyDescent="0.2">
      <c r="A292" s="1285" t="s">
        <v>356</v>
      </c>
      <c r="B292" s="1372"/>
      <c r="C292" s="1492"/>
      <c r="D292" s="1492"/>
      <c r="E292" s="1492"/>
      <c r="F292" s="1492"/>
      <c r="G292" s="1492"/>
      <c r="H292" s="1492"/>
      <c r="I292" s="1492"/>
      <c r="J292" s="1492"/>
      <c r="K292" s="1492"/>
      <c r="L292" s="1492"/>
      <c r="M292" s="1492"/>
      <c r="N292" s="1492"/>
      <c r="O292" s="1492"/>
      <c r="P292" s="1492"/>
      <c r="Q292" s="1492"/>
      <c r="R292" s="1492"/>
      <c r="S292" s="1492"/>
      <c r="T292" s="1492"/>
      <c r="U292" s="1492"/>
      <c r="V292" s="1492"/>
      <c r="W292" s="1492"/>
      <c r="X292" s="1292"/>
      <c r="Y292" s="1492"/>
      <c r="Z292" s="1492"/>
      <c r="AA292" s="1492"/>
      <c r="AB292" s="1492"/>
      <c r="AC292" s="1492"/>
      <c r="AD292" s="1492"/>
      <c r="AE292" s="1492"/>
      <c r="AF292" s="1292"/>
      <c r="AG292" s="1492"/>
      <c r="AH292" s="1456">
        <f>SUM(C292:AG292)</f>
        <v>0</v>
      </c>
    </row>
    <row r="293" spans="1:34" x14ac:dyDescent="0.2">
      <c r="A293" s="1274" t="s">
        <v>11</v>
      </c>
      <c r="B293" s="1237"/>
      <c r="C293" s="1302"/>
      <c r="D293" s="1306"/>
      <c r="E293" s="1400"/>
      <c r="F293" s="1304"/>
      <c r="G293" s="1304"/>
      <c r="H293" s="1304"/>
      <c r="I293" s="1304"/>
      <c r="J293" s="1319"/>
      <c r="K293" s="1304"/>
      <c r="L293" s="1304"/>
      <c r="M293" s="1304"/>
      <c r="N293" s="1304"/>
      <c r="O293" s="1304"/>
      <c r="P293" s="1318"/>
      <c r="Q293" s="1282"/>
      <c r="R293" s="1304"/>
      <c r="S293" s="1318"/>
      <c r="T293" s="1304"/>
      <c r="U293" s="1304"/>
      <c r="V293" s="1282"/>
      <c r="W293" s="1319"/>
      <c r="X293" s="1317"/>
      <c r="Y293" s="1318"/>
      <c r="Z293" s="1319"/>
      <c r="AA293" s="1317"/>
      <c r="AB293" s="1319"/>
      <c r="AC293" s="1304"/>
      <c r="AD293" s="1319"/>
      <c r="AE293" s="1304"/>
      <c r="AF293" s="1473"/>
      <c r="AG293" s="1282"/>
      <c r="AH293" s="1207"/>
    </row>
    <row r="294" spans="1:34" ht="13.5" thickBot="1" x14ac:dyDescent="0.25">
      <c r="A294" s="1294"/>
      <c r="B294" s="1237"/>
      <c r="C294" s="1302"/>
      <c r="D294" s="1302"/>
      <c r="E294" s="1302"/>
      <c r="F294" s="1303"/>
      <c r="G294" s="1303"/>
      <c r="H294" s="1303"/>
      <c r="I294" s="1303"/>
      <c r="J294" s="1303"/>
      <c r="K294" s="1303"/>
      <c r="L294" s="1303"/>
      <c r="M294" s="1303"/>
      <c r="N294" s="1303"/>
      <c r="O294" s="1303"/>
      <c r="P294" s="1304"/>
      <c r="Q294" s="1303"/>
      <c r="R294" s="1303"/>
      <c r="S294" s="1303"/>
      <c r="T294" s="1303"/>
      <c r="U294" s="1303"/>
      <c r="V294" s="1303"/>
      <c r="W294" s="1303"/>
      <c r="X294" s="1303"/>
      <c r="Y294" s="1303"/>
      <c r="Z294" s="1303"/>
      <c r="AA294" s="1303"/>
      <c r="AB294" s="1303"/>
      <c r="AC294" s="1303"/>
      <c r="AD294" s="1303"/>
      <c r="AE294" s="1303"/>
      <c r="AF294" s="1303"/>
      <c r="AG294" s="1303"/>
      <c r="AH294" s="1207"/>
    </row>
    <row r="295" spans="1:34" x14ac:dyDescent="0.2">
      <c r="A295" s="1269"/>
      <c r="B295" s="1237"/>
      <c r="C295" s="1296"/>
      <c r="D295" s="1297"/>
      <c r="E295" s="1297"/>
      <c r="F295" s="1298"/>
      <c r="G295" s="1298"/>
      <c r="H295" s="1298"/>
      <c r="I295" s="1298"/>
      <c r="J295" s="1298"/>
      <c r="K295" s="1298"/>
      <c r="L295" s="1298"/>
      <c r="M295" s="1298"/>
      <c r="N295" s="1298"/>
      <c r="O295" s="1298"/>
      <c r="P295" s="1299"/>
      <c r="Q295" s="1298"/>
      <c r="R295" s="1298"/>
      <c r="S295" s="1298"/>
      <c r="T295" s="1298"/>
      <c r="U295" s="1298"/>
      <c r="V295" s="1298"/>
      <c r="W295" s="1298"/>
      <c r="X295" s="1298"/>
      <c r="Y295" s="1298"/>
      <c r="Z295" s="1298"/>
      <c r="AA295" s="1298"/>
      <c r="AB295" s="1298"/>
      <c r="AC295" s="1298"/>
      <c r="AD295" s="1298"/>
      <c r="AE295" s="1298"/>
      <c r="AF295" s="1298"/>
      <c r="AG295" s="1298"/>
      <c r="AH295" s="1207"/>
    </row>
    <row r="296" spans="1:34" ht="13.5" thickBot="1" x14ac:dyDescent="0.25">
      <c r="A296" s="1274" t="s">
        <v>12</v>
      </c>
      <c r="B296" s="1237"/>
      <c r="C296" s="1275">
        <f t="shared" ref="C296:AG296" si="31">C297</f>
        <v>0</v>
      </c>
      <c r="D296" s="1275">
        <f t="shared" si="31"/>
        <v>0</v>
      </c>
      <c r="E296" s="1275">
        <f t="shared" si="31"/>
        <v>0</v>
      </c>
      <c r="F296" s="1275">
        <f t="shared" si="31"/>
        <v>0</v>
      </c>
      <c r="G296" s="1275">
        <f t="shared" si="31"/>
        <v>0</v>
      </c>
      <c r="H296" s="1275">
        <f t="shared" si="31"/>
        <v>0</v>
      </c>
      <c r="I296" s="1275">
        <f t="shared" si="31"/>
        <v>0</v>
      </c>
      <c r="J296" s="1275">
        <f t="shared" si="31"/>
        <v>0</v>
      </c>
      <c r="K296" s="1275">
        <f t="shared" si="31"/>
        <v>0</v>
      </c>
      <c r="L296" s="1275">
        <f t="shared" si="31"/>
        <v>0</v>
      </c>
      <c r="M296" s="1275">
        <f t="shared" si="31"/>
        <v>0</v>
      </c>
      <c r="N296" s="1275">
        <f t="shared" si="31"/>
        <v>0</v>
      </c>
      <c r="O296" s="1275">
        <f t="shared" si="31"/>
        <v>0</v>
      </c>
      <c r="P296" s="1276">
        <f t="shared" si="31"/>
        <v>0</v>
      </c>
      <c r="Q296" s="1275">
        <f t="shared" si="31"/>
        <v>0</v>
      </c>
      <c r="R296" s="1275">
        <f t="shared" si="31"/>
        <v>0</v>
      </c>
      <c r="S296" s="1275">
        <f t="shared" si="31"/>
        <v>0</v>
      </c>
      <c r="T296" s="1275">
        <f t="shared" si="31"/>
        <v>0</v>
      </c>
      <c r="U296" s="1275">
        <f t="shared" si="31"/>
        <v>0</v>
      </c>
      <c r="V296" s="1275">
        <f t="shared" si="31"/>
        <v>0</v>
      </c>
      <c r="W296" s="1275">
        <f t="shared" si="31"/>
        <v>0</v>
      </c>
      <c r="X296" s="1275">
        <f t="shared" si="31"/>
        <v>0</v>
      </c>
      <c r="Y296" s="1275">
        <f t="shared" si="31"/>
        <v>0</v>
      </c>
      <c r="Z296" s="1275">
        <f t="shared" si="31"/>
        <v>0</v>
      </c>
      <c r="AA296" s="1275">
        <f t="shared" si="31"/>
        <v>0</v>
      </c>
      <c r="AB296" s="1275">
        <f t="shared" si="31"/>
        <v>0</v>
      </c>
      <c r="AC296" s="1275">
        <f t="shared" si="31"/>
        <v>0</v>
      </c>
      <c r="AD296" s="1275">
        <f t="shared" si="31"/>
        <v>0</v>
      </c>
      <c r="AE296" s="1275">
        <f t="shared" si="31"/>
        <v>0</v>
      </c>
      <c r="AF296" s="1275">
        <f t="shared" si="31"/>
        <v>0</v>
      </c>
      <c r="AG296" s="1275">
        <f t="shared" si="31"/>
        <v>0</v>
      </c>
      <c r="AH296" s="1207"/>
    </row>
    <row r="297" spans="1:34" x14ac:dyDescent="0.2">
      <c r="A297" s="1274" t="s">
        <v>8</v>
      </c>
      <c r="B297" s="1237"/>
      <c r="C297" s="1302"/>
      <c r="D297" s="1302"/>
      <c r="E297" s="1302"/>
      <c r="F297" s="1303"/>
      <c r="G297" s="1303"/>
      <c r="H297" s="1303"/>
      <c r="I297" s="1303"/>
      <c r="J297" s="1303"/>
      <c r="K297" s="1303"/>
      <c r="L297" s="1303"/>
      <c r="M297" s="1303"/>
      <c r="N297" s="1303"/>
      <c r="O297" s="1303"/>
      <c r="P297" s="1304"/>
      <c r="Q297" s="1303"/>
      <c r="R297" s="1303"/>
      <c r="S297" s="1303"/>
      <c r="T297" s="1303"/>
      <c r="U297" s="1303"/>
      <c r="V297" s="1303"/>
      <c r="W297" s="1303"/>
      <c r="X297" s="1303"/>
      <c r="Y297" s="1303"/>
      <c r="Z297" s="1303"/>
      <c r="AA297" s="1303"/>
      <c r="AB297" s="1303"/>
      <c r="AC297" s="1303"/>
      <c r="AD297" s="1303"/>
      <c r="AE297" s="1303"/>
      <c r="AF297" s="1303"/>
      <c r="AG297" s="1303"/>
      <c r="AH297" s="1207"/>
    </row>
    <row r="298" spans="1:34" x14ac:dyDescent="0.2">
      <c r="A298" s="1274" t="s">
        <v>775</v>
      </c>
      <c r="B298" s="1237"/>
      <c r="C298" s="1473"/>
      <c r="D298" s="1473"/>
      <c r="E298" s="1473">
        <v>737.99300000000005</v>
      </c>
      <c r="F298" s="1473"/>
      <c r="G298" s="1473">
        <v>4661.7740000000003</v>
      </c>
      <c r="H298" s="1473"/>
      <c r="I298" s="1473">
        <v>963.90599999999995</v>
      </c>
      <c r="J298" s="1473"/>
      <c r="K298" s="1473"/>
      <c r="L298" s="1473">
        <v>11345.648000000001</v>
      </c>
      <c r="M298" s="1473"/>
      <c r="N298" s="1473"/>
      <c r="O298" s="1473"/>
      <c r="P298" s="1473"/>
      <c r="Q298" s="1473">
        <v>6027.5810000000001</v>
      </c>
      <c r="R298" s="1473"/>
      <c r="S298" s="1473"/>
      <c r="T298" s="1473"/>
      <c r="U298" s="1473"/>
      <c r="V298" s="1473">
        <v>7649.2280000000001</v>
      </c>
      <c r="W298" s="1473"/>
      <c r="X298" s="1473">
        <v>1851.1980000000001</v>
      </c>
      <c r="Y298" s="1473"/>
      <c r="Z298" s="1473"/>
      <c r="AA298" s="1473">
        <v>4582.5289999999995</v>
      </c>
      <c r="AB298" s="1473"/>
      <c r="AC298" s="1473"/>
      <c r="AD298" s="1473">
        <v>907.81600000000003</v>
      </c>
      <c r="AE298" s="1473"/>
      <c r="AF298" s="1473">
        <v>11023.648999999999</v>
      </c>
      <c r="AG298" s="1473">
        <v>14850.626</v>
      </c>
      <c r="AH298" s="1455">
        <f>SUM(C298:AG298)</f>
        <v>64601.948000000004</v>
      </c>
    </row>
    <row r="299" spans="1:34" ht="13.5" thickBot="1" x14ac:dyDescent="0.25">
      <c r="A299" s="1294"/>
      <c r="B299" s="1237"/>
      <c r="C299" s="1302"/>
      <c r="D299" s="1302"/>
      <c r="E299" s="1302"/>
      <c r="F299" s="1303"/>
      <c r="G299" s="1303"/>
      <c r="H299" s="1303"/>
      <c r="I299" s="1303"/>
      <c r="J299" s="1303"/>
      <c r="K299" s="1303"/>
      <c r="L299" s="1303"/>
      <c r="M299" s="1303"/>
      <c r="N299" s="1303"/>
      <c r="O299" s="1303"/>
      <c r="P299" s="1304"/>
      <c r="Q299" s="1303"/>
      <c r="R299" s="1303"/>
      <c r="S299" s="1303"/>
      <c r="T299" s="1303"/>
      <c r="U299" s="1303"/>
      <c r="V299" s="1303"/>
      <c r="W299" s="1303"/>
      <c r="X299" s="1303"/>
      <c r="Y299" s="1303"/>
      <c r="Z299" s="1303"/>
      <c r="AA299" s="1303"/>
      <c r="AB299" s="1303"/>
      <c r="AC299" s="1303"/>
      <c r="AD299" s="1303"/>
      <c r="AE299" s="1303"/>
      <c r="AF299" s="1303"/>
      <c r="AG299" s="1303"/>
      <c r="AH299" s="1207"/>
    </row>
    <row r="300" spans="1:34" x14ac:dyDescent="0.2">
      <c r="A300" s="1269"/>
      <c r="B300" s="1237"/>
      <c r="C300" s="1296"/>
      <c r="D300" s="1297"/>
      <c r="E300" s="1297"/>
      <c r="F300" s="1298"/>
      <c r="G300" s="1298"/>
      <c r="H300" s="1298"/>
      <c r="I300" s="1298"/>
      <c r="J300" s="1298"/>
      <c r="K300" s="1298"/>
      <c r="L300" s="1298"/>
      <c r="M300" s="1298"/>
      <c r="N300" s="1298"/>
      <c r="O300" s="1298"/>
      <c r="P300" s="1299"/>
      <c r="Q300" s="1298"/>
      <c r="R300" s="1298"/>
      <c r="S300" s="1298"/>
      <c r="T300" s="1298"/>
      <c r="U300" s="1298"/>
      <c r="V300" s="1298"/>
      <c r="W300" s="1298"/>
      <c r="X300" s="1298"/>
      <c r="Y300" s="1298"/>
      <c r="Z300" s="1298"/>
      <c r="AA300" s="1298"/>
      <c r="AB300" s="1298"/>
      <c r="AC300" s="1298"/>
      <c r="AD300" s="1298"/>
      <c r="AE300" s="1298"/>
      <c r="AF300" s="1298"/>
      <c r="AG300" s="1298"/>
      <c r="AH300" s="1207"/>
    </row>
    <row r="301" spans="1:34" x14ac:dyDescent="0.2">
      <c r="A301" s="1274" t="s">
        <v>13</v>
      </c>
      <c r="B301" s="1237"/>
      <c r="C301" s="1300">
        <f t="shared" ref="C301:AG301" si="32">C296-C288</f>
        <v>0</v>
      </c>
      <c r="D301" s="1300">
        <f t="shared" si="32"/>
        <v>0</v>
      </c>
      <c r="E301" s="1300">
        <f t="shared" si="32"/>
        <v>0</v>
      </c>
      <c r="F301" s="1300">
        <f t="shared" si="32"/>
        <v>0</v>
      </c>
      <c r="G301" s="1300">
        <f t="shared" si="32"/>
        <v>0</v>
      </c>
      <c r="H301" s="1300">
        <f t="shared" si="32"/>
        <v>0</v>
      </c>
      <c r="I301" s="1300">
        <f t="shared" si="32"/>
        <v>0</v>
      </c>
      <c r="J301" s="1300">
        <f t="shared" si="32"/>
        <v>0</v>
      </c>
      <c r="K301" s="1300">
        <f t="shared" si="32"/>
        <v>0</v>
      </c>
      <c r="L301" s="1300">
        <f t="shared" si="32"/>
        <v>0</v>
      </c>
      <c r="M301" s="1300">
        <f t="shared" si="32"/>
        <v>0</v>
      </c>
      <c r="N301" s="1300">
        <f t="shared" si="32"/>
        <v>0</v>
      </c>
      <c r="O301" s="1300">
        <f t="shared" si="32"/>
        <v>0</v>
      </c>
      <c r="P301" s="1301">
        <f t="shared" si="32"/>
        <v>0</v>
      </c>
      <c r="Q301" s="1300">
        <f t="shared" si="32"/>
        <v>0</v>
      </c>
      <c r="R301" s="1300">
        <f t="shared" si="32"/>
        <v>0</v>
      </c>
      <c r="S301" s="1300">
        <f t="shared" si="32"/>
        <v>0</v>
      </c>
      <c r="T301" s="1300">
        <f t="shared" si="32"/>
        <v>0</v>
      </c>
      <c r="U301" s="1300">
        <f t="shared" si="32"/>
        <v>0</v>
      </c>
      <c r="V301" s="1300">
        <f t="shared" si="32"/>
        <v>0</v>
      </c>
      <c r="W301" s="1300">
        <f t="shared" si="32"/>
        <v>0</v>
      </c>
      <c r="X301" s="1300">
        <f t="shared" si="32"/>
        <v>0</v>
      </c>
      <c r="Y301" s="1300">
        <f t="shared" si="32"/>
        <v>0</v>
      </c>
      <c r="Z301" s="1300">
        <f t="shared" si="32"/>
        <v>0</v>
      </c>
      <c r="AA301" s="1300">
        <f t="shared" si="32"/>
        <v>0</v>
      </c>
      <c r="AB301" s="1300">
        <f t="shared" si="32"/>
        <v>0</v>
      </c>
      <c r="AC301" s="1300">
        <f t="shared" si="32"/>
        <v>0</v>
      </c>
      <c r="AD301" s="1300">
        <f t="shared" si="32"/>
        <v>0</v>
      </c>
      <c r="AE301" s="1300">
        <f t="shared" si="32"/>
        <v>0</v>
      </c>
      <c r="AF301" s="1300">
        <f t="shared" si="32"/>
        <v>0</v>
      </c>
      <c r="AG301" s="1300">
        <f t="shared" si="32"/>
        <v>0</v>
      </c>
      <c r="AH301" s="1207"/>
    </row>
    <row r="302" spans="1:34" ht="13.5" thickBot="1" x14ac:dyDescent="0.25">
      <c r="A302" s="1274"/>
      <c r="B302" s="1237"/>
      <c r="C302" s="1300"/>
      <c r="D302" s="1302"/>
      <c r="E302" s="1302"/>
      <c r="F302" s="1303"/>
      <c r="G302" s="1303"/>
      <c r="H302" s="1303"/>
      <c r="I302" s="1303"/>
      <c r="J302" s="1303"/>
      <c r="K302" s="1303"/>
      <c r="L302" s="1303"/>
      <c r="M302" s="1303"/>
      <c r="N302" s="1303"/>
      <c r="O302" s="1303"/>
      <c r="P302" s="1304"/>
      <c r="Q302" s="1303"/>
      <c r="R302" s="1303"/>
      <c r="S302" s="1303"/>
      <c r="T302" s="1303"/>
      <c r="U302" s="1303"/>
      <c r="V302" s="1303"/>
      <c r="W302" s="1303"/>
      <c r="X302" s="1303"/>
      <c r="Y302" s="1303"/>
      <c r="Z302" s="1303"/>
      <c r="AA302" s="1303"/>
      <c r="AB302" s="1303"/>
      <c r="AC302" s="1303"/>
      <c r="AD302" s="1303"/>
      <c r="AE302" s="1303"/>
      <c r="AF302" s="1303"/>
      <c r="AG302" s="1303"/>
      <c r="AH302" s="1207"/>
    </row>
    <row r="303" spans="1:34" x14ac:dyDescent="0.2">
      <c r="A303" s="1233"/>
      <c r="B303" s="1234"/>
      <c r="C303" s="1305"/>
      <c r="D303" s="1297"/>
      <c r="E303" s="1297"/>
      <c r="F303" s="1298"/>
      <c r="G303" s="1298"/>
      <c r="H303" s="1298"/>
      <c r="I303" s="1298"/>
      <c r="J303" s="1298"/>
      <c r="K303" s="1298"/>
      <c r="L303" s="1298"/>
      <c r="M303" s="1298"/>
      <c r="N303" s="1298"/>
      <c r="O303" s="1298"/>
      <c r="P303" s="1299"/>
      <c r="Q303" s="1298"/>
      <c r="R303" s="1298"/>
      <c r="S303" s="1298"/>
      <c r="T303" s="1298"/>
      <c r="U303" s="1298"/>
      <c r="V303" s="1298"/>
      <c r="W303" s="1298"/>
      <c r="X303" s="1298"/>
      <c r="Y303" s="1298"/>
      <c r="Z303" s="1298"/>
      <c r="AA303" s="1298"/>
      <c r="AB303" s="1298"/>
      <c r="AC303" s="1298"/>
      <c r="AD303" s="1298"/>
      <c r="AE303" s="1298"/>
      <c r="AF303" s="1298"/>
      <c r="AG303" s="1298"/>
      <c r="AH303" s="1207"/>
    </row>
    <row r="304" spans="1:34" x14ac:dyDescent="0.2">
      <c r="A304" s="1236" t="s">
        <v>15</v>
      </c>
      <c r="B304" s="1237"/>
      <c r="C304" s="1302">
        <f>B285+C301</f>
        <v>-11720.539000000001</v>
      </c>
      <c r="D304" s="1302">
        <f t="shared" ref="D304:AG304" si="33">C311+D301</f>
        <v>-11720.539000000001</v>
      </c>
      <c r="E304" s="1302">
        <f t="shared" si="33"/>
        <v>-11720.539000000001</v>
      </c>
      <c r="F304" s="1302">
        <f t="shared" si="33"/>
        <v>-11720.539000000001</v>
      </c>
      <c r="G304" s="1302">
        <f t="shared" si="33"/>
        <v>-11720.539000000001</v>
      </c>
      <c r="H304" s="1302">
        <f t="shared" si="33"/>
        <v>-11720.539000000001</v>
      </c>
      <c r="I304" s="1302">
        <f t="shared" si="33"/>
        <v>-11720.539000000001</v>
      </c>
      <c r="J304" s="1302">
        <f t="shared" si="33"/>
        <v>-11720.539000000001</v>
      </c>
      <c r="K304" s="1302">
        <f t="shared" si="33"/>
        <v>-11720.539000000001</v>
      </c>
      <c r="L304" s="1302">
        <f t="shared" si="33"/>
        <v>-11720.539000000001</v>
      </c>
      <c r="M304" s="1302">
        <f t="shared" si="33"/>
        <v>-11720.539000000001</v>
      </c>
      <c r="N304" s="1302">
        <f t="shared" si="33"/>
        <v>-11720.539000000001</v>
      </c>
      <c r="O304" s="1302">
        <f t="shared" si="33"/>
        <v>-11720.539000000001</v>
      </c>
      <c r="P304" s="1306">
        <f t="shared" si="33"/>
        <v>-11720.539000000001</v>
      </c>
      <c r="Q304" s="1302">
        <f t="shared" si="33"/>
        <v>-11720.539000000001</v>
      </c>
      <c r="R304" s="1302">
        <f t="shared" si="33"/>
        <v>-11720.539000000001</v>
      </c>
      <c r="S304" s="1302">
        <f t="shared" si="33"/>
        <v>-11720.539000000001</v>
      </c>
      <c r="T304" s="1302">
        <f t="shared" si="33"/>
        <v>-11720.539000000001</v>
      </c>
      <c r="U304" s="1302">
        <f t="shared" si="33"/>
        <v>-11720.539000000001</v>
      </c>
      <c r="V304" s="1302">
        <f t="shared" si="33"/>
        <v>-11720.539000000001</v>
      </c>
      <c r="W304" s="1302">
        <f t="shared" si="33"/>
        <v>-11720.539000000001</v>
      </c>
      <c r="X304" s="1302">
        <f t="shared" si="33"/>
        <v>-11720.539000000001</v>
      </c>
      <c r="Y304" s="1302">
        <f t="shared" si="33"/>
        <v>-11720.539000000001</v>
      </c>
      <c r="Z304" s="1302">
        <f t="shared" si="33"/>
        <v>-11720.539000000001</v>
      </c>
      <c r="AA304" s="1302">
        <f t="shared" si="33"/>
        <v>-11720.539000000001</v>
      </c>
      <c r="AB304" s="1302">
        <f t="shared" si="33"/>
        <v>-11720.539000000001</v>
      </c>
      <c r="AC304" s="1302">
        <f t="shared" si="33"/>
        <v>-11720.539000000001</v>
      </c>
      <c r="AD304" s="1302">
        <f t="shared" si="33"/>
        <v>-11720.539000000001</v>
      </c>
      <c r="AE304" s="1302">
        <f t="shared" si="33"/>
        <v>-11720.539000000001</v>
      </c>
      <c r="AF304" s="1302">
        <f t="shared" si="33"/>
        <v>-11720.539000000001</v>
      </c>
      <c r="AG304" s="1302">
        <f t="shared" si="33"/>
        <v>-11720.539000000001</v>
      </c>
      <c r="AH304" s="1207"/>
    </row>
    <row r="305" spans="1:34" ht="13.5" thickBot="1" x14ac:dyDescent="0.25">
      <c r="A305" s="1250"/>
      <c r="B305" s="1307"/>
      <c r="C305" s="1308"/>
      <c r="D305" s="1308"/>
      <c r="E305" s="1308"/>
      <c r="F305" s="1309"/>
      <c r="G305" s="1309"/>
      <c r="H305" s="1309"/>
      <c r="I305" s="1309"/>
      <c r="J305" s="1309"/>
      <c r="K305" s="1309"/>
      <c r="L305" s="1309"/>
      <c r="M305" s="1309"/>
      <c r="N305" s="1309"/>
      <c r="O305" s="1309"/>
      <c r="P305" s="1310"/>
      <c r="Q305" s="1309"/>
      <c r="R305" s="1309"/>
      <c r="S305" s="1309"/>
      <c r="T305" s="1309"/>
      <c r="U305" s="1309"/>
      <c r="V305" s="1309"/>
      <c r="W305" s="1309"/>
      <c r="X305" s="1309"/>
      <c r="Y305" s="1309"/>
      <c r="Z305" s="1309"/>
      <c r="AA305" s="1309"/>
      <c r="AB305" s="1309"/>
      <c r="AC305" s="1309"/>
      <c r="AD305" s="1309"/>
      <c r="AE305" s="1309"/>
      <c r="AF305" s="1309"/>
      <c r="AG305" s="1309"/>
      <c r="AH305" s="1207"/>
    </row>
    <row r="306" spans="1:34" x14ac:dyDescent="0.2">
      <c r="A306" s="1233"/>
      <c r="B306" s="1234"/>
      <c r="C306" s="1297"/>
      <c r="D306" s="1297"/>
      <c r="E306" s="1297"/>
      <c r="F306" s="1298"/>
      <c r="G306" s="1298"/>
      <c r="H306" s="1298"/>
      <c r="I306" s="1298"/>
      <c r="J306" s="1298"/>
      <c r="K306" s="1298"/>
      <c r="L306" s="1298"/>
      <c r="M306" s="1298"/>
      <c r="N306" s="1298"/>
      <c r="O306" s="1298"/>
      <c r="P306" s="1299"/>
      <c r="Q306" s="1298"/>
      <c r="R306" s="1298"/>
      <c r="S306" s="1298"/>
      <c r="T306" s="1298"/>
      <c r="U306" s="1298"/>
      <c r="V306" s="1298"/>
      <c r="W306" s="1298"/>
      <c r="X306" s="1298"/>
      <c r="Y306" s="1298"/>
      <c r="Z306" s="1298"/>
      <c r="AA306" s="1298"/>
      <c r="AB306" s="1298"/>
      <c r="AC306" s="1298"/>
      <c r="AD306" s="1298"/>
      <c r="AE306" s="1298"/>
      <c r="AF306" s="1298"/>
      <c r="AG306" s="1298"/>
      <c r="AH306" s="1207"/>
    </row>
    <row r="307" spans="1:34" x14ac:dyDescent="0.2">
      <c r="A307" s="1236" t="s">
        <v>82</v>
      </c>
      <c r="B307" s="1237"/>
      <c r="C307" s="1302">
        <f t="shared" ref="C307:AG308" si="34">C315</f>
        <v>0</v>
      </c>
      <c r="D307" s="1302">
        <f t="shared" si="34"/>
        <v>0</v>
      </c>
      <c r="E307" s="1302">
        <f t="shared" si="34"/>
        <v>0</v>
      </c>
      <c r="F307" s="1302">
        <f t="shared" si="34"/>
        <v>0</v>
      </c>
      <c r="G307" s="1302">
        <f t="shared" si="34"/>
        <v>0</v>
      </c>
      <c r="H307" s="1302">
        <f t="shared" si="34"/>
        <v>0</v>
      </c>
      <c r="I307" s="1302">
        <f t="shared" si="34"/>
        <v>0</v>
      </c>
      <c r="J307" s="1302">
        <f t="shared" si="34"/>
        <v>0</v>
      </c>
      <c r="K307" s="1302">
        <f t="shared" si="34"/>
        <v>0</v>
      </c>
      <c r="L307" s="1302">
        <f t="shared" si="34"/>
        <v>0</v>
      </c>
      <c r="M307" s="1302">
        <f t="shared" si="34"/>
        <v>0</v>
      </c>
      <c r="N307" s="1302">
        <f t="shared" si="34"/>
        <v>0</v>
      </c>
      <c r="O307" s="1302">
        <f t="shared" si="34"/>
        <v>0</v>
      </c>
      <c r="P307" s="1306">
        <f t="shared" si="34"/>
        <v>0</v>
      </c>
      <c r="Q307" s="1302">
        <f t="shared" si="34"/>
        <v>0</v>
      </c>
      <c r="R307" s="1302">
        <f t="shared" si="34"/>
        <v>0</v>
      </c>
      <c r="S307" s="1302">
        <f t="shared" si="34"/>
        <v>0</v>
      </c>
      <c r="T307" s="1302">
        <f t="shared" si="34"/>
        <v>0</v>
      </c>
      <c r="U307" s="1302">
        <f t="shared" si="34"/>
        <v>0</v>
      </c>
      <c r="V307" s="1302">
        <f t="shared" si="34"/>
        <v>0</v>
      </c>
      <c r="W307" s="1302">
        <f t="shared" si="34"/>
        <v>0</v>
      </c>
      <c r="X307" s="1302">
        <f t="shared" si="34"/>
        <v>0</v>
      </c>
      <c r="Y307" s="1302">
        <f t="shared" si="34"/>
        <v>0</v>
      </c>
      <c r="Z307" s="1302">
        <f t="shared" si="34"/>
        <v>0</v>
      </c>
      <c r="AA307" s="1302">
        <f t="shared" si="34"/>
        <v>0</v>
      </c>
      <c r="AB307" s="1302">
        <f t="shared" si="34"/>
        <v>0</v>
      </c>
      <c r="AC307" s="1302">
        <f t="shared" si="34"/>
        <v>0</v>
      </c>
      <c r="AD307" s="1302">
        <f t="shared" si="34"/>
        <v>0</v>
      </c>
      <c r="AE307" s="1302">
        <f t="shared" si="34"/>
        <v>0</v>
      </c>
      <c r="AF307" s="1302">
        <f t="shared" si="34"/>
        <v>0</v>
      </c>
      <c r="AG307" s="1302">
        <f t="shared" si="34"/>
        <v>0</v>
      </c>
      <c r="AH307" s="1207"/>
    </row>
    <row r="308" spans="1:34" x14ac:dyDescent="0.2">
      <c r="A308" s="1236" t="s">
        <v>83</v>
      </c>
      <c r="B308" s="1237"/>
      <c r="C308" s="1306">
        <f t="shared" si="34"/>
        <v>0</v>
      </c>
      <c r="D308" s="1306">
        <f t="shared" si="34"/>
        <v>0</v>
      </c>
      <c r="E308" s="1306">
        <f t="shared" si="34"/>
        <v>0</v>
      </c>
      <c r="F308" s="1306">
        <f t="shared" si="34"/>
        <v>0</v>
      </c>
      <c r="G308" s="1306">
        <f t="shared" si="34"/>
        <v>0</v>
      </c>
      <c r="H308" s="1306">
        <f t="shared" si="34"/>
        <v>0</v>
      </c>
      <c r="I308" s="1306">
        <f t="shared" si="34"/>
        <v>0</v>
      </c>
      <c r="J308" s="1306">
        <f t="shared" si="34"/>
        <v>0</v>
      </c>
      <c r="K308" s="1306">
        <f t="shared" si="34"/>
        <v>0</v>
      </c>
      <c r="L308" s="1306">
        <f t="shared" si="34"/>
        <v>0</v>
      </c>
      <c r="M308" s="1306">
        <f t="shared" si="34"/>
        <v>0</v>
      </c>
      <c r="N308" s="1306">
        <f t="shared" si="34"/>
        <v>0</v>
      </c>
      <c r="O308" s="1306">
        <f t="shared" si="34"/>
        <v>0</v>
      </c>
      <c r="P308" s="1306">
        <f t="shared" si="34"/>
        <v>0</v>
      </c>
      <c r="Q308" s="1306">
        <f t="shared" si="34"/>
        <v>0</v>
      </c>
      <c r="R308" s="1306">
        <f t="shared" si="34"/>
        <v>0</v>
      </c>
      <c r="S308" s="1306">
        <f t="shared" si="34"/>
        <v>0</v>
      </c>
      <c r="T308" s="1306">
        <f t="shared" si="34"/>
        <v>0</v>
      </c>
      <c r="U308" s="1306">
        <f t="shared" si="34"/>
        <v>0</v>
      </c>
      <c r="V308" s="1306">
        <f t="shared" si="34"/>
        <v>0</v>
      </c>
      <c r="W308" s="1306">
        <f t="shared" si="34"/>
        <v>0</v>
      </c>
      <c r="X308" s="1306">
        <f t="shared" si="34"/>
        <v>0</v>
      </c>
      <c r="Y308" s="1306">
        <f t="shared" si="34"/>
        <v>0</v>
      </c>
      <c r="Z308" s="1306">
        <f t="shared" si="34"/>
        <v>0</v>
      </c>
      <c r="AA308" s="1306">
        <f t="shared" si="34"/>
        <v>0</v>
      </c>
      <c r="AB308" s="1306">
        <f t="shared" si="34"/>
        <v>0</v>
      </c>
      <c r="AC308" s="1306">
        <f t="shared" si="34"/>
        <v>0</v>
      </c>
      <c r="AD308" s="1306">
        <f t="shared" si="34"/>
        <v>0</v>
      </c>
      <c r="AE308" s="1306">
        <f t="shared" si="34"/>
        <v>0</v>
      </c>
      <c r="AF308" s="1306">
        <f t="shared" si="34"/>
        <v>0</v>
      </c>
      <c r="AG308" s="1306">
        <f t="shared" si="34"/>
        <v>0</v>
      </c>
      <c r="AH308" s="1207"/>
    </row>
    <row r="309" spans="1:34" ht="13.5" thickBot="1" x14ac:dyDescent="0.25">
      <c r="A309" s="1250"/>
      <c r="B309" s="1307"/>
      <c r="C309" s="1308"/>
      <c r="D309" s="1308"/>
      <c r="E309" s="1308"/>
      <c r="F309" s="1309"/>
      <c r="G309" s="1309"/>
      <c r="H309" s="1309"/>
      <c r="I309" s="1309"/>
      <c r="J309" s="1309"/>
      <c r="K309" s="1309"/>
      <c r="L309" s="1309"/>
      <c r="M309" s="1309"/>
      <c r="N309" s="1309"/>
      <c r="O309" s="1309"/>
      <c r="P309" s="1310"/>
      <c r="Q309" s="1309"/>
      <c r="R309" s="1309"/>
      <c r="S309" s="1309"/>
      <c r="T309" s="1309"/>
      <c r="U309" s="1309"/>
      <c r="V309" s="1309"/>
      <c r="W309" s="1309"/>
      <c r="X309" s="1309"/>
      <c r="Y309" s="1309"/>
      <c r="Z309" s="1309"/>
      <c r="AA309" s="1309"/>
      <c r="AB309" s="1309"/>
      <c r="AC309" s="1309"/>
      <c r="AD309" s="1309"/>
      <c r="AE309" s="1309"/>
      <c r="AF309" s="1309"/>
      <c r="AG309" s="1309"/>
      <c r="AH309" s="1207"/>
    </row>
    <row r="310" spans="1:34" x14ac:dyDescent="0.2">
      <c r="A310" s="1236"/>
      <c r="B310" s="1237"/>
      <c r="C310" s="1302"/>
      <c r="D310" s="1302"/>
      <c r="E310" s="1302"/>
      <c r="F310" s="1303"/>
      <c r="G310" s="1303"/>
      <c r="H310" s="1303"/>
      <c r="I310" s="1303"/>
      <c r="J310" s="1303"/>
      <c r="K310" s="1303"/>
      <c r="L310" s="1303"/>
      <c r="M310" s="1303"/>
      <c r="N310" s="1303"/>
      <c r="O310" s="1303"/>
      <c r="P310" s="1304"/>
      <c r="Q310" s="1303"/>
      <c r="R310" s="1303"/>
      <c r="S310" s="1303"/>
      <c r="T310" s="1303"/>
      <c r="U310" s="1303"/>
      <c r="V310" s="1303"/>
      <c r="W310" s="1303"/>
      <c r="X310" s="1303"/>
      <c r="Y310" s="1303"/>
      <c r="Z310" s="1303"/>
      <c r="AA310" s="1303"/>
      <c r="AB310" s="1303"/>
      <c r="AC310" s="1303"/>
      <c r="AD310" s="1303"/>
      <c r="AE310" s="1303"/>
      <c r="AF310" s="1303"/>
      <c r="AG310" s="1303"/>
      <c r="AH310" s="1207"/>
    </row>
    <row r="311" spans="1:34" x14ac:dyDescent="0.2">
      <c r="A311" s="1236" t="s">
        <v>14</v>
      </c>
      <c r="B311" s="1237"/>
      <c r="C311" s="1302">
        <f t="shared" ref="C311:AG311" si="35">C304+C307+C308</f>
        <v>-11720.539000000001</v>
      </c>
      <c r="D311" s="1302">
        <f t="shared" si="35"/>
        <v>-11720.539000000001</v>
      </c>
      <c r="E311" s="1302">
        <f t="shared" si="35"/>
        <v>-11720.539000000001</v>
      </c>
      <c r="F311" s="1302">
        <f t="shared" si="35"/>
        <v>-11720.539000000001</v>
      </c>
      <c r="G311" s="1302">
        <f t="shared" si="35"/>
        <v>-11720.539000000001</v>
      </c>
      <c r="H311" s="1302">
        <f t="shared" si="35"/>
        <v>-11720.539000000001</v>
      </c>
      <c r="I311" s="1302">
        <f t="shared" si="35"/>
        <v>-11720.539000000001</v>
      </c>
      <c r="J311" s="1302">
        <f t="shared" si="35"/>
        <v>-11720.539000000001</v>
      </c>
      <c r="K311" s="1302">
        <f t="shared" si="35"/>
        <v>-11720.539000000001</v>
      </c>
      <c r="L311" s="1302">
        <f t="shared" si="35"/>
        <v>-11720.539000000001</v>
      </c>
      <c r="M311" s="1302">
        <f t="shared" si="35"/>
        <v>-11720.539000000001</v>
      </c>
      <c r="N311" s="1302">
        <f t="shared" si="35"/>
        <v>-11720.539000000001</v>
      </c>
      <c r="O311" s="1302">
        <f t="shared" si="35"/>
        <v>-11720.539000000001</v>
      </c>
      <c r="P311" s="1306">
        <f t="shared" si="35"/>
        <v>-11720.539000000001</v>
      </c>
      <c r="Q311" s="1302">
        <f t="shared" si="35"/>
        <v>-11720.539000000001</v>
      </c>
      <c r="R311" s="1302">
        <f t="shared" si="35"/>
        <v>-11720.539000000001</v>
      </c>
      <c r="S311" s="1302">
        <f t="shared" si="35"/>
        <v>-11720.539000000001</v>
      </c>
      <c r="T311" s="1302">
        <f t="shared" si="35"/>
        <v>-11720.539000000001</v>
      </c>
      <c r="U311" s="1302">
        <f t="shared" si="35"/>
        <v>-11720.539000000001</v>
      </c>
      <c r="V311" s="1302">
        <f t="shared" si="35"/>
        <v>-11720.539000000001</v>
      </c>
      <c r="W311" s="1302">
        <f t="shared" si="35"/>
        <v>-11720.539000000001</v>
      </c>
      <c r="X311" s="1302">
        <f t="shared" si="35"/>
        <v>-11720.539000000001</v>
      </c>
      <c r="Y311" s="1302">
        <f t="shared" si="35"/>
        <v>-11720.539000000001</v>
      </c>
      <c r="Z311" s="1302">
        <f t="shared" si="35"/>
        <v>-11720.539000000001</v>
      </c>
      <c r="AA311" s="1302">
        <f t="shared" si="35"/>
        <v>-11720.539000000001</v>
      </c>
      <c r="AB311" s="1302">
        <f t="shared" si="35"/>
        <v>-11720.539000000001</v>
      </c>
      <c r="AC311" s="1302">
        <f t="shared" si="35"/>
        <v>-11720.539000000001</v>
      </c>
      <c r="AD311" s="1302">
        <f t="shared" si="35"/>
        <v>-11720.539000000001</v>
      </c>
      <c r="AE311" s="1302">
        <f t="shared" si="35"/>
        <v>-11720.539000000001</v>
      </c>
      <c r="AF311" s="1302">
        <f t="shared" si="35"/>
        <v>-11720.539000000001</v>
      </c>
      <c r="AG311" s="1302">
        <f t="shared" si="35"/>
        <v>-11720.539000000001</v>
      </c>
      <c r="AH311" s="1207"/>
    </row>
    <row r="312" spans="1:34" x14ac:dyDescent="0.2">
      <c r="A312" s="1236"/>
      <c r="B312" s="1237"/>
      <c r="C312" s="1302"/>
      <c r="D312" s="1302"/>
      <c r="E312" s="1302"/>
      <c r="F312" s="1303"/>
      <c r="G312" s="1303"/>
      <c r="H312" s="1303"/>
      <c r="I312" s="1303"/>
      <c r="J312" s="1303"/>
      <c r="K312" s="1303"/>
      <c r="L312" s="1303"/>
      <c r="M312" s="1303"/>
      <c r="N312" s="1303"/>
      <c r="O312" s="1303"/>
      <c r="P312" s="1304"/>
      <c r="Q312" s="1303"/>
      <c r="R312" s="1303"/>
      <c r="S312" s="1303"/>
      <c r="T312" s="1303"/>
      <c r="U312" s="1303"/>
      <c r="V312" s="1303"/>
      <c r="W312" s="1303"/>
      <c r="X312" s="1303"/>
      <c r="Y312" s="1303"/>
      <c r="Z312" s="1303"/>
      <c r="AA312" s="1303"/>
      <c r="AB312" s="1303"/>
      <c r="AC312" s="1303"/>
      <c r="AD312" s="1303"/>
      <c r="AE312" s="1303"/>
      <c r="AF312" s="1303"/>
      <c r="AG312" s="1303"/>
      <c r="AH312" s="1207"/>
    </row>
    <row r="313" spans="1:34" ht="13.5" thickBot="1" x14ac:dyDescent="0.25">
      <c r="A313" s="1250"/>
      <c r="B313" s="1307"/>
      <c r="C313" s="1312"/>
      <c r="D313" s="1312"/>
      <c r="E313" s="1312"/>
      <c r="F313" s="1313"/>
      <c r="G313" s="1313"/>
      <c r="H313" s="1313"/>
      <c r="I313" s="1313"/>
      <c r="J313" s="1313"/>
      <c r="K313" s="1313"/>
      <c r="L313" s="1313"/>
      <c r="M313" s="1313"/>
      <c r="N313" s="1313"/>
      <c r="O313" s="1313"/>
      <c r="P313" s="1314"/>
      <c r="Q313" s="1313"/>
      <c r="R313" s="1313"/>
      <c r="S313" s="1313"/>
      <c r="T313" s="1313"/>
      <c r="U313" s="1313"/>
      <c r="V313" s="1313"/>
      <c r="W313" s="1313"/>
      <c r="X313" s="1313"/>
      <c r="Y313" s="1313"/>
      <c r="Z313" s="1313"/>
      <c r="AA313" s="1313"/>
      <c r="AB313" s="1313"/>
      <c r="AC313" s="1313"/>
      <c r="AD313" s="1313"/>
      <c r="AE313" s="1313"/>
      <c r="AF313" s="1313"/>
      <c r="AG313" s="1313"/>
      <c r="AH313" s="1207"/>
    </row>
    <row r="314" spans="1:34" x14ac:dyDescent="0.2">
      <c r="A314" s="1316"/>
      <c r="B314" s="1207"/>
      <c r="C314" s="1227"/>
      <c r="D314" s="1227"/>
      <c r="E314" s="1227"/>
      <c r="F314" s="1227"/>
      <c r="G314" s="1227"/>
      <c r="H314" s="1227"/>
      <c r="I314" s="1227"/>
      <c r="J314" s="1227"/>
      <c r="K314" s="1227"/>
      <c r="L314" s="1227"/>
      <c r="M314" s="1227"/>
      <c r="N314" s="1227"/>
      <c r="O314" s="1227"/>
      <c r="P314" s="1229"/>
      <c r="Q314" s="1227"/>
      <c r="R314" s="1227"/>
      <c r="S314" s="1227"/>
      <c r="T314" s="1227"/>
      <c r="U314" s="1227"/>
      <c r="V314" s="1227"/>
      <c r="W314" s="1227"/>
      <c r="X314" s="1227"/>
      <c r="Y314" s="1227"/>
      <c r="Z314" s="1227"/>
      <c r="AA314" s="1227"/>
      <c r="AB314" s="1227"/>
      <c r="AC314" s="1227"/>
      <c r="AD314" s="1227"/>
      <c r="AE314" s="1227"/>
      <c r="AF314" s="1227"/>
      <c r="AG314" s="1227"/>
      <c r="AH314" s="1227">
        <f>SUM(C314:AG314)</f>
        <v>0</v>
      </c>
    </row>
    <row r="315" spans="1:34" x14ac:dyDescent="0.2">
      <c r="A315" s="1344"/>
      <c r="B315" s="1383"/>
      <c r="C315" s="1219"/>
      <c r="D315" s="1221"/>
      <c r="E315" s="1356"/>
      <c r="F315" s="1219"/>
      <c r="G315" s="1219"/>
      <c r="H315" s="1220"/>
      <c r="I315" s="1219"/>
      <c r="J315" s="1219"/>
      <c r="K315" s="1219"/>
      <c r="L315" s="1219"/>
      <c r="M315" s="1220"/>
      <c r="N315" s="1220"/>
      <c r="O315" s="1220">
        <f>10913.984-7466.84-3447.144</f>
        <v>0</v>
      </c>
      <c r="P315" s="1221"/>
      <c r="Q315" s="1219"/>
      <c r="R315" s="1219"/>
      <c r="S315" s="1219">
        <f>26816.24-16122.591-10693.649</f>
        <v>0</v>
      </c>
      <c r="T315" s="1219"/>
      <c r="U315" s="1219"/>
      <c r="V315" s="1219"/>
      <c r="W315" s="1220"/>
      <c r="X315" s="1220"/>
      <c r="Y315" s="1220"/>
      <c r="Z315" s="1220"/>
      <c r="AA315" s="1220"/>
      <c r="AB315" s="1220"/>
      <c r="AC315" s="1220"/>
      <c r="AD315" s="1221"/>
      <c r="AE315" s="1219"/>
      <c r="AF315" s="1219"/>
      <c r="AG315" s="1219"/>
      <c r="AH315" s="1227"/>
    </row>
    <row r="316" spans="1:34" x14ac:dyDescent="0.2">
      <c r="A316" s="1207"/>
      <c r="B316" s="1207"/>
      <c r="C316" s="1207"/>
      <c r="D316" s="1207"/>
      <c r="E316" s="134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1208"/>
      <c r="Q316" s="1207"/>
      <c r="R316" s="1207"/>
      <c r="S316" s="1207"/>
      <c r="T316" s="1207"/>
      <c r="U316" s="1207"/>
      <c r="V316" s="1207"/>
      <c r="W316" s="1207"/>
      <c r="X316" s="1207"/>
      <c r="Y316" s="1207"/>
      <c r="Z316" s="1207"/>
      <c r="AA316" s="1207"/>
      <c r="AB316" s="1207"/>
      <c r="AC316" s="1207"/>
      <c r="AD316" s="1207"/>
      <c r="AE316" s="1207"/>
      <c r="AF316" s="1207"/>
      <c r="AG316" s="1207"/>
      <c r="AH316" s="1227"/>
    </row>
    <row r="317" spans="1:34" x14ac:dyDescent="0.2">
      <c r="A317" s="1210" t="s">
        <v>415</v>
      </c>
      <c r="B317" s="1215">
        <f>B318+B319+B321+B320</f>
        <v>1020000</v>
      </c>
      <c r="C317" s="1367"/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1208"/>
      <c r="Q317" s="1207"/>
      <c r="R317" s="1207"/>
      <c r="S317" s="1207"/>
      <c r="T317" s="1207"/>
      <c r="U317" s="1401"/>
      <c r="V317" s="1220"/>
      <c r="W317" s="1227"/>
      <c r="X317" s="1207"/>
      <c r="Y317" s="1207"/>
      <c r="Z317" s="1207"/>
      <c r="AA317" s="1384"/>
      <c r="AB317" s="1207"/>
      <c r="AC317" s="1207"/>
      <c r="AD317" s="1207"/>
      <c r="AE317" s="1207"/>
      <c r="AF317" s="1207"/>
      <c r="AG317" s="1207"/>
      <c r="AH317" s="1207"/>
    </row>
    <row r="318" spans="1:34" x14ac:dyDescent="0.2">
      <c r="A318" s="1365" t="s">
        <v>414</v>
      </c>
      <c r="B318" s="1219">
        <v>20000</v>
      </c>
      <c r="C318" s="1207"/>
      <c r="D318" s="1207"/>
      <c r="E318" s="122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8"/>
      <c r="Q318" s="1207"/>
      <c r="R318" s="1207"/>
      <c r="S318" s="1207"/>
      <c r="T318" s="1207"/>
      <c r="U318" s="1230"/>
      <c r="V318" s="1230"/>
      <c r="W318" s="1207"/>
      <c r="X318" s="1207"/>
      <c r="Y318" s="1207"/>
      <c r="Z318" s="1207"/>
      <c r="AA318" s="1207"/>
      <c r="AB318" s="1207"/>
      <c r="AC318" s="1227"/>
      <c r="AD318" s="1227"/>
      <c r="AE318" s="1207"/>
      <c r="AF318" s="1207"/>
      <c r="AG318" s="1207"/>
      <c r="AH318" s="1207"/>
    </row>
    <row r="319" spans="1:34" x14ac:dyDescent="0.2">
      <c r="A319" s="1365" t="s">
        <v>287</v>
      </c>
      <c r="B319" s="1219">
        <v>600000</v>
      </c>
      <c r="C319" s="1207"/>
      <c r="D319" s="1207"/>
      <c r="E319" s="1207"/>
      <c r="F319" s="1207"/>
      <c r="G319" s="1207"/>
      <c r="H319" s="1207"/>
      <c r="I319" s="1207"/>
      <c r="J319" s="1207"/>
      <c r="K319" s="1227"/>
      <c r="L319" s="1207"/>
      <c r="M319" s="1207"/>
      <c r="N319" s="1207"/>
      <c r="O319" s="1207"/>
      <c r="P319" s="1208"/>
      <c r="Q319" s="1207"/>
      <c r="R319" s="1207"/>
      <c r="S319" s="1207"/>
      <c r="T319" s="1207"/>
      <c r="U319" s="1402"/>
      <c r="V319" s="1230"/>
      <c r="W319" s="1207"/>
      <c r="X319" s="1227"/>
      <c r="Y319" s="1207"/>
      <c r="Z319" s="1207"/>
      <c r="AA319" s="1207"/>
      <c r="AB319" s="1207"/>
      <c r="AC319" s="1207"/>
      <c r="AD319" s="1207"/>
      <c r="AE319" s="1207"/>
      <c r="AF319" s="1207"/>
      <c r="AG319" s="1207"/>
    </row>
    <row r="320" spans="1:34" x14ac:dyDescent="0.2">
      <c r="A320" s="1316" t="s">
        <v>413</v>
      </c>
      <c r="B320" s="1219">
        <v>200000</v>
      </c>
      <c r="C320" s="1207"/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8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07"/>
      <c r="AA320" s="1207"/>
      <c r="AB320" s="1207"/>
      <c r="AC320" s="1207"/>
      <c r="AD320" s="1207"/>
      <c r="AE320" s="1207"/>
      <c r="AF320" s="1207"/>
      <c r="AG320" s="1207"/>
    </row>
    <row r="321" spans="1:33" x14ac:dyDescent="0.2">
      <c r="A321" s="1316" t="s">
        <v>441</v>
      </c>
      <c r="B321" s="1219">
        <v>200000</v>
      </c>
      <c r="C321" s="1207"/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1208"/>
      <c r="Q321" s="1207"/>
      <c r="R321" s="1207"/>
      <c r="S321" s="1207"/>
      <c r="T321" s="1207"/>
      <c r="U321" s="1207"/>
      <c r="V321" s="1207"/>
      <c r="W321" s="1207"/>
      <c r="X321" s="1207"/>
      <c r="Y321" s="1207"/>
      <c r="Z321" s="1207"/>
      <c r="AA321" s="1207"/>
      <c r="AB321" s="1207"/>
      <c r="AC321" s="1207"/>
      <c r="AD321" s="1207"/>
      <c r="AE321" s="1207"/>
      <c r="AF321" s="1207"/>
      <c r="AG321" s="1207"/>
    </row>
    <row r="322" spans="1:33" x14ac:dyDescent="0.2">
      <c r="A322" s="1207"/>
      <c r="B322" s="1207"/>
      <c r="C322" s="1207"/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8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07"/>
      <c r="AA322" s="1207"/>
      <c r="AB322" s="1207"/>
      <c r="AC322" s="1207"/>
      <c r="AD322" s="1207"/>
      <c r="AE322" s="1207"/>
      <c r="AF322" s="1207"/>
      <c r="AG322" s="1207"/>
    </row>
    <row r="323" spans="1:33" x14ac:dyDescent="0.2">
      <c r="A323" s="1223" t="s">
        <v>449</v>
      </c>
      <c r="B323" s="1280"/>
      <c r="L323" s="1283"/>
    </row>
    <row r="324" spans="1:33" x14ac:dyDescent="0.2">
      <c r="AB324" s="1283"/>
      <c r="AC324" s="1283"/>
      <c r="AD324" s="1283"/>
      <c r="AE324" s="1283"/>
    </row>
    <row r="331" spans="1:33" ht="15" x14ac:dyDescent="0.2">
      <c r="A331" s="1403"/>
      <c r="B331" s="1404"/>
    </row>
    <row r="332" spans="1:33" ht="15" x14ac:dyDescent="0.2">
      <c r="A332" s="1403"/>
      <c r="B332" s="1404"/>
    </row>
    <row r="333" spans="1:33" ht="15" x14ac:dyDescent="0.2">
      <c r="A333" s="1403"/>
      <c r="B333" s="1404"/>
    </row>
    <row r="338" spans="1:2" s="1209" customFormat="1" ht="18" x14ac:dyDescent="0.25">
      <c r="A338" s="1751"/>
      <c r="B338" s="1751"/>
    </row>
    <row r="339" spans="1:2" s="1209" customFormat="1" x14ac:dyDescent="0.2">
      <c r="A339" s="1206"/>
      <c r="B339" s="1206"/>
    </row>
    <row r="341" spans="1:2" s="1209" customFormat="1" x14ac:dyDescent="0.2">
      <c r="A341" s="1223"/>
      <c r="B341" s="1280"/>
    </row>
    <row r="342" spans="1:2" s="1209" customFormat="1" x14ac:dyDescent="0.2">
      <c r="A342" s="1223"/>
      <c r="B342" s="1280"/>
    </row>
    <row r="343" spans="1:2" s="1209" customFormat="1" x14ac:dyDescent="0.2">
      <c r="A343" s="1223"/>
      <c r="B343" s="1280"/>
    </row>
    <row r="344" spans="1:2" s="1209" customFormat="1" x14ac:dyDescent="0.2">
      <c r="A344" s="1223"/>
      <c r="B344" s="1280"/>
    </row>
    <row r="345" spans="1:2" s="1209" customFormat="1" x14ac:dyDescent="0.2">
      <c r="A345" s="1223"/>
      <c r="B345" s="1280"/>
    </row>
    <row r="346" spans="1:2" s="1209" customFormat="1" x14ac:dyDescent="0.2">
      <c r="A346" s="1223"/>
      <c r="B346" s="1280"/>
    </row>
    <row r="347" spans="1:2" s="1209" customFormat="1" x14ac:dyDescent="0.2">
      <c r="A347" s="1223"/>
      <c r="B347" s="1280"/>
    </row>
    <row r="348" spans="1:2" s="1209" customFormat="1" x14ac:dyDescent="0.2">
      <c r="A348" s="1223"/>
      <c r="B348" s="1280"/>
    </row>
    <row r="349" spans="1:2" s="1209" customFormat="1" x14ac:dyDescent="0.2">
      <c r="A349" s="1223"/>
      <c r="B349" s="1280"/>
    </row>
    <row r="350" spans="1:2" s="1209" customFormat="1" x14ac:dyDescent="0.2">
      <c r="A350" s="1223"/>
      <c r="B350" s="1280"/>
    </row>
    <row r="351" spans="1:2" s="1209" customFormat="1" x14ac:dyDescent="0.2">
      <c r="A351" s="1223"/>
      <c r="B351" s="1280"/>
    </row>
    <row r="354" spans="2:2" s="1209" customFormat="1" x14ac:dyDescent="0.2">
      <c r="B354" s="1280"/>
    </row>
    <row r="355" spans="2:2" s="1209" customFormat="1" x14ac:dyDescent="0.2">
      <c r="B355" s="1280"/>
    </row>
    <row r="356" spans="2:2" s="1209" customFormat="1" x14ac:dyDescent="0.2">
      <c r="B356" s="1280"/>
    </row>
    <row r="358" spans="2:2" s="1209" customFormat="1" x14ac:dyDescent="0.2">
      <c r="B358" s="1405"/>
    </row>
  </sheetData>
  <mergeCells count="8">
    <mergeCell ref="A338:B338"/>
    <mergeCell ref="Q284:X284"/>
    <mergeCell ref="AC37:AD37"/>
    <mergeCell ref="I153:L153"/>
    <mergeCell ref="M153:U153"/>
    <mergeCell ref="V153:X153"/>
    <mergeCell ref="L220:M220"/>
    <mergeCell ref="F284:G284"/>
  </mergeCells>
  <pageMargins left="0.78740157480314965" right="0.78740157480314965" top="0.98425196850393704" bottom="0.98425196850393704" header="0.51181102362204722" footer="0.51181102362204722"/>
  <pageSetup paperSize="9" scale="34" fitToHeight="2" orientation="landscape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358"/>
  <sheetViews>
    <sheetView topLeftCell="A19" workbookViewId="0">
      <pane ySplit="2025" topLeftCell="A34" activePane="bottomLeft"/>
      <selection activeCell="J25" sqref="J25"/>
      <selection pane="bottomLeft" activeCell="C44" sqref="C44"/>
    </sheetView>
  </sheetViews>
  <sheetFormatPr defaultColWidth="11.42578125" defaultRowHeight="12.75" x14ac:dyDescent="0.2"/>
  <cols>
    <col min="1" max="1" width="37.42578125" style="1209" customWidth="1"/>
    <col min="2" max="2" width="13.7109375" style="1209" customWidth="1"/>
    <col min="3" max="3" width="14" style="1209" customWidth="1"/>
    <col min="4" max="4" width="14.28515625" style="1209" customWidth="1"/>
    <col min="5" max="5" width="14.42578125" style="1209" bestFit="1" customWidth="1"/>
    <col min="6" max="6" width="12.7109375" style="1209" customWidth="1"/>
    <col min="7" max="7" width="13.85546875" style="1209" customWidth="1"/>
    <col min="8" max="8" width="13" style="1209" customWidth="1"/>
    <col min="9" max="9" width="11.7109375" style="1209" customWidth="1"/>
    <col min="10" max="11" width="10.85546875" style="1209" customWidth="1"/>
    <col min="12" max="12" width="11.85546875" style="1209" customWidth="1"/>
    <col min="13" max="13" width="10.85546875" style="1209" customWidth="1"/>
    <col min="14" max="14" width="10.28515625" style="1209" customWidth="1"/>
    <col min="15" max="15" width="10.85546875" style="1209" customWidth="1"/>
    <col min="16" max="16" width="10.85546875" style="1320" customWidth="1"/>
    <col min="17" max="17" width="12.28515625" style="1209" customWidth="1"/>
    <col min="18" max="18" width="11.85546875" style="1209" customWidth="1"/>
    <col min="19" max="19" width="11.42578125" style="1209"/>
    <col min="20" max="20" width="14" style="1209" customWidth="1"/>
    <col min="21" max="21" width="14.140625" style="1209" customWidth="1"/>
    <col min="22" max="22" width="11.85546875" style="1209" bestFit="1" customWidth="1"/>
    <col min="23" max="26" width="11.85546875" style="1209" customWidth="1"/>
    <col min="27" max="27" width="13.7109375" style="1209" customWidth="1"/>
    <col min="28" max="31" width="12.42578125" style="1209" customWidth="1"/>
    <col min="32" max="32" width="12" style="1209" customWidth="1"/>
    <col min="33" max="33" width="13.5703125" style="1209" customWidth="1"/>
    <col min="34" max="34" width="13.85546875" style="1209" bestFit="1" customWidth="1"/>
    <col min="35" max="35" width="11.85546875" style="1209" bestFit="1" customWidth="1"/>
    <col min="36" max="39" width="11.42578125" style="1209"/>
    <col min="40" max="40" width="13.85546875" style="1209" bestFit="1" customWidth="1"/>
    <col min="41" max="41" width="11.42578125" style="1209"/>
    <col min="42" max="42" width="13.85546875" style="1209" bestFit="1" customWidth="1"/>
    <col min="43" max="16384" width="11.42578125" style="1209"/>
  </cols>
  <sheetData>
    <row r="1" spans="1:36" x14ac:dyDescent="0.2">
      <c r="A1" s="1206" t="s">
        <v>693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8"/>
      <c r="Q1" s="1207"/>
      <c r="R1" s="1207"/>
      <c r="S1" s="1207"/>
      <c r="T1" s="1207"/>
      <c r="U1" s="1207"/>
      <c r="V1" s="1207"/>
      <c r="W1" s="1207"/>
      <c r="X1" s="1207"/>
      <c r="Y1" s="1207"/>
      <c r="Z1" s="1207"/>
      <c r="AA1" s="1207"/>
      <c r="AB1" s="1207"/>
      <c r="AC1" s="1207"/>
      <c r="AD1" s="1207"/>
      <c r="AE1" s="1207"/>
      <c r="AF1" s="1207"/>
      <c r="AG1" s="1207"/>
      <c r="AH1" s="1207"/>
    </row>
    <row r="2" spans="1:36" x14ac:dyDescent="0.2">
      <c r="A2" s="1210" t="s">
        <v>694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8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</row>
    <row r="3" spans="1:36" x14ac:dyDescent="0.2">
      <c r="A3" s="1210" t="s">
        <v>680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</row>
    <row r="4" spans="1:36" x14ac:dyDescent="0.2">
      <c r="A4" s="1207"/>
      <c r="B4" s="1207"/>
      <c r="C4" s="1471"/>
      <c r="D4" s="1471"/>
      <c r="E4" s="1471"/>
      <c r="F4" s="1471"/>
      <c r="G4" s="1471"/>
      <c r="H4" s="1471"/>
      <c r="I4" s="1471"/>
      <c r="J4" s="1471"/>
      <c r="K4" s="1471"/>
      <c r="L4" s="1471"/>
      <c r="M4" s="1471"/>
      <c r="N4" s="1471"/>
      <c r="O4" s="1471"/>
      <c r="P4" s="1212"/>
      <c r="Q4" s="1471"/>
      <c r="R4" s="1471"/>
      <c r="S4" s="1471"/>
      <c r="T4" s="1471"/>
      <c r="U4" s="1471"/>
      <c r="V4" s="1471"/>
      <c r="W4" s="1471"/>
      <c r="X4" s="1471"/>
      <c r="Y4" s="1471"/>
      <c r="Z4" s="1471"/>
      <c r="AA4" s="1471"/>
      <c r="AB4" s="1471"/>
      <c r="AC4" s="1471"/>
      <c r="AD4" s="1471"/>
      <c r="AE4" s="1471"/>
      <c r="AF4" s="1471"/>
      <c r="AG4" s="1471"/>
      <c r="AH4" s="1207"/>
    </row>
    <row r="5" spans="1:36" x14ac:dyDescent="0.2">
      <c r="A5" s="1213" t="s">
        <v>689</v>
      </c>
      <c r="B5" s="1214" t="s">
        <v>132</v>
      </c>
      <c r="C5" s="1215">
        <f t="shared" ref="C5:AG5" si="0">C6+C7+C8+C9</f>
        <v>-723132.1810000001</v>
      </c>
      <c r="D5" s="1215">
        <f t="shared" si="0"/>
        <v>-723132.1810000001</v>
      </c>
      <c r="E5" s="1215">
        <f t="shared" si="0"/>
        <v>-723132.1810000001</v>
      </c>
      <c r="F5" s="1215">
        <f t="shared" si="0"/>
        <v>-723132.1810000001</v>
      </c>
      <c r="G5" s="1215">
        <f t="shared" si="0"/>
        <v>-723132.1810000001</v>
      </c>
      <c r="H5" s="1215">
        <f t="shared" si="0"/>
        <v>-723132.1810000001</v>
      </c>
      <c r="I5" s="1215">
        <f t="shared" si="0"/>
        <v>-723132.1810000001</v>
      </c>
      <c r="J5" s="1216">
        <f t="shared" si="0"/>
        <v>-723132.1810000001</v>
      </c>
      <c r="K5" s="1216">
        <f t="shared" si="0"/>
        <v>-723132.1810000001</v>
      </c>
      <c r="L5" s="1215">
        <f t="shared" si="0"/>
        <v>-723132.1810000001</v>
      </c>
      <c r="M5" s="1215">
        <f t="shared" si="0"/>
        <v>-723132.53900000011</v>
      </c>
      <c r="N5" s="1215">
        <f t="shared" si="0"/>
        <v>-723132.53900000011</v>
      </c>
      <c r="O5" s="1215">
        <f t="shared" si="0"/>
        <v>-723132.53900000011</v>
      </c>
      <c r="P5" s="1217">
        <f t="shared" si="0"/>
        <v>-723132.53900000011</v>
      </c>
      <c r="Q5" s="1215">
        <f t="shared" si="0"/>
        <v>-723132.53900000011</v>
      </c>
      <c r="R5" s="1215">
        <f t="shared" si="0"/>
        <v>-723132.53900000011</v>
      </c>
      <c r="S5" s="1215">
        <f t="shared" si="0"/>
        <v>-723132.53900000011</v>
      </c>
      <c r="T5" s="1215">
        <f t="shared" si="0"/>
        <v>-723132.53900000011</v>
      </c>
      <c r="U5" s="1215">
        <f t="shared" si="0"/>
        <v>-723132.53900000011</v>
      </c>
      <c r="V5" s="1215">
        <f t="shared" si="0"/>
        <v>-723132.64400000009</v>
      </c>
      <c r="W5" s="1215">
        <f t="shared" si="0"/>
        <v>-723132.64400000009</v>
      </c>
      <c r="X5" s="1215">
        <f t="shared" si="0"/>
        <v>-723132.64400000009</v>
      </c>
      <c r="Y5" s="1215">
        <f t="shared" si="0"/>
        <v>-723132.64400000009</v>
      </c>
      <c r="Z5" s="1215">
        <f t="shared" si="0"/>
        <v>-723132.64400000009</v>
      </c>
      <c r="AA5" s="1215">
        <f t="shared" si="0"/>
        <v>-723132.64400000009</v>
      </c>
      <c r="AB5" s="1215">
        <f t="shared" si="0"/>
        <v>-723132.64400000009</v>
      </c>
      <c r="AC5" s="1215">
        <f t="shared" si="0"/>
        <v>-723132.64400000009</v>
      </c>
      <c r="AD5" s="1215">
        <f t="shared" si="0"/>
        <v>-723132.82000000007</v>
      </c>
      <c r="AE5" s="1215">
        <f t="shared" si="0"/>
        <v>-723132.82000000007</v>
      </c>
      <c r="AF5" s="1215">
        <f t="shared" si="0"/>
        <v>-724516.06200000003</v>
      </c>
      <c r="AG5" s="1215">
        <f t="shared" si="0"/>
        <v>-724516.06200000003</v>
      </c>
      <c r="AH5" s="1207"/>
    </row>
    <row r="6" spans="1:36" x14ac:dyDescent="0.2">
      <c r="A6" s="1218">
        <v>100000</v>
      </c>
      <c r="B6" s="1207" t="s">
        <v>690</v>
      </c>
      <c r="C6" s="1219">
        <f t="shared" ref="C6:AF6" si="1">C70</f>
        <v>-602054.11300000001</v>
      </c>
      <c r="D6" s="1219">
        <f t="shared" si="1"/>
        <v>-602054.11300000001</v>
      </c>
      <c r="E6" s="1219">
        <f t="shared" si="1"/>
        <v>-602054.11300000001</v>
      </c>
      <c r="F6" s="1219">
        <f t="shared" si="1"/>
        <v>-602054.11300000001</v>
      </c>
      <c r="G6" s="1219">
        <f t="shared" si="1"/>
        <v>-602054.11300000001</v>
      </c>
      <c r="H6" s="1219">
        <f t="shared" si="1"/>
        <v>-602054.11300000001</v>
      </c>
      <c r="I6" s="1219">
        <f t="shared" si="1"/>
        <v>-602054.11300000001</v>
      </c>
      <c r="J6" s="1220">
        <f t="shared" si="1"/>
        <v>-602054.11300000001</v>
      </c>
      <c r="K6" s="1220">
        <f t="shared" si="1"/>
        <v>-602054.11300000001</v>
      </c>
      <c r="L6" s="1219">
        <f t="shared" si="1"/>
        <v>-602054.11300000001</v>
      </c>
      <c r="M6" s="1219">
        <f t="shared" si="1"/>
        <v>-602054.47100000002</v>
      </c>
      <c r="N6" s="1219">
        <f t="shared" si="1"/>
        <v>-602054.47100000002</v>
      </c>
      <c r="O6" s="1219">
        <f t="shared" si="1"/>
        <v>-602054.47100000002</v>
      </c>
      <c r="P6" s="1221">
        <f t="shared" si="1"/>
        <v>-602054.47100000002</v>
      </c>
      <c r="Q6" s="1219">
        <f t="shared" si="1"/>
        <v>-602054.47100000002</v>
      </c>
      <c r="R6" s="1219">
        <f t="shared" si="1"/>
        <v>-602054.47100000002</v>
      </c>
      <c r="S6" s="1219">
        <f t="shared" si="1"/>
        <v>-602054.47100000002</v>
      </c>
      <c r="T6" s="1219">
        <f t="shared" si="1"/>
        <v>-602054.47100000002</v>
      </c>
      <c r="U6" s="1219">
        <f t="shared" si="1"/>
        <v>-602054.47100000002</v>
      </c>
      <c r="V6" s="1219">
        <f t="shared" si="1"/>
        <v>-602054.47100000002</v>
      </c>
      <c r="W6" s="1219">
        <f t="shared" si="1"/>
        <v>-602054.47100000002</v>
      </c>
      <c r="X6" s="1219">
        <f t="shared" si="1"/>
        <v>-602054.47100000002</v>
      </c>
      <c r="Y6" s="1219">
        <f t="shared" si="1"/>
        <v>-602054.47100000002</v>
      </c>
      <c r="Z6" s="1219">
        <f t="shared" si="1"/>
        <v>-602054.47100000002</v>
      </c>
      <c r="AA6" s="1219">
        <f t="shared" si="1"/>
        <v>-602054.47100000002</v>
      </c>
      <c r="AB6" s="1219">
        <f t="shared" si="1"/>
        <v>-602054.47100000002</v>
      </c>
      <c r="AC6" s="1219">
        <f t="shared" si="1"/>
        <v>-602054.47100000002</v>
      </c>
      <c r="AD6" s="1219">
        <f t="shared" si="1"/>
        <v>-602054.47100000002</v>
      </c>
      <c r="AE6" s="1219">
        <f t="shared" si="1"/>
        <v>-602054.47100000002</v>
      </c>
      <c r="AF6" s="1219">
        <f t="shared" si="1"/>
        <v>-602054.47100000002</v>
      </c>
      <c r="AG6" s="1219">
        <f>AG70</f>
        <v>-602054.47100000002</v>
      </c>
      <c r="AH6" s="1207"/>
    </row>
    <row r="7" spans="1:36" x14ac:dyDescent="0.2">
      <c r="A7" s="1218">
        <v>25000</v>
      </c>
      <c r="B7" s="1207" t="s">
        <v>666</v>
      </c>
      <c r="C7" s="1219">
        <f t="shared" ref="C7:AG7" si="2">C184</f>
        <v>-71655.263000000006</v>
      </c>
      <c r="D7" s="1219">
        <f t="shared" si="2"/>
        <v>-71655.263000000006</v>
      </c>
      <c r="E7" s="1219">
        <f t="shared" si="2"/>
        <v>-71655.263000000006</v>
      </c>
      <c r="F7" s="1219">
        <f t="shared" si="2"/>
        <v>-71655.263000000006</v>
      </c>
      <c r="G7" s="1219">
        <f t="shared" si="2"/>
        <v>-71655.263000000006</v>
      </c>
      <c r="H7" s="1219">
        <f t="shared" si="2"/>
        <v>-71655.263000000006</v>
      </c>
      <c r="I7" s="1219">
        <f t="shared" si="2"/>
        <v>-71655.263000000006</v>
      </c>
      <c r="J7" s="1220">
        <f t="shared" si="2"/>
        <v>-71655.263000000006</v>
      </c>
      <c r="K7" s="1220">
        <f t="shared" si="2"/>
        <v>-71655.263000000006</v>
      </c>
      <c r="L7" s="1219">
        <f t="shared" si="2"/>
        <v>-71655.263000000006</v>
      </c>
      <c r="M7" s="1219">
        <f t="shared" si="2"/>
        <v>-71655.263000000006</v>
      </c>
      <c r="N7" s="1219">
        <f t="shared" si="2"/>
        <v>-71655.263000000006</v>
      </c>
      <c r="O7" s="1219">
        <f t="shared" si="2"/>
        <v>-71655.263000000006</v>
      </c>
      <c r="P7" s="1221">
        <f t="shared" si="2"/>
        <v>-71655.263000000006</v>
      </c>
      <c r="Q7" s="1219">
        <f t="shared" si="2"/>
        <v>-71655.263000000006</v>
      </c>
      <c r="R7" s="1219">
        <f t="shared" si="2"/>
        <v>-71655.263000000006</v>
      </c>
      <c r="S7" s="1222">
        <f t="shared" si="2"/>
        <v>-71655.263000000006</v>
      </c>
      <c r="T7" s="1219">
        <f t="shared" si="2"/>
        <v>-71655.263000000006</v>
      </c>
      <c r="U7" s="1219">
        <f t="shared" si="2"/>
        <v>-71655.263000000006</v>
      </c>
      <c r="V7" s="1219">
        <f t="shared" si="2"/>
        <v>-71655.263000000006</v>
      </c>
      <c r="W7" s="1219">
        <f t="shared" si="2"/>
        <v>-71655.263000000006</v>
      </c>
      <c r="X7" s="1219">
        <f t="shared" si="2"/>
        <v>-71655.263000000006</v>
      </c>
      <c r="Y7" s="1219">
        <f t="shared" si="2"/>
        <v>-71655.263000000006</v>
      </c>
      <c r="Z7" s="1219">
        <f t="shared" si="2"/>
        <v>-71655.263000000006</v>
      </c>
      <c r="AA7" s="1219">
        <f t="shared" si="2"/>
        <v>-71655.263000000006</v>
      </c>
      <c r="AB7" s="1219">
        <f t="shared" si="2"/>
        <v>-71655.263000000006</v>
      </c>
      <c r="AC7" s="1219">
        <f t="shared" si="2"/>
        <v>-71655.263000000006</v>
      </c>
      <c r="AD7" s="1219">
        <f t="shared" si="2"/>
        <v>-71655.263000000006</v>
      </c>
      <c r="AE7" s="1219">
        <f t="shared" si="2"/>
        <v>-71655.263000000006</v>
      </c>
      <c r="AF7" s="1219">
        <f t="shared" si="2"/>
        <v>-71655.263000000006</v>
      </c>
      <c r="AG7" s="1219">
        <f t="shared" si="2"/>
        <v>-71655.263000000006</v>
      </c>
      <c r="AH7" s="1207"/>
    </row>
    <row r="8" spans="1:36" x14ac:dyDescent="0.2">
      <c r="A8" s="1218">
        <v>25000</v>
      </c>
      <c r="B8" s="1207" t="s">
        <v>667</v>
      </c>
      <c r="C8" s="1219">
        <f t="shared" ref="C8:AG8" si="3">C247</f>
        <v>-15654.775</v>
      </c>
      <c r="D8" s="1219">
        <f t="shared" si="3"/>
        <v>-15654.775</v>
      </c>
      <c r="E8" s="1219">
        <f t="shared" si="3"/>
        <v>-15654.775</v>
      </c>
      <c r="F8" s="1219">
        <f t="shared" si="3"/>
        <v>-15654.775</v>
      </c>
      <c r="G8" s="1219">
        <f t="shared" si="3"/>
        <v>-15654.775</v>
      </c>
      <c r="H8" s="1219">
        <f t="shared" si="3"/>
        <v>-15654.775</v>
      </c>
      <c r="I8" s="1222">
        <f t="shared" si="3"/>
        <v>-15654.775</v>
      </c>
      <c r="J8" s="1220">
        <f t="shared" si="3"/>
        <v>-15654.775</v>
      </c>
      <c r="K8" s="1220">
        <f t="shared" si="3"/>
        <v>-15654.775</v>
      </c>
      <c r="L8" s="1219">
        <f t="shared" si="3"/>
        <v>-15654.775</v>
      </c>
      <c r="M8" s="1219">
        <f t="shared" si="3"/>
        <v>-15654.775</v>
      </c>
      <c r="N8" s="1219">
        <f t="shared" si="3"/>
        <v>-15654.775</v>
      </c>
      <c r="O8" s="1219">
        <f t="shared" si="3"/>
        <v>-15654.775</v>
      </c>
      <c r="P8" s="1221">
        <f t="shared" si="3"/>
        <v>-15654.775</v>
      </c>
      <c r="Q8" s="1219">
        <f t="shared" si="3"/>
        <v>-15654.775</v>
      </c>
      <c r="R8" s="1219">
        <f t="shared" si="3"/>
        <v>-15654.775</v>
      </c>
      <c r="S8" s="1219">
        <f t="shared" si="3"/>
        <v>-15654.775</v>
      </c>
      <c r="T8" s="1219">
        <f t="shared" si="3"/>
        <v>-15654.775</v>
      </c>
      <c r="U8" s="1219">
        <f t="shared" si="3"/>
        <v>-15654.775</v>
      </c>
      <c r="V8" s="1219">
        <f t="shared" si="3"/>
        <v>-15654.775</v>
      </c>
      <c r="W8" s="1219">
        <f t="shared" si="3"/>
        <v>-15654.775</v>
      </c>
      <c r="X8" s="1219">
        <f t="shared" si="3"/>
        <v>-15654.775</v>
      </c>
      <c r="Y8" s="1219">
        <f t="shared" si="3"/>
        <v>-15654.775</v>
      </c>
      <c r="Z8" s="1219">
        <f t="shared" si="3"/>
        <v>-15654.775</v>
      </c>
      <c r="AA8" s="1219">
        <f t="shared" si="3"/>
        <v>-15654.775</v>
      </c>
      <c r="AB8" s="1219">
        <f t="shared" si="3"/>
        <v>-15654.775</v>
      </c>
      <c r="AC8" s="1219">
        <f t="shared" si="3"/>
        <v>-15654.775</v>
      </c>
      <c r="AD8" s="1219">
        <f t="shared" si="3"/>
        <v>-15654.775</v>
      </c>
      <c r="AE8" s="1219">
        <f t="shared" si="3"/>
        <v>-15654.775</v>
      </c>
      <c r="AF8" s="1219">
        <f t="shared" si="3"/>
        <v>-17038.017</v>
      </c>
      <c r="AG8" s="1219">
        <f t="shared" si="3"/>
        <v>-17038.017</v>
      </c>
      <c r="AH8" s="1207"/>
      <c r="AJ8" s="1223"/>
    </row>
    <row r="9" spans="1:36" x14ac:dyDescent="0.2">
      <c r="A9" s="1218">
        <v>20000</v>
      </c>
      <c r="B9" s="1207" t="s">
        <v>691</v>
      </c>
      <c r="C9" s="1219">
        <f t="shared" ref="C9:AG9" si="4">C311</f>
        <v>-33768.03</v>
      </c>
      <c r="D9" s="1219">
        <f t="shared" si="4"/>
        <v>-33768.03</v>
      </c>
      <c r="E9" s="1219">
        <f t="shared" si="4"/>
        <v>-33768.03</v>
      </c>
      <c r="F9" s="1219">
        <f t="shared" si="4"/>
        <v>-33768.03</v>
      </c>
      <c r="G9" s="1222">
        <f t="shared" si="4"/>
        <v>-33768.03</v>
      </c>
      <c r="H9" s="1219">
        <f t="shared" si="4"/>
        <v>-33768.03</v>
      </c>
      <c r="I9" s="1219">
        <f t="shared" si="4"/>
        <v>-33768.03</v>
      </c>
      <c r="J9" s="1220">
        <f t="shared" si="4"/>
        <v>-33768.03</v>
      </c>
      <c r="K9" s="1220">
        <f t="shared" si="4"/>
        <v>-33768.03</v>
      </c>
      <c r="L9" s="1219">
        <f t="shared" si="4"/>
        <v>-33768.03</v>
      </c>
      <c r="M9" s="1219">
        <f t="shared" si="4"/>
        <v>-33768.03</v>
      </c>
      <c r="N9" s="1219">
        <f t="shared" si="4"/>
        <v>-33768.03</v>
      </c>
      <c r="O9" s="1219">
        <f t="shared" si="4"/>
        <v>-33768.03</v>
      </c>
      <c r="P9" s="1221">
        <f t="shared" si="4"/>
        <v>-33768.03</v>
      </c>
      <c r="Q9" s="1219">
        <f t="shared" si="4"/>
        <v>-33768.03</v>
      </c>
      <c r="R9" s="1219">
        <f t="shared" si="4"/>
        <v>-33768.03</v>
      </c>
      <c r="S9" s="1219">
        <f t="shared" si="4"/>
        <v>-33768.03</v>
      </c>
      <c r="T9" s="1219">
        <f t="shared" si="4"/>
        <v>-33768.03</v>
      </c>
      <c r="U9" s="1219">
        <f t="shared" si="4"/>
        <v>-33768.03</v>
      </c>
      <c r="V9" s="1219">
        <f t="shared" si="4"/>
        <v>-33768.135000000002</v>
      </c>
      <c r="W9" s="1219">
        <f t="shared" si="4"/>
        <v>-33768.135000000002</v>
      </c>
      <c r="X9" s="1219">
        <f t="shared" si="4"/>
        <v>-33768.135000000002</v>
      </c>
      <c r="Y9" s="1219">
        <f t="shared" si="4"/>
        <v>-33768.135000000002</v>
      </c>
      <c r="Z9" s="1219">
        <f t="shared" si="4"/>
        <v>-33768.135000000002</v>
      </c>
      <c r="AA9" s="1219">
        <f t="shared" si="4"/>
        <v>-33768.135000000002</v>
      </c>
      <c r="AB9" s="1219">
        <f t="shared" si="4"/>
        <v>-33768.135000000002</v>
      </c>
      <c r="AC9" s="1219">
        <f t="shared" si="4"/>
        <v>-33768.135000000002</v>
      </c>
      <c r="AD9" s="1219">
        <f t="shared" si="4"/>
        <v>-33768.311000000009</v>
      </c>
      <c r="AE9" s="1219">
        <f t="shared" si="4"/>
        <v>-33768.311000000009</v>
      </c>
      <c r="AF9" s="1219">
        <f t="shared" si="4"/>
        <v>-33768.311000000009</v>
      </c>
      <c r="AG9" s="1219">
        <f t="shared" si="4"/>
        <v>-33768.311000000009</v>
      </c>
      <c r="AH9" s="1207"/>
    </row>
    <row r="10" spans="1:36" x14ac:dyDescent="0.2">
      <c r="A10" s="1213" t="s">
        <v>692</v>
      </c>
      <c r="B10" s="1214" t="s">
        <v>132</v>
      </c>
      <c r="C10" s="1224">
        <f t="shared" ref="C10:AG10" si="5">C11+C12+C13</f>
        <v>2738.9589999999998</v>
      </c>
      <c r="D10" s="1224">
        <f t="shared" si="5"/>
        <v>0</v>
      </c>
      <c r="E10" s="1224">
        <f t="shared" si="5"/>
        <v>2484.5</v>
      </c>
      <c r="F10" s="1224">
        <f t="shared" si="5"/>
        <v>2400.0730000000003</v>
      </c>
      <c r="G10" s="1224">
        <f t="shared" si="5"/>
        <v>5803.12</v>
      </c>
      <c r="H10" s="1224">
        <f t="shared" si="5"/>
        <v>4206.1279999999997</v>
      </c>
      <c r="I10" s="1224">
        <f t="shared" si="5"/>
        <v>4147.9949999999999</v>
      </c>
      <c r="J10" s="1225">
        <f t="shared" si="5"/>
        <v>4479.7559999999994</v>
      </c>
      <c r="K10" s="1225">
        <f t="shared" si="5"/>
        <v>2388.6410000000001</v>
      </c>
      <c r="L10" s="1224">
        <f t="shared" si="5"/>
        <v>16834.724999999999</v>
      </c>
      <c r="M10" s="1224">
        <f t="shared" si="5"/>
        <v>1150</v>
      </c>
      <c r="N10" s="1224">
        <f t="shared" si="5"/>
        <v>5860.951</v>
      </c>
      <c r="O10" s="1224">
        <f t="shared" si="5"/>
        <v>1150</v>
      </c>
      <c r="P10" s="1226">
        <f t="shared" si="5"/>
        <v>0</v>
      </c>
      <c r="Q10" s="1224">
        <f t="shared" si="5"/>
        <v>18835.05</v>
      </c>
      <c r="R10" s="1224">
        <f t="shared" si="5"/>
        <v>728</v>
      </c>
      <c r="S10" s="1224">
        <f t="shared" si="5"/>
        <v>0</v>
      </c>
      <c r="T10" s="1224">
        <f t="shared" si="5"/>
        <v>2634.5</v>
      </c>
      <c r="U10" s="1224">
        <f t="shared" si="5"/>
        <v>1000</v>
      </c>
      <c r="V10" s="1224">
        <f t="shared" si="5"/>
        <v>14370.779</v>
      </c>
      <c r="W10" s="1224">
        <f t="shared" si="5"/>
        <v>3890.1909999999998</v>
      </c>
      <c r="X10" s="1224">
        <f t="shared" si="5"/>
        <v>2150</v>
      </c>
      <c r="Y10" s="1224">
        <f t="shared" si="5"/>
        <v>920</v>
      </c>
      <c r="Z10" s="1224">
        <f t="shared" si="5"/>
        <v>1484.5</v>
      </c>
      <c r="AA10" s="1224">
        <f t="shared" si="5"/>
        <v>13419.956999999999</v>
      </c>
      <c r="AB10" s="1224">
        <f t="shared" si="5"/>
        <v>2948.681</v>
      </c>
      <c r="AC10" s="1224">
        <f t="shared" si="5"/>
        <v>7144.8220000000001</v>
      </c>
      <c r="AD10" s="1224">
        <f t="shared" si="5"/>
        <v>4106.2179999999998</v>
      </c>
      <c r="AE10" s="1224">
        <f t="shared" si="5"/>
        <v>6027.4189999999999</v>
      </c>
      <c r="AF10" s="1224">
        <f t="shared" si="5"/>
        <v>38905.108999999997</v>
      </c>
      <c r="AG10" s="1224">
        <f t="shared" si="5"/>
        <v>0</v>
      </c>
      <c r="AH10" s="1227">
        <f>SUM(C10:AG10)</f>
        <v>172210.07399999999</v>
      </c>
    </row>
    <row r="11" spans="1:36" x14ac:dyDescent="0.2">
      <c r="A11" s="1213"/>
      <c r="B11" s="1207" t="s">
        <v>666</v>
      </c>
      <c r="C11" s="1227">
        <f t="shared" ref="C11:AG11" si="6">C171</f>
        <v>0</v>
      </c>
      <c r="D11" s="1227">
        <f t="shared" si="6"/>
        <v>0</v>
      </c>
      <c r="E11" s="1227">
        <f t="shared" si="6"/>
        <v>1484.5</v>
      </c>
      <c r="F11" s="1227">
        <f t="shared" si="6"/>
        <v>0</v>
      </c>
      <c r="G11" s="1227">
        <f t="shared" si="6"/>
        <v>0</v>
      </c>
      <c r="H11" s="1227">
        <f t="shared" si="6"/>
        <v>1484.5</v>
      </c>
      <c r="I11" s="1227">
        <f t="shared" si="6"/>
        <v>328.053</v>
      </c>
      <c r="J11" s="1228">
        <f t="shared" si="6"/>
        <v>1320</v>
      </c>
      <c r="K11" s="1228">
        <f t="shared" si="6"/>
        <v>1484.5</v>
      </c>
      <c r="L11" s="1227">
        <f t="shared" si="6"/>
        <v>2770</v>
      </c>
      <c r="M11" s="1227">
        <f t="shared" si="6"/>
        <v>0</v>
      </c>
      <c r="N11" s="1227">
        <f t="shared" si="6"/>
        <v>1484.5</v>
      </c>
      <c r="O11" s="1227">
        <f t="shared" si="6"/>
        <v>0</v>
      </c>
      <c r="P11" s="1229">
        <f t="shared" si="6"/>
        <v>0</v>
      </c>
      <c r="Q11" s="1227">
        <f t="shared" si="6"/>
        <v>3867.7150000000001</v>
      </c>
      <c r="R11" s="1227">
        <f t="shared" si="6"/>
        <v>0</v>
      </c>
      <c r="S11" s="1227">
        <f t="shared" si="6"/>
        <v>0</v>
      </c>
      <c r="T11" s="1227">
        <f t="shared" si="6"/>
        <v>1484.5</v>
      </c>
      <c r="U11" s="1227">
        <f t="shared" si="6"/>
        <v>0</v>
      </c>
      <c r="V11" s="1227">
        <f t="shared" si="6"/>
        <v>6425.8370000000004</v>
      </c>
      <c r="W11" s="1227">
        <f t="shared" si="6"/>
        <v>1484.5</v>
      </c>
      <c r="X11" s="1227">
        <f t="shared" si="6"/>
        <v>0</v>
      </c>
      <c r="Y11" s="1227">
        <f t="shared" si="6"/>
        <v>0</v>
      </c>
      <c r="Z11" s="1227">
        <f t="shared" si="6"/>
        <v>1484.5</v>
      </c>
      <c r="AA11" s="1227">
        <f t="shared" si="6"/>
        <v>5014.6669999999995</v>
      </c>
      <c r="AB11" s="1227">
        <f t="shared" si="6"/>
        <v>0</v>
      </c>
      <c r="AC11" s="1227">
        <f t="shared" si="6"/>
        <v>1484.5</v>
      </c>
      <c r="AD11" s="1227">
        <f t="shared" si="6"/>
        <v>4106.2179999999998</v>
      </c>
      <c r="AE11" s="1227">
        <f t="shared" si="6"/>
        <v>3542.9479999999999</v>
      </c>
      <c r="AF11" s="1227">
        <f t="shared" si="6"/>
        <v>780.87199999999996</v>
      </c>
      <c r="AG11" s="1227">
        <f t="shared" si="6"/>
        <v>0</v>
      </c>
      <c r="AH11" s="1207"/>
    </row>
    <row r="12" spans="1:36" x14ac:dyDescent="0.2">
      <c r="A12" s="1213"/>
      <c r="B12" s="1207" t="s">
        <v>667</v>
      </c>
      <c r="C12" s="1227">
        <f t="shared" ref="C12:AG12" si="7">C234</f>
        <v>2738.9589999999998</v>
      </c>
      <c r="D12" s="1227">
        <f t="shared" si="7"/>
        <v>0</v>
      </c>
      <c r="E12" s="1227">
        <f t="shared" si="7"/>
        <v>0</v>
      </c>
      <c r="F12" s="1227">
        <f t="shared" si="7"/>
        <v>0</v>
      </c>
      <c r="G12" s="1227">
        <f t="shared" si="7"/>
        <v>4803.12</v>
      </c>
      <c r="H12" s="1227">
        <f t="shared" si="7"/>
        <v>251.62799999999999</v>
      </c>
      <c r="I12" s="1227">
        <f t="shared" si="7"/>
        <v>1855.4989999999998</v>
      </c>
      <c r="J12" s="1228">
        <f t="shared" si="7"/>
        <v>1009.756</v>
      </c>
      <c r="K12" s="1228">
        <f t="shared" si="7"/>
        <v>0</v>
      </c>
      <c r="L12" s="1227">
        <f t="shared" si="7"/>
        <v>9014.7250000000004</v>
      </c>
      <c r="M12" s="1227">
        <f t="shared" si="7"/>
        <v>0</v>
      </c>
      <c r="N12" s="1227">
        <f t="shared" si="7"/>
        <v>3376.451</v>
      </c>
      <c r="O12" s="1227">
        <f t="shared" si="7"/>
        <v>0</v>
      </c>
      <c r="P12" s="1229">
        <f t="shared" si="7"/>
        <v>0</v>
      </c>
      <c r="Q12" s="1227">
        <f t="shared" si="7"/>
        <v>8753.0010000000002</v>
      </c>
      <c r="R12" s="1227">
        <f t="shared" si="7"/>
        <v>0</v>
      </c>
      <c r="S12" s="1227">
        <f t="shared" si="7"/>
        <v>0</v>
      </c>
      <c r="T12" s="1227">
        <f t="shared" si="7"/>
        <v>0</v>
      </c>
      <c r="U12" s="1227">
        <f t="shared" si="7"/>
        <v>0</v>
      </c>
      <c r="V12" s="1227">
        <f t="shared" si="7"/>
        <v>2680.3890000000001</v>
      </c>
      <c r="W12" s="1227">
        <f t="shared" si="7"/>
        <v>1055.691</v>
      </c>
      <c r="X12" s="1227">
        <f t="shared" si="7"/>
        <v>1150</v>
      </c>
      <c r="Y12" s="1227">
        <f t="shared" si="7"/>
        <v>0</v>
      </c>
      <c r="Z12" s="1227">
        <f t="shared" si="7"/>
        <v>0</v>
      </c>
      <c r="AA12" s="1227">
        <f t="shared" si="7"/>
        <v>3221.473</v>
      </c>
      <c r="AB12" s="1227">
        <f t="shared" si="7"/>
        <v>1948.681</v>
      </c>
      <c r="AC12" s="1227">
        <f t="shared" si="7"/>
        <v>4123.0829999999996</v>
      </c>
      <c r="AD12" s="1227">
        <f t="shared" si="7"/>
        <v>0</v>
      </c>
      <c r="AE12" s="1227">
        <f t="shared" si="7"/>
        <v>1484.471</v>
      </c>
      <c r="AF12" s="1227">
        <f t="shared" si="7"/>
        <v>17062.332999999999</v>
      </c>
      <c r="AG12" s="1227">
        <f t="shared" si="7"/>
        <v>0</v>
      </c>
      <c r="AH12" s="1207"/>
    </row>
    <row r="13" spans="1:36" x14ac:dyDescent="0.2">
      <c r="A13" s="1213"/>
      <c r="B13" s="1207" t="s">
        <v>691</v>
      </c>
      <c r="C13" s="1227">
        <f t="shared" ref="C13:AG13" si="8">C298</f>
        <v>0</v>
      </c>
      <c r="D13" s="1227">
        <f t="shared" si="8"/>
        <v>0</v>
      </c>
      <c r="E13" s="1227">
        <f t="shared" si="8"/>
        <v>1000</v>
      </c>
      <c r="F13" s="1227">
        <f t="shared" si="8"/>
        <v>2400.0730000000003</v>
      </c>
      <c r="G13" s="1227">
        <f t="shared" si="8"/>
        <v>1000</v>
      </c>
      <c r="H13" s="1227">
        <f t="shared" si="8"/>
        <v>2470</v>
      </c>
      <c r="I13" s="1227">
        <f t="shared" si="8"/>
        <v>1964.443</v>
      </c>
      <c r="J13" s="1228">
        <f t="shared" si="8"/>
        <v>2150</v>
      </c>
      <c r="K13" s="1228">
        <f t="shared" si="8"/>
        <v>904.14099999999996</v>
      </c>
      <c r="L13" s="1227">
        <f t="shared" si="8"/>
        <v>5050</v>
      </c>
      <c r="M13" s="1227">
        <f t="shared" si="8"/>
        <v>1150</v>
      </c>
      <c r="N13" s="1227">
        <f t="shared" si="8"/>
        <v>1000</v>
      </c>
      <c r="O13" s="1227">
        <f t="shared" si="8"/>
        <v>1150</v>
      </c>
      <c r="P13" s="1229">
        <f t="shared" si="8"/>
        <v>0</v>
      </c>
      <c r="Q13" s="1227">
        <f t="shared" si="8"/>
        <v>6214.3339999999998</v>
      </c>
      <c r="R13" s="1227">
        <f t="shared" si="8"/>
        <v>728</v>
      </c>
      <c r="S13" s="1227">
        <f t="shared" si="8"/>
        <v>0</v>
      </c>
      <c r="T13" s="1227">
        <f t="shared" si="8"/>
        <v>1150</v>
      </c>
      <c r="U13" s="1227">
        <f t="shared" si="8"/>
        <v>1000</v>
      </c>
      <c r="V13" s="1227">
        <f t="shared" si="8"/>
        <v>5264.5529999999999</v>
      </c>
      <c r="W13" s="1227">
        <f t="shared" si="8"/>
        <v>1350</v>
      </c>
      <c r="X13" s="1227">
        <f t="shared" si="8"/>
        <v>1000</v>
      </c>
      <c r="Y13" s="1227">
        <f t="shared" si="8"/>
        <v>920</v>
      </c>
      <c r="Z13" s="1227">
        <f t="shared" si="8"/>
        <v>0</v>
      </c>
      <c r="AA13" s="1227">
        <f t="shared" si="8"/>
        <v>5183.817</v>
      </c>
      <c r="AB13" s="1227">
        <f t="shared" si="8"/>
        <v>1000</v>
      </c>
      <c r="AC13" s="1227">
        <f t="shared" si="8"/>
        <v>1537.239</v>
      </c>
      <c r="AD13" s="1227">
        <f t="shared" si="8"/>
        <v>0</v>
      </c>
      <c r="AE13" s="1227">
        <f t="shared" si="8"/>
        <v>1000</v>
      </c>
      <c r="AF13" s="1227">
        <f t="shared" si="8"/>
        <v>21061.903999999999</v>
      </c>
      <c r="AG13" s="1227">
        <f t="shared" si="8"/>
        <v>0</v>
      </c>
      <c r="AH13" s="1207"/>
    </row>
    <row r="14" spans="1:36" x14ac:dyDescent="0.2">
      <c r="A14" s="1207"/>
      <c r="B14" s="1207"/>
      <c r="C14" s="1207"/>
      <c r="D14" s="1207"/>
      <c r="E14" s="1207"/>
      <c r="F14" s="1207"/>
      <c r="G14" s="1207"/>
      <c r="H14" s="1207"/>
      <c r="I14" s="1207"/>
      <c r="J14" s="1230"/>
      <c r="K14" s="1230"/>
      <c r="L14" s="1207"/>
      <c r="M14" s="1207"/>
      <c r="N14" s="1216"/>
      <c r="O14" s="1207"/>
      <c r="P14" s="1208"/>
      <c r="Q14" s="1207"/>
      <c r="R14" s="1207"/>
      <c r="S14" s="1207"/>
      <c r="T14" s="1207"/>
      <c r="U14" s="1216"/>
      <c r="V14" s="1207"/>
      <c r="W14" s="1207"/>
      <c r="X14" s="1207"/>
      <c r="Y14" s="1207"/>
      <c r="Z14" s="1207"/>
      <c r="AA14" s="1216"/>
      <c r="AB14" s="1207"/>
      <c r="AC14" s="1207"/>
      <c r="AD14" s="1207"/>
      <c r="AE14" s="1207"/>
      <c r="AF14" s="1207"/>
      <c r="AG14" s="1216"/>
      <c r="AH14" s="1231">
        <f>AG5+AH10</f>
        <v>-552305.98800000001</v>
      </c>
    </row>
    <row r="15" spans="1:36" ht="13.5" thickBot="1" x14ac:dyDescent="0.25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8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7"/>
      <c r="AF15" s="1207"/>
      <c r="AG15" s="1207"/>
      <c r="AH15" s="1232"/>
      <c r="AI15" s="1223"/>
    </row>
    <row r="16" spans="1:36" x14ac:dyDescent="0.2">
      <c r="A16" s="1233"/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5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2"/>
      <c r="AI16" s="1223"/>
    </row>
    <row r="17" spans="1:35" x14ac:dyDescent="0.2">
      <c r="A17" s="1236"/>
      <c r="B17" s="1237" t="s">
        <v>37</v>
      </c>
      <c r="C17" s="1237"/>
      <c r="D17" s="1237"/>
      <c r="E17" s="1238" t="s">
        <v>396</v>
      </c>
      <c r="F17" s="1239" t="s">
        <v>140</v>
      </c>
      <c r="G17" s="1239"/>
      <c r="H17" s="1471" t="s">
        <v>6</v>
      </c>
      <c r="I17" s="1239"/>
      <c r="J17" s="1239"/>
      <c r="K17" s="1239"/>
      <c r="L17" s="1239"/>
      <c r="M17" s="1239"/>
      <c r="N17" s="1239"/>
      <c r="O17" s="1239"/>
      <c r="P17" s="1240"/>
      <c r="Q17" s="1239"/>
      <c r="R17" s="1239"/>
      <c r="S17" s="1239"/>
      <c r="T17" s="1239"/>
      <c r="U17" s="1239"/>
      <c r="V17" s="1239"/>
      <c r="W17" s="1239"/>
      <c r="X17" s="1239"/>
      <c r="Y17" s="1239"/>
      <c r="AA17" s="1239"/>
      <c r="AB17" s="1239"/>
      <c r="AC17" s="1239"/>
      <c r="AD17" s="1239"/>
      <c r="AE17" s="1239"/>
      <c r="AF17" s="1239"/>
      <c r="AG17" s="1239"/>
      <c r="AH17" s="1232"/>
      <c r="AI17" s="1223"/>
    </row>
    <row r="18" spans="1:35" x14ac:dyDescent="0.2">
      <c r="A18" s="1236"/>
      <c r="B18" s="1237"/>
      <c r="C18" s="1237"/>
      <c r="D18" s="1239">
        <v>42496</v>
      </c>
      <c r="E18" s="1237"/>
      <c r="F18" s="1237"/>
      <c r="G18" s="1237"/>
      <c r="H18" s="1237"/>
      <c r="I18" s="1237"/>
      <c r="J18" s="1237"/>
      <c r="K18" s="1237"/>
      <c r="L18" s="1237"/>
      <c r="M18" s="1237"/>
      <c r="N18" s="1237"/>
      <c r="O18" s="1237"/>
      <c r="P18" s="1241"/>
      <c r="Q18" s="1237"/>
      <c r="R18" s="1237"/>
      <c r="S18" s="1237"/>
      <c r="T18" s="1237"/>
      <c r="U18" s="1237"/>
      <c r="V18" s="1237"/>
      <c r="W18" s="1237"/>
      <c r="X18" s="1237"/>
      <c r="Y18" s="1237"/>
      <c r="Z18" s="1237"/>
      <c r="AA18" s="1237"/>
      <c r="AB18" s="1237"/>
      <c r="AC18" s="1237"/>
      <c r="AD18" s="1237"/>
      <c r="AE18" s="1237"/>
      <c r="AF18" s="1237"/>
      <c r="AG18" s="1237"/>
      <c r="AH18" s="1229"/>
    </row>
    <row r="19" spans="1:35" x14ac:dyDescent="0.2">
      <c r="A19" s="1242"/>
      <c r="B19" s="1239"/>
      <c r="C19" s="1239"/>
      <c r="D19" s="1238"/>
      <c r="E19" s="1237"/>
      <c r="F19" s="1237"/>
      <c r="G19" s="1237"/>
      <c r="H19" s="1237"/>
      <c r="I19" s="1237"/>
      <c r="J19" s="1237"/>
      <c r="K19" s="1237"/>
      <c r="L19" s="1237"/>
      <c r="M19" s="1237"/>
      <c r="N19" s="1237"/>
      <c r="O19" s="1237"/>
      <c r="P19" s="1241"/>
      <c r="Q19" s="1237"/>
      <c r="R19" s="1237"/>
      <c r="S19" s="1237"/>
      <c r="T19" s="1237"/>
      <c r="U19" s="1237"/>
      <c r="V19" s="1237"/>
      <c r="W19" s="1237"/>
      <c r="X19" s="1237"/>
      <c r="Y19" s="1237"/>
      <c r="Z19" s="1237"/>
      <c r="AA19" s="1237"/>
      <c r="AB19" s="1237"/>
      <c r="AC19" s="1237"/>
      <c r="AD19" s="1237"/>
      <c r="AE19" s="1237"/>
      <c r="AF19" s="1237"/>
      <c r="AG19" s="1237"/>
      <c r="AH19" s="1207"/>
    </row>
    <row r="20" spans="1:35" x14ac:dyDescent="0.2">
      <c r="A20" s="1242"/>
      <c r="B20" s="1237"/>
      <c r="C20" s="1237"/>
      <c r="D20" s="1239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41"/>
      <c r="Q20" s="1237"/>
      <c r="R20" s="1237"/>
      <c r="S20" s="1237"/>
      <c r="T20" s="1237"/>
      <c r="U20" s="1237"/>
      <c r="V20" s="1237"/>
      <c r="W20" s="1237"/>
      <c r="X20" s="1237"/>
      <c r="Y20" s="1237"/>
      <c r="Z20" s="1237"/>
      <c r="AA20" s="1237"/>
      <c r="AB20" s="1237"/>
      <c r="AC20" s="1237"/>
      <c r="AD20" s="1237"/>
      <c r="AE20" s="1237"/>
      <c r="AF20" s="1237"/>
      <c r="AG20" s="1237"/>
      <c r="AH20" s="1207"/>
    </row>
    <row r="21" spans="1:35" ht="13.5" thickBot="1" x14ac:dyDescent="0.25">
      <c r="A21" s="1236"/>
      <c r="B21" s="1237"/>
      <c r="C21" s="1237"/>
      <c r="D21" s="1237"/>
      <c r="E21" s="1237"/>
      <c r="F21" s="1237"/>
      <c r="G21" s="1237"/>
      <c r="H21" s="1237"/>
      <c r="I21" s="1237"/>
      <c r="J21" s="1237"/>
      <c r="K21" s="1237"/>
      <c r="L21" s="1237"/>
      <c r="M21" s="1237"/>
      <c r="N21" s="1237"/>
      <c r="O21" s="1237"/>
      <c r="P21" s="1241"/>
      <c r="Q21" s="1237"/>
      <c r="R21" s="1237"/>
      <c r="S21" s="1237"/>
      <c r="T21" s="1237"/>
      <c r="U21" s="1237"/>
      <c r="V21" s="1237"/>
      <c r="W21" s="1237"/>
      <c r="X21" s="1237"/>
      <c r="Y21" s="1237"/>
      <c r="Z21" s="1237"/>
      <c r="AA21" s="1237"/>
      <c r="AB21" s="1237"/>
      <c r="AC21" s="1237"/>
      <c r="AD21" s="1237"/>
      <c r="AE21" s="1237"/>
      <c r="AF21" s="1237"/>
      <c r="AG21" s="1237"/>
      <c r="AH21" s="1207"/>
    </row>
    <row r="22" spans="1:35" ht="13.5" thickBot="1" x14ac:dyDescent="0.25">
      <c r="A22" s="1236"/>
      <c r="B22" s="1237"/>
      <c r="C22" s="1243"/>
      <c r="D22" s="1244" t="s">
        <v>16</v>
      </c>
      <c r="E22" s="1244"/>
      <c r="F22" s="1244"/>
      <c r="G22" s="1244"/>
      <c r="H22" s="1244"/>
      <c r="I22" s="1244"/>
      <c r="J22" s="1244"/>
      <c r="K22" s="1244"/>
      <c r="L22" s="1244"/>
      <c r="M22" s="1244"/>
      <c r="N22" s="1244"/>
      <c r="O22" s="1244"/>
      <c r="P22" s="1245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244"/>
      <c r="AE22" s="1244"/>
      <c r="AF22" s="1244"/>
      <c r="AG22" s="1244"/>
      <c r="AH22" s="1207"/>
    </row>
    <row r="23" spans="1:35" ht="13.5" thickBot="1" x14ac:dyDescent="0.25">
      <c r="A23" s="1236"/>
      <c r="B23" s="1237"/>
      <c r="C23" s="1246" t="s">
        <v>452</v>
      </c>
      <c r="D23" s="1246" t="s">
        <v>453</v>
      </c>
      <c r="E23" s="1246" t="s">
        <v>434</v>
      </c>
      <c r="F23" s="1246" t="s">
        <v>390</v>
      </c>
      <c r="G23" s="1246" t="s">
        <v>454</v>
      </c>
      <c r="H23" s="1246" t="s">
        <v>455</v>
      </c>
      <c r="I23" s="1246" t="s">
        <v>456</v>
      </c>
      <c r="J23" s="1246" t="s">
        <v>457</v>
      </c>
      <c r="K23" s="1246" t="s">
        <v>458</v>
      </c>
      <c r="L23" s="1246" t="s">
        <v>216</v>
      </c>
      <c r="M23" s="1246" t="s">
        <v>459</v>
      </c>
      <c r="N23" s="1246" t="s">
        <v>297</v>
      </c>
      <c r="O23" s="1246" t="s">
        <v>211</v>
      </c>
      <c r="P23" s="1247" t="s">
        <v>270</v>
      </c>
      <c r="Q23" s="1246" t="s">
        <v>490</v>
      </c>
      <c r="R23" s="1246" t="s">
        <v>460</v>
      </c>
      <c r="S23" s="1246" t="s">
        <v>461</v>
      </c>
      <c r="T23" s="1246" t="s">
        <v>442</v>
      </c>
      <c r="U23" s="1246" t="s">
        <v>462</v>
      </c>
      <c r="V23" s="1246" t="s">
        <v>470</v>
      </c>
      <c r="W23" s="1246" t="s">
        <v>471</v>
      </c>
      <c r="X23" s="1246" t="s">
        <v>472</v>
      </c>
      <c r="Y23" s="1246" t="s">
        <v>463</v>
      </c>
      <c r="Z23" s="1246" t="s">
        <v>465</v>
      </c>
      <c r="AA23" s="1246" t="s">
        <v>466</v>
      </c>
      <c r="AB23" s="1246" t="s">
        <v>435</v>
      </c>
      <c r="AC23" s="1246" t="s">
        <v>467</v>
      </c>
      <c r="AD23" s="1246" t="s">
        <v>464</v>
      </c>
      <c r="AE23" s="1246" t="s">
        <v>429</v>
      </c>
      <c r="AF23" s="1246" t="s">
        <v>149</v>
      </c>
      <c r="AG23" s="1246" t="s">
        <v>210</v>
      </c>
      <c r="AH23" s="1207"/>
    </row>
    <row r="24" spans="1:35" x14ac:dyDescent="0.2">
      <c r="A24" s="1233"/>
      <c r="B24" s="1248"/>
      <c r="C24" s="1237"/>
      <c r="D24" s="1237"/>
      <c r="E24" s="1237"/>
      <c r="F24" s="1237"/>
      <c r="G24" s="1237"/>
      <c r="H24" s="1237"/>
      <c r="I24" s="1237"/>
      <c r="J24" s="1237"/>
      <c r="K24" s="1237"/>
      <c r="L24" s="1237"/>
      <c r="M24" s="1237"/>
      <c r="N24" s="1237"/>
      <c r="O24" s="1237"/>
      <c r="P24" s="1241"/>
      <c r="Q24" s="1237"/>
      <c r="R24" s="1237"/>
      <c r="S24" s="1237"/>
      <c r="T24" s="1237"/>
      <c r="U24" s="1237"/>
      <c r="V24" s="1237"/>
      <c r="W24" s="1237"/>
      <c r="X24" s="1237"/>
      <c r="Y24" s="1237"/>
      <c r="Z24" s="1237"/>
      <c r="AA24" s="1237"/>
      <c r="AB24" s="1237"/>
      <c r="AC24" s="1237"/>
      <c r="AD24" s="1237"/>
      <c r="AE24" s="1237"/>
      <c r="AF24" s="1237"/>
      <c r="AG24" s="1237"/>
      <c r="AH24" s="1207"/>
    </row>
    <row r="25" spans="1:35" x14ac:dyDescent="0.2">
      <c r="A25" s="1236" t="s">
        <v>0</v>
      </c>
      <c r="B25" s="1249">
        <v>-608789.06099999999</v>
      </c>
      <c r="C25" s="1237"/>
      <c r="D25" s="1237"/>
      <c r="E25" s="1237"/>
      <c r="F25" s="1237"/>
      <c r="G25" s="1237"/>
      <c r="H25" s="1237"/>
      <c r="I25" s="1237"/>
      <c r="J25" s="1237"/>
      <c r="K25" s="1237"/>
      <c r="L25" s="1237"/>
      <c r="M25" s="1237"/>
      <c r="N25" s="1237"/>
      <c r="O25" s="1237"/>
      <c r="P25" s="1241"/>
      <c r="Q25" s="1237"/>
      <c r="R25" s="1237"/>
      <c r="S25" s="1237"/>
      <c r="T25" s="1237"/>
      <c r="U25" s="1237"/>
      <c r="V25" s="1237"/>
      <c r="W25" s="1237"/>
      <c r="X25" s="1237"/>
      <c r="Y25" s="1237"/>
      <c r="Z25" s="1237"/>
      <c r="AA25" s="1237"/>
      <c r="AB25" s="1237"/>
      <c r="AC25" s="1237"/>
      <c r="AD25" s="1237"/>
      <c r="AE25" s="1237"/>
      <c r="AF25" s="1237"/>
      <c r="AG25" s="1237"/>
      <c r="AH25" s="1207"/>
    </row>
    <row r="26" spans="1:35" ht="13.5" thickBot="1" x14ac:dyDescent="0.25">
      <c r="A26" s="1250"/>
      <c r="B26" s="1251"/>
      <c r="C26" s="1237"/>
      <c r="D26" s="1237"/>
      <c r="E26" s="1237"/>
      <c r="F26" s="1237"/>
      <c r="G26" s="1252"/>
      <c r="H26" s="1237"/>
      <c r="I26" s="1237"/>
      <c r="J26" s="1237"/>
      <c r="K26" s="1237"/>
      <c r="L26" s="1237"/>
      <c r="M26" s="1237"/>
      <c r="N26" s="1237"/>
      <c r="O26" s="1237"/>
      <c r="P26" s="1241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07"/>
    </row>
    <row r="27" spans="1:35" x14ac:dyDescent="0.2">
      <c r="A27" s="1233"/>
      <c r="B27" s="1253"/>
      <c r="C27" s="1237"/>
      <c r="D27" s="1237"/>
      <c r="E27" s="1237"/>
      <c r="F27" s="1237"/>
      <c r="G27" s="1237"/>
      <c r="H27" s="1237"/>
      <c r="I27" s="1237"/>
      <c r="J27" s="1237"/>
      <c r="K27" s="1237"/>
      <c r="L27" s="1237"/>
      <c r="M27" s="1237"/>
      <c r="N27" s="1237"/>
      <c r="O27" s="1237"/>
      <c r="P27" s="1241"/>
      <c r="Q27" s="1237"/>
      <c r="R27" s="1237"/>
      <c r="S27" s="1237"/>
      <c r="T27" s="1237"/>
      <c r="U27" s="1237"/>
      <c r="V27" s="1237"/>
      <c r="W27" s="1237"/>
      <c r="X27" s="1237"/>
      <c r="Y27" s="1237"/>
      <c r="Z27" s="1237"/>
      <c r="AA27" s="1237"/>
      <c r="AB27" s="1237"/>
      <c r="AC27" s="1237"/>
      <c r="AD27" s="1237"/>
      <c r="AE27" s="1237"/>
      <c r="AF27" s="1237"/>
      <c r="AG27" s="1237"/>
      <c r="AH27" s="1207"/>
    </row>
    <row r="28" spans="1:35" x14ac:dyDescent="0.2">
      <c r="A28" s="1236" t="s">
        <v>1</v>
      </c>
      <c r="B28" s="1249">
        <f>B29+B30+B31</f>
        <v>7316.4530000000004</v>
      </c>
      <c r="C28" s="1237"/>
      <c r="D28" s="1237"/>
      <c r="E28" s="1237"/>
      <c r="F28" s="1237"/>
      <c r="G28" s="1237"/>
      <c r="H28" s="1237"/>
      <c r="I28" s="1237"/>
      <c r="J28" s="1237"/>
      <c r="K28" s="1237"/>
      <c r="L28" s="1237"/>
      <c r="M28" s="1237"/>
      <c r="N28" s="1237"/>
      <c r="O28" s="1237"/>
      <c r="P28" s="1241"/>
      <c r="Q28" s="1237"/>
      <c r="R28" s="1237"/>
      <c r="S28" s="1237"/>
      <c r="T28" s="1237"/>
      <c r="U28" s="1237"/>
      <c r="V28" s="1237"/>
      <c r="W28" s="1237"/>
      <c r="X28" s="1237"/>
      <c r="Y28" s="1237"/>
      <c r="Z28" s="1237"/>
      <c r="AA28" s="1237"/>
      <c r="AB28" s="1237"/>
      <c r="AC28" s="1237"/>
      <c r="AD28" s="1237"/>
      <c r="AE28" s="1237"/>
      <c r="AF28" s="1237"/>
      <c r="AG28" s="1237"/>
      <c r="AH28" s="1207"/>
    </row>
    <row r="29" spans="1:35" x14ac:dyDescent="0.2">
      <c r="A29" s="1236" t="s">
        <v>38</v>
      </c>
      <c r="B29" s="1249">
        <f>C82</f>
        <v>7316.4530000000004</v>
      </c>
      <c r="C29" s="1237"/>
      <c r="D29" s="1237"/>
      <c r="E29" s="1237"/>
      <c r="F29" s="1237"/>
      <c r="G29" s="1237"/>
      <c r="H29" s="1237"/>
      <c r="I29" s="1237"/>
      <c r="J29" s="1237"/>
      <c r="K29" s="1237"/>
      <c r="L29" s="1237"/>
      <c r="M29" s="1237"/>
      <c r="N29" s="1237"/>
      <c r="O29" s="1237"/>
      <c r="P29" s="1241"/>
      <c r="Q29" s="1237"/>
      <c r="R29" s="1237"/>
      <c r="S29" s="1237"/>
      <c r="T29" s="1237"/>
      <c r="U29" s="1237"/>
      <c r="V29" s="1237"/>
      <c r="W29" s="1237"/>
      <c r="X29" s="1237"/>
      <c r="Y29" s="1237"/>
      <c r="Z29" s="1237"/>
      <c r="AA29" s="1237"/>
      <c r="AB29" s="1237"/>
      <c r="AC29" s="1237"/>
      <c r="AD29" s="1237"/>
      <c r="AE29" s="1237"/>
      <c r="AF29" s="1237"/>
      <c r="AG29" s="1237"/>
      <c r="AH29" s="1207"/>
    </row>
    <row r="30" spans="1:35" x14ac:dyDescent="0.2">
      <c r="A30" s="1236" t="s">
        <v>39</v>
      </c>
      <c r="B30" s="1249"/>
      <c r="C30" s="1237"/>
      <c r="D30" s="1237"/>
      <c r="E30" s="1237"/>
      <c r="F30" s="1237"/>
      <c r="G30" s="1237"/>
      <c r="H30" s="1237"/>
      <c r="I30" s="1237"/>
      <c r="J30" s="1237"/>
      <c r="K30" s="1237"/>
      <c r="L30" s="1237"/>
      <c r="M30" s="1237"/>
      <c r="N30" s="1237"/>
      <c r="O30" s="1237"/>
      <c r="P30" s="1241"/>
      <c r="Q30" s="1237"/>
      <c r="R30" s="1237"/>
      <c r="S30" s="1237"/>
      <c r="T30" s="1237"/>
      <c r="U30" s="1237"/>
      <c r="V30" s="1237"/>
      <c r="W30" s="1237"/>
      <c r="X30" s="1237"/>
      <c r="Y30" s="1237"/>
      <c r="Z30" s="1237"/>
      <c r="AA30" s="1237"/>
      <c r="AB30" s="1237"/>
      <c r="AC30" s="1237"/>
      <c r="AD30" s="1237"/>
      <c r="AE30" s="1237"/>
      <c r="AF30" s="1237"/>
      <c r="AG30" s="1237"/>
      <c r="AH30" s="1207"/>
    </row>
    <row r="31" spans="1:35" x14ac:dyDescent="0.2">
      <c r="A31" s="1236" t="s">
        <v>3</v>
      </c>
      <c r="B31" s="1249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41"/>
      <c r="Q31" s="1237"/>
      <c r="R31" s="1237"/>
      <c r="S31" s="1237"/>
      <c r="T31" s="1237"/>
      <c r="U31" s="1237"/>
      <c r="V31" s="1237"/>
      <c r="W31" s="1237"/>
      <c r="X31" s="1237"/>
      <c r="Y31" s="1237"/>
      <c r="Z31" s="1237"/>
      <c r="AA31" s="1237"/>
      <c r="AB31" s="1237"/>
      <c r="AC31" s="1237"/>
      <c r="AD31" s="1237"/>
      <c r="AE31" s="1237"/>
      <c r="AF31" s="1237"/>
      <c r="AG31" s="1237"/>
      <c r="AH31" s="1207"/>
    </row>
    <row r="32" spans="1:35" ht="13.5" thickBot="1" x14ac:dyDescent="0.25">
      <c r="A32" s="1250"/>
      <c r="B32" s="1251"/>
      <c r="C32" s="1237"/>
      <c r="D32" s="1237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41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37"/>
      <c r="AE32" s="1237"/>
      <c r="AF32" s="1237"/>
      <c r="AG32" s="1237"/>
      <c r="AH32" s="1207"/>
    </row>
    <row r="33" spans="1:40" ht="18" x14ac:dyDescent="0.25">
      <c r="A33" s="1233"/>
      <c r="B33" s="1253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  <c r="M33" s="1237"/>
      <c r="N33" s="1237"/>
      <c r="O33" s="1254"/>
      <c r="P33" s="1241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37"/>
      <c r="AE33" s="1237"/>
      <c r="AF33" s="1237"/>
      <c r="AG33" s="1237"/>
      <c r="AH33" s="1207"/>
    </row>
    <row r="34" spans="1:40" ht="18" x14ac:dyDescent="0.25">
      <c r="A34" s="1236" t="s">
        <v>4</v>
      </c>
      <c r="B34" s="1249">
        <f>B25+B28</f>
        <v>-601472.60800000001</v>
      </c>
      <c r="C34" s="1237"/>
      <c r="D34" s="1237"/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54"/>
      <c r="P34" s="1241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37"/>
      <c r="AE34" s="1237"/>
      <c r="AF34" s="1237"/>
      <c r="AG34" s="1237"/>
      <c r="AH34" s="1207"/>
    </row>
    <row r="35" spans="1:40" ht="18.75" thickBot="1" x14ac:dyDescent="0.3">
      <c r="A35" s="1250"/>
      <c r="B35" s="1251"/>
      <c r="C35" s="1237"/>
      <c r="D35" s="1237"/>
      <c r="E35" s="1237"/>
      <c r="F35" s="1237"/>
      <c r="G35" s="1237"/>
      <c r="H35" s="1237"/>
      <c r="I35" s="1237"/>
      <c r="K35" s="1237"/>
      <c r="L35" s="1237"/>
      <c r="M35" s="1237"/>
      <c r="N35" s="1237"/>
      <c r="O35" s="1254"/>
      <c r="P35" s="1241"/>
      <c r="Q35" s="1237"/>
      <c r="R35" s="1237"/>
      <c r="S35" s="1237"/>
      <c r="T35" s="1237"/>
      <c r="U35" s="1237"/>
      <c r="V35" s="1237"/>
      <c r="W35" s="1237"/>
      <c r="X35" s="1237"/>
      <c r="Y35" s="1237"/>
      <c r="Z35" s="1237"/>
      <c r="AA35" s="1237"/>
      <c r="AB35" s="1237"/>
      <c r="AC35" s="1237"/>
      <c r="AD35" s="1237"/>
      <c r="AE35" s="1237"/>
      <c r="AF35" s="1237"/>
      <c r="AG35" s="1237"/>
      <c r="AH35" s="1207"/>
    </row>
    <row r="36" spans="1:40" x14ac:dyDescent="0.2">
      <c r="A36" s="1233"/>
      <c r="B36" s="1253"/>
      <c r="C36" s="1237"/>
      <c r="D36" s="1237"/>
      <c r="E36" s="1237"/>
      <c r="F36" s="1237"/>
      <c r="G36" s="1237"/>
      <c r="H36" s="1237"/>
      <c r="I36" s="1237"/>
      <c r="J36" s="1237"/>
      <c r="K36" s="1237"/>
      <c r="L36" s="1237"/>
      <c r="M36" s="1237"/>
      <c r="N36" s="1237"/>
      <c r="O36" s="1237"/>
      <c r="P36" s="1241"/>
      <c r="Q36" s="1237"/>
      <c r="R36" s="1237"/>
      <c r="S36" s="1237"/>
      <c r="T36" s="1237"/>
      <c r="U36" s="1237"/>
      <c r="V36" s="1237"/>
      <c r="W36" s="1237"/>
      <c r="X36" s="1237"/>
      <c r="Y36" s="1237"/>
      <c r="Z36" s="1237"/>
      <c r="AA36" s="1237"/>
      <c r="AB36" s="1237"/>
      <c r="AC36" s="1237"/>
      <c r="AD36" s="1237"/>
      <c r="AE36" s="1237"/>
      <c r="AF36" s="1237"/>
      <c r="AG36" s="1237"/>
      <c r="AH36" s="1207"/>
    </row>
    <row r="37" spans="1:40" ht="18" x14ac:dyDescent="0.25">
      <c r="A37" s="1236" t="s">
        <v>913</v>
      </c>
      <c r="B37" s="1249"/>
      <c r="C37" s="1237"/>
      <c r="D37" s="1237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12"/>
      <c r="Q37" s="1471"/>
      <c r="R37" s="1237"/>
      <c r="S37" s="1255"/>
      <c r="T37" s="1237"/>
      <c r="U37" s="1237"/>
      <c r="V37" s="1237"/>
      <c r="W37" s="1237"/>
      <c r="X37" s="1237"/>
      <c r="Y37" s="1237"/>
      <c r="Z37" s="1237"/>
      <c r="AA37" s="1237"/>
      <c r="AB37" s="1237"/>
      <c r="AC37" s="1748"/>
      <c r="AD37" s="1748"/>
      <c r="AE37" s="1237"/>
      <c r="AF37" s="1237"/>
      <c r="AG37" s="1237"/>
      <c r="AH37" s="1207"/>
    </row>
    <row r="38" spans="1:40" ht="13.5" thickBot="1" x14ac:dyDescent="0.25">
      <c r="A38" s="1250"/>
      <c r="B38" s="1251"/>
      <c r="C38" s="1237"/>
      <c r="D38" s="1237"/>
      <c r="E38" s="1471"/>
      <c r="F38" s="1237"/>
      <c r="G38" s="1237"/>
      <c r="H38" s="1471"/>
      <c r="I38" s="1237"/>
      <c r="J38" s="1237"/>
      <c r="K38" s="1241"/>
      <c r="L38" s="1237"/>
      <c r="M38" s="1237"/>
      <c r="N38" s="1237"/>
      <c r="O38" s="1237"/>
      <c r="P38" s="1241"/>
      <c r="Q38" s="1237"/>
      <c r="R38" s="1237"/>
      <c r="S38" s="1237"/>
      <c r="T38" s="1237"/>
      <c r="U38" s="1237"/>
      <c r="V38" s="1237"/>
      <c r="W38" s="1237"/>
      <c r="X38" s="1237"/>
      <c r="Y38" s="1237"/>
      <c r="Z38" s="1237"/>
      <c r="AA38" s="1237"/>
      <c r="AB38" s="1237"/>
      <c r="AC38" s="1237"/>
      <c r="AD38" s="1237"/>
      <c r="AE38" s="1237"/>
      <c r="AF38" s="1237"/>
      <c r="AG38" s="1237"/>
      <c r="AH38" s="1207"/>
    </row>
    <row r="39" spans="1:40" x14ac:dyDescent="0.2">
      <c r="A39" s="1233"/>
      <c r="B39" s="1253"/>
      <c r="C39" s="1256"/>
      <c r="D39" s="1470"/>
      <c r="E39" s="1470"/>
      <c r="F39" s="1237"/>
      <c r="G39" s="1237"/>
      <c r="H39" s="1470"/>
      <c r="I39" s="1237"/>
      <c r="J39" s="1237"/>
      <c r="K39" s="1237"/>
      <c r="L39" s="1237"/>
      <c r="M39" s="1237"/>
      <c r="N39" s="1237"/>
      <c r="O39" s="1258"/>
      <c r="P39" s="1212"/>
      <c r="Q39" s="1212"/>
      <c r="R39" s="1237"/>
      <c r="S39" s="1471"/>
      <c r="T39" s="1237"/>
      <c r="U39" s="1259"/>
      <c r="V39" s="1259"/>
      <c r="W39" s="1259"/>
      <c r="X39" s="1259"/>
      <c r="Y39" s="1260"/>
      <c r="Z39" s="1259"/>
      <c r="AA39" s="1261"/>
      <c r="AB39" s="1259"/>
      <c r="AC39" s="1260"/>
      <c r="AD39" s="1259"/>
      <c r="AE39" s="1259"/>
      <c r="AF39" s="1259"/>
      <c r="AG39" s="1259"/>
      <c r="AH39" s="1207"/>
    </row>
    <row r="40" spans="1:40" x14ac:dyDescent="0.2">
      <c r="A40" s="1236" t="s">
        <v>5</v>
      </c>
      <c r="B40" s="1249">
        <f>B34-B37</f>
        <v>-601472.60800000001</v>
      </c>
      <c r="C40" s="1256" t="s">
        <v>206</v>
      </c>
      <c r="D40" s="1471"/>
      <c r="E40" s="1256"/>
      <c r="F40" s="1471"/>
      <c r="G40" s="1471"/>
      <c r="H40" s="1471"/>
      <c r="I40" s="1471"/>
      <c r="J40" s="1471"/>
      <c r="K40" s="1471"/>
      <c r="L40" s="1262"/>
      <c r="M40" s="1212" t="s">
        <v>166</v>
      </c>
      <c r="N40" s="1212"/>
      <c r="O40" s="1471"/>
      <c r="P40" s="1212"/>
      <c r="Q40" s="1212"/>
      <c r="R40" s="1471"/>
      <c r="S40" s="1212"/>
      <c r="T40" s="1212"/>
      <c r="U40" s="1212"/>
      <c r="V40" s="1263"/>
      <c r="W40" s="1212"/>
      <c r="X40" s="1471"/>
      <c r="Y40" s="1212"/>
      <c r="Z40" s="1212" t="s">
        <v>1325</v>
      </c>
      <c r="AA40" s="1264"/>
      <c r="AB40" s="1212"/>
      <c r="AC40" s="1265"/>
      <c r="AD40" s="1266"/>
      <c r="AE40" s="1267"/>
      <c r="AF40" s="1268"/>
      <c r="AG40" s="1267"/>
      <c r="AH40" s="1207"/>
    </row>
    <row r="41" spans="1:40" ht="13.5" thickBot="1" x14ac:dyDescent="0.25">
      <c r="A41" s="1250"/>
      <c r="B41" s="1251"/>
      <c r="C41" s="1237"/>
      <c r="D41" s="1237"/>
      <c r="E41" s="1237"/>
      <c r="F41" s="1237"/>
      <c r="G41" s="1237"/>
      <c r="H41" s="1237"/>
      <c r="I41" s="1237"/>
      <c r="J41" s="1237"/>
      <c r="K41" s="1237"/>
      <c r="L41" s="1471"/>
      <c r="M41" s="1237"/>
      <c r="N41" s="1237"/>
      <c r="O41" s="1237"/>
      <c r="P41" s="1241"/>
      <c r="Q41" s="1237"/>
      <c r="R41" s="1237"/>
      <c r="S41" s="1237"/>
      <c r="T41" s="1237"/>
      <c r="U41" s="1237"/>
      <c r="V41" s="1237"/>
      <c r="W41" s="1237"/>
      <c r="X41" s="1237"/>
      <c r="Y41" s="1237"/>
      <c r="Z41" s="1237"/>
      <c r="AA41" s="1237"/>
      <c r="AB41" s="1237"/>
      <c r="AC41" s="1237"/>
      <c r="AD41" s="1237"/>
      <c r="AE41" s="1237"/>
      <c r="AF41" s="1237"/>
      <c r="AG41" s="1237"/>
      <c r="AH41" s="1207"/>
    </row>
    <row r="42" spans="1:40" x14ac:dyDescent="0.2">
      <c r="A42" s="1269"/>
      <c r="B42" s="1237"/>
      <c r="C42" s="1270"/>
      <c r="D42" s="1271"/>
      <c r="E42" s="1272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3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  <c r="AB42" s="1271"/>
      <c r="AC42" s="1271"/>
      <c r="AD42" s="1271"/>
      <c r="AE42" s="1271"/>
      <c r="AF42" s="1271"/>
      <c r="AG42" s="1271"/>
      <c r="AH42" s="1227">
        <f t="shared" ref="AH42:AH58" si="9">SUM(C42:AG42)</f>
        <v>0</v>
      </c>
    </row>
    <row r="43" spans="1:40" ht="13.5" thickBot="1" x14ac:dyDescent="0.25">
      <c r="A43" s="1274" t="s">
        <v>914</v>
      </c>
      <c r="B43" s="1237"/>
      <c r="C43" s="1275">
        <f t="shared" ref="C43:AG43" si="10">C44+C45+C48+C52+C51+C49+C50+C46+C47</f>
        <v>581.50500000000079</v>
      </c>
      <c r="D43" s="1275">
        <f t="shared" si="10"/>
        <v>0</v>
      </c>
      <c r="E43" s="1275">
        <f t="shared" si="10"/>
        <v>0</v>
      </c>
      <c r="F43" s="1275">
        <f t="shared" si="10"/>
        <v>0</v>
      </c>
      <c r="G43" s="1275">
        <f t="shared" si="10"/>
        <v>0</v>
      </c>
      <c r="H43" s="1275">
        <f t="shared" si="10"/>
        <v>0</v>
      </c>
      <c r="I43" s="1275">
        <f t="shared" si="10"/>
        <v>0</v>
      </c>
      <c r="J43" s="1275">
        <f t="shared" si="10"/>
        <v>0</v>
      </c>
      <c r="K43" s="1275">
        <f t="shared" si="10"/>
        <v>0</v>
      </c>
      <c r="L43" s="1275">
        <f t="shared" si="10"/>
        <v>0</v>
      </c>
      <c r="M43" s="1275">
        <f t="shared" si="10"/>
        <v>0.35799999999289867</v>
      </c>
      <c r="N43" s="1275">
        <f t="shared" si="10"/>
        <v>0</v>
      </c>
      <c r="O43" s="1275">
        <f t="shared" si="10"/>
        <v>0</v>
      </c>
      <c r="P43" s="1276">
        <f t="shared" si="10"/>
        <v>0</v>
      </c>
      <c r="Q43" s="1275">
        <f t="shared" si="10"/>
        <v>0</v>
      </c>
      <c r="R43" s="1275">
        <f t="shared" si="10"/>
        <v>0</v>
      </c>
      <c r="S43" s="1275">
        <f t="shared" si="10"/>
        <v>0</v>
      </c>
      <c r="T43" s="1275">
        <f t="shared" si="10"/>
        <v>0</v>
      </c>
      <c r="U43" s="1275">
        <f t="shared" si="10"/>
        <v>0</v>
      </c>
      <c r="V43" s="1275">
        <f t="shared" si="10"/>
        <v>0</v>
      </c>
      <c r="W43" s="1275">
        <f t="shared" si="10"/>
        <v>0</v>
      </c>
      <c r="X43" s="1275">
        <f t="shared" si="10"/>
        <v>0</v>
      </c>
      <c r="Y43" s="1275">
        <f t="shared" si="10"/>
        <v>0</v>
      </c>
      <c r="Z43" s="1275">
        <f t="shared" si="10"/>
        <v>2.1032064978498966E-12</v>
      </c>
      <c r="AA43" s="1275">
        <f t="shared" si="10"/>
        <v>0</v>
      </c>
      <c r="AB43" s="1275">
        <f t="shared" si="10"/>
        <v>0</v>
      </c>
      <c r="AC43" s="1275">
        <f t="shared" si="10"/>
        <v>0</v>
      </c>
      <c r="AD43" s="1275">
        <f t="shared" si="10"/>
        <v>0</v>
      </c>
      <c r="AE43" s="1275">
        <f t="shared" si="10"/>
        <v>0</v>
      </c>
      <c r="AF43" s="1275">
        <f t="shared" si="10"/>
        <v>-1.3642420526593924E-11</v>
      </c>
      <c r="AG43" s="1275">
        <f t="shared" si="10"/>
        <v>0</v>
      </c>
      <c r="AH43" s="1227">
        <f t="shared" si="9"/>
        <v>581.86299999998209</v>
      </c>
    </row>
    <row r="44" spans="1:40" x14ac:dyDescent="0.2">
      <c r="A44" s="1274" t="s">
        <v>8</v>
      </c>
      <c r="B44" s="1237"/>
      <c r="C44" s="1282">
        <f>6042+3546-2660.43-885.5-5012.097-448.557</f>
        <v>581.41599999999994</v>
      </c>
      <c r="D44" s="1282"/>
      <c r="E44" s="1282"/>
      <c r="F44" s="1282"/>
      <c r="G44" s="1282">
        <f>10838.482-6150-4688.482</f>
        <v>0</v>
      </c>
      <c r="H44" s="1282"/>
      <c r="I44" s="1282">
        <f>1672-1672</f>
        <v>0</v>
      </c>
      <c r="J44" s="1282"/>
      <c r="K44" s="1282">
        <f>22000-22000</f>
        <v>0</v>
      </c>
      <c r="L44" s="1282">
        <f>6000-6000</f>
        <v>0</v>
      </c>
      <c r="M44" s="1282"/>
      <c r="N44" s="1282"/>
      <c r="O44" s="1282"/>
      <c r="P44" s="1282"/>
      <c r="Q44" s="1282">
        <f>41810-5500-8200-21960-6150</f>
        <v>0</v>
      </c>
      <c r="R44" s="1282">
        <f>738.462-738.462</f>
        <v>0</v>
      </c>
      <c r="S44" s="1282">
        <f>7980.081-2920.081-5060</f>
        <v>0</v>
      </c>
      <c r="T44" s="1282">
        <f>26953.866-5053.866-21900</f>
        <v>0</v>
      </c>
      <c r="U44" s="1282"/>
      <c r="V44" s="1282">
        <f>32683.76-445.737-7869.411-5268.612-9500-9600</f>
        <v>0</v>
      </c>
      <c r="W44" s="1282">
        <f>22963.632-983.632-21980</f>
        <v>0</v>
      </c>
      <c r="X44" s="1282"/>
      <c r="Y44" s="1282">
        <f>2532.479-2532.479</f>
        <v>0</v>
      </c>
      <c r="Z44" s="1282">
        <f>27600-5800-21800</f>
        <v>0</v>
      </c>
      <c r="AA44" s="1282">
        <f>9530-9530</f>
        <v>0</v>
      </c>
      <c r="AB44" s="1282">
        <f>5810.41-5810.41</f>
        <v>0</v>
      </c>
      <c r="AC44" s="1282">
        <f>21850-21850</f>
        <v>0</v>
      </c>
      <c r="AD44" s="1282">
        <f>15941.707-6241.707-9700</f>
        <v>0</v>
      </c>
      <c r="AE44" s="1282"/>
      <c r="AF44" s="1282">
        <f>110050.883-2655.57-7766.779-35000-5756.687-3744.98-6000-9521.055-22171.586-6112.765-9520-1801.461</f>
        <v>0</v>
      </c>
      <c r="AG44" s="1282"/>
      <c r="AH44" s="1455">
        <f t="shared" si="9"/>
        <v>581.41599999999994</v>
      </c>
      <c r="AN44" s="1280">
        <v>9918.1650000000009</v>
      </c>
    </row>
    <row r="45" spans="1:40" x14ac:dyDescent="0.2">
      <c r="A45" s="1274" t="s">
        <v>703</v>
      </c>
      <c r="B45" s="1237"/>
      <c r="C45" s="1282"/>
      <c r="D45" s="1282"/>
      <c r="E45" s="1282"/>
      <c r="F45" s="1282">
        <f>23450-23450</f>
        <v>0</v>
      </c>
      <c r="G45" s="1282"/>
      <c r="H45" s="1282">
        <f>314.86-314.86</f>
        <v>0</v>
      </c>
      <c r="I45" s="1282">
        <f>16111.726-5000-5300-5811.726</f>
        <v>0</v>
      </c>
      <c r="J45" s="1282">
        <f>24006.505-367.952-23300-338.553</f>
        <v>0</v>
      </c>
      <c r="K45" s="1282"/>
      <c r="L45" s="1282">
        <f>13518.16-1444.757-4473.403-7600</f>
        <v>0</v>
      </c>
      <c r="M45" s="1282">
        <f>2318.533-446.446-1872.087</f>
        <v>0</v>
      </c>
      <c r="N45" s="1282">
        <f>23350-23350</f>
        <v>0</v>
      </c>
      <c r="O45" s="1282">
        <f>3254.94-3254.94</f>
        <v>0</v>
      </c>
      <c r="P45" s="1282"/>
      <c r="Q45" s="1282">
        <f>3420.631-3420.631</f>
        <v>0</v>
      </c>
      <c r="R45" s="1282">
        <f>28632.03-5432.057-23199.973</f>
        <v>0</v>
      </c>
      <c r="S45" s="1282">
        <f>7910.365-785.502-788.876-2792.409-3543.578</f>
        <v>0</v>
      </c>
      <c r="T45" s="1282">
        <f>24800-24800</f>
        <v>0</v>
      </c>
      <c r="U45" s="1282">
        <f>990.916-990.916</f>
        <v>0</v>
      </c>
      <c r="V45" s="1282">
        <f>55619.777-578.7-1175.818-2250.713-5376.572-6500-7087.974-7800-24850</f>
        <v>0</v>
      </c>
      <c r="W45" s="1282">
        <f>1955.862-255.881-1699.981</f>
        <v>0</v>
      </c>
      <c r="X45" s="1282">
        <f>11525.492-1181.039-1804.009-3740.444-4800</f>
        <v>0</v>
      </c>
      <c r="Y45" s="1282">
        <f>8895.178-1719.542-1906.88-5268.756</f>
        <v>0</v>
      </c>
      <c r="Z45" s="1282">
        <f>45588.474-1000.726-2394.043-4702.534-5000-6800-24700-525.154-466.017</f>
        <v>2.1032064978498966E-12</v>
      </c>
      <c r="AA45" s="1282">
        <f>42494.903-1218.661-2105.157-2649.732-3071.953-4881.404-7850-11828.745-7500-1389.251</f>
        <v>0</v>
      </c>
      <c r="AB45" s="1282">
        <f>28949.652-2197.88-5110.483-6050-7091.289-8500</f>
        <v>0</v>
      </c>
      <c r="AC45" s="1282">
        <f>32557.593-425.3-2064.804-2152.377-3486.04-3656.137-6524.281-6874.233-7374.421</f>
        <v>0</v>
      </c>
      <c r="AD45" s="1282">
        <f>32511.255-233.902-1409.415-6117.938-24750</f>
        <v>0</v>
      </c>
      <c r="AE45" s="1282">
        <f>19456.831-1139.294-4045.91-6588.717-7682.91</f>
        <v>0</v>
      </c>
      <c r="AF45" s="1282">
        <f>116675.174+5120.228-435.984-1066.883-2954.634-3023.875-3418.903-4351.205-4823.694-6291.08-7350-7844.452-7907.822-8468.855-10000-24610-5000-5120.228-6126.768-7822.669-343.203-1707.316-3127.831</f>
        <v>-1.3642420526593924E-11</v>
      </c>
      <c r="AG45" s="1282"/>
      <c r="AH45" s="1455">
        <f t="shared" si="9"/>
        <v>-1.1539214028744027E-11</v>
      </c>
      <c r="AI45" s="1283">
        <f>+AH45+AH44</f>
        <v>581.41599999998834</v>
      </c>
      <c r="AJ45" s="1283"/>
      <c r="AN45" s="1280">
        <v>788.89499999999998</v>
      </c>
    </row>
    <row r="46" spans="1:40" x14ac:dyDescent="0.2">
      <c r="A46" s="1274" t="s">
        <v>704</v>
      </c>
      <c r="B46" s="1237"/>
      <c r="C46" s="1282">
        <f>4464.729-976.579-3488.15</f>
        <v>0</v>
      </c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  <c r="O46" s="1282"/>
      <c r="P46" s="1282"/>
      <c r="Q46" s="1282"/>
      <c r="R46" s="1282"/>
      <c r="S46" s="1282"/>
      <c r="T46" s="1282"/>
      <c r="U46" s="1282"/>
      <c r="V46" s="1282"/>
      <c r="W46" s="1282"/>
      <c r="X46" s="1282"/>
      <c r="Y46" s="1282"/>
      <c r="Z46" s="1282"/>
      <c r="AA46" s="1282"/>
      <c r="AB46" s="1282"/>
      <c r="AC46" s="1282"/>
      <c r="AD46" s="1282"/>
      <c r="AE46" s="1282"/>
      <c r="AF46" s="1282"/>
      <c r="AG46" s="1282"/>
      <c r="AH46" s="1455">
        <f t="shared" si="9"/>
        <v>0</v>
      </c>
      <c r="AN46" s="1280"/>
    </row>
    <row r="47" spans="1:40" x14ac:dyDescent="0.2">
      <c r="A47" s="1274" t="s">
        <v>705</v>
      </c>
      <c r="B47" s="1237"/>
      <c r="C47" s="1284"/>
      <c r="D47" s="1284"/>
      <c r="E47" s="1284"/>
      <c r="F47" s="1284"/>
      <c r="G47" s="1284"/>
      <c r="H47" s="1284"/>
      <c r="I47" s="1284"/>
      <c r="J47" s="1284"/>
      <c r="K47" s="1284"/>
      <c r="L47" s="1284"/>
      <c r="M47" s="1284"/>
      <c r="N47" s="1284"/>
      <c r="O47" s="1284"/>
      <c r="P47" s="1284"/>
      <c r="Q47" s="1284"/>
      <c r="R47" s="1284"/>
      <c r="S47" s="1284"/>
      <c r="T47" s="1284"/>
      <c r="U47" s="1284"/>
      <c r="V47" s="1282"/>
      <c r="W47" s="1284"/>
      <c r="X47" s="1284"/>
      <c r="Y47" s="1284"/>
      <c r="Z47" s="1284"/>
      <c r="AA47" s="1284"/>
      <c r="AB47" s="1284"/>
      <c r="AC47" s="1284"/>
      <c r="AD47" s="1284"/>
      <c r="AE47" s="1284"/>
      <c r="AF47" s="1284"/>
      <c r="AG47" s="1284"/>
      <c r="AH47" s="1455">
        <f t="shared" si="9"/>
        <v>0</v>
      </c>
      <c r="AI47" s="1283"/>
      <c r="AJ47" s="1283"/>
      <c r="AN47" s="1280"/>
    </row>
    <row r="48" spans="1:40" s="1289" customFormat="1" x14ac:dyDescent="0.2">
      <c r="A48" s="1285" t="s">
        <v>10</v>
      </c>
      <c r="B48" s="1286"/>
      <c r="C48" s="1287"/>
      <c r="D48" s="1287"/>
      <c r="E48" s="1287"/>
      <c r="F48" s="1287"/>
      <c r="G48" s="1287"/>
      <c r="H48" s="1287"/>
      <c r="I48" s="1287"/>
      <c r="J48" s="1287"/>
      <c r="K48" s="1287"/>
      <c r="L48" s="1287"/>
      <c r="M48" s="1287">
        <v>-84385</v>
      </c>
      <c r="N48" s="1287"/>
      <c r="O48" s="1287"/>
      <c r="P48" s="1287"/>
      <c r="Q48" s="1287"/>
      <c r="R48" s="1287"/>
      <c r="S48" s="1287"/>
      <c r="T48" s="1287"/>
      <c r="U48" s="1287"/>
      <c r="V48" s="1287"/>
      <c r="W48" s="1287"/>
      <c r="X48" s="1287"/>
      <c r="Y48" s="1287"/>
      <c r="Z48" s="1287"/>
      <c r="AA48" s="1287"/>
      <c r="AB48" s="1287"/>
      <c r="AC48" s="1287"/>
      <c r="AD48" s="1287"/>
      <c r="AE48" s="1287"/>
      <c r="AF48" s="1287"/>
      <c r="AG48" s="1287"/>
      <c r="AH48" s="1456">
        <f t="shared" si="9"/>
        <v>-84385</v>
      </c>
      <c r="AI48" s="1288"/>
      <c r="AN48" s="1290">
        <v>6347.85</v>
      </c>
    </row>
    <row r="49" spans="1:40" s="1289" customFormat="1" x14ac:dyDescent="0.2">
      <c r="A49" s="1285" t="s">
        <v>356</v>
      </c>
      <c r="B49" s="1291"/>
      <c r="C49" s="1292"/>
      <c r="D49" s="1292"/>
      <c r="E49" s="1292"/>
      <c r="F49" s="1292"/>
      <c r="G49" s="1292"/>
      <c r="H49" s="1292"/>
      <c r="I49" s="1292"/>
      <c r="J49" s="1292"/>
      <c r="K49" s="1292"/>
      <c r="L49" s="1292"/>
      <c r="M49" s="1292">
        <v>84385.357999999993</v>
      </c>
      <c r="N49" s="1292"/>
      <c r="O49" s="1292"/>
      <c r="P49" s="1292"/>
      <c r="Q49" s="1292"/>
      <c r="R49" s="1292"/>
      <c r="S49" s="1292"/>
      <c r="T49" s="1292"/>
      <c r="U49" s="1292"/>
      <c r="V49" s="1292"/>
      <c r="W49" s="1292"/>
      <c r="X49" s="1292"/>
      <c r="Y49" s="1292"/>
      <c r="Z49" s="1292"/>
      <c r="AA49" s="1292"/>
      <c r="AB49" s="1292"/>
      <c r="AC49" s="1292"/>
      <c r="AD49" s="1292"/>
      <c r="AE49" s="1292"/>
      <c r="AF49" s="1292"/>
      <c r="AG49" s="1292"/>
      <c r="AH49" s="1456">
        <f t="shared" si="9"/>
        <v>84385.357999999993</v>
      </c>
      <c r="AN49" s="1290">
        <v>6249.5020000000004</v>
      </c>
    </row>
    <row r="50" spans="1:40" x14ac:dyDescent="0.2">
      <c r="A50" s="1274" t="s">
        <v>357</v>
      </c>
      <c r="B50" s="1237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  <c r="O50" s="1282"/>
      <c r="P50" s="1282"/>
      <c r="Q50" s="1282"/>
      <c r="R50" s="1282"/>
      <c r="S50" s="1282"/>
      <c r="T50" s="1282"/>
      <c r="U50" s="1282"/>
      <c r="V50" s="1282"/>
      <c r="W50" s="1282"/>
      <c r="X50" s="1282"/>
      <c r="Y50" s="1282"/>
      <c r="Z50" s="1282"/>
      <c r="AA50" s="1282"/>
      <c r="AB50" s="1282"/>
      <c r="AC50" s="1282"/>
      <c r="AD50" s="1282"/>
      <c r="AE50" s="1282"/>
      <c r="AF50" s="1282"/>
      <c r="AG50" s="1282"/>
      <c r="AH50" s="1455">
        <f t="shared" si="9"/>
        <v>0</v>
      </c>
      <c r="AN50" s="1280">
        <v>2246.556</v>
      </c>
    </row>
    <row r="51" spans="1:40" x14ac:dyDescent="0.2">
      <c r="A51" s="1274" t="s">
        <v>41</v>
      </c>
      <c r="B51" s="1237"/>
      <c r="C51" s="1282"/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  <c r="O51" s="1282"/>
      <c r="P51" s="1282"/>
      <c r="Q51" s="1282"/>
      <c r="R51" s="1282"/>
      <c r="S51" s="1282"/>
      <c r="T51" s="1282"/>
      <c r="U51" s="1282"/>
      <c r="V51" s="1282"/>
      <c r="W51" s="1282"/>
      <c r="X51" s="1282"/>
      <c r="Y51" s="1282"/>
      <c r="Z51" s="1282"/>
      <c r="AA51" s="1282"/>
      <c r="AB51" s="1282"/>
      <c r="AC51" s="1282"/>
      <c r="AD51" s="1282"/>
      <c r="AE51" s="1282"/>
      <c r="AF51" s="1282"/>
      <c r="AG51" s="1282"/>
      <c r="AH51" s="1455">
        <f t="shared" si="9"/>
        <v>0</v>
      </c>
      <c r="AN51" s="1280"/>
    </row>
    <row r="52" spans="1:40" x14ac:dyDescent="0.2">
      <c r="A52" s="1274" t="s">
        <v>11</v>
      </c>
      <c r="B52" s="1237"/>
      <c r="C52" s="1282">
        <f>6049.733+14542.684-2339.771-3708.962-4573.171-4573.083-5397.341</f>
        <v>8.9000000000851287E-2</v>
      </c>
      <c r="D52" s="1293"/>
      <c r="E52" s="1293"/>
      <c r="F52" s="1293"/>
      <c r="G52" s="1293"/>
      <c r="H52" s="1293"/>
      <c r="I52" s="1293"/>
      <c r="J52" s="1293"/>
      <c r="K52" s="1293"/>
      <c r="L52" s="1293"/>
      <c r="M52" s="1293"/>
      <c r="N52" s="1293"/>
      <c r="O52" s="1293"/>
      <c r="P52" s="1293"/>
      <c r="Q52" s="1293"/>
      <c r="R52" s="1293"/>
      <c r="S52" s="1293"/>
      <c r="T52" s="1293"/>
      <c r="U52" s="1293"/>
      <c r="V52" s="1293"/>
      <c r="W52" s="1293"/>
      <c r="X52" s="1293"/>
      <c r="Y52" s="1293"/>
      <c r="Z52" s="1293"/>
      <c r="AA52" s="1293"/>
      <c r="AB52" s="1293"/>
      <c r="AC52" s="1293"/>
      <c r="AD52" s="1293"/>
      <c r="AE52" s="1293"/>
      <c r="AF52" s="1293"/>
      <c r="AG52" s="1293"/>
      <c r="AH52" s="1455">
        <f t="shared" si="9"/>
        <v>8.9000000000851287E-2</v>
      </c>
      <c r="AN52" s="1280">
        <v>4028.1610000000001</v>
      </c>
    </row>
    <row r="53" spans="1:40" ht="13.5" thickBot="1" x14ac:dyDescent="0.25">
      <c r="A53" s="1294"/>
      <c r="B53" s="1237"/>
      <c r="C53" s="1295"/>
      <c r="D53" s="1295"/>
      <c r="E53" s="1295"/>
      <c r="F53" s="1295"/>
      <c r="G53" s="1295"/>
      <c r="H53" s="1295"/>
      <c r="I53" s="1295"/>
      <c r="J53" s="1295"/>
      <c r="K53" s="1295"/>
      <c r="L53" s="1295"/>
      <c r="M53" s="1295"/>
      <c r="N53" s="1295"/>
      <c r="O53" s="1295"/>
      <c r="P53" s="1295"/>
      <c r="Q53" s="1295"/>
      <c r="R53" s="1295"/>
      <c r="S53" s="1295"/>
      <c r="T53" s="1295"/>
      <c r="U53" s="1295"/>
      <c r="V53" s="1295"/>
      <c r="W53" s="1295"/>
      <c r="X53" s="1295"/>
      <c r="Y53" s="1295"/>
      <c r="Z53" s="1295"/>
      <c r="AA53" s="1295"/>
      <c r="AB53" s="1295"/>
      <c r="AC53" s="1295"/>
      <c r="AD53" s="1295"/>
      <c r="AE53" s="1295"/>
      <c r="AF53" s="1295"/>
      <c r="AG53" s="1295"/>
      <c r="AH53" s="1227">
        <f t="shared" si="9"/>
        <v>0</v>
      </c>
      <c r="AI53" s="1283"/>
      <c r="AJ53" s="1289"/>
      <c r="AN53" s="1280">
        <v>5501.3969999999999</v>
      </c>
    </row>
    <row r="54" spans="1:40" x14ac:dyDescent="0.2">
      <c r="A54" s="1269"/>
      <c r="B54" s="1237"/>
      <c r="C54" s="1296"/>
      <c r="D54" s="1297"/>
      <c r="E54" s="1297"/>
      <c r="F54" s="1298"/>
      <c r="G54" s="1298"/>
      <c r="H54" s="1298"/>
      <c r="I54" s="1298"/>
      <c r="J54" s="1298"/>
      <c r="K54" s="1298"/>
      <c r="L54" s="1298"/>
      <c r="M54" s="1298"/>
      <c r="N54" s="1298"/>
      <c r="O54" s="1298"/>
      <c r="P54" s="1299"/>
      <c r="Q54" s="1298"/>
      <c r="R54" s="1298"/>
      <c r="S54" s="1298"/>
      <c r="T54" s="1298"/>
      <c r="U54" s="1298"/>
      <c r="V54" s="1298"/>
      <c r="W54" s="1298"/>
      <c r="X54" s="1298"/>
      <c r="Y54" s="1298"/>
      <c r="Z54" s="1298"/>
      <c r="AA54" s="1298"/>
      <c r="AB54" s="1298"/>
      <c r="AC54" s="1298"/>
      <c r="AD54" s="1298"/>
      <c r="AE54" s="1298"/>
      <c r="AF54" s="1298"/>
      <c r="AG54" s="1298"/>
      <c r="AH54" s="1227">
        <f t="shared" si="9"/>
        <v>0</v>
      </c>
      <c r="AJ54" s="1289"/>
      <c r="AN54" s="1280">
        <v>3325.74</v>
      </c>
    </row>
    <row r="55" spans="1:40" ht="13.5" thickBot="1" x14ac:dyDescent="0.25">
      <c r="A55" s="1274" t="s">
        <v>12</v>
      </c>
      <c r="B55" s="1237"/>
      <c r="C55" s="1275">
        <f t="shared" ref="C55:AG55" si="11">C56</f>
        <v>0</v>
      </c>
      <c r="D55" s="1275">
        <f t="shared" si="11"/>
        <v>0</v>
      </c>
      <c r="E55" s="1275">
        <f t="shared" si="11"/>
        <v>0</v>
      </c>
      <c r="F55" s="1275">
        <f t="shared" si="11"/>
        <v>0</v>
      </c>
      <c r="G55" s="1275">
        <f t="shared" si="11"/>
        <v>0</v>
      </c>
      <c r="H55" s="1275">
        <f t="shared" si="11"/>
        <v>0</v>
      </c>
      <c r="I55" s="1275">
        <f t="shared" si="11"/>
        <v>0</v>
      </c>
      <c r="J55" s="1275">
        <f t="shared" si="11"/>
        <v>0</v>
      </c>
      <c r="K55" s="1275">
        <f t="shared" si="11"/>
        <v>0</v>
      </c>
      <c r="L55" s="1275">
        <f t="shared" si="11"/>
        <v>0</v>
      </c>
      <c r="M55" s="1276">
        <f t="shared" si="11"/>
        <v>0</v>
      </c>
      <c r="N55" s="1276">
        <f t="shared" si="11"/>
        <v>0</v>
      </c>
      <c r="O55" s="1276">
        <f t="shared" si="11"/>
        <v>0</v>
      </c>
      <c r="P55" s="1276">
        <f t="shared" si="11"/>
        <v>0</v>
      </c>
      <c r="Q55" s="1275">
        <f t="shared" si="11"/>
        <v>0</v>
      </c>
      <c r="R55" s="1275">
        <f t="shared" si="11"/>
        <v>0</v>
      </c>
      <c r="S55" s="1275">
        <f t="shared" si="11"/>
        <v>0</v>
      </c>
      <c r="T55" s="1275">
        <f t="shared" si="11"/>
        <v>0</v>
      </c>
      <c r="U55" s="1275">
        <f t="shared" si="11"/>
        <v>0</v>
      </c>
      <c r="V55" s="1275">
        <f t="shared" si="11"/>
        <v>0</v>
      </c>
      <c r="W55" s="1275">
        <f t="shared" si="11"/>
        <v>0</v>
      </c>
      <c r="X55" s="1275">
        <f t="shared" si="11"/>
        <v>0</v>
      </c>
      <c r="Y55" s="1275">
        <f t="shared" si="11"/>
        <v>0</v>
      </c>
      <c r="Z55" s="1275">
        <f t="shared" si="11"/>
        <v>0</v>
      </c>
      <c r="AA55" s="1275">
        <f t="shared" si="11"/>
        <v>0</v>
      </c>
      <c r="AB55" s="1275">
        <f t="shared" si="11"/>
        <v>0</v>
      </c>
      <c r="AC55" s="1275">
        <f t="shared" si="11"/>
        <v>0</v>
      </c>
      <c r="AD55" s="1275">
        <f t="shared" si="11"/>
        <v>0</v>
      </c>
      <c r="AE55" s="1275">
        <f t="shared" si="11"/>
        <v>0</v>
      </c>
      <c r="AF55" s="1275">
        <f t="shared" si="11"/>
        <v>0</v>
      </c>
      <c r="AG55" s="1275">
        <f t="shared" si="11"/>
        <v>0</v>
      </c>
      <c r="AH55" s="1227">
        <f t="shared" si="9"/>
        <v>0</v>
      </c>
      <c r="AN55" s="1280">
        <v>9717.5709999999999</v>
      </c>
    </row>
    <row r="56" spans="1:40" x14ac:dyDescent="0.2">
      <c r="A56" s="1274" t="s">
        <v>8</v>
      </c>
      <c r="B56" s="1237"/>
      <c r="C56" s="1282"/>
      <c r="D56" s="1282"/>
      <c r="E56" s="1282"/>
      <c r="F56" s="1282"/>
      <c r="G56" s="1282"/>
      <c r="H56" s="1282"/>
      <c r="I56" s="1282"/>
      <c r="J56" s="1282"/>
      <c r="K56" s="1282"/>
      <c r="L56" s="1282"/>
      <c r="M56" s="1282"/>
      <c r="N56" s="1282"/>
      <c r="O56" s="1282"/>
      <c r="P56" s="1282"/>
      <c r="Q56" s="1282"/>
      <c r="R56" s="1282"/>
      <c r="S56" s="1282"/>
      <c r="T56" s="1282"/>
      <c r="U56" s="1282"/>
      <c r="V56" s="1282"/>
      <c r="W56" s="1282"/>
      <c r="X56" s="1282"/>
      <c r="Y56" s="1282"/>
      <c r="Z56" s="1282"/>
      <c r="AA56" s="1282"/>
      <c r="AB56" s="1282"/>
      <c r="AC56" s="1282"/>
      <c r="AD56" s="1282"/>
      <c r="AE56" s="1282"/>
      <c r="AF56" s="1282"/>
      <c r="AG56" s="1282"/>
      <c r="AH56" s="1455">
        <f t="shared" si="9"/>
        <v>0</v>
      </c>
      <c r="AN56" s="1280">
        <v>673.17700000000002</v>
      </c>
    </row>
    <row r="57" spans="1:40" x14ac:dyDescent="0.2">
      <c r="A57" s="1274" t="s">
        <v>215</v>
      </c>
      <c r="B57" s="1237"/>
      <c r="C57" s="1282">
        <v>12261.817999999999</v>
      </c>
      <c r="D57" s="1282"/>
      <c r="E57" s="1282"/>
      <c r="F57" s="1282">
        <v>10847.925999999999</v>
      </c>
      <c r="G57" s="1282">
        <v>10413.542000000001</v>
      </c>
      <c r="H57" s="1282">
        <v>1296.03</v>
      </c>
      <c r="I57" s="1282">
        <v>1051.818</v>
      </c>
      <c r="J57" s="1282">
        <v>8591.49</v>
      </c>
      <c r="K57" s="1282">
        <v>3879.2</v>
      </c>
      <c r="L57" s="1282">
        <v>19999.509000000002</v>
      </c>
      <c r="M57" s="1282">
        <v>3136.4079999999999</v>
      </c>
      <c r="N57" s="1282">
        <v>8288.4269999999997</v>
      </c>
      <c r="O57" s="1282">
        <v>3531.8180000000002</v>
      </c>
      <c r="P57" s="1282">
        <v>4099.2020000000002</v>
      </c>
      <c r="Q57" s="1282">
        <v>26090.448</v>
      </c>
      <c r="R57" s="1443"/>
      <c r="S57" s="1282">
        <v>5016.8180000000002</v>
      </c>
      <c r="T57" s="1282">
        <v>6710.3580000000002</v>
      </c>
      <c r="U57" s="1282">
        <v>6112.98</v>
      </c>
      <c r="V57" s="1282">
        <v>17591.456999999999</v>
      </c>
      <c r="W57" s="1282">
        <v>1160</v>
      </c>
      <c r="X57" s="1282">
        <v>4684.58</v>
      </c>
      <c r="Y57" s="1282">
        <v>3280.4369999999999</v>
      </c>
      <c r="Z57" s="1282">
        <v>3965</v>
      </c>
      <c r="AA57" s="1282">
        <v>9959.8240000000005</v>
      </c>
      <c r="AB57" s="1282">
        <v>2342.5839999999998</v>
      </c>
      <c r="AC57" s="1282">
        <v>7829.3150000000005</v>
      </c>
      <c r="AD57" s="1282">
        <v>3365</v>
      </c>
      <c r="AE57" s="1282">
        <v>6307.3050000000003</v>
      </c>
      <c r="AF57" s="1282">
        <v>138187.47799999997</v>
      </c>
      <c r="AG57" s="1282"/>
      <c r="AH57" s="1455">
        <f>SUM(C57:AG57)</f>
        <v>330000.772</v>
      </c>
      <c r="AI57" s="1283"/>
      <c r="AN57" s="1280">
        <v>4534.4949999999999</v>
      </c>
    </row>
    <row r="58" spans="1:40" ht="13.5" thickBot="1" x14ac:dyDescent="0.25">
      <c r="A58" s="1294"/>
      <c r="B58" s="1237"/>
      <c r="C58" s="1295"/>
      <c r="D58" s="1295"/>
      <c r="E58" s="1295"/>
      <c r="F58" s="1295"/>
      <c r="G58" s="1295"/>
      <c r="H58" s="1295"/>
      <c r="I58" s="1295"/>
      <c r="J58" s="1295"/>
      <c r="K58" s="1295"/>
      <c r="L58" s="1295"/>
      <c r="M58" s="1295"/>
      <c r="N58" s="1295"/>
      <c r="O58" s="1295"/>
      <c r="P58" s="1295"/>
      <c r="Q58" s="1295"/>
      <c r="R58" s="1295"/>
      <c r="S58" s="1295"/>
      <c r="T58" s="1295"/>
      <c r="U58" s="1295"/>
      <c r="V58" s="1295"/>
      <c r="W58" s="1295"/>
      <c r="X58" s="1295"/>
      <c r="Y58" s="1295"/>
      <c r="Z58" s="1295"/>
      <c r="AA58" s="1295"/>
      <c r="AB58" s="1295"/>
      <c r="AC58" s="1295"/>
      <c r="AD58" s="1295"/>
      <c r="AE58" s="1295"/>
      <c r="AF58" s="1295"/>
      <c r="AG58" s="1295"/>
      <c r="AH58" s="1227">
        <f t="shared" si="9"/>
        <v>0</v>
      </c>
      <c r="AN58" s="1280">
        <v>2827.3519999999999</v>
      </c>
    </row>
    <row r="59" spans="1:40" x14ac:dyDescent="0.2">
      <c r="A59" s="1269"/>
      <c r="B59" s="1237"/>
      <c r="C59" s="1296"/>
      <c r="D59" s="1297"/>
      <c r="E59" s="1297"/>
      <c r="F59" s="1298"/>
      <c r="G59" s="1298"/>
      <c r="H59" s="1298"/>
      <c r="I59" s="1298"/>
      <c r="J59" s="1298"/>
      <c r="K59" s="1298"/>
      <c r="L59" s="1298"/>
      <c r="M59" s="1298"/>
      <c r="N59" s="1298"/>
      <c r="O59" s="1298"/>
      <c r="P59" s="1299"/>
      <c r="Q59" s="1298"/>
      <c r="R59" s="1298"/>
      <c r="S59" s="1298"/>
      <c r="T59" s="1298"/>
      <c r="U59" s="1298"/>
      <c r="V59" s="1298"/>
      <c r="W59" s="1298"/>
      <c r="X59" s="1298"/>
      <c r="Y59" s="1298"/>
      <c r="Z59" s="1298"/>
      <c r="AA59" s="1298"/>
      <c r="AB59" s="1298"/>
      <c r="AC59" s="1298"/>
      <c r="AD59" s="1298"/>
      <c r="AE59" s="1298"/>
      <c r="AF59" s="1298"/>
      <c r="AG59" s="1298"/>
      <c r="AH59" s="1207"/>
      <c r="AJ59" s="1209">
        <f>18755+17890+17700+17800</f>
        <v>72145</v>
      </c>
      <c r="AN59" s="1280">
        <v>1850.7819999999999</v>
      </c>
    </row>
    <row r="60" spans="1:40" x14ac:dyDescent="0.2">
      <c r="A60" s="1274" t="s">
        <v>915</v>
      </c>
      <c r="B60" s="1237"/>
      <c r="C60" s="1300">
        <f t="shared" ref="C60:AG60" si="12">C55-C43</f>
        <v>-581.50500000000079</v>
      </c>
      <c r="D60" s="1300">
        <f t="shared" si="12"/>
        <v>0</v>
      </c>
      <c r="E60" s="1300">
        <f t="shared" si="12"/>
        <v>0</v>
      </c>
      <c r="F60" s="1300">
        <f t="shared" si="12"/>
        <v>0</v>
      </c>
      <c r="G60" s="1300">
        <f t="shared" si="12"/>
        <v>0</v>
      </c>
      <c r="H60" s="1300">
        <f t="shared" si="12"/>
        <v>0</v>
      </c>
      <c r="I60" s="1300">
        <f t="shared" si="12"/>
        <v>0</v>
      </c>
      <c r="J60" s="1300">
        <f t="shared" si="12"/>
        <v>0</v>
      </c>
      <c r="K60" s="1300">
        <f t="shared" si="12"/>
        <v>0</v>
      </c>
      <c r="L60" s="1300">
        <f t="shared" si="12"/>
        <v>0</v>
      </c>
      <c r="M60" s="1300">
        <f t="shared" si="12"/>
        <v>-0.35799999999289867</v>
      </c>
      <c r="N60" s="1300">
        <f t="shared" si="12"/>
        <v>0</v>
      </c>
      <c r="O60" s="1300">
        <f t="shared" si="12"/>
        <v>0</v>
      </c>
      <c r="P60" s="1301">
        <f t="shared" si="12"/>
        <v>0</v>
      </c>
      <c r="Q60" s="1300">
        <f t="shared" si="12"/>
        <v>0</v>
      </c>
      <c r="R60" s="1300">
        <f t="shared" si="12"/>
        <v>0</v>
      </c>
      <c r="S60" s="1300">
        <f t="shared" si="12"/>
        <v>0</v>
      </c>
      <c r="T60" s="1300">
        <f t="shared" si="12"/>
        <v>0</v>
      </c>
      <c r="U60" s="1300">
        <f t="shared" si="12"/>
        <v>0</v>
      </c>
      <c r="V60" s="1300">
        <f t="shared" si="12"/>
        <v>0</v>
      </c>
      <c r="W60" s="1300">
        <f t="shared" si="12"/>
        <v>0</v>
      </c>
      <c r="X60" s="1300">
        <f t="shared" si="12"/>
        <v>0</v>
      </c>
      <c r="Y60" s="1300">
        <f t="shared" si="12"/>
        <v>0</v>
      </c>
      <c r="Z60" s="1300">
        <f t="shared" si="12"/>
        <v>-2.1032064978498966E-12</v>
      </c>
      <c r="AA60" s="1300">
        <f t="shared" si="12"/>
        <v>0</v>
      </c>
      <c r="AB60" s="1300">
        <f t="shared" si="12"/>
        <v>0</v>
      </c>
      <c r="AC60" s="1300">
        <f t="shared" si="12"/>
        <v>0</v>
      </c>
      <c r="AD60" s="1300">
        <f t="shared" si="12"/>
        <v>0</v>
      </c>
      <c r="AE60" s="1300">
        <f t="shared" si="12"/>
        <v>0</v>
      </c>
      <c r="AF60" s="1300">
        <f t="shared" si="12"/>
        <v>1.3642420526593924E-11</v>
      </c>
      <c r="AG60" s="1300">
        <f t="shared" si="12"/>
        <v>0</v>
      </c>
      <c r="AH60" s="1207"/>
      <c r="AJ60" s="1209">
        <f>AJ59+67000</f>
        <v>139145</v>
      </c>
      <c r="AL60" s="1283"/>
      <c r="AN60" s="1280">
        <v>915.26599999999996</v>
      </c>
    </row>
    <row r="61" spans="1:40" ht="13.5" thickBot="1" x14ac:dyDescent="0.25">
      <c r="A61" s="1274"/>
      <c r="B61" s="1237"/>
      <c r="C61" s="1300"/>
      <c r="D61" s="1302"/>
      <c r="E61" s="1302"/>
      <c r="F61" s="1303"/>
      <c r="G61" s="1303"/>
      <c r="H61" s="1303"/>
      <c r="I61" s="1303"/>
      <c r="J61" s="1303"/>
      <c r="K61" s="1303"/>
      <c r="L61" s="1303"/>
      <c r="M61" s="1303"/>
      <c r="N61" s="1303"/>
      <c r="O61" s="1303"/>
      <c r="P61" s="1304"/>
      <c r="Q61" s="1303"/>
      <c r="R61" s="1303"/>
      <c r="S61" s="1303"/>
      <c r="T61" s="1303"/>
      <c r="U61" s="1303"/>
      <c r="V61" s="1303"/>
      <c r="W61" s="1303"/>
      <c r="X61" s="1303"/>
      <c r="Y61" s="1303"/>
      <c r="Z61" s="1303"/>
      <c r="AA61" s="1303"/>
      <c r="AB61" s="1303"/>
      <c r="AC61" s="1303"/>
      <c r="AD61" s="1303"/>
      <c r="AE61" s="1303"/>
      <c r="AF61" s="1303"/>
      <c r="AG61" s="1303"/>
      <c r="AH61" s="1207"/>
      <c r="AN61" s="1280">
        <v>15000</v>
      </c>
    </row>
    <row r="62" spans="1:40" x14ac:dyDescent="0.2">
      <c r="A62" s="1233"/>
      <c r="B62" s="1234"/>
      <c r="C62" s="1305"/>
      <c r="D62" s="1297"/>
      <c r="E62" s="1297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9"/>
      <c r="Q62" s="1298"/>
      <c r="R62" s="1298"/>
      <c r="S62" s="1298"/>
      <c r="T62" s="1298"/>
      <c r="U62" s="1298"/>
      <c r="V62" s="1298"/>
      <c r="W62" s="1298"/>
      <c r="X62" s="1298"/>
      <c r="Y62" s="1298"/>
      <c r="Z62" s="1298"/>
      <c r="AA62" s="1298"/>
      <c r="AB62" s="1298"/>
      <c r="AC62" s="1298"/>
      <c r="AD62" s="1298"/>
      <c r="AE62" s="1298"/>
      <c r="AF62" s="1298"/>
      <c r="AG62" s="1298"/>
      <c r="AH62" s="1207"/>
      <c r="AN62" s="1280">
        <v>14101.822</v>
      </c>
    </row>
    <row r="63" spans="1:40" x14ac:dyDescent="0.2">
      <c r="A63" s="1236" t="s">
        <v>15</v>
      </c>
      <c r="B63" s="1237"/>
      <c r="C63" s="1302">
        <f>B40+C60</f>
        <v>-602054.11300000001</v>
      </c>
      <c r="D63" s="1302">
        <f t="shared" ref="D63:AG63" si="13">C70+D60</f>
        <v>-602054.11300000001</v>
      </c>
      <c r="E63" s="1302">
        <f t="shared" si="13"/>
        <v>-602054.11300000001</v>
      </c>
      <c r="F63" s="1302">
        <f t="shared" si="13"/>
        <v>-602054.11300000001</v>
      </c>
      <c r="G63" s="1302">
        <f t="shared" si="13"/>
        <v>-602054.11300000001</v>
      </c>
      <c r="H63" s="1302">
        <f t="shared" si="13"/>
        <v>-602054.11300000001</v>
      </c>
      <c r="I63" s="1302">
        <f t="shared" si="13"/>
        <v>-602054.11300000001</v>
      </c>
      <c r="J63" s="1302">
        <f t="shared" si="13"/>
        <v>-602054.11300000001</v>
      </c>
      <c r="K63" s="1302">
        <f t="shared" si="13"/>
        <v>-602054.11300000001</v>
      </c>
      <c r="L63" s="1302">
        <f t="shared" si="13"/>
        <v>-602054.11300000001</v>
      </c>
      <c r="M63" s="1302">
        <f t="shared" si="13"/>
        <v>-602054.47100000002</v>
      </c>
      <c r="N63" s="1302">
        <f t="shared" si="13"/>
        <v>-602054.47100000002</v>
      </c>
      <c r="O63" s="1302">
        <f t="shared" si="13"/>
        <v>-602054.47100000002</v>
      </c>
      <c r="P63" s="1306">
        <f t="shared" si="13"/>
        <v>-602054.47100000002</v>
      </c>
      <c r="Q63" s="1302">
        <f t="shared" si="13"/>
        <v>-602054.47100000002</v>
      </c>
      <c r="R63" s="1302">
        <f t="shared" si="13"/>
        <v>-602054.47100000002</v>
      </c>
      <c r="S63" s="1302">
        <f t="shared" si="13"/>
        <v>-602054.47100000002</v>
      </c>
      <c r="T63" s="1302">
        <f t="shared" si="13"/>
        <v>-602054.47100000002</v>
      </c>
      <c r="U63" s="1302">
        <f t="shared" si="13"/>
        <v>-602054.47100000002</v>
      </c>
      <c r="V63" s="1302">
        <f t="shared" si="13"/>
        <v>-602054.47100000002</v>
      </c>
      <c r="W63" s="1302">
        <f t="shared" si="13"/>
        <v>-602054.47100000002</v>
      </c>
      <c r="X63" s="1302">
        <f t="shared" si="13"/>
        <v>-602054.47100000002</v>
      </c>
      <c r="Y63" s="1302">
        <f t="shared" si="13"/>
        <v>-602054.47100000002</v>
      </c>
      <c r="Z63" s="1302">
        <f t="shared" si="13"/>
        <v>-602054.47100000002</v>
      </c>
      <c r="AA63" s="1302">
        <f t="shared" si="13"/>
        <v>-602054.47100000002</v>
      </c>
      <c r="AB63" s="1302">
        <f t="shared" si="13"/>
        <v>-602054.47100000002</v>
      </c>
      <c r="AC63" s="1302">
        <f t="shared" si="13"/>
        <v>-602054.47100000002</v>
      </c>
      <c r="AD63" s="1302">
        <f t="shared" si="13"/>
        <v>-602054.47100000002</v>
      </c>
      <c r="AE63" s="1302">
        <f t="shared" si="13"/>
        <v>-602054.47100000002</v>
      </c>
      <c r="AF63" s="1302">
        <f t="shared" si="13"/>
        <v>-602054.47100000002</v>
      </c>
      <c r="AG63" s="1302">
        <f t="shared" si="13"/>
        <v>-602054.47100000002</v>
      </c>
      <c r="AH63" s="1207"/>
      <c r="AN63" s="1280">
        <v>1397.2449999999999</v>
      </c>
    </row>
    <row r="64" spans="1:40" ht="13.5" thickBot="1" x14ac:dyDescent="0.25">
      <c r="A64" s="1250"/>
      <c r="B64" s="1307"/>
      <c r="C64" s="1308"/>
      <c r="D64" s="1308"/>
      <c r="E64" s="1308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10"/>
      <c r="Q64" s="1309"/>
      <c r="R64" s="1309"/>
      <c r="S64" s="1309"/>
      <c r="T64" s="1309"/>
      <c r="U64" s="1309"/>
      <c r="V64" s="1309"/>
      <c r="W64" s="1309"/>
      <c r="X64" s="1309"/>
      <c r="Y64" s="1309"/>
      <c r="Z64" s="1309"/>
      <c r="AA64" s="1309"/>
      <c r="AB64" s="1309"/>
      <c r="AC64" s="1309"/>
      <c r="AD64" s="1309"/>
      <c r="AE64" s="1309"/>
      <c r="AF64" s="1309"/>
      <c r="AG64" s="1309"/>
      <c r="AH64" s="1207"/>
      <c r="AN64" s="1280">
        <v>1322.63</v>
      </c>
    </row>
    <row r="65" spans="1:40" x14ac:dyDescent="0.2">
      <c r="A65" s="1233"/>
      <c r="B65" s="1234"/>
      <c r="C65" s="1297"/>
      <c r="D65" s="1297"/>
      <c r="E65" s="1297"/>
      <c r="F65" s="1298"/>
      <c r="G65" s="1298"/>
      <c r="H65" s="1298"/>
      <c r="I65" s="1298"/>
      <c r="J65" s="1298"/>
      <c r="K65" s="1298"/>
      <c r="L65" s="1298"/>
      <c r="M65" s="1298"/>
      <c r="N65" s="1298"/>
      <c r="O65" s="1298"/>
      <c r="P65" s="1299"/>
      <c r="Q65" s="1298"/>
      <c r="R65" s="1298"/>
      <c r="S65" s="1298"/>
      <c r="T65" s="1298"/>
      <c r="U65" s="1298"/>
      <c r="V65" s="1298"/>
      <c r="W65" s="1298"/>
      <c r="X65" s="1298"/>
      <c r="Y65" s="1298"/>
      <c r="Z65" s="1298"/>
      <c r="AA65" s="1298"/>
      <c r="AB65" s="1298"/>
      <c r="AC65" s="1298"/>
      <c r="AD65" s="1298"/>
      <c r="AE65" s="1298"/>
      <c r="AF65" s="1298"/>
      <c r="AG65" s="1298"/>
      <c r="AH65" s="1227">
        <f>SUM(C65:AG65)</f>
        <v>0</v>
      </c>
      <c r="AN65" s="1280">
        <v>1747.816</v>
      </c>
    </row>
    <row r="66" spans="1:40" x14ac:dyDescent="0.2">
      <c r="A66" s="1236" t="s">
        <v>82</v>
      </c>
      <c r="B66" s="1237"/>
      <c r="C66" s="1302">
        <f t="shared" ref="C66:AG67" si="14">C74</f>
        <v>0</v>
      </c>
      <c r="D66" s="1302">
        <f t="shared" si="14"/>
        <v>0</v>
      </c>
      <c r="E66" s="1302">
        <f t="shared" si="14"/>
        <v>0</v>
      </c>
      <c r="F66" s="1302">
        <f t="shared" si="14"/>
        <v>0</v>
      </c>
      <c r="G66" s="1302">
        <f t="shared" si="14"/>
        <v>0</v>
      </c>
      <c r="H66" s="1302">
        <f t="shared" si="14"/>
        <v>0</v>
      </c>
      <c r="I66" s="1302">
        <f t="shared" si="14"/>
        <v>0</v>
      </c>
      <c r="J66" s="1302">
        <f t="shared" si="14"/>
        <v>0</v>
      </c>
      <c r="K66" s="1302">
        <f t="shared" si="14"/>
        <v>0</v>
      </c>
      <c r="L66" s="1302">
        <f t="shared" si="14"/>
        <v>0</v>
      </c>
      <c r="M66" s="1302">
        <f t="shared" si="14"/>
        <v>0</v>
      </c>
      <c r="N66" s="1302">
        <f t="shared" si="14"/>
        <v>0</v>
      </c>
      <c r="O66" s="1302">
        <f t="shared" si="14"/>
        <v>0</v>
      </c>
      <c r="P66" s="1306">
        <f t="shared" si="14"/>
        <v>0</v>
      </c>
      <c r="Q66" s="1302">
        <f t="shared" si="14"/>
        <v>0</v>
      </c>
      <c r="R66" s="1302">
        <f t="shared" si="14"/>
        <v>0</v>
      </c>
      <c r="S66" s="1302">
        <f t="shared" si="14"/>
        <v>0</v>
      </c>
      <c r="T66" s="1302">
        <f t="shared" si="14"/>
        <v>0</v>
      </c>
      <c r="U66" s="1302">
        <f t="shared" si="14"/>
        <v>0</v>
      </c>
      <c r="V66" s="1302">
        <f t="shared" si="14"/>
        <v>0</v>
      </c>
      <c r="W66" s="1302">
        <f t="shared" si="14"/>
        <v>0</v>
      </c>
      <c r="X66" s="1302">
        <f t="shared" si="14"/>
        <v>0</v>
      </c>
      <c r="Y66" s="1302">
        <f t="shared" si="14"/>
        <v>0</v>
      </c>
      <c r="Z66" s="1302">
        <f t="shared" si="14"/>
        <v>0</v>
      </c>
      <c r="AA66" s="1302">
        <f t="shared" si="14"/>
        <v>0</v>
      </c>
      <c r="AB66" s="1302">
        <f t="shared" si="14"/>
        <v>0</v>
      </c>
      <c r="AC66" s="1302">
        <f t="shared" si="14"/>
        <v>0</v>
      </c>
      <c r="AD66" s="1302">
        <f t="shared" si="14"/>
        <v>0</v>
      </c>
      <c r="AE66" s="1302">
        <f t="shared" si="14"/>
        <v>0</v>
      </c>
      <c r="AF66" s="1302">
        <f t="shared" si="14"/>
        <v>0</v>
      </c>
      <c r="AG66" s="1302">
        <f t="shared" si="14"/>
        <v>0</v>
      </c>
      <c r="AH66" s="1207"/>
      <c r="AN66" s="1280">
        <v>1021.722</v>
      </c>
    </row>
    <row r="67" spans="1:40" x14ac:dyDescent="0.2">
      <c r="A67" s="1236" t="s">
        <v>83</v>
      </c>
      <c r="B67" s="1237"/>
      <c r="C67" s="1306">
        <f t="shared" si="14"/>
        <v>0</v>
      </c>
      <c r="D67" s="1306">
        <f t="shared" si="14"/>
        <v>0</v>
      </c>
      <c r="E67" s="1306">
        <f t="shared" si="14"/>
        <v>0</v>
      </c>
      <c r="F67" s="1306">
        <f t="shared" si="14"/>
        <v>0</v>
      </c>
      <c r="G67" s="1306">
        <f t="shared" si="14"/>
        <v>0</v>
      </c>
      <c r="H67" s="1306">
        <f t="shared" si="14"/>
        <v>0</v>
      </c>
      <c r="I67" s="1306">
        <f t="shared" si="14"/>
        <v>0</v>
      </c>
      <c r="J67" s="1306">
        <f t="shared" si="14"/>
        <v>0</v>
      </c>
      <c r="K67" s="1306">
        <f t="shared" si="14"/>
        <v>0</v>
      </c>
      <c r="L67" s="1306">
        <f t="shared" si="14"/>
        <v>0</v>
      </c>
      <c r="M67" s="1306">
        <f t="shared" si="14"/>
        <v>0</v>
      </c>
      <c r="N67" s="1306">
        <f t="shared" si="14"/>
        <v>0</v>
      </c>
      <c r="O67" s="1306">
        <f t="shared" si="14"/>
        <v>0</v>
      </c>
      <c r="P67" s="1306">
        <f t="shared" si="14"/>
        <v>0</v>
      </c>
      <c r="Q67" s="1306">
        <f t="shared" si="14"/>
        <v>0</v>
      </c>
      <c r="R67" s="1306">
        <f t="shared" si="14"/>
        <v>0</v>
      </c>
      <c r="S67" s="1306">
        <f t="shared" si="14"/>
        <v>0</v>
      </c>
      <c r="T67" s="1306">
        <f t="shared" si="14"/>
        <v>0</v>
      </c>
      <c r="U67" s="1306">
        <f t="shared" si="14"/>
        <v>0</v>
      </c>
      <c r="V67" s="1306">
        <f t="shared" si="14"/>
        <v>0</v>
      </c>
      <c r="W67" s="1306">
        <f t="shared" si="14"/>
        <v>0</v>
      </c>
      <c r="X67" s="1306">
        <f t="shared" si="14"/>
        <v>0</v>
      </c>
      <c r="Y67" s="1306">
        <f t="shared" si="14"/>
        <v>0</v>
      </c>
      <c r="Z67" s="1306">
        <f t="shared" si="14"/>
        <v>0</v>
      </c>
      <c r="AA67" s="1306">
        <f t="shared" si="14"/>
        <v>0</v>
      </c>
      <c r="AB67" s="1306">
        <f t="shared" si="14"/>
        <v>0</v>
      </c>
      <c r="AC67" s="1306">
        <f t="shared" si="14"/>
        <v>0</v>
      </c>
      <c r="AD67" s="1306">
        <f t="shared" si="14"/>
        <v>0</v>
      </c>
      <c r="AE67" s="1306">
        <f t="shared" si="14"/>
        <v>0</v>
      </c>
      <c r="AF67" s="1306">
        <f t="shared" si="14"/>
        <v>0</v>
      </c>
      <c r="AG67" s="1306">
        <f t="shared" si="14"/>
        <v>0</v>
      </c>
      <c r="AH67" s="1207"/>
      <c r="AN67" s="1280">
        <v>4000</v>
      </c>
    </row>
    <row r="68" spans="1:40" ht="13.5" thickBot="1" x14ac:dyDescent="0.25">
      <c r="A68" s="1250"/>
      <c r="B68" s="1307"/>
      <c r="C68" s="1308"/>
      <c r="D68" s="1308"/>
      <c r="E68" s="1308"/>
      <c r="F68" s="1309"/>
      <c r="G68" s="1309"/>
      <c r="H68" s="1309"/>
      <c r="I68" s="1309"/>
      <c r="J68" s="1309"/>
      <c r="K68" s="1309"/>
      <c r="L68" s="1309"/>
      <c r="M68" s="1309"/>
      <c r="N68" s="1309"/>
      <c r="O68" s="1309"/>
      <c r="P68" s="1310"/>
      <c r="Q68" s="1309"/>
      <c r="R68" s="1309"/>
      <c r="S68" s="1309"/>
      <c r="T68" s="1309"/>
      <c r="U68" s="1309"/>
      <c r="V68" s="1309"/>
      <c r="W68" s="1309"/>
      <c r="X68" s="1309"/>
      <c r="Y68" s="1309"/>
      <c r="Z68" s="1309"/>
      <c r="AA68" s="1309"/>
      <c r="AB68" s="1309"/>
      <c r="AC68" s="1309"/>
      <c r="AD68" s="1309"/>
      <c r="AE68" s="1309"/>
      <c r="AF68" s="1309"/>
      <c r="AG68" s="1309"/>
      <c r="AH68" s="1207"/>
      <c r="AN68" s="1280"/>
    </row>
    <row r="69" spans="1:40" x14ac:dyDescent="0.2">
      <c r="A69" s="1236"/>
      <c r="B69" s="1237"/>
      <c r="C69" s="1302"/>
      <c r="D69" s="1302"/>
      <c r="E69" s="1302"/>
      <c r="F69" s="1303"/>
      <c r="G69" s="1303"/>
      <c r="H69" s="1303"/>
      <c r="I69" s="1303"/>
      <c r="J69" s="1303"/>
      <c r="K69" s="1303"/>
      <c r="L69" s="1303"/>
      <c r="M69" s="1303"/>
      <c r="N69" s="1303"/>
      <c r="O69" s="1303"/>
      <c r="P69" s="1304"/>
      <c r="Q69" s="1303"/>
      <c r="R69" s="1303"/>
      <c r="S69" s="1303"/>
      <c r="T69" s="1303"/>
      <c r="U69" s="1303"/>
      <c r="V69" s="1303"/>
      <c r="W69" s="1303"/>
      <c r="X69" s="1303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207"/>
      <c r="AN69" s="1280">
        <v>1616.846</v>
      </c>
    </row>
    <row r="70" spans="1:40" x14ac:dyDescent="0.2">
      <c r="A70" s="1236" t="s">
        <v>14</v>
      </c>
      <c r="B70" s="1237"/>
      <c r="C70" s="1302">
        <f t="shared" ref="C70:AG70" si="15">C63+C66+C67</f>
        <v>-602054.11300000001</v>
      </c>
      <c r="D70" s="1302">
        <f t="shared" si="15"/>
        <v>-602054.11300000001</v>
      </c>
      <c r="E70" s="1302">
        <f t="shared" si="15"/>
        <v>-602054.11300000001</v>
      </c>
      <c r="F70" s="1302">
        <f t="shared" si="15"/>
        <v>-602054.11300000001</v>
      </c>
      <c r="G70" s="1302">
        <f t="shared" si="15"/>
        <v>-602054.11300000001</v>
      </c>
      <c r="H70" s="1302">
        <f t="shared" si="15"/>
        <v>-602054.11300000001</v>
      </c>
      <c r="I70" s="1302">
        <f t="shared" si="15"/>
        <v>-602054.11300000001</v>
      </c>
      <c r="J70" s="1302">
        <f t="shared" si="15"/>
        <v>-602054.11300000001</v>
      </c>
      <c r="K70" s="1302">
        <f t="shared" si="15"/>
        <v>-602054.11300000001</v>
      </c>
      <c r="L70" s="1302">
        <f t="shared" si="15"/>
        <v>-602054.11300000001</v>
      </c>
      <c r="M70" s="1302">
        <f t="shared" si="15"/>
        <v>-602054.47100000002</v>
      </c>
      <c r="N70" s="1302">
        <f t="shared" si="15"/>
        <v>-602054.47100000002</v>
      </c>
      <c r="O70" s="1302">
        <f t="shared" si="15"/>
        <v>-602054.47100000002</v>
      </c>
      <c r="P70" s="1306">
        <f t="shared" si="15"/>
        <v>-602054.47100000002</v>
      </c>
      <c r="Q70" s="1302">
        <f t="shared" si="15"/>
        <v>-602054.47100000002</v>
      </c>
      <c r="R70" s="1302">
        <f t="shared" si="15"/>
        <v>-602054.47100000002</v>
      </c>
      <c r="S70" s="1302">
        <f t="shared" si="15"/>
        <v>-602054.47100000002</v>
      </c>
      <c r="T70" s="1302">
        <f t="shared" si="15"/>
        <v>-602054.47100000002</v>
      </c>
      <c r="U70" s="1302">
        <f t="shared" si="15"/>
        <v>-602054.47100000002</v>
      </c>
      <c r="V70" s="1302">
        <f t="shared" si="15"/>
        <v>-602054.47100000002</v>
      </c>
      <c r="W70" s="1302">
        <f t="shared" si="15"/>
        <v>-602054.47100000002</v>
      </c>
      <c r="X70" s="1302">
        <f t="shared" si="15"/>
        <v>-602054.47100000002</v>
      </c>
      <c r="Y70" s="1302">
        <f t="shared" si="15"/>
        <v>-602054.47100000002</v>
      </c>
      <c r="Z70" s="1302">
        <f t="shared" si="15"/>
        <v>-602054.47100000002</v>
      </c>
      <c r="AA70" s="1302">
        <f t="shared" si="15"/>
        <v>-602054.47100000002</v>
      </c>
      <c r="AB70" s="1302">
        <f t="shared" si="15"/>
        <v>-602054.47100000002</v>
      </c>
      <c r="AC70" s="1302">
        <f t="shared" si="15"/>
        <v>-602054.47100000002</v>
      </c>
      <c r="AD70" s="1302">
        <f t="shared" si="15"/>
        <v>-602054.47100000002</v>
      </c>
      <c r="AE70" s="1302">
        <f t="shared" si="15"/>
        <v>-602054.47100000002</v>
      </c>
      <c r="AF70" s="1302">
        <f t="shared" si="15"/>
        <v>-602054.47100000002</v>
      </c>
      <c r="AG70" s="1302">
        <f t="shared" si="15"/>
        <v>-602054.47100000002</v>
      </c>
      <c r="AH70" s="1311"/>
      <c r="AN70" s="1280">
        <v>7523.0129999999999</v>
      </c>
    </row>
    <row r="71" spans="1:40" x14ac:dyDescent="0.2">
      <c r="A71" s="1236"/>
      <c r="B71" s="1237"/>
      <c r="C71" s="1302"/>
      <c r="D71" s="1302"/>
      <c r="E71" s="1302"/>
      <c r="F71" s="1303"/>
      <c r="G71" s="1303"/>
      <c r="H71" s="1303"/>
      <c r="I71" s="1303"/>
      <c r="J71" s="1303"/>
      <c r="K71" s="1303"/>
      <c r="L71" s="1303"/>
      <c r="M71" s="1303"/>
      <c r="N71" s="1303"/>
      <c r="O71" s="1303"/>
      <c r="P71" s="1304"/>
      <c r="Q71" s="1303"/>
      <c r="R71" s="1303"/>
      <c r="S71" s="1303"/>
      <c r="T71" s="1303"/>
      <c r="U71" s="1303"/>
      <c r="V71" s="1303"/>
      <c r="W71" s="1303"/>
      <c r="X71" s="1303"/>
      <c r="Y71" s="1303"/>
      <c r="Z71" s="1303"/>
      <c r="AA71" s="1303"/>
      <c r="AB71" s="1303"/>
      <c r="AC71" s="1303"/>
      <c r="AD71" s="1303"/>
      <c r="AE71" s="1303"/>
      <c r="AF71" s="1303"/>
      <c r="AG71" s="1303"/>
      <c r="AH71" s="1207"/>
      <c r="AN71" s="1280">
        <v>716.57600000000002</v>
      </c>
    </row>
    <row r="72" spans="1:40" ht="13.5" thickBot="1" x14ac:dyDescent="0.25">
      <c r="A72" s="1250"/>
      <c r="B72" s="1307"/>
      <c r="C72" s="1312"/>
      <c r="D72" s="1312"/>
      <c r="E72" s="1312"/>
      <c r="F72" s="1313"/>
      <c r="G72" s="1313"/>
      <c r="H72" s="1313"/>
      <c r="I72" s="1313"/>
      <c r="J72" s="1313"/>
      <c r="K72" s="1313"/>
      <c r="L72" s="1313"/>
      <c r="M72" s="1313"/>
      <c r="N72" s="1313"/>
      <c r="O72" s="1313"/>
      <c r="P72" s="1314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207"/>
      <c r="AN72" s="1315">
        <v>1326.8</v>
      </c>
    </row>
    <row r="73" spans="1:40" x14ac:dyDescent="0.2">
      <c r="A73" s="1316"/>
      <c r="B73" s="1207"/>
      <c r="C73" s="1227"/>
      <c r="D73" s="1227"/>
      <c r="E73" s="1227"/>
      <c r="F73" s="1227"/>
      <c r="G73" s="1227"/>
      <c r="H73" s="1317"/>
      <c r="I73" s="1317"/>
      <c r="J73" s="1317"/>
      <c r="K73" s="1317"/>
      <c r="L73" s="1317"/>
      <c r="M73" s="1317"/>
      <c r="N73" s="1317"/>
      <c r="O73" s="1317"/>
      <c r="P73" s="1318"/>
      <c r="Q73" s="1317"/>
      <c r="R73" s="1317"/>
      <c r="S73" s="1317"/>
      <c r="T73" s="1317"/>
      <c r="U73" s="1317"/>
      <c r="V73" s="1317"/>
      <c r="W73" s="1317"/>
      <c r="X73" s="1317"/>
      <c r="Y73" s="1317"/>
      <c r="Z73" s="1317"/>
      <c r="AA73" s="1317"/>
      <c r="AB73" s="1317"/>
      <c r="AC73" s="1317"/>
      <c r="AD73" s="1317"/>
      <c r="AE73" s="1317"/>
      <c r="AF73" s="1317"/>
      <c r="AG73" s="1317"/>
      <c r="AH73" s="1207"/>
      <c r="AN73" s="1315">
        <v>4180.9530000000004</v>
      </c>
    </row>
    <row r="74" spans="1:40" x14ac:dyDescent="0.2">
      <c r="A74" s="1316" t="s">
        <v>40</v>
      </c>
      <c r="B74" s="1207"/>
      <c r="C74" s="1303"/>
      <c r="D74" s="1303"/>
      <c r="E74" s="1303"/>
      <c r="F74" s="1303"/>
      <c r="G74" s="1303"/>
      <c r="H74" s="1303"/>
      <c r="I74" s="1303"/>
      <c r="J74" s="1303"/>
      <c r="K74" s="1303"/>
      <c r="L74" s="1303"/>
      <c r="M74" s="1303"/>
      <c r="N74" s="1303"/>
      <c r="O74" s="1303"/>
      <c r="P74" s="1303"/>
      <c r="Q74" s="1303"/>
      <c r="R74" s="1303"/>
      <c r="S74" s="1303"/>
      <c r="T74" s="1303"/>
      <c r="U74" s="1303"/>
      <c r="V74" s="1303"/>
      <c r="W74" s="1303"/>
      <c r="X74" s="1303"/>
      <c r="Y74" s="1303"/>
      <c r="Z74" s="1303"/>
      <c r="AA74" s="1303"/>
      <c r="AB74" s="1303"/>
      <c r="AC74" s="1303"/>
      <c r="AD74" s="1303"/>
      <c r="AE74" s="1303"/>
      <c r="AF74" s="1303">
        <f t="shared" ref="AF74" si="16">AB51</f>
        <v>0</v>
      </c>
      <c r="AG74" s="1303"/>
      <c r="AH74" s="1227">
        <f>SUM(C74:AG74)</f>
        <v>0</v>
      </c>
      <c r="AI74" s="1320"/>
      <c r="AJ74" s="1320"/>
      <c r="AK74" s="1321"/>
      <c r="AN74" s="1315">
        <v>2761.194</v>
      </c>
    </row>
    <row r="75" spans="1:40" x14ac:dyDescent="0.2">
      <c r="A75" s="1316" t="s">
        <v>42</v>
      </c>
      <c r="B75" s="1207"/>
      <c r="C75" s="1303"/>
      <c r="D75" s="1303"/>
      <c r="E75" s="1303"/>
      <c r="F75" s="1319"/>
      <c r="G75" s="1319"/>
      <c r="H75" s="1319"/>
      <c r="I75" s="1319"/>
      <c r="J75" s="1319"/>
      <c r="K75" s="1319"/>
      <c r="L75" s="1319"/>
      <c r="M75" s="1319"/>
      <c r="N75" s="1319"/>
      <c r="O75" s="1319"/>
      <c r="P75" s="1319"/>
      <c r="Q75" s="1319"/>
      <c r="R75" s="1319"/>
      <c r="S75" s="1319"/>
      <c r="T75" s="1319"/>
      <c r="U75" s="1319"/>
      <c r="V75" s="1319"/>
      <c r="W75" s="1319"/>
      <c r="X75" s="1319"/>
      <c r="Y75" s="1319"/>
      <c r="Z75" s="1319"/>
      <c r="AA75" s="1319"/>
      <c r="AB75" s="1319"/>
      <c r="AC75" s="1319"/>
      <c r="AD75" s="1319"/>
      <c r="AE75" s="1319"/>
      <c r="AF75" s="1319"/>
      <c r="AG75" s="1319"/>
      <c r="AH75" s="1227">
        <f>SUM(C75:AG75)</f>
        <v>0</v>
      </c>
      <c r="AI75" s="1320"/>
      <c r="AJ75" s="1320"/>
      <c r="AK75" s="1321"/>
      <c r="AN75" s="1315">
        <v>6804.6840000000002</v>
      </c>
    </row>
    <row r="76" spans="1:40" ht="13.5" thickBot="1" x14ac:dyDescent="0.25">
      <c r="A76" s="1316"/>
      <c r="B76" s="1207"/>
      <c r="C76" s="1219"/>
      <c r="D76" s="1219"/>
      <c r="E76" s="1219"/>
      <c r="F76" s="1219"/>
      <c r="G76" s="1220"/>
      <c r="H76" s="1322"/>
      <c r="I76" s="1219"/>
      <c r="J76" s="1219"/>
      <c r="K76" s="1219"/>
      <c r="L76" s="1219"/>
      <c r="M76" s="1219"/>
      <c r="N76" s="1219"/>
      <c r="O76" s="1219"/>
      <c r="P76" s="1221"/>
      <c r="Q76" s="1219"/>
      <c r="R76" s="1219"/>
      <c r="S76" s="1219"/>
      <c r="T76" s="1219"/>
      <c r="U76" s="1219"/>
      <c r="V76" s="1322"/>
      <c r="W76" s="1322"/>
      <c r="X76" s="1219"/>
      <c r="Y76" s="1219"/>
      <c r="Z76" s="1219"/>
      <c r="AA76" s="1219"/>
      <c r="AB76" s="1219"/>
      <c r="AC76" s="1219"/>
      <c r="AD76" s="1219"/>
      <c r="AE76" s="1219"/>
      <c r="AF76" s="1219"/>
      <c r="AG76" s="1219"/>
      <c r="AH76" s="1207"/>
      <c r="AI76" s="1320"/>
      <c r="AJ76" s="1320"/>
      <c r="AK76" s="1321"/>
      <c r="AN76" s="1315">
        <v>14590.134</v>
      </c>
    </row>
    <row r="77" spans="1:40" x14ac:dyDescent="0.2">
      <c r="A77" s="1323" t="s">
        <v>495</v>
      </c>
      <c r="B77" s="1324" t="s">
        <v>509</v>
      </c>
      <c r="C77" s="1325"/>
      <c r="D77" s="1326"/>
      <c r="E77" s="1326"/>
      <c r="F77" s="1326"/>
      <c r="G77" s="1327"/>
      <c r="H77" s="1328"/>
      <c r="I77" s="1326"/>
      <c r="J77" s="1326"/>
      <c r="K77" s="1326"/>
      <c r="L77" s="1326"/>
      <c r="M77" s="1326"/>
      <c r="N77" s="1326"/>
      <c r="O77" s="1326"/>
      <c r="P77" s="1329"/>
      <c r="Q77" s="1326"/>
      <c r="R77" s="1326"/>
      <c r="S77" s="1326"/>
      <c r="T77" s="1326"/>
      <c r="U77" s="1326"/>
      <c r="V77" s="1328"/>
      <c r="W77" s="1328"/>
      <c r="X77" s="1326"/>
      <c r="Y77" s="1326"/>
      <c r="Z77" s="1326"/>
      <c r="AA77" s="1326"/>
      <c r="AB77" s="1326"/>
      <c r="AC77" s="1326"/>
      <c r="AD77" s="1326"/>
      <c r="AE77" s="1326"/>
      <c r="AF77" s="1326"/>
      <c r="AG77" s="1326"/>
      <c r="AH77" s="1330">
        <f>SUM(C77:AG77)</f>
        <v>0</v>
      </c>
      <c r="AI77" s="1320"/>
      <c r="AJ77" s="1320"/>
      <c r="AK77" s="1321"/>
      <c r="AN77" s="1280">
        <v>1034.9559999999999</v>
      </c>
    </row>
    <row r="78" spans="1:40" ht="13.5" thickBot="1" x14ac:dyDescent="0.25">
      <c r="A78" s="1331" t="s">
        <v>697</v>
      </c>
      <c r="B78" s="1332" t="s">
        <v>510</v>
      </c>
      <c r="C78" s="1333"/>
      <c r="D78" s="1334"/>
      <c r="E78" s="1334"/>
      <c r="F78" s="1334"/>
      <c r="G78" s="1334"/>
      <c r="H78" s="1335"/>
      <c r="I78" s="1336"/>
      <c r="J78" s="1334"/>
      <c r="K78" s="1334"/>
      <c r="L78" s="1335"/>
      <c r="M78" s="1334"/>
      <c r="N78" s="1334"/>
      <c r="O78" s="1334"/>
      <c r="P78" s="1337"/>
      <c r="Q78" s="1335"/>
      <c r="R78" s="1334"/>
      <c r="S78" s="1334"/>
      <c r="T78" s="1334"/>
      <c r="U78" s="1334"/>
      <c r="V78" s="1335"/>
      <c r="W78" s="1334"/>
      <c r="X78" s="1334"/>
      <c r="Y78" s="1334"/>
      <c r="Z78" s="1334"/>
      <c r="AA78" s="1335"/>
      <c r="AB78" s="1334"/>
      <c r="AC78" s="1334"/>
      <c r="AD78" s="1334"/>
      <c r="AE78" s="1334"/>
      <c r="AF78" s="1334"/>
      <c r="AG78" s="1334"/>
      <c r="AH78" s="1338">
        <f>SUM(C78:AG78)</f>
        <v>0</v>
      </c>
      <c r="AI78" s="1320"/>
      <c r="AJ78" s="1320"/>
      <c r="AK78" s="1321"/>
      <c r="AN78" s="1280"/>
    </row>
    <row r="79" spans="1:40" x14ac:dyDescent="0.2">
      <c r="A79" s="1323" t="s">
        <v>495</v>
      </c>
      <c r="B79" s="1324" t="s">
        <v>509</v>
      </c>
      <c r="C79" s="1339"/>
      <c r="D79" s="1339"/>
      <c r="E79" s="1339"/>
      <c r="F79" s="1339"/>
      <c r="G79" s="1339"/>
      <c r="H79" s="1340"/>
      <c r="I79" s="1341"/>
      <c r="J79" s="1339"/>
      <c r="K79" s="1339"/>
      <c r="L79" s="1340"/>
      <c r="M79" s="1339"/>
      <c r="N79" s="1339"/>
      <c r="O79" s="1339"/>
      <c r="P79" s="1342"/>
      <c r="Q79" s="1340"/>
      <c r="R79" s="1339"/>
      <c r="S79" s="1339"/>
      <c r="T79" s="1339"/>
      <c r="U79" s="1339"/>
      <c r="V79" s="1340"/>
      <c r="W79" s="1339"/>
      <c r="X79" s="1339"/>
      <c r="Y79" s="1339"/>
      <c r="Z79" s="1339"/>
      <c r="AA79" s="1340"/>
      <c r="AB79" s="1339"/>
      <c r="AC79" s="1339"/>
      <c r="AD79" s="1339"/>
      <c r="AE79" s="1339"/>
      <c r="AF79" s="1339"/>
      <c r="AG79" s="1339"/>
      <c r="AH79" s="1330">
        <f>SUM(C79:AG79)</f>
        <v>0</v>
      </c>
      <c r="AI79" s="1320"/>
      <c r="AJ79" s="1320"/>
      <c r="AK79" s="1321"/>
      <c r="AN79" s="1280"/>
    </row>
    <row r="80" spans="1:40" ht="13.5" thickBot="1" x14ac:dyDescent="0.25">
      <c r="A80" s="1331" t="s">
        <v>696</v>
      </c>
      <c r="B80" s="1332" t="s">
        <v>510</v>
      </c>
      <c r="C80" s="1339"/>
      <c r="D80" s="1339"/>
      <c r="E80" s="1339"/>
      <c r="F80" s="1339"/>
      <c r="G80" s="1339"/>
      <c r="H80" s="1340"/>
      <c r="I80" s="1341"/>
      <c r="J80" s="1339"/>
      <c r="K80" s="1339"/>
      <c r="L80" s="1340"/>
      <c r="M80" s="1339"/>
      <c r="N80" s="1339"/>
      <c r="O80" s="1339"/>
      <c r="P80" s="1342"/>
      <c r="Q80" s="1340"/>
      <c r="R80" s="1339"/>
      <c r="S80" s="1339"/>
      <c r="T80" s="1339"/>
      <c r="U80" s="1339"/>
      <c r="V80" s="1340"/>
      <c r="W80" s="1339"/>
      <c r="X80" s="1339"/>
      <c r="Y80" s="1339"/>
      <c r="Z80" s="1339"/>
      <c r="AA80" s="1340"/>
      <c r="AB80" s="1339"/>
      <c r="AC80" s="1339"/>
      <c r="AD80" s="1339"/>
      <c r="AE80" s="1339"/>
      <c r="AF80" s="1339"/>
      <c r="AG80" s="1339"/>
      <c r="AH80" s="1343"/>
      <c r="AI80" s="1320"/>
      <c r="AJ80" s="1320"/>
      <c r="AK80" s="1321"/>
      <c r="AN80" s="1280"/>
    </row>
    <row r="81" spans="1:43" x14ac:dyDescent="0.2">
      <c r="A81" s="1344"/>
      <c r="B81" s="1230"/>
      <c r="C81" s="1228"/>
      <c r="D81" s="1228"/>
      <c r="E81" s="1228"/>
      <c r="F81" s="1228"/>
      <c r="G81" s="1228"/>
      <c r="H81" s="1228"/>
      <c r="I81" s="1228"/>
      <c r="J81" s="1228"/>
      <c r="K81" s="1228"/>
      <c r="L81" s="1228"/>
      <c r="M81" s="1228"/>
      <c r="N81" s="1228"/>
      <c r="O81" s="1228"/>
      <c r="P81" s="1229"/>
      <c r="Q81" s="1228"/>
      <c r="R81" s="1228"/>
      <c r="S81" s="1228"/>
      <c r="T81" s="1228"/>
      <c r="U81" s="1228"/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320"/>
      <c r="AJ81" s="1320"/>
      <c r="AK81" s="1321"/>
      <c r="AN81" s="1280">
        <v>2000</v>
      </c>
    </row>
    <row r="82" spans="1:43" s="1321" customFormat="1" x14ac:dyDescent="0.2">
      <c r="A82" s="1236" t="s">
        <v>2</v>
      </c>
      <c r="B82" s="1207"/>
      <c r="C82" s="1345">
        <f>SUM(C84:C121)</f>
        <v>7316.4530000000004</v>
      </c>
      <c r="D82" s="1227"/>
      <c r="E82" s="1346"/>
      <c r="F82" s="1227"/>
      <c r="G82" s="1347"/>
      <c r="H82" s="1228"/>
      <c r="I82" s="1227"/>
      <c r="J82" s="1227"/>
      <c r="K82" s="1227"/>
      <c r="L82" s="1227"/>
      <c r="M82" s="1228"/>
      <c r="N82" s="1228"/>
      <c r="O82" s="1228"/>
      <c r="P82" s="1229"/>
      <c r="Q82" s="1228"/>
      <c r="R82" s="1228"/>
      <c r="S82" s="1228"/>
      <c r="T82" s="1227"/>
      <c r="U82" s="1227"/>
      <c r="V82" s="1227"/>
      <c r="W82" s="1227"/>
      <c r="X82" s="1227"/>
      <c r="Y82" s="1227"/>
      <c r="Z82" s="1227"/>
      <c r="AA82" s="1227"/>
      <c r="AB82" s="1227"/>
      <c r="AC82" s="1227"/>
      <c r="AD82" s="1227"/>
      <c r="AE82" s="1228"/>
      <c r="AF82" s="1227"/>
      <c r="AG82" s="1227"/>
      <c r="AH82" s="1207"/>
      <c r="AN82" s="1348">
        <v>2358.498</v>
      </c>
    </row>
    <row r="83" spans="1:43" s="1321" customFormat="1" x14ac:dyDescent="0.2">
      <c r="A83" s="1237"/>
      <c r="B83" s="1207"/>
      <c r="C83" s="1345"/>
      <c r="D83" s="1207"/>
      <c r="E83" s="1207"/>
      <c r="F83" s="1207"/>
      <c r="G83" s="1349"/>
      <c r="H83" s="1207"/>
      <c r="I83" s="1207"/>
      <c r="J83" s="1207"/>
      <c r="K83" s="1207"/>
      <c r="L83" s="1207"/>
      <c r="M83" s="1207"/>
      <c r="N83" s="1207"/>
      <c r="O83" s="1207"/>
      <c r="P83" s="1208"/>
      <c r="Q83" s="1207"/>
      <c r="R83" s="1207"/>
      <c r="S83" s="1207"/>
      <c r="T83" s="1207"/>
      <c r="U83" s="1207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N83" s="1348">
        <v>1458.3630000000001</v>
      </c>
    </row>
    <row r="84" spans="1:43" s="1321" customFormat="1" x14ac:dyDescent="0.2">
      <c r="A84" s="1207" t="s">
        <v>30</v>
      </c>
      <c r="B84" s="1350">
        <v>42415</v>
      </c>
      <c r="C84" s="1351"/>
      <c r="D84" s="1208"/>
      <c r="E84" s="1207"/>
      <c r="F84" s="1207"/>
      <c r="G84" s="1349"/>
      <c r="H84" s="1207"/>
      <c r="I84" s="1207"/>
      <c r="J84" s="1207"/>
      <c r="K84" s="1352"/>
      <c r="L84" s="1208"/>
      <c r="M84" s="1229"/>
      <c r="N84" s="1207"/>
      <c r="O84" s="1207"/>
      <c r="P84" s="1208"/>
      <c r="Q84" s="1207"/>
      <c r="R84" s="1207"/>
      <c r="S84" s="1207"/>
      <c r="T84" s="1207"/>
      <c r="U84" s="1207"/>
      <c r="V84" s="1207"/>
      <c r="W84" s="1207"/>
      <c r="X84" s="1207"/>
      <c r="Y84" s="1207"/>
      <c r="Z84" s="1207"/>
      <c r="AA84" s="1207"/>
      <c r="AB84" s="1207"/>
      <c r="AC84" s="1207"/>
      <c r="AD84" s="1207"/>
      <c r="AE84" s="1207"/>
      <c r="AF84" s="1207"/>
      <c r="AG84" s="1207"/>
      <c r="AH84" s="1207"/>
      <c r="AN84" s="1315">
        <v>718.548</v>
      </c>
    </row>
    <row r="85" spans="1:43" s="1321" customFormat="1" x14ac:dyDescent="0.2">
      <c r="A85" s="1207"/>
      <c r="B85" s="1350">
        <v>42255</v>
      </c>
      <c r="C85" s="1351"/>
      <c r="D85" s="1208"/>
      <c r="F85" s="1207"/>
      <c r="G85" s="1353"/>
      <c r="H85" s="1207"/>
      <c r="I85" s="1207"/>
      <c r="J85" s="1207"/>
      <c r="K85" s="1208"/>
      <c r="L85" s="1208"/>
      <c r="M85" s="1208"/>
      <c r="N85" s="1207"/>
      <c r="O85" s="1207"/>
      <c r="P85" s="1208"/>
      <c r="Q85" s="1207"/>
      <c r="R85" s="1207"/>
      <c r="S85" s="1207"/>
      <c r="T85" s="1207"/>
      <c r="U85" s="1207"/>
      <c r="V85" s="1207"/>
      <c r="W85" s="1207"/>
      <c r="X85" s="1207"/>
      <c r="Y85" s="1207"/>
      <c r="Z85" s="1207"/>
      <c r="AA85" s="1207"/>
      <c r="AB85" s="1207"/>
      <c r="AC85" s="1207"/>
      <c r="AD85" s="1207"/>
      <c r="AE85" s="1207"/>
      <c r="AF85" s="1207"/>
      <c r="AG85" s="1207"/>
      <c r="AH85" s="1207"/>
      <c r="AN85" s="1315">
        <v>1820.952</v>
      </c>
    </row>
    <row r="86" spans="1:43" x14ac:dyDescent="0.2">
      <c r="A86" s="1207"/>
      <c r="B86" s="1350">
        <v>42248</v>
      </c>
      <c r="C86" s="1345"/>
      <c r="D86" s="1354"/>
      <c r="E86" s="1207"/>
      <c r="F86" s="1207"/>
      <c r="G86" s="1353"/>
      <c r="H86" s="1207"/>
      <c r="I86" s="1207"/>
      <c r="J86" s="1207"/>
      <c r="K86" s="1352"/>
      <c r="L86" s="1208"/>
      <c r="M86" s="1208"/>
      <c r="N86" s="1207"/>
      <c r="O86" s="1207"/>
      <c r="P86" s="1208"/>
      <c r="Q86" s="1207"/>
      <c r="R86" s="1207"/>
      <c r="S86" s="1207"/>
      <c r="T86" s="1207"/>
      <c r="U86" s="1207"/>
      <c r="V86" s="1207"/>
      <c r="W86" s="1207"/>
      <c r="X86" s="1207"/>
      <c r="Y86" s="1207"/>
      <c r="Z86" s="1207"/>
      <c r="AA86" s="1207"/>
      <c r="AB86" s="1207"/>
      <c r="AC86" s="1207"/>
      <c r="AD86" s="1207"/>
      <c r="AE86" s="1207"/>
      <c r="AF86" s="1207"/>
      <c r="AG86" s="1207"/>
      <c r="AH86" s="1207"/>
      <c r="AI86" s="1355"/>
      <c r="AJ86" s="1320"/>
      <c r="AN86" s="1315">
        <v>2110.3739999999998</v>
      </c>
      <c r="AP86" s="1209">
        <v>1701.6279999999999</v>
      </c>
      <c r="AQ86" s="1209" t="s">
        <v>491</v>
      </c>
    </row>
    <row r="87" spans="1:43" x14ac:dyDescent="0.2">
      <c r="A87" s="1207"/>
      <c r="B87" s="1350">
        <v>42248</v>
      </c>
      <c r="C87" s="1356"/>
      <c r="D87" s="1345"/>
      <c r="E87" s="1357"/>
      <c r="F87" s="1207"/>
      <c r="G87" s="1349"/>
      <c r="H87" s="1207"/>
      <c r="I87" s="1207"/>
      <c r="J87" s="1207"/>
      <c r="K87" s="1207"/>
      <c r="L87" s="1207"/>
      <c r="M87" s="1207"/>
      <c r="N87" s="1207"/>
      <c r="O87" s="1207"/>
      <c r="P87" s="1208"/>
      <c r="Q87" s="1207"/>
      <c r="R87" s="1207"/>
      <c r="S87" s="1207"/>
      <c r="T87" s="1207"/>
      <c r="U87" s="1207"/>
      <c r="V87" s="1207"/>
      <c r="W87" s="1207"/>
      <c r="X87" s="1207"/>
      <c r="Y87" s="1207"/>
      <c r="Z87" s="1207"/>
      <c r="AA87" s="1207"/>
      <c r="AB87" s="1207"/>
      <c r="AC87" s="1207"/>
      <c r="AD87" s="1207"/>
      <c r="AE87" s="1207"/>
      <c r="AF87" s="1207"/>
      <c r="AG87" s="1207"/>
      <c r="AH87" s="1207"/>
      <c r="AI87" s="1280"/>
      <c r="AN87" s="1315">
        <v>2000</v>
      </c>
      <c r="AP87" s="1209">
        <v>5818.643</v>
      </c>
      <c r="AQ87" s="1209" t="s">
        <v>492</v>
      </c>
    </row>
    <row r="88" spans="1:43" x14ac:dyDescent="0.2">
      <c r="A88" s="1207" t="s">
        <v>31</v>
      </c>
      <c r="B88" s="1350">
        <v>42488</v>
      </c>
      <c r="C88" s="1358"/>
      <c r="D88" s="1354"/>
      <c r="E88" s="1354"/>
      <c r="F88" s="1354"/>
      <c r="G88" s="1349"/>
      <c r="H88" s="1207"/>
      <c r="I88" s="1207"/>
      <c r="J88" s="1207"/>
      <c r="K88" s="1207"/>
      <c r="L88" s="1207"/>
      <c r="M88" s="1207"/>
      <c r="N88" s="1207"/>
      <c r="O88" s="1207"/>
      <c r="P88" s="1208"/>
      <c r="Q88" s="1207"/>
      <c r="R88" s="1207"/>
      <c r="S88" s="1207"/>
      <c r="T88" s="1207"/>
      <c r="U88" s="1207"/>
      <c r="V88" s="1207"/>
      <c r="W88" s="1207"/>
      <c r="X88" s="1207"/>
      <c r="Y88" s="1207"/>
      <c r="Z88" s="1207"/>
      <c r="AA88" s="1207"/>
      <c r="AB88" s="1207"/>
      <c r="AC88" s="1207"/>
      <c r="AD88" s="1207"/>
      <c r="AE88" s="1207"/>
      <c r="AF88" s="1207"/>
      <c r="AG88" s="1207"/>
      <c r="AH88" s="1207"/>
      <c r="AI88" s="1280"/>
      <c r="AN88" s="1315">
        <v>1841.7439999999999</v>
      </c>
    </row>
    <row r="89" spans="1:43" x14ac:dyDescent="0.2">
      <c r="A89" s="1207"/>
      <c r="B89" s="1350">
        <v>42489</v>
      </c>
      <c r="C89" s="1354"/>
      <c r="D89" s="1354"/>
      <c r="E89" s="1354"/>
      <c r="F89" s="1207"/>
      <c r="G89" s="1353"/>
      <c r="H89" s="1207"/>
      <c r="I89" s="1207"/>
      <c r="J89" s="1207"/>
      <c r="K89" s="1207"/>
      <c r="L89" s="1207"/>
      <c r="M89" s="1207"/>
      <c r="N89" s="1207"/>
      <c r="O89" s="1207"/>
      <c r="P89" s="1208"/>
      <c r="Q89" s="1207"/>
      <c r="R89" s="1207"/>
      <c r="S89" s="1207"/>
      <c r="T89" s="1207"/>
      <c r="U89" s="1207"/>
      <c r="V89" s="1207"/>
      <c r="W89" s="1207"/>
      <c r="X89" s="1207"/>
      <c r="Y89" s="1207"/>
      <c r="Z89" s="1207"/>
      <c r="AA89" s="1207"/>
      <c r="AB89" s="1207"/>
      <c r="AC89" s="1207"/>
      <c r="AD89" s="1207"/>
      <c r="AE89" s="1207"/>
      <c r="AF89" s="1207"/>
      <c r="AG89" s="1207"/>
      <c r="AH89" s="1207"/>
      <c r="AI89" s="1280"/>
      <c r="AN89" s="1315">
        <v>747.24800000000005</v>
      </c>
    </row>
    <row r="90" spans="1:43" x14ac:dyDescent="0.2">
      <c r="A90" s="1207"/>
      <c r="B90" s="1350">
        <v>42486</v>
      </c>
      <c r="C90" s="1359"/>
      <c r="D90" s="1354"/>
      <c r="E90" s="1357"/>
      <c r="F90" s="1207"/>
      <c r="G90" s="1360"/>
      <c r="H90" s="1207"/>
      <c r="I90" s="1207"/>
      <c r="J90" s="1207"/>
      <c r="K90" s="1207"/>
      <c r="L90" s="1207"/>
      <c r="M90" s="1207"/>
      <c r="N90" s="1207"/>
      <c r="O90" s="1207"/>
      <c r="P90" s="1208"/>
      <c r="Q90" s="1207"/>
      <c r="R90" s="1207"/>
      <c r="S90" s="1207"/>
      <c r="T90" s="1207"/>
      <c r="U90" s="1207"/>
      <c r="V90" s="1207"/>
      <c r="W90" s="1207"/>
      <c r="X90" s="1207"/>
      <c r="Y90" s="1207"/>
      <c r="Z90" s="1207"/>
      <c r="AA90" s="1207"/>
      <c r="AB90" s="1207"/>
      <c r="AC90" s="1207"/>
      <c r="AD90" s="1207"/>
      <c r="AE90" s="1207"/>
      <c r="AF90" s="1207"/>
      <c r="AG90" s="1207"/>
      <c r="AH90" s="1207"/>
      <c r="AI90" s="1280"/>
      <c r="AN90" s="1315">
        <v>4413.4639999999999</v>
      </c>
    </row>
    <row r="91" spans="1:43" x14ac:dyDescent="0.2">
      <c r="A91" s="1207"/>
      <c r="B91" s="1350">
        <v>42485</v>
      </c>
      <c r="C91" s="1358"/>
      <c r="D91" s="1354"/>
      <c r="E91" s="1354"/>
      <c r="F91" s="1207"/>
      <c r="G91" s="1360"/>
      <c r="H91" s="1207"/>
      <c r="I91" s="1207"/>
      <c r="J91" s="1207"/>
      <c r="K91" s="1207"/>
      <c r="L91" s="1207"/>
      <c r="M91" s="1207"/>
      <c r="N91" s="1207"/>
      <c r="O91" s="1207"/>
      <c r="P91" s="1208"/>
      <c r="Q91" s="1207"/>
      <c r="R91" s="1207"/>
      <c r="S91" s="1207"/>
      <c r="T91" s="1207"/>
      <c r="U91" s="1207"/>
      <c r="V91" s="1207"/>
      <c r="W91" s="1207"/>
      <c r="X91" s="1207"/>
      <c r="Y91" s="1207"/>
      <c r="Z91" s="1207"/>
      <c r="AA91" s="1207"/>
      <c r="AB91" s="1207"/>
      <c r="AC91" s="1207"/>
      <c r="AD91" s="1207"/>
      <c r="AE91" s="1207"/>
      <c r="AF91" s="1207"/>
      <c r="AG91" s="1207"/>
      <c r="AH91" s="1207"/>
      <c r="AN91" s="1315">
        <v>1836.3130000000001</v>
      </c>
    </row>
    <row r="92" spans="1:43" x14ac:dyDescent="0.2">
      <c r="A92" s="1207"/>
      <c r="B92" s="1350">
        <v>42475</v>
      </c>
      <c r="C92" s="1358"/>
      <c r="D92" s="1354"/>
      <c r="E92" s="1354"/>
      <c r="F92" s="1207"/>
      <c r="G92" s="1207"/>
      <c r="H92" s="1207"/>
      <c r="I92" s="1207"/>
      <c r="J92" s="1207"/>
      <c r="K92" s="1207"/>
      <c r="L92" s="1207"/>
      <c r="M92" s="1207"/>
      <c r="N92" s="1207"/>
      <c r="O92" s="1207"/>
      <c r="P92" s="1208"/>
      <c r="Q92" s="1207"/>
      <c r="R92" s="1207"/>
      <c r="S92" s="1207"/>
      <c r="T92" s="1207"/>
      <c r="U92" s="1207"/>
      <c r="V92" s="1207"/>
      <c r="W92" s="1207"/>
      <c r="X92" s="1207"/>
      <c r="Y92" s="1207"/>
      <c r="Z92" s="1207"/>
      <c r="AA92" s="1207"/>
      <c r="AB92" s="1207"/>
      <c r="AC92" s="1207"/>
      <c r="AD92" s="1207"/>
      <c r="AE92" s="1207"/>
      <c r="AF92" s="1207"/>
      <c r="AG92" s="1207"/>
      <c r="AH92" s="1207"/>
      <c r="AN92" s="1315">
        <v>8000</v>
      </c>
    </row>
    <row r="93" spans="1:43" x14ac:dyDescent="0.2">
      <c r="A93" s="1207"/>
      <c r="B93" s="1350">
        <v>42482</v>
      </c>
      <c r="C93" s="1363"/>
      <c r="D93" s="1354"/>
      <c r="E93" s="1354"/>
      <c r="F93" s="1207"/>
      <c r="G93" s="1207"/>
      <c r="H93" s="1207"/>
      <c r="I93" s="1207"/>
      <c r="J93" s="1207"/>
      <c r="K93" s="1207"/>
      <c r="L93" s="1207"/>
      <c r="M93" s="1207"/>
      <c r="N93" s="1207"/>
      <c r="O93" s="1207"/>
      <c r="P93" s="1208"/>
      <c r="Q93" s="1207"/>
      <c r="R93" s="1207"/>
      <c r="S93" s="1207"/>
      <c r="T93" s="1207"/>
      <c r="U93" s="1207"/>
      <c r="V93" s="1207"/>
      <c r="W93" s="1207"/>
      <c r="X93" s="1207"/>
      <c r="Y93" s="1207"/>
      <c r="Z93" s="1207"/>
      <c r="AA93" s="1207"/>
      <c r="AB93" s="1207"/>
      <c r="AC93" s="1207"/>
      <c r="AD93" s="1207"/>
      <c r="AE93" s="1207"/>
      <c r="AF93" s="1207"/>
      <c r="AG93" s="1207"/>
      <c r="AH93" s="1207"/>
      <c r="AN93" s="1280">
        <f>SUM(AN44:AN92)</f>
        <v>167376.80400000003</v>
      </c>
      <c r="AP93" s="1361">
        <f>AN93+AP86+AP87</f>
        <v>174897.07500000004</v>
      </c>
    </row>
    <row r="94" spans="1:43" x14ac:dyDescent="0.2">
      <c r="A94" s="1207"/>
      <c r="B94" s="1350">
        <v>42481</v>
      </c>
      <c r="C94" s="1363"/>
      <c r="D94" s="1354"/>
      <c r="E94" s="1354"/>
      <c r="F94" s="1207"/>
      <c r="G94" s="1207"/>
      <c r="H94" s="1207"/>
      <c r="I94" s="1207"/>
      <c r="J94" s="1207"/>
      <c r="K94" s="1207"/>
      <c r="L94" s="1207"/>
      <c r="M94" s="1207"/>
      <c r="N94" s="1207"/>
      <c r="O94" s="1207"/>
      <c r="P94" s="1208"/>
      <c r="Q94" s="1207"/>
      <c r="R94" s="1207"/>
      <c r="S94" s="1207"/>
      <c r="T94" s="1207"/>
      <c r="U94" s="1207"/>
      <c r="V94" s="1207"/>
      <c r="W94" s="1207"/>
      <c r="X94" s="1207"/>
      <c r="Y94" s="1207"/>
      <c r="Z94" s="1207"/>
      <c r="AA94" s="1207"/>
      <c r="AB94" s="1207"/>
      <c r="AC94" s="1207"/>
      <c r="AD94" s="1207"/>
      <c r="AE94" s="1207"/>
      <c r="AF94" s="1207"/>
      <c r="AG94" s="1207"/>
      <c r="AH94" s="1207"/>
      <c r="AN94" s="1280"/>
      <c r="AP94" s="1361"/>
    </row>
    <row r="95" spans="1:43" x14ac:dyDescent="0.2">
      <c r="A95" s="1207"/>
      <c r="B95" s="1350">
        <v>42483</v>
      </c>
      <c r="C95" s="1363"/>
      <c r="D95" s="1354"/>
      <c r="E95" s="1354"/>
      <c r="F95" s="1207"/>
      <c r="G95" s="1207"/>
      <c r="H95" s="1207"/>
      <c r="I95" s="1207"/>
      <c r="J95" s="1207"/>
      <c r="K95" s="1207"/>
      <c r="L95" s="1207"/>
      <c r="M95" s="1207"/>
      <c r="N95" s="1207"/>
      <c r="O95" s="1207"/>
      <c r="P95" s="1208"/>
      <c r="Q95" s="1207"/>
      <c r="R95" s="1207"/>
      <c r="S95" s="1207"/>
      <c r="T95" s="1207"/>
      <c r="U95" s="1207"/>
      <c r="V95" s="1207"/>
      <c r="W95" s="1207"/>
      <c r="X95" s="1207"/>
      <c r="Y95" s="1207"/>
      <c r="Z95" s="1207"/>
      <c r="AA95" s="1207"/>
      <c r="AB95" s="1207"/>
      <c r="AC95" s="1207"/>
      <c r="AD95" s="1207"/>
      <c r="AE95" s="1207"/>
      <c r="AF95" s="1207"/>
      <c r="AG95" s="1207"/>
      <c r="AH95" s="1207"/>
      <c r="AN95" s="1280"/>
      <c r="AP95" s="1361"/>
    </row>
    <row r="96" spans="1:43" x14ac:dyDescent="0.2">
      <c r="A96" s="1207"/>
      <c r="B96" s="1350">
        <v>42484</v>
      </c>
      <c r="C96" s="1363"/>
      <c r="D96" s="1354"/>
      <c r="E96" s="1354"/>
      <c r="F96" s="1207"/>
      <c r="G96" s="1207"/>
      <c r="H96" s="1207"/>
      <c r="I96" s="1207"/>
      <c r="J96" s="1207"/>
      <c r="K96" s="1207"/>
      <c r="L96" s="1207"/>
      <c r="M96" s="1207"/>
      <c r="N96" s="1207"/>
      <c r="O96" s="1207"/>
      <c r="P96" s="1208"/>
      <c r="Q96" s="1207"/>
      <c r="R96" s="1207"/>
      <c r="S96" s="1207"/>
      <c r="T96" s="1207"/>
      <c r="U96" s="1207"/>
      <c r="V96" s="1207"/>
      <c r="W96" s="1207"/>
      <c r="X96" s="1207"/>
      <c r="Y96" s="1207"/>
      <c r="Z96" s="1207"/>
      <c r="AA96" s="1207"/>
      <c r="AB96" s="1207"/>
      <c r="AC96" s="1207"/>
      <c r="AD96" s="1207"/>
      <c r="AE96" s="1207"/>
      <c r="AF96" s="1207"/>
      <c r="AG96" s="1207"/>
      <c r="AH96" s="1207"/>
      <c r="AN96" s="1280"/>
      <c r="AP96" s="1361"/>
    </row>
    <row r="97" spans="1:42" x14ac:dyDescent="0.2">
      <c r="A97" s="1207"/>
      <c r="B97" s="1350">
        <v>42485</v>
      </c>
      <c r="C97" s="1363"/>
      <c r="D97" s="1354"/>
      <c r="E97" s="1354"/>
      <c r="F97" s="1207"/>
      <c r="G97" s="1207"/>
      <c r="H97" s="1207"/>
      <c r="I97" s="1207"/>
      <c r="J97" s="1207"/>
      <c r="K97" s="1207"/>
      <c r="L97" s="1207"/>
      <c r="M97" s="1207"/>
      <c r="N97" s="1207"/>
      <c r="O97" s="1207"/>
      <c r="P97" s="1208"/>
      <c r="Q97" s="1207"/>
      <c r="R97" s="1207"/>
      <c r="S97" s="1207"/>
      <c r="T97" s="1207"/>
      <c r="U97" s="1207"/>
      <c r="V97" s="1207"/>
      <c r="W97" s="1207"/>
      <c r="X97" s="1207"/>
      <c r="Y97" s="1207"/>
      <c r="Z97" s="1207"/>
      <c r="AA97" s="1207"/>
      <c r="AB97" s="1207"/>
      <c r="AC97" s="1207"/>
      <c r="AD97" s="1207"/>
      <c r="AE97" s="1207"/>
      <c r="AF97" s="1207"/>
      <c r="AG97" s="1207"/>
      <c r="AH97" s="1207"/>
      <c r="AN97" s="1280"/>
      <c r="AP97" s="1361"/>
    </row>
    <row r="98" spans="1:42" x14ac:dyDescent="0.2">
      <c r="A98" s="1207"/>
      <c r="B98" s="1350">
        <v>42487</v>
      </c>
      <c r="C98" s="1363"/>
      <c r="D98" s="1354"/>
      <c r="E98" s="1354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8"/>
      <c r="Q98" s="1207"/>
      <c r="R98" s="1207"/>
      <c r="S98" s="1207"/>
      <c r="T98" s="1207"/>
      <c r="U98" s="1207"/>
      <c r="V98" s="1207"/>
      <c r="W98" s="1207"/>
      <c r="X98" s="1207"/>
      <c r="Y98" s="1207"/>
      <c r="Z98" s="1207"/>
      <c r="AA98" s="1207"/>
      <c r="AB98" s="1207"/>
      <c r="AC98" s="1207"/>
      <c r="AD98" s="1207"/>
      <c r="AE98" s="1207"/>
      <c r="AF98" s="1207"/>
      <c r="AG98" s="1207"/>
      <c r="AH98" s="1207"/>
      <c r="AN98" s="1280"/>
      <c r="AP98" s="1361"/>
    </row>
    <row r="99" spans="1:42" x14ac:dyDescent="0.2">
      <c r="A99" s="1207"/>
      <c r="B99" s="1350">
        <v>42488</v>
      </c>
      <c r="C99" s="1363"/>
      <c r="D99" s="1354"/>
      <c r="E99" s="1354"/>
      <c r="F99" s="1207"/>
      <c r="G99" s="1207"/>
      <c r="H99" s="1207"/>
      <c r="I99" s="1207"/>
      <c r="J99" s="1207"/>
      <c r="K99" s="1207"/>
      <c r="L99" s="1207"/>
      <c r="M99" s="1207"/>
      <c r="N99" s="1207"/>
      <c r="O99" s="1207"/>
      <c r="P99" s="1208"/>
      <c r="Q99" s="1207"/>
      <c r="R99" s="1207"/>
      <c r="S99" s="1207"/>
      <c r="T99" s="1207"/>
      <c r="U99" s="1207"/>
      <c r="V99" s="1207"/>
      <c r="W99" s="1207"/>
      <c r="X99" s="1207"/>
      <c r="Y99" s="1207"/>
      <c r="Z99" s="1207"/>
      <c r="AA99" s="1207"/>
      <c r="AB99" s="1207"/>
      <c r="AC99" s="1207"/>
      <c r="AD99" s="1207"/>
      <c r="AE99" s="1207"/>
      <c r="AF99" s="1207"/>
      <c r="AG99" s="1207"/>
      <c r="AH99" s="1207"/>
      <c r="AN99" s="1280"/>
      <c r="AP99" s="1361"/>
    </row>
    <row r="100" spans="1:42" x14ac:dyDescent="0.2">
      <c r="A100" s="1207"/>
      <c r="B100" s="1350">
        <v>42489</v>
      </c>
      <c r="C100" s="1363"/>
      <c r="D100" s="1354"/>
      <c r="E100" s="1354"/>
      <c r="F100" s="1207"/>
      <c r="G100" s="1207"/>
      <c r="H100" s="1207"/>
      <c r="I100" s="1207"/>
      <c r="J100" s="1207"/>
      <c r="K100" s="1207"/>
      <c r="L100" s="1207"/>
      <c r="M100" s="1207"/>
      <c r="N100" s="1207"/>
      <c r="O100" s="1207"/>
      <c r="P100" s="1208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07"/>
      <c r="AA100" s="1207"/>
      <c r="AB100" s="1207"/>
      <c r="AC100" s="1207"/>
      <c r="AD100" s="1207"/>
      <c r="AE100" s="1207"/>
      <c r="AF100" s="1207"/>
      <c r="AG100" s="1207"/>
      <c r="AH100" s="1207"/>
      <c r="AN100" s="1280"/>
      <c r="AP100" s="1361"/>
    </row>
    <row r="101" spans="1:42" x14ac:dyDescent="0.2">
      <c r="A101" s="1207"/>
      <c r="B101" s="1350">
        <v>42490</v>
      </c>
      <c r="C101" s="1363"/>
      <c r="D101" s="1354"/>
      <c r="E101" s="1354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8"/>
      <c r="Q101" s="1207"/>
      <c r="R101" s="1207"/>
      <c r="S101" s="1207"/>
      <c r="T101" s="1207"/>
      <c r="U101" s="1207"/>
      <c r="V101" s="1207"/>
      <c r="W101" s="1207"/>
      <c r="X101" s="1207"/>
      <c r="Y101" s="1207"/>
      <c r="Z101" s="1207"/>
      <c r="AA101" s="1207"/>
      <c r="AB101" s="1207"/>
      <c r="AC101" s="1207"/>
      <c r="AD101" s="1207"/>
      <c r="AE101" s="1207"/>
      <c r="AF101" s="1207"/>
      <c r="AG101" s="1207"/>
      <c r="AH101" s="1207"/>
      <c r="AN101" s="1280"/>
      <c r="AP101" s="1361"/>
    </row>
    <row r="102" spans="1:42" x14ac:dyDescent="0.2">
      <c r="A102" s="1207"/>
      <c r="B102" s="1350">
        <v>42472</v>
      </c>
      <c r="C102" s="1363"/>
      <c r="D102" s="1354"/>
      <c r="E102" s="1354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8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07"/>
      <c r="AA102" s="1207"/>
      <c r="AB102" s="1207"/>
      <c r="AC102" s="1207"/>
      <c r="AD102" s="1207"/>
      <c r="AE102" s="1207"/>
      <c r="AF102" s="1207"/>
      <c r="AG102" s="1207"/>
      <c r="AH102" s="1207"/>
      <c r="AN102" s="1280"/>
      <c r="AP102" s="1361"/>
    </row>
    <row r="103" spans="1:42" x14ac:dyDescent="0.2">
      <c r="A103" s="1207"/>
      <c r="B103" s="1350">
        <v>42473</v>
      </c>
      <c r="C103" s="1363"/>
      <c r="D103" s="1354"/>
      <c r="E103" s="1354"/>
      <c r="F103" s="1207"/>
      <c r="G103" s="1207"/>
      <c r="H103" s="1207"/>
      <c r="I103" s="1207"/>
      <c r="J103" s="1207"/>
      <c r="K103" s="1207"/>
      <c r="L103" s="1207"/>
      <c r="M103" s="1207"/>
      <c r="N103" s="1207"/>
      <c r="O103" s="1207"/>
      <c r="P103" s="1208"/>
      <c r="Q103" s="1207"/>
      <c r="R103" s="1207"/>
      <c r="S103" s="1207"/>
      <c r="T103" s="1207"/>
      <c r="U103" s="1207"/>
      <c r="V103" s="1207"/>
      <c r="W103" s="1207"/>
      <c r="X103" s="1207"/>
      <c r="Y103" s="1207"/>
      <c r="Z103" s="1207"/>
      <c r="AA103" s="1207"/>
      <c r="AB103" s="1207"/>
      <c r="AC103" s="1207"/>
      <c r="AD103" s="1207"/>
      <c r="AE103" s="1207"/>
      <c r="AF103" s="1207"/>
      <c r="AG103" s="1207"/>
      <c r="AH103" s="1207"/>
      <c r="AN103" s="1280"/>
      <c r="AP103" s="1361"/>
    </row>
    <row r="104" spans="1:42" x14ac:dyDescent="0.2">
      <c r="A104" s="1207"/>
      <c r="B104" s="1350">
        <v>42474</v>
      </c>
      <c r="C104" s="1363"/>
      <c r="D104" s="1354"/>
      <c r="E104" s="1354"/>
      <c r="F104" s="1207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8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07"/>
      <c r="AA104" s="1207"/>
      <c r="AB104" s="1207"/>
      <c r="AC104" s="1207"/>
      <c r="AD104" s="1207"/>
      <c r="AE104" s="1207"/>
      <c r="AF104" s="1207"/>
      <c r="AG104" s="1207"/>
      <c r="AH104" s="1207"/>
      <c r="AN104" s="1280"/>
      <c r="AP104" s="1361"/>
    </row>
    <row r="105" spans="1:42" x14ac:dyDescent="0.2">
      <c r="A105" s="1207"/>
      <c r="B105" s="1350">
        <v>42478</v>
      </c>
      <c r="C105" s="1364"/>
      <c r="D105" s="1354"/>
      <c r="E105" s="1354"/>
      <c r="F105" s="1207"/>
      <c r="G105" s="1207"/>
      <c r="H105" s="1207"/>
      <c r="I105" s="1207"/>
      <c r="J105" s="1207"/>
      <c r="K105" s="1207"/>
      <c r="L105" s="1207"/>
      <c r="M105" s="1207"/>
      <c r="N105" s="1207"/>
      <c r="O105" s="1207"/>
      <c r="P105" s="1208"/>
      <c r="Q105" s="1207"/>
      <c r="R105" s="1207"/>
      <c r="S105" s="1207"/>
      <c r="T105" s="1207"/>
      <c r="U105" s="1207"/>
      <c r="V105" s="1207"/>
      <c r="W105" s="1207"/>
      <c r="X105" s="1207"/>
      <c r="Y105" s="1207"/>
      <c r="Z105" s="1207"/>
      <c r="AA105" s="1207"/>
      <c r="AB105" s="1207"/>
      <c r="AC105" s="1207"/>
      <c r="AD105" s="1207"/>
      <c r="AE105" s="1207"/>
      <c r="AF105" s="1207"/>
      <c r="AG105" s="1207"/>
      <c r="AH105" s="1207"/>
      <c r="AN105" s="1280"/>
      <c r="AP105" s="1361"/>
    </row>
    <row r="106" spans="1:42" x14ac:dyDescent="0.2">
      <c r="A106" s="1207"/>
      <c r="B106" s="1350">
        <v>42471</v>
      </c>
      <c r="C106" s="1364">
        <v>7316.4530000000004</v>
      </c>
      <c r="D106" s="1354"/>
      <c r="E106" s="1354"/>
      <c r="F106" s="1207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8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07"/>
      <c r="AA106" s="1207"/>
      <c r="AB106" s="1207"/>
      <c r="AC106" s="1207"/>
      <c r="AD106" s="1207"/>
      <c r="AE106" s="1207"/>
      <c r="AF106" s="1207"/>
      <c r="AG106" s="1207"/>
      <c r="AH106" s="1207"/>
      <c r="AN106" s="1280"/>
      <c r="AP106" s="1361"/>
    </row>
    <row r="107" spans="1:42" x14ac:dyDescent="0.2">
      <c r="A107" s="1207"/>
      <c r="B107" s="1350">
        <v>42437</v>
      </c>
      <c r="C107" s="1364"/>
      <c r="D107" s="1354" t="s">
        <v>813</v>
      </c>
      <c r="E107" s="1354"/>
      <c r="F107" s="1207"/>
      <c r="G107" s="1207"/>
      <c r="H107" s="1207"/>
      <c r="I107" s="1207"/>
      <c r="J107" s="1207"/>
      <c r="K107" s="1207"/>
      <c r="L107" s="1207"/>
      <c r="M107" s="1207"/>
      <c r="N107" s="1207"/>
      <c r="O107" s="1207"/>
      <c r="P107" s="1208"/>
      <c r="Q107" s="1207"/>
      <c r="R107" s="1207"/>
      <c r="S107" s="1207"/>
      <c r="T107" s="1207"/>
      <c r="U107" s="1207"/>
      <c r="V107" s="1207"/>
      <c r="W107" s="1207"/>
      <c r="X107" s="1207"/>
      <c r="Y107" s="1207"/>
      <c r="Z107" s="1207"/>
      <c r="AA107" s="1207"/>
      <c r="AB107" s="1207"/>
      <c r="AC107" s="1207"/>
      <c r="AD107" s="1207"/>
      <c r="AE107" s="1207"/>
      <c r="AF107" s="1207"/>
      <c r="AG107" s="1207"/>
      <c r="AH107" s="1207"/>
      <c r="AN107" s="1280"/>
      <c r="AP107" s="1361"/>
    </row>
    <row r="108" spans="1:42" x14ac:dyDescent="0.2">
      <c r="A108" s="1207" t="s">
        <v>436</v>
      </c>
      <c r="B108" s="1350">
        <v>42349</v>
      </c>
      <c r="C108" s="1358"/>
      <c r="D108" s="1354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8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N108" s="1280"/>
    </row>
    <row r="109" spans="1:42" x14ac:dyDescent="0.2">
      <c r="A109" s="1365" t="s">
        <v>32</v>
      </c>
      <c r="B109" s="1350">
        <v>42488</v>
      </c>
      <c r="C109" s="1351"/>
      <c r="D109" s="1354"/>
      <c r="E109" s="1207"/>
      <c r="F109" s="1207"/>
      <c r="G109" s="1346"/>
      <c r="H109" s="1354"/>
      <c r="I109" s="1207"/>
      <c r="J109" s="1207"/>
      <c r="K109" s="1207"/>
      <c r="L109" s="1207"/>
      <c r="M109" s="1207"/>
      <c r="N109" s="1207"/>
      <c r="O109" s="1207"/>
      <c r="P109" s="1208"/>
      <c r="Q109" s="1207"/>
      <c r="R109" s="1207"/>
      <c r="S109" s="1207"/>
      <c r="T109" s="1207"/>
      <c r="U109" s="1207"/>
      <c r="V109" s="1207"/>
      <c r="W109" s="1207"/>
      <c r="X109" s="1207"/>
      <c r="Y109" s="1207"/>
      <c r="Z109" s="1207"/>
      <c r="AA109" s="1207"/>
      <c r="AB109" s="1207"/>
      <c r="AC109" s="1207"/>
      <c r="AD109" s="1207"/>
      <c r="AE109" s="1207"/>
      <c r="AF109" s="1207"/>
      <c r="AG109" s="1207"/>
      <c r="AH109" s="1207"/>
      <c r="AN109" s="1280">
        <v>222914.55799999999</v>
      </c>
    </row>
    <row r="110" spans="1:42" x14ac:dyDescent="0.2">
      <c r="A110" s="1365" t="s">
        <v>33</v>
      </c>
      <c r="B110" s="1350">
        <v>42482</v>
      </c>
      <c r="C110" s="1351"/>
      <c r="D110" s="1354"/>
      <c r="E110" s="1351"/>
      <c r="F110" s="121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8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07"/>
      <c r="AA110" s="1207"/>
      <c r="AB110" s="1207"/>
      <c r="AC110" s="1207"/>
      <c r="AD110" s="1207"/>
      <c r="AE110" s="1207"/>
      <c r="AF110" s="1207"/>
      <c r="AG110" s="1207"/>
      <c r="AH110" s="1207"/>
    </row>
    <row r="111" spans="1:42" x14ac:dyDescent="0.2">
      <c r="A111" s="1365" t="s">
        <v>32</v>
      </c>
      <c r="B111" s="1350">
        <v>42485</v>
      </c>
      <c r="C111" s="1351"/>
      <c r="D111" s="1207"/>
      <c r="E111" s="1350"/>
      <c r="F111" s="1219"/>
      <c r="G111" s="1207"/>
      <c r="H111" s="1207"/>
      <c r="I111" s="1207"/>
      <c r="J111" s="1207"/>
      <c r="K111" s="1207"/>
      <c r="L111" s="1207"/>
      <c r="M111" s="1207"/>
      <c r="N111" s="1207"/>
      <c r="O111" s="1207"/>
      <c r="P111" s="1208"/>
      <c r="Q111" s="1207"/>
      <c r="R111" s="1207"/>
      <c r="S111" s="1207"/>
      <c r="T111" s="1207"/>
      <c r="U111" s="1207"/>
      <c r="V111" s="1207"/>
      <c r="W111" s="1207"/>
      <c r="X111" s="1207"/>
      <c r="Y111" s="1207"/>
      <c r="Z111" s="1207"/>
      <c r="AA111" s="1207"/>
      <c r="AB111" s="1207"/>
      <c r="AC111" s="1207"/>
      <c r="AD111" s="1207"/>
      <c r="AE111" s="1207"/>
      <c r="AF111" s="1207"/>
      <c r="AG111" s="1207"/>
      <c r="AH111" s="1207"/>
      <c r="AN111" s="1361">
        <f>AN109-AN93</f>
        <v>55537.753999999957</v>
      </c>
    </row>
    <row r="112" spans="1:42" x14ac:dyDescent="0.2">
      <c r="A112" s="1365" t="s">
        <v>32</v>
      </c>
      <c r="B112" s="1350">
        <v>42486</v>
      </c>
      <c r="C112" s="1351"/>
      <c r="D112" s="1207"/>
      <c r="E112" s="1350"/>
      <c r="F112" s="121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8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07"/>
      <c r="AA112" s="1207"/>
      <c r="AB112" s="1207"/>
      <c r="AC112" s="1207"/>
      <c r="AD112" s="1207"/>
      <c r="AE112" s="1207"/>
      <c r="AF112" s="1207"/>
      <c r="AG112" s="1207"/>
      <c r="AH112" s="1207"/>
    </row>
    <row r="113" spans="1:34" x14ac:dyDescent="0.2">
      <c r="A113" s="1365" t="s">
        <v>33</v>
      </c>
      <c r="B113" s="1350">
        <v>42486</v>
      </c>
      <c r="C113" s="1351"/>
      <c r="D113" s="1207"/>
      <c r="E113" s="1207"/>
      <c r="F113" s="1207"/>
      <c r="G113" s="1207"/>
      <c r="H113" s="1207"/>
      <c r="I113" s="1207"/>
      <c r="J113" s="1207"/>
      <c r="K113" s="1207"/>
      <c r="L113" s="1207"/>
      <c r="M113" s="1207"/>
      <c r="N113" s="1207"/>
      <c r="O113" s="1207"/>
      <c r="P113" s="1208"/>
      <c r="Q113" s="1207"/>
      <c r="R113" s="1207"/>
      <c r="S113" s="1207"/>
      <c r="T113" s="1207"/>
      <c r="U113" s="1207"/>
      <c r="V113" s="1207"/>
      <c r="W113" s="1207"/>
      <c r="X113" s="1207"/>
      <c r="Y113" s="1207"/>
      <c r="Z113" s="1207"/>
      <c r="AA113" s="1207"/>
      <c r="AB113" s="1207"/>
      <c r="AC113" s="1207"/>
      <c r="AD113" s="1207"/>
      <c r="AE113" s="1207"/>
      <c r="AF113" s="1207"/>
      <c r="AG113" s="1207"/>
      <c r="AH113" s="1207"/>
    </row>
    <row r="114" spans="1:34" x14ac:dyDescent="0.2">
      <c r="A114" s="1365" t="s">
        <v>33</v>
      </c>
      <c r="B114" s="1350">
        <v>42487</v>
      </c>
      <c r="C114" s="1351"/>
      <c r="D114" s="1207"/>
      <c r="E114" s="1354"/>
      <c r="F114" s="1207"/>
      <c r="G114" s="1207"/>
      <c r="H114" s="1207"/>
      <c r="I114" s="1207"/>
      <c r="J114" s="1207"/>
      <c r="K114" s="1207"/>
      <c r="L114" s="1207"/>
      <c r="M114" s="1207"/>
      <c r="N114" s="1207"/>
      <c r="O114" s="1207"/>
      <c r="P114" s="1208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07"/>
      <c r="AA114" s="1207"/>
      <c r="AB114" s="1207"/>
      <c r="AC114" s="1207"/>
      <c r="AD114" s="1207"/>
      <c r="AE114" s="1207"/>
      <c r="AF114" s="1207"/>
      <c r="AG114" s="1207"/>
      <c r="AH114" s="1207"/>
    </row>
    <row r="115" spans="1:34" x14ac:dyDescent="0.2">
      <c r="A115" s="1365" t="s">
        <v>32</v>
      </c>
      <c r="B115" s="1350">
        <v>42467</v>
      </c>
      <c r="C115" s="1351"/>
      <c r="D115" s="1354"/>
      <c r="E115" s="1354"/>
      <c r="F115" s="1207"/>
      <c r="G115" s="1207"/>
      <c r="H115" s="1207"/>
      <c r="I115" s="1207"/>
      <c r="J115" s="1207"/>
      <c r="K115" s="1207"/>
      <c r="L115" s="1207"/>
      <c r="M115" s="1207"/>
      <c r="N115" s="1207"/>
      <c r="O115" s="1207"/>
      <c r="P115" s="1208"/>
      <c r="Q115" s="1207"/>
      <c r="R115" s="1207"/>
      <c r="S115" s="1207"/>
      <c r="T115" s="1207"/>
      <c r="U115" s="1207"/>
      <c r="V115" s="1207"/>
      <c r="W115" s="1207"/>
      <c r="X115" s="1207"/>
      <c r="Y115" s="1207"/>
      <c r="Z115" s="1207"/>
      <c r="AA115" s="1207"/>
      <c r="AB115" s="1207"/>
      <c r="AC115" s="1207"/>
      <c r="AD115" s="1207"/>
      <c r="AE115" s="1207"/>
      <c r="AF115" s="1207"/>
      <c r="AG115" s="1207"/>
      <c r="AH115" s="1207"/>
    </row>
    <row r="116" spans="1:34" x14ac:dyDescent="0.2">
      <c r="A116" s="1365" t="s">
        <v>33</v>
      </c>
      <c r="B116" s="1350">
        <v>42467</v>
      </c>
      <c r="C116" s="1351"/>
      <c r="D116" s="1207"/>
      <c r="E116" s="1207"/>
      <c r="F116" s="1207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8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07"/>
      <c r="AA116" s="1207"/>
      <c r="AB116" s="1207"/>
      <c r="AC116" s="1207"/>
      <c r="AD116" s="1207"/>
      <c r="AE116" s="1207"/>
      <c r="AF116" s="1207"/>
      <c r="AG116" s="1207"/>
      <c r="AH116" s="1207"/>
    </row>
    <row r="117" spans="1:34" x14ac:dyDescent="0.2">
      <c r="A117" s="1365" t="s">
        <v>32</v>
      </c>
      <c r="B117" s="1350">
        <v>42468</v>
      </c>
      <c r="C117" s="1351">
        <f>116136.9-52652.775-43119.874-20364.251</f>
        <v>0</v>
      </c>
      <c r="D117" s="1207"/>
      <c r="E117" s="1354"/>
      <c r="F117" s="1207"/>
      <c r="G117" s="1207"/>
      <c r="H117" s="1207"/>
      <c r="I117" s="1207"/>
      <c r="J117" s="1207"/>
      <c r="K117" s="1207"/>
      <c r="L117" s="1207"/>
      <c r="M117" s="1207"/>
      <c r="N117" s="1207"/>
      <c r="O117" s="1207"/>
      <c r="P117" s="1208"/>
      <c r="Q117" s="1207"/>
      <c r="R117" s="1207"/>
      <c r="S117" s="1207"/>
      <c r="T117" s="1207"/>
      <c r="U117" s="1207"/>
      <c r="V117" s="1207"/>
      <c r="W117" s="1207"/>
      <c r="X117" s="1207"/>
      <c r="Y117" s="1207"/>
      <c r="Z117" s="1207"/>
      <c r="AA117" s="1207"/>
      <c r="AB117" s="1207"/>
      <c r="AC117" s="1207"/>
      <c r="AD117" s="1207"/>
      <c r="AE117" s="1207"/>
      <c r="AF117" s="1207"/>
      <c r="AG117" s="1207"/>
      <c r="AH117" s="1207"/>
    </row>
    <row r="118" spans="1:34" x14ac:dyDescent="0.2">
      <c r="A118" s="1365" t="s">
        <v>33</v>
      </c>
      <c r="B118" s="1350">
        <v>42471</v>
      </c>
      <c r="C118" s="1351"/>
      <c r="D118" s="1366"/>
      <c r="E118" s="1207"/>
      <c r="F118" s="1207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8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07"/>
      <c r="AA118" s="1207"/>
      <c r="AB118" s="1207"/>
      <c r="AC118" s="1207"/>
      <c r="AD118" s="1207"/>
      <c r="AE118" s="1207"/>
      <c r="AF118" s="1207"/>
      <c r="AG118" s="1207"/>
      <c r="AH118" s="1207"/>
    </row>
    <row r="119" spans="1:34" x14ac:dyDescent="0.2">
      <c r="A119" s="1365" t="s">
        <v>33</v>
      </c>
      <c r="B119" s="1350">
        <v>42248</v>
      </c>
      <c r="C119" s="1351"/>
      <c r="D119" s="1207"/>
      <c r="E119" s="1366"/>
      <c r="F119" s="1207"/>
      <c r="G119" s="1207"/>
      <c r="H119" s="1207"/>
      <c r="I119" s="1207"/>
      <c r="J119" s="1207"/>
      <c r="K119" s="1207"/>
      <c r="L119" s="1207"/>
      <c r="M119" s="1207"/>
      <c r="N119" s="1207"/>
      <c r="O119" s="1207"/>
      <c r="P119" s="1208"/>
      <c r="Q119" s="1207"/>
      <c r="R119" s="1207"/>
      <c r="S119" s="1207"/>
      <c r="T119" s="1207"/>
      <c r="U119" s="1207"/>
      <c r="V119" s="1207"/>
      <c r="W119" s="1207"/>
      <c r="X119" s="1207"/>
      <c r="Y119" s="1207"/>
      <c r="Z119" s="1207"/>
      <c r="AA119" s="1207"/>
      <c r="AB119" s="1207"/>
      <c r="AC119" s="1207"/>
      <c r="AD119" s="1207"/>
      <c r="AE119" s="1207"/>
      <c r="AF119" s="1207"/>
      <c r="AG119" s="1207"/>
      <c r="AH119" s="1207"/>
    </row>
    <row r="120" spans="1:34" x14ac:dyDescent="0.2">
      <c r="A120" s="1365" t="s">
        <v>32</v>
      </c>
      <c r="B120" s="1350">
        <v>42251</v>
      </c>
      <c r="C120" s="1367"/>
      <c r="D120" s="1207"/>
      <c r="E120" s="1354"/>
      <c r="F120" s="1207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8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</row>
    <row r="121" spans="1:34" x14ac:dyDescent="0.2">
      <c r="A121" s="1316" t="s">
        <v>1283</v>
      </c>
      <c r="B121" s="1350">
        <v>42438</v>
      </c>
      <c r="C121" s="1351"/>
      <c r="D121" s="1207"/>
      <c r="E121" s="1207"/>
      <c r="F121" s="1207"/>
      <c r="G121" s="1354"/>
      <c r="H121" s="1354"/>
      <c r="I121" s="1207"/>
      <c r="J121" s="1207"/>
      <c r="K121" s="1207"/>
      <c r="L121" s="1207"/>
      <c r="M121" s="1207"/>
      <c r="N121" s="1207"/>
      <c r="O121" s="1207"/>
      <c r="P121" s="1208"/>
      <c r="Q121" s="1207"/>
      <c r="R121" s="1207"/>
      <c r="S121" s="1207"/>
      <c r="T121" s="1207"/>
      <c r="U121" s="1207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</row>
    <row r="122" spans="1:34" x14ac:dyDescent="0.2">
      <c r="A122" s="1207"/>
      <c r="B122" s="1350"/>
      <c r="C122" s="1345"/>
      <c r="D122" s="1207"/>
      <c r="E122" s="1207"/>
      <c r="F122" s="1207"/>
      <c r="G122" s="1354"/>
      <c r="H122" s="1207"/>
      <c r="I122" s="1207"/>
      <c r="J122" s="1207"/>
      <c r="K122" s="1207"/>
      <c r="L122" s="1207"/>
      <c r="M122" s="1207"/>
      <c r="N122" s="1207"/>
      <c r="O122" s="1207"/>
      <c r="P122" s="1208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07"/>
      <c r="AA122" s="1207"/>
      <c r="AB122" s="1207"/>
      <c r="AC122" s="1207"/>
      <c r="AD122" s="1207"/>
      <c r="AE122" s="1207"/>
      <c r="AF122" s="1207"/>
      <c r="AG122" s="1207"/>
      <c r="AH122" s="1207"/>
    </row>
    <row r="123" spans="1:34" x14ac:dyDescent="0.2">
      <c r="A123" s="1207"/>
      <c r="B123" s="1350"/>
      <c r="C123" s="1207"/>
      <c r="D123" s="1207"/>
      <c r="E123" s="1207"/>
      <c r="F123" s="1207"/>
      <c r="G123" s="1207"/>
      <c r="H123" s="1367"/>
      <c r="I123" s="1207"/>
      <c r="J123" s="1207"/>
      <c r="K123" s="1207"/>
      <c r="L123" s="1207"/>
      <c r="M123" s="1207"/>
      <c r="N123" s="1207"/>
      <c r="O123" s="1207"/>
      <c r="P123" s="1208"/>
      <c r="Q123" s="1207"/>
      <c r="R123" s="1207"/>
      <c r="S123" s="1207"/>
      <c r="T123" s="1207"/>
      <c r="U123" s="1207"/>
      <c r="V123" s="1207"/>
      <c r="W123" s="1207"/>
      <c r="X123" s="1207"/>
      <c r="Y123" s="1207"/>
      <c r="Z123" s="1207"/>
      <c r="AA123" s="1207"/>
      <c r="AB123" s="1207"/>
      <c r="AC123" s="1207"/>
      <c r="AD123" s="1207"/>
      <c r="AE123" s="1207"/>
      <c r="AF123" s="1207"/>
      <c r="AG123" s="1207"/>
      <c r="AH123" s="1207"/>
    </row>
    <row r="124" spans="1:34" x14ac:dyDescent="0.2">
      <c r="A124" s="1207"/>
      <c r="B124" s="1350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8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07"/>
      <c r="AA124" s="1207"/>
      <c r="AB124" s="1207"/>
      <c r="AC124" s="1207"/>
      <c r="AD124" s="1207"/>
      <c r="AE124" s="1207"/>
      <c r="AF124" s="1207"/>
      <c r="AG124" s="1207"/>
      <c r="AH124" s="1207"/>
    </row>
    <row r="125" spans="1:34" x14ac:dyDescent="0.2">
      <c r="A125" s="1316"/>
      <c r="B125" s="1350"/>
      <c r="C125" s="1345"/>
      <c r="D125" s="1207"/>
      <c r="E125" s="1207"/>
      <c r="F125" s="1207"/>
      <c r="G125" s="1207"/>
      <c r="H125" s="1207"/>
      <c r="I125" s="1207"/>
      <c r="J125" s="1207"/>
      <c r="K125" s="1207"/>
      <c r="L125" s="1207"/>
      <c r="M125" s="1207"/>
      <c r="N125" s="1207"/>
      <c r="O125" s="1207"/>
      <c r="P125" s="1208"/>
      <c r="Q125" s="1207"/>
      <c r="R125" s="1207"/>
      <c r="S125" s="1207"/>
      <c r="T125" s="1207"/>
      <c r="U125" s="1207"/>
      <c r="V125" s="1207"/>
      <c r="W125" s="1207"/>
      <c r="X125" s="1207"/>
      <c r="Y125" s="1207"/>
      <c r="Z125" s="1207"/>
      <c r="AA125" s="1207"/>
      <c r="AB125" s="1207"/>
      <c r="AC125" s="1207"/>
      <c r="AD125" s="1207"/>
      <c r="AE125" s="1207"/>
      <c r="AF125" s="1207"/>
      <c r="AG125" s="1207"/>
      <c r="AH125" s="1207"/>
    </row>
    <row r="126" spans="1:34" x14ac:dyDescent="0.2">
      <c r="A126" s="1316"/>
      <c r="B126" s="1350"/>
      <c r="C126" s="1345"/>
      <c r="D126" s="1207"/>
      <c r="E126" s="1207"/>
      <c r="F126" s="1207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8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07"/>
      <c r="AA126" s="1207"/>
      <c r="AB126" s="1207"/>
      <c r="AC126" s="1207"/>
      <c r="AD126" s="1207"/>
      <c r="AE126" s="1207"/>
      <c r="AF126" s="1207"/>
      <c r="AG126" s="1207"/>
      <c r="AH126" s="1207"/>
    </row>
    <row r="127" spans="1:34" x14ac:dyDescent="0.2">
      <c r="A127" s="1207"/>
      <c r="B127" s="1207"/>
      <c r="C127" s="1207"/>
      <c r="D127" s="1207"/>
      <c r="E127" s="1207"/>
      <c r="F127" s="1207"/>
      <c r="G127" s="1207"/>
      <c r="H127" s="1207"/>
      <c r="I127" s="1207"/>
      <c r="J127" s="1207"/>
      <c r="K127" s="1207"/>
      <c r="L127" s="1207"/>
      <c r="M127" s="1207"/>
      <c r="N127" s="1207"/>
      <c r="O127" s="1207"/>
      <c r="P127" s="1208"/>
      <c r="Q127" s="1207"/>
      <c r="R127" s="1207"/>
      <c r="S127" s="1207"/>
      <c r="T127" s="1207"/>
      <c r="U127" s="1207"/>
      <c r="V127" s="1207"/>
      <c r="W127" s="1207"/>
      <c r="X127" s="1207"/>
      <c r="Y127" s="1207"/>
      <c r="Z127" s="1207"/>
      <c r="AA127" s="1207"/>
      <c r="AB127" s="1207"/>
      <c r="AC127" s="1207"/>
      <c r="AD127" s="1207"/>
      <c r="AE127" s="1207"/>
      <c r="AF127" s="1207"/>
      <c r="AG127" s="1207"/>
      <c r="AH127" s="1207"/>
    </row>
    <row r="128" spans="1:34" x14ac:dyDescent="0.2">
      <c r="A128" s="1207"/>
      <c r="B128" s="1207"/>
      <c r="C128" s="1207"/>
      <c r="D128" s="1207"/>
      <c r="E128" s="1207"/>
      <c r="F128" s="1207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8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07"/>
      <c r="AA128" s="1207"/>
      <c r="AB128" s="1207"/>
      <c r="AC128" s="1207"/>
      <c r="AD128" s="1207"/>
      <c r="AE128" s="1207"/>
      <c r="AF128" s="1207"/>
      <c r="AG128" s="1207"/>
      <c r="AH128" s="1207"/>
    </row>
    <row r="129" spans="1:34" x14ac:dyDescent="0.2">
      <c r="A129" s="1207"/>
      <c r="B129" s="1207"/>
      <c r="C129" s="1207"/>
      <c r="D129" s="1207"/>
      <c r="E129" s="1207"/>
      <c r="F129" s="1207"/>
      <c r="G129" s="1207"/>
      <c r="H129" s="1207"/>
      <c r="I129" s="1207"/>
      <c r="J129" s="1207"/>
      <c r="K129" s="1207"/>
      <c r="L129" s="1207"/>
      <c r="M129" s="1207"/>
      <c r="N129" s="1207"/>
      <c r="O129" s="1207"/>
      <c r="P129" s="1208"/>
      <c r="Q129" s="1207"/>
      <c r="R129" s="1207"/>
      <c r="S129" s="1207"/>
      <c r="T129" s="1207"/>
      <c r="U129" s="1207"/>
      <c r="V129" s="1207"/>
      <c r="W129" s="1207"/>
      <c r="X129" s="1207"/>
      <c r="Y129" s="1207"/>
      <c r="Z129" s="1207"/>
      <c r="AA129" s="1207"/>
      <c r="AB129" s="1207"/>
      <c r="AC129" s="1207"/>
      <c r="AD129" s="1207"/>
      <c r="AE129" s="1207"/>
      <c r="AF129" s="1207"/>
      <c r="AG129" s="1207"/>
      <c r="AH129" s="1207"/>
    </row>
    <row r="130" spans="1:34" x14ac:dyDescent="0.2">
      <c r="A130" s="1207"/>
      <c r="B130" s="1207"/>
      <c r="C130" s="1207"/>
      <c r="D130" s="1207"/>
      <c r="E130" s="1207"/>
      <c r="F130" s="1207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8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07"/>
      <c r="AA130" s="1207"/>
      <c r="AB130" s="1207"/>
      <c r="AC130" s="1207"/>
      <c r="AD130" s="1207"/>
      <c r="AE130" s="1207"/>
      <c r="AF130" s="1207"/>
      <c r="AG130" s="1207"/>
      <c r="AH130" s="1207"/>
    </row>
    <row r="131" spans="1:34" ht="13.5" thickBot="1" x14ac:dyDescent="0.25">
      <c r="A131" s="1207"/>
      <c r="B131" s="1207"/>
      <c r="C131" s="1207"/>
      <c r="D131" s="1207"/>
      <c r="E131" s="1207"/>
      <c r="F131" s="1207"/>
      <c r="G131" s="1207"/>
      <c r="H131" s="1207"/>
      <c r="I131" s="1207"/>
      <c r="J131" s="1207"/>
      <c r="K131" s="1207"/>
      <c r="L131" s="1207"/>
      <c r="M131" s="1207"/>
      <c r="N131" s="1207"/>
      <c r="O131" s="1207"/>
      <c r="P131" s="1208"/>
      <c r="Q131" s="1207"/>
      <c r="R131" s="1207"/>
      <c r="S131" s="1207"/>
      <c r="T131" s="1207"/>
      <c r="U131" s="1207"/>
      <c r="V131" s="1207"/>
      <c r="W131" s="1207"/>
      <c r="X131" s="1207"/>
      <c r="Y131" s="1207"/>
      <c r="Z131" s="1207"/>
      <c r="AA131" s="1207"/>
      <c r="AB131" s="1207"/>
      <c r="AC131" s="1207"/>
      <c r="AD131" s="1207"/>
      <c r="AE131" s="1207"/>
      <c r="AF131" s="1207"/>
      <c r="AG131" s="1207"/>
      <c r="AH131" s="1207"/>
    </row>
    <row r="132" spans="1:34" x14ac:dyDescent="0.2">
      <c r="A132" s="1233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34"/>
      <c r="O132" s="1234"/>
      <c r="P132" s="1235"/>
      <c r="Q132" s="1234"/>
      <c r="R132" s="1234"/>
      <c r="S132" s="1234"/>
      <c r="T132" s="1234"/>
      <c r="U132" s="1234"/>
      <c r="V132" s="1234"/>
      <c r="W132" s="1234"/>
      <c r="X132" s="1234"/>
      <c r="Y132" s="1234"/>
      <c r="Z132" s="1234"/>
      <c r="AA132" s="1234"/>
      <c r="AB132" s="1234"/>
      <c r="AC132" s="1234"/>
      <c r="AD132" s="1234"/>
      <c r="AE132" s="1234"/>
      <c r="AF132" s="1234"/>
      <c r="AG132" s="1234"/>
      <c r="AH132" s="1207"/>
    </row>
    <row r="133" spans="1:34" x14ac:dyDescent="0.2">
      <c r="A133" s="1236"/>
      <c r="B133" s="1237" t="s">
        <v>37</v>
      </c>
      <c r="C133" s="1237"/>
      <c r="D133" s="1237"/>
      <c r="E133" s="1238" t="s">
        <v>396</v>
      </c>
      <c r="F133" s="1239" t="s">
        <v>95</v>
      </c>
      <c r="G133" s="1471" t="s">
        <v>6</v>
      </c>
      <c r="H133" s="1239"/>
      <c r="I133" s="1239"/>
      <c r="J133" s="1239"/>
      <c r="K133" s="1239"/>
      <c r="L133" s="1239"/>
      <c r="M133" s="1239"/>
      <c r="N133" s="1239"/>
      <c r="O133" s="1239"/>
      <c r="P133" s="1240"/>
      <c r="Q133" s="1239"/>
      <c r="R133" s="1239"/>
      <c r="S133" s="1239"/>
      <c r="T133" s="1239"/>
      <c r="U133" s="1239"/>
      <c r="V133" s="1239"/>
      <c r="W133" s="1239"/>
      <c r="X133" s="1239"/>
      <c r="Y133" s="1239"/>
      <c r="Z133" s="1239"/>
      <c r="AA133" s="1239"/>
      <c r="AB133" s="1239"/>
      <c r="AC133" s="1239"/>
      <c r="AD133" s="1239"/>
      <c r="AE133" s="1239"/>
      <c r="AF133" s="1239"/>
      <c r="AG133" s="1239"/>
      <c r="AH133" s="1207"/>
    </row>
    <row r="134" spans="1:34" x14ac:dyDescent="0.2">
      <c r="A134" s="1236"/>
      <c r="B134" s="1237"/>
      <c r="C134" s="1237"/>
      <c r="D134" s="1239"/>
      <c r="E134" s="1237"/>
      <c r="F134" s="1237"/>
      <c r="G134" s="1237"/>
      <c r="H134" s="1237"/>
      <c r="I134" s="1237"/>
      <c r="J134" s="1237"/>
      <c r="K134" s="1237"/>
      <c r="L134" s="1237"/>
      <c r="M134" s="1237"/>
      <c r="N134" s="1237"/>
      <c r="O134" s="1237"/>
      <c r="P134" s="1241"/>
      <c r="Q134" s="1237"/>
      <c r="R134" s="1237"/>
      <c r="S134" s="1237"/>
      <c r="T134" s="1237"/>
      <c r="U134" s="1237"/>
      <c r="V134" s="1237"/>
      <c r="W134" s="1237"/>
      <c r="X134" s="1237"/>
      <c r="Y134" s="1237"/>
      <c r="Z134" s="1237"/>
      <c r="AA134" s="1237"/>
      <c r="AB134" s="1237"/>
      <c r="AC134" s="1237"/>
      <c r="AD134" s="1237"/>
      <c r="AE134" s="1237"/>
      <c r="AF134" s="1237"/>
      <c r="AG134" s="1237"/>
      <c r="AH134" s="1207"/>
    </row>
    <row r="135" spans="1:34" x14ac:dyDescent="0.2">
      <c r="A135" s="1368"/>
      <c r="B135" s="1237"/>
      <c r="C135" s="1239"/>
      <c r="D135" s="1239">
        <v>42495</v>
      </c>
      <c r="E135" s="1237"/>
      <c r="F135" s="1237"/>
      <c r="G135" s="1237"/>
      <c r="H135" s="1237"/>
      <c r="I135" s="1237"/>
      <c r="J135" s="1237"/>
      <c r="K135" s="1237"/>
      <c r="L135" s="1237"/>
      <c r="M135" s="1237"/>
      <c r="N135" s="1237"/>
      <c r="O135" s="1237"/>
      <c r="P135" s="1241"/>
      <c r="Q135" s="1237"/>
      <c r="R135" s="1237"/>
      <c r="S135" s="1237"/>
      <c r="T135" s="1237"/>
      <c r="U135" s="1237"/>
      <c r="V135" s="1237"/>
      <c r="W135" s="1237"/>
      <c r="X135" s="1237"/>
      <c r="Y135" s="1237"/>
      <c r="Z135" s="1237"/>
      <c r="AA135" s="1237"/>
      <c r="AB135" s="1237"/>
      <c r="AC135" s="1237"/>
      <c r="AD135" s="1237"/>
      <c r="AE135" s="1237"/>
      <c r="AF135" s="1237"/>
      <c r="AG135" s="1237"/>
      <c r="AH135" s="1207"/>
    </row>
    <row r="136" spans="1:34" x14ac:dyDescent="0.2">
      <c r="A136" s="1236"/>
      <c r="B136" s="1237"/>
      <c r="C136" s="1239"/>
      <c r="D136" s="1239"/>
      <c r="E136" s="1237"/>
      <c r="F136" s="1237"/>
      <c r="G136" s="1237"/>
      <c r="H136" s="1237"/>
      <c r="I136" s="1237"/>
      <c r="J136" s="1237"/>
      <c r="K136" s="1237"/>
      <c r="L136" s="1237"/>
      <c r="M136" s="1237"/>
      <c r="N136" s="1237"/>
      <c r="O136" s="1237"/>
      <c r="P136" s="1241"/>
      <c r="Q136" s="1237"/>
      <c r="R136" s="1237"/>
      <c r="S136" s="1237"/>
      <c r="T136" s="1237"/>
      <c r="U136" s="1237"/>
      <c r="V136" s="1237"/>
      <c r="W136" s="1237"/>
      <c r="X136" s="1237"/>
      <c r="Y136" s="1237"/>
      <c r="Z136" s="1237"/>
      <c r="AA136" s="1237"/>
      <c r="AB136" s="1237"/>
      <c r="AC136" s="1237"/>
      <c r="AD136" s="1237"/>
      <c r="AE136" s="1237"/>
      <c r="AF136" s="1237"/>
      <c r="AG136" s="1237"/>
      <c r="AH136" s="1207"/>
    </row>
    <row r="137" spans="1:34" ht="13.5" thickBot="1" x14ac:dyDescent="0.25">
      <c r="A137" s="1236"/>
      <c r="B137" s="1237"/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1237"/>
      <c r="M137" s="1237"/>
      <c r="N137" s="1237"/>
      <c r="O137" s="1237"/>
      <c r="P137" s="1241"/>
      <c r="Q137" s="1237"/>
      <c r="R137" s="1237"/>
      <c r="S137" s="1237"/>
      <c r="T137" s="1237"/>
      <c r="U137" s="1237"/>
      <c r="V137" s="1237"/>
      <c r="W137" s="1237"/>
      <c r="X137" s="1237"/>
      <c r="Y137" s="1237"/>
      <c r="Z137" s="1237"/>
      <c r="AA137" s="1237"/>
      <c r="AB137" s="1237"/>
      <c r="AC137" s="1237"/>
      <c r="AD137" s="1237"/>
      <c r="AE137" s="1237"/>
      <c r="AF137" s="1237"/>
      <c r="AG137" s="1237"/>
      <c r="AH137" s="1207"/>
    </row>
    <row r="138" spans="1:34" ht="13.5" thickBot="1" x14ac:dyDescent="0.25">
      <c r="A138" s="1236"/>
      <c r="B138" s="1237"/>
      <c r="C138" s="1243"/>
      <c r="D138" s="1244" t="s">
        <v>16</v>
      </c>
      <c r="E138" s="1244"/>
      <c r="F138" s="1244"/>
      <c r="G138" s="1244"/>
      <c r="H138" s="1244"/>
      <c r="I138" s="1244"/>
      <c r="J138" s="1244"/>
      <c r="K138" s="1244"/>
      <c r="L138" s="1244"/>
      <c r="M138" s="1244"/>
      <c r="N138" s="1244"/>
      <c r="O138" s="1244"/>
      <c r="P138" s="1245"/>
      <c r="Q138" s="1244"/>
      <c r="R138" s="1244"/>
      <c r="S138" s="1244"/>
      <c r="T138" s="1244"/>
      <c r="U138" s="1244"/>
      <c r="V138" s="1244"/>
      <c r="W138" s="1244"/>
      <c r="X138" s="1244"/>
      <c r="Y138" s="1244"/>
      <c r="Z138" s="1244"/>
      <c r="AA138" s="1244"/>
      <c r="AB138" s="1244"/>
      <c r="AC138" s="1244"/>
      <c r="AD138" s="1244"/>
      <c r="AE138" s="1244"/>
      <c r="AF138" s="1244"/>
      <c r="AG138" s="1244"/>
      <c r="AH138" s="1207"/>
    </row>
    <row r="139" spans="1:34" ht="13.5" thickBot="1" x14ac:dyDescent="0.25">
      <c r="A139" s="1236"/>
      <c r="B139" s="1237"/>
      <c r="C139" s="1246" t="s">
        <v>452</v>
      </c>
      <c r="D139" s="1246" t="s">
        <v>453</v>
      </c>
      <c r="E139" s="1246" t="s">
        <v>434</v>
      </c>
      <c r="F139" s="1246" t="s">
        <v>390</v>
      </c>
      <c r="G139" s="1246" t="s">
        <v>454</v>
      </c>
      <c r="H139" s="1246" t="s">
        <v>455</v>
      </c>
      <c r="I139" s="1246" t="s">
        <v>456</v>
      </c>
      <c r="J139" s="1246" t="s">
        <v>457</v>
      </c>
      <c r="K139" s="1246" t="s">
        <v>458</v>
      </c>
      <c r="L139" s="1246" t="s">
        <v>216</v>
      </c>
      <c r="M139" s="1246" t="s">
        <v>459</v>
      </c>
      <c r="N139" s="1246" t="s">
        <v>297</v>
      </c>
      <c r="O139" s="1246" t="s">
        <v>211</v>
      </c>
      <c r="P139" s="1247" t="s">
        <v>270</v>
      </c>
      <c r="Q139" s="1246">
        <v>15</v>
      </c>
      <c r="R139" s="1246">
        <v>16</v>
      </c>
      <c r="S139" s="1246" t="s">
        <v>461</v>
      </c>
      <c r="T139" s="1246" t="s">
        <v>442</v>
      </c>
      <c r="U139" s="1246" t="s">
        <v>462</v>
      </c>
      <c r="V139" s="1246" t="s">
        <v>470</v>
      </c>
      <c r="W139" s="1246" t="s">
        <v>471</v>
      </c>
      <c r="X139" s="1246" t="s">
        <v>472</v>
      </c>
      <c r="Y139" s="1246" t="s">
        <v>463</v>
      </c>
      <c r="Z139" s="1246" t="s">
        <v>465</v>
      </c>
      <c r="AA139" s="1246" t="s">
        <v>466</v>
      </c>
      <c r="AB139" s="1246" t="s">
        <v>435</v>
      </c>
      <c r="AC139" s="1246" t="s">
        <v>467</v>
      </c>
      <c r="AD139" s="1246" t="s">
        <v>464</v>
      </c>
      <c r="AE139" s="1246" t="s">
        <v>429</v>
      </c>
      <c r="AF139" s="1246" t="s">
        <v>149</v>
      </c>
      <c r="AG139" s="1246" t="s">
        <v>210</v>
      </c>
      <c r="AH139" s="1207"/>
    </row>
    <row r="140" spans="1:34" x14ac:dyDescent="0.2">
      <c r="A140" s="1233"/>
      <c r="B140" s="1248"/>
      <c r="C140" s="1237"/>
      <c r="D140" s="1237"/>
      <c r="E140" s="1237"/>
      <c r="F140" s="1237"/>
      <c r="G140" s="1237"/>
      <c r="H140" s="1237"/>
      <c r="I140" s="1237"/>
      <c r="J140" s="1237"/>
      <c r="K140" s="1237"/>
      <c r="L140" s="1237"/>
      <c r="M140" s="1237"/>
      <c r="N140" s="1237"/>
      <c r="O140" s="1237"/>
      <c r="P140" s="1241"/>
      <c r="Q140" s="1237"/>
      <c r="R140" s="1237"/>
      <c r="S140" s="1237"/>
      <c r="T140" s="1237"/>
      <c r="U140" s="1237"/>
      <c r="V140" s="1237"/>
      <c r="W140" s="1237"/>
      <c r="X140" s="1237"/>
      <c r="Y140" s="1237"/>
      <c r="Z140" s="1237"/>
      <c r="AA140" s="1237"/>
      <c r="AB140" s="1237"/>
      <c r="AC140" s="1237"/>
      <c r="AD140" s="1237"/>
      <c r="AE140" s="1237"/>
      <c r="AF140" s="1237"/>
      <c r="AG140" s="1237"/>
      <c r="AH140" s="1207"/>
    </row>
    <row r="141" spans="1:34" x14ac:dyDescent="0.2">
      <c r="A141" s="1236" t="s">
        <v>0</v>
      </c>
      <c r="B141" s="1249">
        <v>-71655.263000000006</v>
      </c>
      <c r="C141" s="1237"/>
      <c r="D141" s="1237"/>
      <c r="E141" s="1237"/>
      <c r="F141" s="1237"/>
      <c r="G141" s="1237"/>
      <c r="H141" s="1237"/>
      <c r="I141" s="1237"/>
      <c r="J141" s="1237"/>
      <c r="K141" s="1237"/>
      <c r="L141" s="1237"/>
      <c r="M141" s="1237"/>
      <c r="N141" s="1237"/>
      <c r="O141" s="1237"/>
      <c r="P141" s="1241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07"/>
    </row>
    <row r="142" spans="1:34" ht="13.5" thickBot="1" x14ac:dyDescent="0.25">
      <c r="A142" s="1250"/>
      <c r="B142" s="1251"/>
      <c r="C142" s="1237"/>
      <c r="D142" s="1237"/>
      <c r="E142" s="1237"/>
      <c r="F142" s="1237"/>
      <c r="G142" s="1237"/>
      <c r="H142" s="1237"/>
      <c r="I142" s="1237"/>
      <c r="J142" s="1237"/>
      <c r="K142" s="1237"/>
      <c r="L142" s="1237"/>
      <c r="M142" s="1237"/>
      <c r="N142" s="1237"/>
      <c r="O142" s="1237"/>
      <c r="P142" s="1241"/>
      <c r="Q142" s="1237"/>
      <c r="R142" s="1237"/>
      <c r="S142" s="1237"/>
      <c r="T142" s="1237"/>
      <c r="U142" s="1237"/>
      <c r="V142" s="1237"/>
      <c r="W142" s="1237"/>
      <c r="X142" s="1237"/>
      <c r="Y142" s="1237"/>
      <c r="Z142" s="1237"/>
      <c r="AA142" s="1237"/>
      <c r="AB142" s="1237"/>
      <c r="AC142" s="1237"/>
      <c r="AD142" s="1237"/>
      <c r="AE142" s="1237"/>
      <c r="AF142" s="1237"/>
      <c r="AG142" s="1237"/>
      <c r="AH142" s="1207"/>
    </row>
    <row r="143" spans="1:34" x14ac:dyDescent="0.2">
      <c r="A143" s="1233"/>
      <c r="B143" s="1253"/>
      <c r="C143" s="1237"/>
      <c r="D143" s="1237"/>
      <c r="E143" s="1237"/>
      <c r="F143" s="1237"/>
      <c r="G143" s="1237"/>
      <c r="H143" s="1237"/>
      <c r="I143" s="1237"/>
      <c r="J143" s="1237"/>
      <c r="K143" s="1237"/>
      <c r="L143" s="1237"/>
      <c r="M143" s="1237"/>
      <c r="N143" s="1237"/>
      <c r="O143" s="1237"/>
      <c r="P143" s="1241"/>
      <c r="Q143" s="1237"/>
      <c r="R143" s="1237"/>
      <c r="S143" s="1237"/>
      <c r="T143" s="1237"/>
      <c r="U143" s="1237"/>
      <c r="V143" s="1237"/>
      <c r="W143" s="1237"/>
      <c r="X143" s="1237"/>
      <c r="Y143" s="1237"/>
      <c r="Z143" s="1237"/>
      <c r="AA143" s="1237"/>
      <c r="AB143" s="1237"/>
      <c r="AC143" s="1237"/>
      <c r="AD143" s="1237"/>
      <c r="AE143" s="1237"/>
      <c r="AF143" s="1237"/>
      <c r="AG143" s="1237"/>
      <c r="AH143" s="1207"/>
    </row>
    <row r="144" spans="1:34" x14ac:dyDescent="0.2">
      <c r="A144" s="1236" t="s">
        <v>1</v>
      </c>
      <c r="B144" s="1249">
        <f>B145+B146+B147</f>
        <v>0</v>
      </c>
      <c r="C144" s="1237"/>
      <c r="D144" s="1237"/>
      <c r="E144" s="1237"/>
      <c r="F144" s="1237"/>
      <c r="G144" s="1237"/>
      <c r="H144" s="1237"/>
      <c r="I144" s="1237"/>
      <c r="J144" s="1237"/>
      <c r="K144" s="1237"/>
      <c r="L144" s="1237"/>
      <c r="M144" s="1237"/>
      <c r="N144" s="1237"/>
      <c r="O144" s="1237"/>
      <c r="P144" s="1241"/>
      <c r="Q144" s="1237"/>
      <c r="R144" s="1237"/>
      <c r="S144" s="1237"/>
      <c r="T144" s="1237"/>
      <c r="U144" s="1237"/>
      <c r="V144" s="1237"/>
      <c r="W144" s="1237"/>
      <c r="X144" s="1237"/>
      <c r="Y144" s="1237"/>
      <c r="Z144" s="1237"/>
      <c r="AA144" s="1237"/>
      <c r="AB144" s="1237"/>
      <c r="AC144" s="1237"/>
      <c r="AD144" s="1237"/>
      <c r="AE144" s="1237"/>
      <c r="AF144" s="1237"/>
      <c r="AG144" s="1237"/>
      <c r="AH144" s="1207"/>
    </row>
    <row r="145" spans="1:34" x14ac:dyDescent="0.2">
      <c r="A145" s="1236" t="s">
        <v>38</v>
      </c>
      <c r="B145" s="1249">
        <f>C195</f>
        <v>0</v>
      </c>
      <c r="C145" s="1237"/>
      <c r="D145" s="1237"/>
      <c r="E145" s="1237"/>
      <c r="F145" s="1237"/>
      <c r="G145" s="1237"/>
      <c r="H145" s="1237"/>
      <c r="I145" s="1237"/>
      <c r="J145" s="1237"/>
      <c r="K145" s="1237"/>
      <c r="L145" s="1237"/>
      <c r="M145" s="1237"/>
      <c r="N145" s="1237"/>
      <c r="O145" s="1237"/>
      <c r="P145" s="1241"/>
      <c r="Q145" s="1237"/>
      <c r="R145" s="1237"/>
      <c r="S145" s="1237"/>
      <c r="T145" s="1237"/>
      <c r="U145" s="1237"/>
      <c r="V145" s="1237"/>
      <c r="W145" s="1237"/>
      <c r="X145" s="1237"/>
      <c r="Y145" s="1237"/>
      <c r="Z145" s="1237"/>
      <c r="AA145" s="1237"/>
      <c r="AB145" s="1237"/>
      <c r="AC145" s="1237"/>
      <c r="AD145" s="1237"/>
      <c r="AE145" s="1237"/>
      <c r="AF145" s="1237"/>
      <c r="AG145" s="1237"/>
      <c r="AH145" s="1207"/>
    </row>
    <row r="146" spans="1:34" x14ac:dyDescent="0.2">
      <c r="A146" s="1236" t="s">
        <v>39</v>
      </c>
      <c r="B146" s="1249">
        <f>C215</f>
        <v>0</v>
      </c>
      <c r="C146" s="1237"/>
      <c r="D146" s="1237"/>
      <c r="E146" s="1237"/>
      <c r="F146" s="1237"/>
      <c r="G146" s="1237"/>
      <c r="H146" s="1237"/>
      <c r="I146" s="1237"/>
      <c r="J146" s="1237"/>
      <c r="K146" s="1237"/>
      <c r="L146" s="1237"/>
      <c r="M146" s="1237"/>
      <c r="N146" s="1237"/>
      <c r="O146" s="1237"/>
      <c r="P146" s="1241"/>
      <c r="Q146" s="1237"/>
      <c r="R146" s="1237"/>
      <c r="S146" s="1237"/>
      <c r="T146" s="1237"/>
      <c r="U146" s="1237"/>
      <c r="V146" s="1237"/>
      <c r="W146" s="1237"/>
      <c r="X146" s="1237"/>
      <c r="Y146" s="1237"/>
      <c r="Z146" s="1237"/>
      <c r="AA146" s="1237"/>
      <c r="AB146" s="1237"/>
      <c r="AC146" s="1237"/>
      <c r="AD146" s="1237"/>
      <c r="AE146" s="1237"/>
      <c r="AF146" s="1237"/>
      <c r="AG146" s="1237"/>
      <c r="AH146" s="1207"/>
    </row>
    <row r="147" spans="1:34" x14ac:dyDescent="0.2">
      <c r="A147" s="1236" t="s">
        <v>3</v>
      </c>
      <c r="B147" s="1249"/>
      <c r="C147" s="1237"/>
      <c r="D147" s="1237"/>
      <c r="E147" s="1237"/>
      <c r="F147" s="1237"/>
      <c r="G147" s="1237"/>
      <c r="H147" s="1237"/>
      <c r="I147" s="1237"/>
      <c r="J147" s="1237"/>
      <c r="K147" s="1237"/>
      <c r="L147" s="1237"/>
      <c r="M147" s="1237"/>
      <c r="N147" s="1237"/>
      <c r="O147" s="1237"/>
      <c r="P147" s="1241"/>
      <c r="Q147" s="1237"/>
      <c r="R147" s="1237"/>
      <c r="S147" s="1237"/>
      <c r="T147" s="1237"/>
      <c r="U147" s="1237"/>
      <c r="V147" s="1237"/>
      <c r="W147" s="1237"/>
      <c r="X147" s="1237"/>
      <c r="Y147" s="1237"/>
      <c r="Z147" s="1237"/>
      <c r="AA147" s="1237"/>
      <c r="AB147" s="1237"/>
      <c r="AC147" s="1237"/>
      <c r="AD147" s="1237"/>
      <c r="AE147" s="1237"/>
      <c r="AF147" s="1237"/>
      <c r="AG147" s="1237"/>
      <c r="AH147" s="1207"/>
    </row>
    <row r="148" spans="1:34" ht="13.5" thickBot="1" x14ac:dyDescent="0.25">
      <c r="A148" s="1250"/>
      <c r="B148" s="1251"/>
      <c r="C148" s="1237"/>
      <c r="D148" s="1237"/>
      <c r="E148" s="1237"/>
      <c r="F148" s="1237"/>
      <c r="G148" s="1237"/>
      <c r="H148" s="1237"/>
      <c r="I148" s="1237"/>
      <c r="J148" s="1237"/>
      <c r="K148" s="1237"/>
      <c r="L148" s="1237"/>
      <c r="M148" s="1237"/>
      <c r="N148" s="1237"/>
      <c r="O148" s="1237"/>
      <c r="P148" s="1241"/>
      <c r="Q148" s="1237"/>
      <c r="R148" s="1237"/>
      <c r="S148" s="1237"/>
      <c r="T148" s="1237"/>
      <c r="U148" s="1237"/>
      <c r="V148" s="1237"/>
      <c r="W148" s="1237"/>
      <c r="X148" s="1237"/>
      <c r="Y148" s="1237"/>
      <c r="Z148" s="1237"/>
      <c r="AA148" s="1237"/>
      <c r="AB148" s="1237"/>
      <c r="AC148" s="1237"/>
      <c r="AD148" s="1237"/>
      <c r="AE148" s="1237"/>
      <c r="AF148" s="1237"/>
      <c r="AG148" s="1237"/>
      <c r="AH148" s="1207"/>
    </row>
    <row r="149" spans="1:34" x14ac:dyDescent="0.2">
      <c r="A149" s="1233"/>
      <c r="B149" s="1253"/>
      <c r="C149" s="1237"/>
      <c r="D149" s="1237"/>
      <c r="E149" s="1237"/>
      <c r="F149" s="1237"/>
      <c r="G149" s="1237"/>
      <c r="H149" s="1237"/>
      <c r="I149" s="1237"/>
      <c r="J149" s="1237"/>
      <c r="K149" s="1237"/>
      <c r="L149" s="1237"/>
      <c r="M149" s="1237"/>
      <c r="N149" s="1237"/>
      <c r="O149" s="1237"/>
      <c r="P149" s="1241"/>
      <c r="Q149" s="1237"/>
      <c r="R149" s="1237"/>
      <c r="S149" s="1237"/>
      <c r="T149" s="1237"/>
      <c r="U149" s="1237"/>
      <c r="V149" s="1237"/>
      <c r="W149" s="1237"/>
      <c r="X149" s="1237"/>
      <c r="Y149" s="1237"/>
      <c r="Z149" s="1237"/>
      <c r="AA149" s="1237"/>
      <c r="AB149" s="1237"/>
      <c r="AC149" s="1237"/>
      <c r="AD149" s="1237"/>
      <c r="AE149" s="1237"/>
      <c r="AF149" s="1237"/>
      <c r="AG149" s="1237"/>
      <c r="AH149" s="1207"/>
    </row>
    <row r="150" spans="1:34" x14ac:dyDescent="0.2">
      <c r="A150" s="1236" t="s">
        <v>4</v>
      </c>
      <c r="B150" s="1249">
        <f>B141+B144</f>
        <v>-71655.263000000006</v>
      </c>
      <c r="C150" s="1237"/>
      <c r="D150" s="1237"/>
      <c r="E150" s="1237"/>
      <c r="F150" s="1237"/>
      <c r="G150" s="1237"/>
      <c r="H150" s="1237"/>
      <c r="I150" s="1237"/>
      <c r="J150" s="1237"/>
      <c r="K150" s="1237"/>
      <c r="L150" s="1237"/>
      <c r="M150" s="1237"/>
      <c r="N150" s="1237"/>
      <c r="O150" s="1237"/>
      <c r="P150" s="1241"/>
      <c r="Q150" s="1237"/>
      <c r="R150" s="1237"/>
      <c r="S150" s="1237"/>
      <c r="T150" s="1237"/>
      <c r="U150" s="1237"/>
      <c r="V150" s="1237"/>
      <c r="W150" s="1237"/>
      <c r="X150" s="1237"/>
      <c r="Y150" s="1237"/>
      <c r="Z150" s="1237"/>
      <c r="AA150" s="1237"/>
      <c r="AB150" s="1237"/>
      <c r="AC150" s="1237"/>
      <c r="AD150" s="1237"/>
      <c r="AE150" s="1237"/>
      <c r="AF150" s="1237"/>
      <c r="AG150" s="1237"/>
      <c r="AH150" s="1207"/>
    </row>
    <row r="151" spans="1:34" ht="13.5" thickBot="1" x14ac:dyDescent="0.25">
      <c r="A151" s="1250"/>
      <c r="B151" s="1251"/>
      <c r="C151" s="1237"/>
      <c r="D151" s="1237"/>
      <c r="E151" s="1237"/>
      <c r="F151" s="1237"/>
      <c r="G151" s="1237"/>
      <c r="H151" s="1237"/>
      <c r="I151" s="1237"/>
      <c r="J151" s="1237"/>
      <c r="K151" s="1237"/>
      <c r="L151" s="1237"/>
      <c r="M151" s="1237"/>
      <c r="N151" s="1237"/>
      <c r="O151" s="1237"/>
      <c r="P151" s="1241"/>
      <c r="Q151" s="1237"/>
      <c r="R151" s="1237"/>
      <c r="S151" s="1237"/>
      <c r="T151" s="1237"/>
      <c r="U151" s="1237"/>
      <c r="V151" s="1237"/>
      <c r="W151" s="1237"/>
      <c r="X151" s="1237"/>
      <c r="Y151" s="1237"/>
      <c r="Z151" s="1237"/>
      <c r="AA151" s="1237"/>
      <c r="AB151" s="1237"/>
      <c r="AC151" s="1237"/>
      <c r="AD151" s="1237"/>
      <c r="AE151" s="1237"/>
      <c r="AF151" s="1237"/>
      <c r="AG151" s="1237"/>
      <c r="AH151" s="1207"/>
    </row>
    <row r="152" spans="1:34" x14ac:dyDescent="0.2">
      <c r="A152" s="1233"/>
      <c r="B152" s="1253"/>
      <c r="C152" s="1237"/>
      <c r="D152" s="1237"/>
      <c r="E152" s="1237"/>
      <c r="F152" s="1237"/>
      <c r="G152" s="1237"/>
      <c r="H152" s="1237"/>
      <c r="I152" s="1237"/>
      <c r="J152" s="1237"/>
      <c r="K152" s="1237"/>
      <c r="L152" s="1237"/>
      <c r="M152" s="1237"/>
      <c r="N152" s="1237"/>
      <c r="O152" s="1237"/>
      <c r="P152" s="1241"/>
      <c r="Q152" s="1237"/>
      <c r="R152" s="1237"/>
      <c r="S152" s="1237"/>
      <c r="T152" s="1237"/>
      <c r="U152" s="1237"/>
      <c r="V152" s="1237"/>
      <c r="W152" s="1237"/>
      <c r="X152" s="1237"/>
      <c r="Y152" s="1237"/>
      <c r="Z152" s="1237"/>
      <c r="AA152" s="1237"/>
      <c r="AB152" s="1237"/>
      <c r="AC152" s="1237"/>
      <c r="AD152" s="1237"/>
      <c r="AE152" s="1237"/>
      <c r="AF152" s="1237"/>
      <c r="AG152" s="1237"/>
      <c r="AH152" s="1207"/>
    </row>
    <row r="153" spans="1:34" ht="20.25" x14ac:dyDescent="0.3">
      <c r="A153" s="1236" t="s">
        <v>17</v>
      </c>
      <c r="B153" s="1249"/>
      <c r="C153" s="1237"/>
      <c r="D153" s="1237"/>
      <c r="E153" s="1237"/>
      <c r="F153" s="1237"/>
      <c r="G153" s="1237"/>
      <c r="H153" s="1237"/>
      <c r="I153" s="1749"/>
      <c r="J153" s="1749"/>
      <c r="K153" s="1749"/>
      <c r="L153" s="1749"/>
      <c r="M153" s="1748"/>
      <c r="N153" s="1748"/>
      <c r="O153" s="1748"/>
      <c r="P153" s="1748"/>
      <c r="Q153" s="1748"/>
      <c r="R153" s="1748"/>
      <c r="S153" s="1748"/>
      <c r="T153" s="1748"/>
      <c r="U153" s="1748"/>
      <c r="V153" s="1752"/>
      <c r="W153" s="1752"/>
      <c r="X153" s="1752"/>
      <c r="Y153" s="1237"/>
      <c r="Z153" s="1237"/>
      <c r="AA153" s="1237"/>
      <c r="AB153" s="1237"/>
      <c r="AC153" s="1237"/>
      <c r="AD153" s="1237"/>
      <c r="AE153" s="1237"/>
      <c r="AF153" s="1237"/>
      <c r="AG153" s="1237"/>
      <c r="AH153" s="1207"/>
    </row>
    <row r="154" spans="1:34" ht="13.5" thickBot="1" x14ac:dyDescent="0.25">
      <c r="A154" s="1250"/>
      <c r="B154" s="1251"/>
      <c r="C154" s="1237"/>
      <c r="D154" s="1237"/>
      <c r="E154" s="1237"/>
      <c r="F154" s="1237"/>
      <c r="G154" s="1237"/>
      <c r="H154" s="1237"/>
      <c r="I154" s="1237"/>
      <c r="J154" s="1237"/>
      <c r="K154" s="1237"/>
      <c r="L154" s="1237"/>
      <c r="M154" s="1237"/>
      <c r="N154" s="1237"/>
      <c r="O154" s="1237"/>
      <c r="P154" s="1241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07"/>
    </row>
    <row r="155" spans="1:34" x14ac:dyDescent="0.2">
      <c r="A155" s="1233"/>
      <c r="B155" s="1253"/>
      <c r="C155" s="1237"/>
      <c r="D155" s="1369"/>
      <c r="E155" s="1237"/>
      <c r="F155" s="1237"/>
      <c r="G155" s="1237"/>
      <c r="H155" s="1237"/>
      <c r="I155" s="1237"/>
      <c r="J155" s="1237"/>
      <c r="K155" s="1237"/>
      <c r="L155" s="1237"/>
      <c r="M155" s="1237"/>
      <c r="N155" s="1237"/>
      <c r="O155" s="1237"/>
      <c r="P155" s="1241"/>
      <c r="Q155" s="1237"/>
      <c r="R155" s="1237"/>
      <c r="S155" s="1237"/>
      <c r="T155" s="1237"/>
      <c r="U155" s="1471"/>
      <c r="V155" s="1237"/>
      <c r="W155" s="1237"/>
      <c r="X155" s="1237"/>
      <c r="Y155" s="1237"/>
      <c r="Z155" s="1471"/>
      <c r="AA155" s="1237"/>
      <c r="AB155" s="1237"/>
      <c r="AC155" s="1369"/>
      <c r="AD155" s="1237"/>
      <c r="AF155" s="1237"/>
      <c r="AG155" s="1237"/>
      <c r="AH155" s="1207"/>
    </row>
    <row r="156" spans="1:34" x14ac:dyDescent="0.2">
      <c r="A156" s="1236" t="s">
        <v>5</v>
      </c>
      <c r="B156" s="1249">
        <f>B150-B153</f>
        <v>-71655.263000000006</v>
      </c>
      <c r="C156" s="1471"/>
      <c r="D156" s="1369" t="s">
        <v>1307</v>
      </c>
      <c r="E156" s="1370"/>
      <c r="F156" s="1471"/>
      <c r="G156" s="1256"/>
      <c r="H156" s="1471"/>
      <c r="I156" s="1471"/>
      <c r="J156" s="1237"/>
      <c r="K156" s="1471"/>
      <c r="L156" s="1471"/>
      <c r="M156" s="1471"/>
      <c r="N156" s="1237"/>
      <c r="O156" s="1471"/>
      <c r="P156" s="1212"/>
      <c r="Q156" s="1471"/>
      <c r="R156" s="1471"/>
      <c r="S156" s="1471"/>
      <c r="T156" s="1256"/>
      <c r="U156" s="1471"/>
      <c r="V156" s="1471"/>
      <c r="W156" s="1471"/>
      <c r="X156" s="1471"/>
      <c r="Y156" s="1471"/>
      <c r="Z156" s="1471"/>
      <c r="AA156" s="1263"/>
      <c r="AB156" s="1471"/>
      <c r="AC156" s="1371" t="s">
        <v>338</v>
      </c>
      <c r="AD156" s="1471"/>
      <c r="AE156" s="1223"/>
      <c r="AF156" s="1471"/>
      <c r="AG156" s="1471"/>
      <c r="AH156" s="1207"/>
    </row>
    <row r="157" spans="1:34" ht="13.5" thickBot="1" x14ac:dyDescent="0.25">
      <c r="A157" s="1250"/>
      <c r="B157" s="1251"/>
      <c r="C157" s="1237"/>
      <c r="D157" s="1237"/>
      <c r="E157" s="1237"/>
      <c r="F157" s="1237"/>
      <c r="G157" s="1237"/>
      <c r="H157" s="1237"/>
      <c r="I157" s="1237"/>
      <c r="J157" s="1237"/>
      <c r="K157" s="1237"/>
      <c r="L157" s="1237"/>
      <c r="M157" s="1237"/>
      <c r="N157" s="1237"/>
      <c r="O157" s="1237"/>
      <c r="P157" s="1212"/>
      <c r="Q157" s="1471"/>
      <c r="R157" s="1471"/>
      <c r="S157" s="1471"/>
      <c r="T157" s="1471"/>
      <c r="U157" s="1471"/>
      <c r="V157" s="1471"/>
      <c r="W157" s="1471"/>
      <c r="X157" s="1471"/>
      <c r="Y157" s="1471"/>
      <c r="Z157" s="1471"/>
      <c r="AA157" s="1471"/>
      <c r="AB157" s="1471"/>
      <c r="AC157" s="1471"/>
      <c r="AD157" s="1471"/>
      <c r="AE157" s="1471"/>
      <c r="AF157" s="1471"/>
      <c r="AG157" s="1471"/>
      <c r="AH157" s="1207"/>
    </row>
    <row r="158" spans="1:34" x14ac:dyDescent="0.2">
      <c r="A158" s="1269"/>
      <c r="B158" s="1237"/>
      <c r="C158" s="1270"/>
      <c r="D158" s="1272"/>
      <c r="E158" s="1272"/>
      <c r="F158" s="1271"/>
      <c r="G158" s="1271"/>
      <c r="H158" s="1271"/>
      <c r="I158" s="1271"/>
      <c r="J158" s="1271"/>
      <c r="K158" s="1271"/>
      <c r="L158" s="1271"/>
      <c r="M158" s="1271"/>
      <c r="N158" s="1271"/>
      <c r="O158" s="1271"/>
      <c r="P158" s="1273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07"/>
    </row>
    <row r="159" spans="1:34" ht="13.5" thickBot="1" x14ac:dyDescent="0.25">
      <c r="A159" s="1274" t="s">
        <v>7</v>
      </c>
      <c r="B159" s="1237"/>
      <c r="C159" s="1275">
        <f t="shared" ref="C159:AG159" si="17">C160+C161+C162+C166+C165+C163+C164</f>
        <v>0</v>
      </c>
      <c r="D159" s="1275">
        <f t="shared" si="17"/>
        <v>0</v>
      </c>
      <c r="E159" s="1275">
        <f t="shared" si="17"/>
        <v>0</v>
      </c>
      <c r="F159" s="1275">
        <f t="shared" si="17"/>
        <v>0</v>
      </c>
      <c r="G159" s="1275">
        <f t="shared" si="17"/>
        <v>0</v>
      </c>
      <c r="H159" s="1275">
        <f t="shared" si="17"/>
        <v>0</v>
      </c>
      <c r="I159" s="1275">
        <f t="shared" si="17"/>
        <v>0</v>
      </c>
      <c r="J159" s="1275">
        <f t="shared" si="17"/>
        <v>0</v>
      </c>
      <c r="K159" s="1275">
        <f t="shared" si="17"/>
        <v>0</v>
      </c>
      <c r="L159" s="1275">
        <f t="shared" si="17"/>
        <v>0</v>
      </c>
      <c r="M159" s="1275">
        <f t="shared" si="17"/>
        <v>0</v>
      </c>
      <c r="N159" s="1275">
        <f t="shared" si="17"/>
        <v>0</v>
      </c>
      <c r="O159" s="1275">
        <f t="shared" si="17"/>
        <v>0</v>
      </c>
      <c r="P159" s="1276">
        <f t="shared" si="17"/>
        <v>0</v>
      </c>
      <c r="Q159" s="1275">
        <f t="shared" si="17"/>
        <v>0</v>
      </c>
      <c r="R159" s="1275">
        <f t="shared" si="17"/>
        <v>0</v>
      </c>
      <c r="S159" s="1275">
        <f t="shared" si="17"/>
        <v>0</v>
      </c>
      <c r="T159" s="1275">
        <f t="shared" si="17"/>
        <v>0</v>
      </c>
      <c r="U159" s="1275">
        <f t="shared" si="17"/>
        <v>0</v>
      </c>
      <c r="V159" s="1275">
        <f t="shared" si="17"/>
        <v>0</v>
      </c>
      <c r="W159" s="1275">
        <f t="shared" si="17"/>
        <v>0</v>
      </c>
      <c r="X159" s="1275">
        <f t="shared" si="17"/>
        <v>0</v>
      </c>
      <c r="Y159" s="1275">
        <f t="shared" si="17"/>
        <v>0</v>
      </c>
      <c r="Z159" s="1275">
        <f t="shared" si="17"/>
        <v>0</v>
      </c>
      <c r="AA159" s="1275">
        <f t="shared" si="17"/>
        <v>0</v>
      </c>
      <c r="AB159" s="1275">
        <f t="shared" si="17"/>
        <v>0</v>
      </c>
      <c r="AC159" s="1275">
        <f t="shared" si="17"/>
        <v>0</v>
      </c>
      <c r="AD159" s="1275">
        <f t="shared" si="17"/>
        <v>0</v>
      </c>
      <c r="AE159" s="1275">
        <f t="shared" si="17"/>
        <v>0</v>
      </c>
      <c r="AF159" s="1275">
        <f t="shared" si="17"/>
        <v>0</v>
      </c>
      <c r="AG159" s="1275">
        <f t="shared" si="17"/>
        <v>0</v>
      </c>
      <c r="AH159" s="1227">
        <f t="shared" ref="AH159:AH167" si="18">SUM(C159:AG159)</f>
        <v>0</v>
      </c>
    </row>
    <row r="160" spans="1:34" x14ac:dyDescent="0.2">
      <c r="A160" s="1274" t="s">
        <v>8</v>
      </c>
      <c r="B160" s="1237"/>
      <c r="C160" s="1302"/>
      <c r="D160" s="1302"/>
      <c r="E160" s="1302"/>
      <c r="F160" s="1303"/>
      <c r="G160" s="1303"/>
      <c r="H160" s="1303"/>
      <c r="I160" s="1303"/>
      <c r="J160" s="1303"/>
      <c r="K160" s="1303"/>
      <c r="L160" s="1303"/>
      <c r="M160" s="1303"/>
      <c r="N160" s="1303"/>
      <c r="O160" s="1303"/>
      <c r="P160" s="1304"/>
      <c r="Q160" s="1303"/>
      <c r="R160" s="1303"/>
      <c r="S160" s="1303"/>
      <c r="T160" s="1303"/>
      <c r="U160" s="1303"/>
      <c r="V160" s="1303"/>
      <c r="W160" s="1303"/>
      <c r="X160" s="1303"/>
      <c r="Y160" s="1303"/>
      <c r="Z160" s="1303"/>
      <c r="AA160" s="1303"/>
      <c r="AB160" s="1303"/>
      <c r="AC160" s="1303"/>
      <c r="AD160" s="1303"/>
      <c r="AE160" s="1303"/>
      <c r="AF160" s="1303"/>
      <c r="AG160" s="1303"/>
      <c r="AH160" s="1227">
        <f t="shared" si="18"/>
        <v>0</v>
      </c>
    </row>
    <row r="161" spans="1:35" x14ac:dyDescent="0.2">
      <c r="A161" s="1274" t="s">
        <v>9</v>
      </c>
      <c r="B161" s="1237"/>
      <c r="C161" s="1302"/>
      <c r="D161" s="1302"/>
      <c r="E161" s="1302"/>
      <c r="F161" s="1303"/>
      <c r="G161" s="1303"/>
      <c r="H161" s="1303"/>
      <c r="I161" s="1303"/>
      <c r="J161" s="1303"/>
      <c r="K161" s="1303"/>
      <c r="L161" s="1303"/>
      <c r="M161" s="1303"/>
      <c r="N161" s="1303"/>
      <c r="O161" s="1303"/>
      <c r="P161" s="1304"/>
      <c r="Q161" s="1303"/>
      <c r="R161" s="1303"/>
      <c r="S161" s="1303"/>
      <c r="T161" s="1303"/>
      <c r="U161" s="1303"/>
      <c r="V161" s="1303"/>
      <c r="W161" s="1303"/>
      <c r="X161" s="1303"/>
      <c r="Y161" s="1303"/>
      <c r="Z161" s="1303"/>
      <c r="AA161" s="1303"/>
      <c r="AB161" s="1303"/>
      <c r="AC161" s="1303"/>
      <c r="AD161" s="1303"/>
      <c r="AE161" s="1303"/>
      <c r="AF161" s="1303"/>
      <c r="AG161" s="1303"/>
      <c r="AH161" s="1227">
        <f t="shared" si="18"/>
        <v>0</v>
      </c>
    </row>
    <row r="162" spans="1:35" s="1289" customFormat="1" x14ac:dyDescent="0.2">
      <c r="A162" s="1285" t="s">
        <v>10</v>
      </c>
      <c r="B162" s="1372"/>
      <c r="C162" s="1373"/>
      <c r="D162" s="1374"/>
      <c r="E162" s="1374"/>
      <c r="F162" s="1375"/>
      <c r="G162" s="1376"/>
      <c r="H162" s="1375"/>
      <c r="I162" s="1375"/>
      <c r="J162" s="1375"/>
      <c r="K162" s="1375"/>
      <c r="L162" s="1375"/>
      <c r="M162" s="1375"/>
      <c r="N162" s="1375"/>
      <c r="O162" s="1375"/>
      <c r="P162" s="1375"/>
      <c r="Q162" s="1375"/>
      <c r="R162" s="1375"/>
      <c r="S162" s="1375"/>
      <c r="T162" s="1376"/>
      <c r="U162" s="1375"/>
      <c r="V162" s="1375"/>
      <c r="W162" s="1375"/>
      <c r="X162" s="1375"/>
      <c r="Y162" s="1375"/>
      <c r="Z162" s="1375"/>
      <c r="AA162" s="1377"/>
      <c r="AB162" s="1375"/>
      <c r="AC162" s="1375"/>
      <c r="AD162" s="1375"/>
      <c r="AE162" s="1378"/>
      <c r="AF162" s="1375"/>
      <c r="AG162" s="1375"/>
      <c r="AH162" s="1231">
        <f t="shared" si="18"/>
        <v>0</v>
      </c>
    </row>
    <row r="163" spans="1:35" s="1289" customFormat="1" x14ac:dyDescent="0.2">
      <c r="A163" s="1285" t="s">
        <v>356</v>
      </c>
      <c r="B163" s="1372"/>
      <c r="C163" s="1292"/>
      <c r="D163" s="1292"/>
      <c r="E163" s="1292"/>
      <c r="F163" s="1292"/>
      <c r="G163" s="1292"/>
      <c r="H163" s="1292"/>
      <c r="I163" s="1292"/>
      <c r="J163" s="1292"/>
      <c r="K163" s="1292"/>
      <c r="L163" s="1292"/>
      <c r="M163" s="1292"/>
      <c r="N163" s="1292"/>
      <c r="O163" s="1292"/>
      <c r="P163" s="1292"/>
      <c r="Q163" s="1292"/>
      <c r="R163" s="1292"/>
      <c r="S163" s="1292"/>
      <c r="T163" s="1292"/>
      <c r="U163" s="1292"/>
      <c r="V163" s="1292"/>
      <c r="W163" s="1292"/>
      <c r="X163" s="1292"/>
      <c r="Y163" s="1292"/>
      <c r="Z163" s="1292"/>
      <c r="AA163" s="1292"/>
      <c r="AB163" s="1292"/>
      <c r="AC163" s="1292"/>
      <c r="AD163" s="1292"/>
      <c r="AE163" s="1292"/>
      <c r="AF163" s="1379"/>
      <c r="AG163" s="1379"/>
      <c r="AH163" s="1231">
        <f t="shared" si="18"/>
        <v>0</v>
      </c>
    </row>
    <row r="164" spans="1:35" x14ac:dyDescent="0.2">
      <c r="A164" s="1274" t="s">
        <v>357</v>
      </c>
      <c r="B164" s="1237"/>
      <c r="C164" s="1306"/>
      <c r="D164" s="1302"/>
      <c r="E164" s="1306"/>
      <c r="F164" s="1303"/>
      <c r="G164" s="1303"/>
      <c r="H164" s="1304"/>
      <c r="I164" s="1304"/>
      <c r="J164" s="1304"/>
      <c r="K164" s="1304"/>
      <c r="L164" s="1304"/>
      <c r="M164" s="1304"/>
      <c r="N164" s="1304"/>
      <c r="O164" s="1304"/>
      <c r="P164" s="1304"/>
      <c r="Q164" s="1304"/>
      <c r="R164" s="1304"/>
      <c r="S164" s="1304"/>
      <c r="T164" s="1304"/>
      <c r="U164" s="1304"/>
      <c r="V164" s="1304"/>
      <c r="W164" s="1304"/>
      <c r="X164" s="1304"/>
      <c r="Y164" s="1304"/>
      <c r="Z164" s="1304"/>
      <c r="AA164" s="1304"/>
      <c r="AB164" s="1304"/>
      <c r="AC164" s="1304"/>
      <c r="AD164" s="1304"/>
      <c r="AE164" s="1304"/>
      <c r="AF164" s="1304"/>
      <c r="AG164" s="1304"/>
      <c r="AH164" s="1227">
        <f t="shared" si="18"/>
        <v>0</v>
      </c>
    </row>
    <row r="165" spans="1:35" x14ac:dyDescent="0.2">
      <c r="A165" s="1274" t="s">
        <v>41</v>
      </c>
      <c r="B165" s="1237"/>
      <c r="C165" s="1306"/>
      <c r="D165" s="1302"/>
      <c r="E165" s="1306"/>
      <c r="F165" s="1303"/>
      <c r="G165" s="1303"/>
      <c r="H165" s="1304"/>
      <c r="I165" s="1304"/>
      <c r="J165" s="1304"/>
      <c r="K165" s="1304"/>
      <c r="L165" s="1304"/>
      <c r="M165" s="1304"/>
      <c r="N165" s="1304"/>
      <c r="O165" s="1304"/>
      <c r="P165" s="1304"/>
      <c r="Q165" s="1304"/>
      <c r="R165" s="1304"/>
      <c r="S165" s="1304"/>
      <c r="T165" s="1304"/>
      <c r="U165" s="1304"/>
      <c r="V165" s="1304"/>
      <c r="W165" s="1304"/>
      <c r="X165" s="1304"/>
      <c r="Y165" s="1304"/>
      <c r="Z165" s="1304"/>
      <c r="AA165" s="1304"/>
      <c r="AB165" s="1304"/>
      <c r="AC165" s="1304"/>
      <c r="AD165" s="1304"/>
      <c r="AE165" s="1304"/>
      <c r="AF165" s="1304"/>
      <c r="AG165" s="1304"/>
      <c r="AH165" s="1227">
        <f t="shared" si="18"/>
        <v>0</v>
      </c>
    </row>
    <row r="166" spans="1:35" x14ac:dyDescent="0.2">
      <c r="A166" s="1274" t="s">
        <v>11</v>
      </c>
      <c r="B166" s="1237"/>
      <c r="C166" s="1302"/>
      <c r="D166" s="1306"/>
      <c r="E166" s="1306"/>
      <c r="F166" s="1304"/>
      <c r="G166" s="1304"/>
      <c r="H166" s="1304"/>
      <c r="I166" s="1304"/>
      <c r="J166" s="1304"/>
      <c r="K166" s="1304"/>
      <c r="L166" s="1304"/>
      <c r="M166" s="1304"/>
      <c r="N166" s="1304"/>
      <c r="O166" s="1304"/>
      <c r="P166" s="1304"/>
      <c r="Q166" s="1304"/>
      <c r="R166" s="1304"/>
      <c r="S166" s="1304"/>
      <c r="T166" s="1304"/>
      <c r="U166" s="1304"/>
      <c r="V166" s="1304"/>
      <c r="W166" s="1304"/>
      <c r="X166" s="1304"/>
      <c r="Y166" s="1304"/>
      <c r="Z166" s="1304"/>
      <c r="AA166" s="1304"/>
      <c r="AB166" s="1318"/>
      <c r="AC166" s="1304"/>
      <c r="AD166" s="1304"/>
      <c r="AE166" s="1304"/>
      <c r="AF166" s="1304"/>
      <c r="AG166" s="1304"/>
      <c r="AH166" s="1227">
        <f t="shared" si="18"/>
        <v>0</v>
      </c>
    </row>
    <row r="167" spans="1:35" ht="13.5" thickBot="1" x14ac:dyDescent="0.25">
      <c r="A167" s="1294"/>
      <c r="B167" s="1237"/>
      <c r="C167" s="1302"/>
      <c r="D167" s="1302"/>
      <c r="E167" s="1302"/>
      <c r="F167" s="1303"/>
      <c r="G167" s="1303"/>
      <c r="H167" s="1303"/>
      <c r="I167" s="1303"/>
      <c r="J167" s="1303"/>
      <c r="K167" s="1303"/>
      <c r="L167" s="1303"/>
      <c r="M167" s="1303"/>
      <c r="N167" s="1303"/>
      <c r="O167" s="1303"/>
      <c r="P167" s="1304"/>
      <c r="Q167" s="1303"/>
      <c r="R167" s="1303"/>
      <c r="S167" s="1303"/>
      <c r="T167" s="1303"/>
      <c r="U167" s="1303"/>
      <c r="V167" s="1303"/>
      <c r="W167" s="1303"/>
      <c r="X167" s="1303"/>
      <c r="Y167" s="1303"/>
      <c r="Z167" s="1303"/>
      <c r="AA167" s="1303"/>
      <c r="AB167" s="1303"/>
      <c r="AC167" s="1303"/>
      <c r="AD167" s="1303"/>
      <c r="AE167" s="1303"/>
      <c r="AF167" s="1303"/>
      <c r="AG167" s="1303"/>
      <c r="AH167" s="1227">
        <f t="shared" si="18"/>
        <v>0</v>
      </c>
    </row>
    <row r="168" spans="1:35" x14ac:dyDescent="0.2">
      <c r="A168" s="1269"/>
      <c r="B168" s="1237"/>
      <c r="C168" s="1296"/>
      <c r="D168" s="1297"/>
      <c r="E168" s="1297"/>
      <c r="F168" s="1298"/>
      <c r="G168" s="1298"/>
      <c r="H168" s="1298"/>
      <c r="I168" s="1298"/>
      <c r="J168" s="1298"/>
      <c r="K168" s="1298"/>
      <c r="L168" s="1298"/>
      <c r="M168" s="1298"/>
      <c r="N168" s="1298"/>
      <c r="O168" s="1298"/>
      <c r="P168" s="1299"/>
      <c r="Q168" s="1298"/>
      <c r="R168" s="1298"/>
      <c r="S168" s="1298"/>
      <c r="T168" s="1298"/>
      <c r="U168" s="1298"/>
      <c r="V168" s="1298"/>
      <c r="W168" s="1298"/>
      <c r="X168" s="1298"/>
      <c r="Y168" s="1298"/>
      <c r="Z168" s="1298"/>
      <c r="AA168" s="1298"/>
      <c r="AB168" s="1298"/>
      <c r="AC168" s="1298"/>
      <c r="AD168" s="1298"/>
      <c r="AE168" s="1298"/>
      <c r="AF168" s="1298"/>
      <c r="AG168" s="1298"/>
      <c r="AH168" s="1207"/>
    </row>
    <row r="169" spans="1:35" ht="13.5" thickBot="1" x14ac:dyDescent="0.25">
      <c r="A169" s="1274" t="s">
        <v>12</v>
      </c>
      <c r="B169" s="1237"/>
      <c r="C169" s="1275">
        <f t="shared" ref="C169:AG169" si="19">C170</f>
        <v>0</v>
      </c>
      <c r="D169" s="1275">
        <f t="shared" si="19"/>
        <v>0</v>
      </c>
      <c r="E169" s="1275">
        <f t="shared" si="19"/>
        <v>0</v>
      </c>
      <c r="F169" s="1275">
        <f t="shared" si="19"/>
        <v>0</v>
      </c>
      <c r="G169" s="1275">
        <f t="shared" si="19"/>
        <v>0</v>
      </c>
      <c r="H169" s="1275">
        <f t="shared" si="19"/>
        <v>0</v>
      </c>
      <c r="I169" s="1275">
        <f t="shared" si="19"/>
        <v>0</v>
      </c>
      <c r="J169" s="1275">
        <f t="shared" si="19"/>
        <v>0</v>
      </c>
      <c r="K169" s="1275">
        <f t="shared" si="19"/>
        <v>0</v>
      </c>
      <c r="L169" s="1275">
        <f t="shared" si="19"/>
        <v>0</v>
      </c>
      <c r="M169" s="1275">
        <f t="shared" si="19"/>
        <v>0</v>
      </c>
      <c r="N169" s="1275">
        <f t="shared" si="19"/>
        <v>0</v>
      </c>
      <c r="O169" s="1275">
        <f t="shared" si="19"/>
        <v>0</v>
      </c>
      <c r="P169" s="1276">
        <f t="shared" si="19"/>
        <v>0</v>
      </c>
      <c r="Q169" s="1275">
        <f t="shared" si="19"/>
        <v>0</v>
      </c>
      <c r="R169" s="1275">
        <f t="shared" si="19"/>
        <v>0</v>
      </c>
      <c r="S169" s="1275">
        <f t="shared" si="19"/>
        <v>0</v>
      </c>
      <c r="T169" s="1275">
        <f t="shared" si="19"/>
        <v>0</v>
      </c>
      <c r="U169" s="1275">
        <f t="shared" si="19"/>
        <v>0</v>
      </c>
      <c r="V169" s="1275">
        <f t="shared" si="19"/>
        <v>0</v>
      </c>
      <c r="W169" s="1275">
        <f t="shared" si="19"/>
        <v>0</v>
      </c>
      <c r="X169" s="1275">
        <f t="shared" si="19"/>
        <v>0</v>
      </c>
      <c r="Y169" s="1275">
        <f t="shared" si="19"/>
        <v>0</v>
      </c>
      <c r="Z169" s="1275">
        <f t="shared" si="19"/>
        <v>0</v>
      </c>
      <c r="AA169" s="1275">
        <f t="shared" si="19"/>
        <v>0</v>
      </c>
      <c r="AB169" s="1275">
        <f t="shared" si="19"/>
        <v>0</v>
      </c>
      <c r="AC169" s="1275">
        <f t="shared" si="19"/>
        <v>0</v>
      </c>
      <c r="AD169" s="1275">
        <f t="shared" si="19"/>
        <v>0</v>
      </c>
      <c r="AE169" s="1275">
        <f t="shared" si="19"/>
        <v>0</v>
      </c>
      <c r="AF169" s="1275">
        <f t="shared" si="19"/>
        <v>0</v>
      </c>
      <c r="AG169" s="1275">
        <f t="shared" si="19"/>
        <v>0</v>
      </c>
      <c r="AH169" s="1207"/>
    </row>
    <row r="170" spans="1:35" x14ac:dyDescent="0.2">
      <c r="A170" s="1274" t="s">
        <v>8</v>
      </c>
      <c r="B170" s="1237"/>
      <c r="C170" s="1302"/>
      <c r="D170" s="1302"/>
      <c r="E170" s="1302"/>
      <c r="F170" s="1303"/>
      <c r="G170" s="1303"/>
      <c r="H170" s="1303"/>
      <c r="I170" s="1303"/>
      <c r="J170" s="1303"/>
      <c r="K170" s="1303"/>
      <c r="L170" s="1303"/>
      <c r="M170" s="1303"/>
      <c r="N170" s="1303"/>
      <c r="O170" s="1303"/>
      <c r="P170" s="1304"/>
      <c r="Q170" s="1303"/>
      <c r="R170" s="1303"/>
      <c r="S170" s="1303"/>
      <c r="T170" s="1303"/>
      <c r="U170" s="1303"/>
      <c r="V170" s="1303"/>
      <c r="W170" s="1303"/>
      <c r="X170" s="1303"/>
      <c r="Y170" s="1303"/>
      <c r="Z170" s="1303"/>
      <c r="AA170" s="1303"/>
      <c r="AB170" s="1303"/>
      <c r="AC170" s="1303"/>
      <c r="AD170" s="1303"/>
      <c r="AE170" s="1303"/>
      <c r="AF170" s="1303"/>
      <c r="AG170" s="1303"/>
      <c r="AH170" s="1207"/>
    </row>
    <row r="171" spans="1:35" x14ac:dyDescent="0.2">
      <c r="A171" s="1274" t="s">
        <v>775</v>
      </c>
      <c r="B171" s="1237"/>
      <c r="C171" s="1443"/>
      <c r="D171" s="1443"/>
      <c r="E171" s="1282">
        <v>1484.5</v>
      </c>
      <c r="F171" s="1282"/>
      <c r="G171" s="1282"/>
      <c r="H171" s="1282">
        <v>1484.5</v>
      </c>
      <c r="I171" s="1282">
        <v>328.053</v>
      </c>
      <c r="J171" s="1282">
        <v>1320</v>
      </c>
      <c r="K171" s="1282">
        <v>1484.5</v>
      </c>
      <c r="L171" s="1282">
        <v>2770</v>
      </c>
      <c r="M171" s="1282"/>
      <c r="N171" s="1282">
        <v>1484.5</v>
      </c>
      <c r="O171" s="1282"/>
      <c r="P171" s="1282"/>
      <c r="Q171" s="1282">
        <v>3867.7150000000001</v>
      </c>
      <c r="R171" s="1282"/>
      <c r="S171" s="1282"/>
      <c r="T171" s="1282">
        <v>1484.5</v>
      </c>
      <c r="U171" s="1282"/>
      <c r="V171" s="1282">
        <v>6425.8370000000004</v>
      </c>
      <c r="W171" s="1282">
        <v>1484.5</v>
      </c>
      <c r="X171" s="1282"/>
      <c r="Y171" s="1282"/>
      <c r="Z171" s="1282">
        <v>1484.5</v>
      </c>
      <c r="AA171" s="1282">
        <v>5014.6669999999995</v>
      </c>
      <c r="AB171" s="1282"/>
      <c r="AC171" s="1282">
        <v>1484.5</v>
      </c>
      <c r="AD171" s="1282">
        <v>4106.2179999999998</v>
      </c>
      <c r="AE171" s="1282">
        <v>3542.9479999999999</v>
      </c>
      <c r="AF171" s="1282">
        <v>780.87199999999996</v>
      </c>
      <c r="AG171" s="1282"/>
      <c r="AH171" s="1227"/>
    </row>
    <row r="172" spans="1:35" ht="13.5" thickBot="1" x14ac:dyDescent="0.25">
      <c r="A172" s="1294"/>
      <c r="B172" s="1237"/>
      <c r="C172" s="1302"/>
      <c r="D172" s="1302"/>
      <c r="E172" s="1302"/>
      <c r="F172" s="1303"/>
      <c r="G172" s="1303"/>
      <c r="H172" s="1303"/>
      <c r="I172" s="1303"/>
      <c r="J172" s="1303"/>
      <c r="K172" s="1303"/>
      <c r="L172" s="1303"/>
      <c r="M172" s="1303"/>
      <c r="N172" s="1303"/>
      <c r="O172" s="1303"/>
      <c r="P172" s="1304"/>
      <c r="Q172" s="1303"/>
      <c r="R172" s="1303"/>
      <c r="S172" s="1303"/>
      <c r="T172" s="1303"/>
      <c r="U172" s="1303"/>
      <c r="V172" s="1303"/>
      <c r="W172" s="1303"/>
      <c r="X172" s="1303"/>
      <c r="Y172" s="1303"/>
      <c r="Z172" s="1303"/>
      <c r="AA172" s="1303"/>
      <c r="AB172" s="1303"/>
      <c r="AC172" s="1303"/>
      <c r="AD172" s="1303"/>
      <c r="AE172" s="1303"/>
      <c r="AF172" s="1303"/>
      <c r="AG172" s="1303"/>
      <c r="AH172" s="1207"/>
    </row>
    <row r="173" spans="1:35" x14ac:dyDescent="0.2">
      <c r="A173" s="1269"/>
      <c r="B173" s="1237"/>
      <c r="C173" s="1296"/>
      <c r="D173" s="1297"/>
      <c r="E173" s="1297"/>
      <c r="F173" s="1298"/>
      <c r="G173" s="1298"/>
      <c r="H173" s="1298"/>
      <c r="I173" s="1298"/>
      <c r="J173" s="1298"/>
      <c r="K173" s="1298"/>
      <c r="L173" s="1298"/>
      <c r="M173" s="1298"/>
      <c r="N173" s="1298"/>
      <c r="O173" s="1298"/>
      <c r="P173" s="1299"/>
      <c r="Q173" s="1298"/>
      <c r="R173" s="1298"/>
      <c r="S173" s="1298"/>
      <c r="T173" s="1298"/>
      <c r="U173" s="1298"/>
      <c r="V173" s="1298"/>
      <c r="W173" s="1298"/>
      <c r="X173" s="1298"/>
      <c r="Y173" s="1298"/>
      <c r="Z173" s="1298"/>
      <c r="AA173" s="1298"/>
      <c r="AB173" s="1298"/>
      <c r="AC173" s="1298"/>
      <c r="AD173" s="1298"/>
      <c r="AE173" s="1298"/>
      <c r="AF173" s="1298"/>
      <c r="AG173" s="1298"/>
      <c r="AH173" s="1207"/>
    </row>
    <row r="174" spans="1:35" x14ac:dyDescent="0.2">
      <c r="A174" s="1274" t="s">
        <v>13</v>
      </c>
      <c r="B174" s="1237"/>
      <c r="C174" s="1300">
        <f t="shared" ref="C174:AG174" si="20">C169-C159</f>
        <v>0</v>
      </c>
      <c r="D174" s="1300">
        <f t="shared" si="20"/>
        <v>0</v>
      </c>
      <c r="E174" s="1300">
        <f t="shared" si="20"/>
        <v>0</v>
      </c>
      <c r="F174" s="1300">
        <f t="shared" si="20"/>
        <v>0</v>
      </c>
      <c r="G174" s="1300">
        <f t="shared" si="20"/>
        <v>0</v>
      </c>
      <c r="H174" s="1300">
        <f t="shared" si="20"/>
        <v>0</v>
      </c>
      <c r="I174" s="1300">
        <f t="shared" si="20"/>
        <v>0</v>
      </c>
      <c r="J174" s="1300">
        <f t="shared" si="20"/>
        <v>0</v>
      </c>
      <c r="K174" s="1300">
        <f t="shared" si="20"/>
        <v>0</v>
      </c>
      <c r="L174" s="1300">
        <f t="shared" si="20"/>
        <v>0</v>
      </c>
      <c r="M174" s="1300">
        <f t="shared" si="20"/>
        <v>0</v>
      </c>
      <c r="N174" s="1300">
        <f t="shared" si="20"/>
        <v>0</v>
      </c>
      <c r="O174" s="1300">
        <f t="shared" si="20"/>
        <v>0</v>
      </c>
      <c r="P174" s="1301">
        <f t="shared" si="20"/>
        <v>0</v>
      </c>
      <c r="Q174" s="1300">
        <f t="shared" si="20"/>
        <v>0</v>
      </c>
      <c r="R174" s="1300">
        <f t="shared" si="20"/>
        <v>0</v>
      </c>
      <c r="S174" s="1300">
        <f t="shared" si="20"/>
        <v>0</v>
      </c>
      <c r="T174" s="1300">
        <f t="shared" si="20"/>
        <v>0</v>
      </c>
      <c r="U174" s="1300">
        <f t="shared" si="20"/>
        <v>0</v>
      </c>
      <c r="V174" s="1300">
        <f t="shared" si="20"/>
        <v>0</v>
      </c>
      <c r="W174" s="1300">
        <f t="shared" si="20"/>
        <v>0</v>
      </c>
      <c r="X174" s="1300">
        <f t="shared" si="20"/>
        <v>0</v>
      </c>
      <c r="Y174" s="1300">
        <f t="shared" si="20"/>
        <v>0</v>
      </c>
      <c r="Z174" s="1300">
        <f t="shared" si="20"/>
        <v>0</v>
      </c>
      <c r="AA174" s="1300">
        <f t="shared" si="20"/>
        <v>0</v>
      </c>
      <c r="AB174" s="1300">
        <f t="shared" si="20"/>
        <v>0</v>
      </c>
      <c r="AC174" s="1300">
        <f t="shared" si="20"/>
        <v>0</v>
      </c>
      <c r="AD174" s="1300">
        <f t="shared" si="20"/>
        <v>0</v>
      </c>
      <c r="AE174" s="1300">
        <f t="shared" si="20"/>
        <v>0</v>
      </c>
      <c r="AF174" s="1300">
        <f t="shared" si="20"/>
        <v>0</v>
      </c>
      <c r="AG174" s="1300">
        <f t="shared" si="20"/>
        <v>0</v>
      </c>
      <c r="AH174" s="1207"/>
    </row>
    <row r="175" spans="1:35" ht="13.5" thickBot="1" x14ac:dyDescent="0.25">
      <c r="A175" s="1274"/>
      <c r="B175" s="1237"/>
      <c r="C175" s="1300"/>
      <c r="D175" s="1302"/>
      <c r="E175" s="1302"/>
      <c r="F175" s="1303"/>
      <c r="G175" s="1303"/>
      <c r="H175" s="1303"/>
      <c r="I175" s="1303"/>
      <c r="J175" s="1303"/>
      <c r="K175" s="1303"/>
      <c r="L175" s="1303"/>
      <c r="M175" s="1303"/>
      <c r="N175" s="1303"/>
      <c r="O175" s="1303"/>
      <c r="P175" s="1304"/>
      <c r="Q175" s="1303"/>
      <c r="R175" s="1303"/>
      <c r="S175" s="1303"/>
      <c r="T175" s="1303"/>
      <c r="U175" s="1303"/>
      <c r="V175" s="1303"/>
      <c r="W175" s="1303"/>
      <c r="X175" s="1303"/>
      <c r="Y175" s="1303"/>
      <c r="Z175" s="1303"/>
      <c r="AA175" s="1303"/>
      <c r="AB175" s="1303"/>
      <c r="AC175" s="1303"/>
      <c r="AD175" s="1303"/>
      <c r="AE175" s="1303"/>
      <c r="AF175" s="1303"/>
      <c r="AG175" s="1303"/>
      <c r="AH175" s="1207"/>
      <c r="AI175" s="1209" t="s">
        <v>813</v>
      </c>
    </row>
    <row r="176" spans="1:35" x14ac:dyDescent="0.2">
      <c r="A176" s="1233"/>
      <c r="B176" s="1234"/>
      <c r="C176" s="1305"/>
      <c r="D176" s="1297"/>
      <c r="E176" s="1297"/>
      <c r="F176" s="1298"/>
      <c r="G176" s="1298"/>
      <c r="H176" s="1298"/>
      <c r="I176" s="1298"/>
      <c r="J176" s="1298"/>
      <c r="K176" s="1298"/>
      <c r="L176" s="1298"/>
      <c r="M176" s="1298"/>
      <c r="N176" s="1298"/>
      <c r="O176" s="1298"/>
      <c r="P176" s="1299"/>
      <c r="Q176" s="1298"/>
      <c r="R176" s="1298"/>
      <c r="S176" s="1298"/>
      <c r="T176" s="1298"/>
      <c r="U176" s="1298"/>
      <c r="V176" s="1298"/>
      <c r="W176" s="1298"/>
      <c r="X176" s="1298"/>
      <c r="Y176" s="1298"/>
      <c r="Z176" s="1298"/>
      <c r="AA176" s="1298"/>
      <c r="AB176" s="1298"/>
      <c r="AC176" s="1298"/>
      <c r="AD176" s="1298"/>
      <c r="AE176" s="1298"/>
      <c r="AF176" s="1298"/>
      <c r="AG176" s="1298"/>
      <c r="AH176" s="1207"/>
    </row>
    <row r="177" spans="1:34" x14ac:dyDescent="0.2">
      <c r="A177" s="1236" t="s">
        <v>15</v>
      </c>
      <c r="B177" s="1237"/>
      <c r="C177" s="1302">
        <f>B156+C174</f>
        <v>-71655.263000000006</v>
      </c>
      <c r="D177" s="1302">
        <f t="shared" ref="D177:AG177" si="21">C184+D174</f>
        <v>-71655.263000000006</v>
      </c>
      <c r="E177" s="1302">
        <f t="shared" si="21"/>
        <v>-71655.263000000006</v>
      </c>
      <c r="F177" s="1302">
        <f t="shared" si="21"/>
        <v>-71655.263000000006</v>
      </c>
      <c r="G177" s="1302">
        <f t="shared" si="21"/>
        <v>-71655.263000000006</v>
      </c>
      <c r="H177" s="1302">
        <f t="shared" si="21"/>
        <v>-71655.263000000006</v>
      </c>
      <c r="I177" s="1302">
        <f t="shared" si="21"/>
        <v>-71655.263000000006</v>
      </c>
      <c r="J177" s="1302">
        <f t="shared" si="21"/>
        <v>-71655.263000000006</v>
      </c>
      <c r="K177" s="1302">
        <f t="shared" si="21"/>
        <v>-71655.263000000006</v>
      </c>
      <c r="L177" s="1302">
        <f t="shared" si="21"/>
        <v>-71655.263000000006</v>
      </c>
      <c r="M177" s="1302">
        <f t="shared" si="21"/>
        <v>-71655.263000000006</v>
      </c>
      <c r="N177" s="1302">
        <f t="shared" si="21"/>
        <v>-71655.263000000006</v>
      </c>
      <c r="O177" s="1302">
        <f t="shared" si="21"/>
        <v>-71655.263000000006</v>
      </c>
      <c r="P177" s="1306">
        <f t="shared" si="21"/>
        <v>-71655.263000000006</v>
      </c>
      <c r="Q177" s="1302">
        <f t="shared" si="21"/>
        <v>-71655.263000000006</v>
      </c>
      <c r="R177" s="1302">
        <f t="shared" si="21"/>
        <v>-71655.263000000006</v>
      </c>
      <c r="S177" s="1302">
        <f t="shared" si="21"/>
        <v>-71655.263000000006</v>
      </c>
      <c r="T177" s="1302">
        <f t="shared" si="21"/>
        <v>-71655.263000000006</v>
      </c>
      <c r="U177" s="1302">
        <f t="shared" si="21"/>
        <v>-71655.263000000006</v>
      </c>
      <c r="V177" s="1302">
        <f t="shared" si="21"/>
        <v>-71655.263000000006</v>
      </c>
      <c r="W177" s="1302">
        <f t="shared" si="21"/>
        <v>-71655.263000000006</v>
      </c>
      <c r="X177" s="1302">
        <f t="shared" si="21"/>
        <v>-71655.263000000006</v>
      </c>
      <c r="Y177" s="1302">
        <f t="shared" si="21"/>
        <v>-71655.263000000006</v>
      </c>
      <c r="Z177" s="1302">
        <f t="shared" si="21"/>
        <v>-71655.263000000006</v>
      </c>
      <c r="AA177" s="1302">
        <f t="shared" si="21"/>
        <v>-71655.263000000006</v>
      </c>
      <c r="AB177" s="1302">
        <f t="shared" si="21"/>
        <v>-71655.263000000006</v>
      </c>
      <c r="AC177" s="1302">
        <f t="shared" si="21"/>
        <v>-71655.263000000006</v>
      </c>
      <c r="AD177" s="1302">
        <f t="shared" si="21"/>
        <v>-71655.263000000006</v>
      </c>
      <c r="AE177" s="1302">
        <f t="shared" si="21"/>
        <v>-71655.263000000006</v>
      </c>
      <c r="AF177" s="1302">
        <f t="shared" si="21"/>
        <v>-71655.263000000006</v>
      </c>
      <c r="AG177" s="1302">
        <f t="shared" si="21"/>
        <v>-71655.263000000006</v>
      </c>
      <c r="AH177" s="1207"/>
    </row>
    <row r="178" spans="1:34" ht="13.5" thickBot="1" x14ac:dyDescent="0.25">
      <c r="A178" s="1250"/>
      <c r="B178" s="1307"/>
      <c r="C178" s="1308"/>
      <c r="D178" s="1308"/>
      <c r="E178" s="1308"/>
      <c r="F178" s="1309"/>
      <c r="G178" s="1309"/>
      <c r="H178" s="1309"/>
      <c r="I178" s="1309"/>
      <c r="J178" s="1309"/>
      <c r="K178" s="1309"/>
      <c r="L178" s="1309"/>
      <c r="M178" s="1309"/>
      <c r="N178" s="1309"/>
      <c r="O178" s="1309"/>
      <c r="P178" s="1310"/>
      <c r="Q178" s="1309"/>
      <c r="R178" s="1309"/>
      <c r="S178" s="1309"/>
      <c r="T178" s="1309"/>
      <c r="U178" s="1309"/>
      <c r="V178" s="1309"/>
      <c r="W178" s="1309"/>
      <c r="X178" s="1309"/>
      <c r="Y178" s="1309"/>
      <c r="Z178" s="1309"/>
      <c r="AA178" s="1309"/>
      <c r="AB178" s="1309"/>
      <c r="AC178" s="1309"/>
      <c r="AD178" s="1309"/>
      <c r="AE178" s="1309"/>
      <c r="AF178" s="1309"/>
      <c r="AG178" s="1309"/>
      <c r="AH178" s="1207"/>
    </row>
    <row r="179" spans="1:34" x14ac:dyDescent="0.2">
      <c r="A179" s="1233"/>
      <c r="B179" s="1234"/>
      <c r="C179" s="1297"/>
      <c r="D179" s="1297"/>
      <c r="E179" s="1297"/>
      <c r="F179" s="1298"/>
      <c r="G179" s="1298"/>
      <c r="H179" s="1298"/>
      <c r="I179" s="1298"/>
      <c r="J179" s="1298"/>
      <c r="K179" s="1298"/>
      <c r="L179" s="1298"/>
      <c r="M179" s="1298"/>
      <c r="N179" s="1298"/>
      <c r="O179" s="1298"/>
      <c r="P179" s="1299"/>
      <c r="Q179" s="1298"/>
      <c r="R179" s="1298"/>
      <c r="S179" s="1298"/>
      <c r="T179" s="1298"/>
      <c r="U179" s="1298"/>
      <c r="V179" s="1298"/>
      <c r="W179" s="1298"/>
      <c r="X179" s="1298"/>
      <c r="Y179" s="1298"/>
      <c r="Z179" s="1298"/>
      <c r="AA179" s="1298"/>
      <c r="AB179" s="1298"/>
      <c r="AC179" s="1298"/>
      <c r="AD179" s="1298"/>
      <c r="AE179" s="1298"/>
      <c r="AF179" s="1298"/>
      <c r="AG179" s="1298"/>
      <c r="AH179" s="1207"/>
    </row>
    <row r="180" spans="1:34" x14ac:dyDescent="0.2">
      <c r="A180" s="1236" t="s">
        <v>82</v>
      </c>
      <c r="B180" s="1237"/>
      <c r="C180" s="1302">
        <f t="shared" ref="C180:AG181" si="22">C188</f>
        <v>0</v>
      </c>
      <c r="D180" s="1302">
        <f t="shared" si="22"/>
        <v>0</v>
      </c>
      <c r="E180" s="1302">
        <f t="shared" si="22"/>
        <v>0</v>
      </c>
      <c r="F180" s="1302">
        <f t="shared" si="22"/>
        <v>0</v>
      </c>
      <c r="G180" s="1302">
        <f t="shared" si="22"/>
        <v>0</v>
      </c>
      <c r="H180" s="1302">
        <f t="shared" si="22"/>
        <v>0</v>
      </c>
      <c r="I180" s="1302">
        <f t="shared" si="22"/>
        <v>0</v>
      </c>
      <c r="J180" s="1302">
        <f t="shared" si="22"/>
        <v>0</v>
      </c>
      <c r="K180" s="1302">
        <f t="shared" si="22"/>
        <v>0</v>
      </c>
      <c r="L180" s="1302">
        <f t="shared" si="22"/>
        <v>0</v>
      </c>
      <c r="M180" s="1302">
        <f t="shared" si="22"/>
        <v>0</v>
      </c>
      <c r="N180" s="1302">
        <f t="shared" si="22"/>
        <v>0</v>
      </c>
      <c r="O180" s="1302">
        <f t="shared" si="22"/>
        <v>0</v>
      </c>
      <c r="P180" s="1306">
        <f t="shared" si="22"/>
        <v>0</v>
      </c>
      <c r="Q180" s="1302">
        <f t="shared" si="22"/>
        <v>0</v>
      </c>
      <c r="R180" s="1302">
        <f t="shared" si="22"/>
        <v>0</v>
      </c>
      <c r="S180" s="1302">
        <f t="shared" si="22"/>
        <v>0</v>
      </c>
      <c r="T180" s="1302">
        <f t="shared" si="22"/>
        <v>0</v>
      </c>
      <c r="U180" s="1302">
        <f t="shared" si="22"/>
        <v>0</v>
      </c>
      <c r="V180" s="1302">
        <f t="shared" si="22"/>
        <v>0</v>
      </c>
      <c r="W180" s="1302">
        <f t="shared" si="22"/>
        <v>0</v>
      </c>
      <c r="X180" s="1302">
        <f t="shared" si="22"/>
        <v>0</v>
      </c>
      <c r="Y180" s="1302">
        <f t="shared" si="22"/>
        <v>0</v>
      </c>
      <c r="Z180" s="1302">
        <f t="shared" si="22"/>
        <v>0</v>
      </c>
      <c r="AA180" s="1302">
        <f t="shared" si="22"/>
        <v>0</v>
      </c>
      <c r="AB180" s="1302">
        <f t="shared" si="22"/>
        <v>0</v>
      </c>
      <c r="AC180" s="1302">
        <f t="shared" si="22"/>
        <v>0</v>
      </c>
      <c r="AD180" s="1302">
        <f t="shared" si="22"/>
        <v>0</v>
      </c>
      <c r="AE180" s="1302">
        <f t="shared" si="22"/>
        <v>0</v>
      </c>
      <c r="AF180" s="1302">
        <f t="shared" si="22"/>
        <v>0</v>
      </c>
      <c r="AG180" s="1302">
        <f t="shared" si="22"/>
        <v>0</v>
      </c>
      <c r="AH180" s="1207"/>
    </row>
    <row r="181" spans="1:34" x14ac:dyDescent="0.2">
      <c r="A181" s="1236" t="s">
        <v>83</v>
      </c>
      <c r="B181" s="1237"/>
      <c r="C181" s="1306">
        <f t="shared" si="22"/>
        <v>0</v>
      </c>
      <c r="D181" s="1306">
        <f t="shared" si="22"/>
        <v>0</v>
      </c>
      <c r="E181" s="1306">
        <f t="shared" si="22"/>
        <v>0</v>
      </c>
      <c r="F181" s="1306">
        <f t="shared" si="22"/>
        <v>0</v>
      </c>
      <c r="G181" s="1306">
        <f t="shared" si="22"/>
        <v>0</v>
      </c>
      <c r="H181" s="1306">
        <f t="shared" si="22"/>
        <v>0</v>
      </c>
      <c r="I181" s="1306">
        <f t="shared" si="22"/>
        <v>0</v>
      </c>
      <c r="J181" s="1306">
        <f t="shared" si="22"/>
        <v>0</v>
      </c>
      <c r="K181" s="1306">
        <f t="shared" si="22"/>
        <v>0</v>
      </c>
      <c r="L181" s="1306">
        <f t="shared" si="22"/>
        <v>0</v>
      </c>
      <c r="M181" s="1306">
        <f t="shared" si="22"/>
        <v>0</v>
      </c>
      <c r="N181" s="1306">
        <f t="shared" si="22"/>
        <v>0</v>
      </c>
      <c r="O181" s="1306">
        <f t="shared" si="22"/>
        <v>0</v>
      </c>
      <c r="P181" s="1306">
        <f t="shared" si="22"/>
        <v>0</v>
      </c>
      <c r="Q181" s="1306">
        <f t="shared" si="22"/>
        <v>0</v>
      </c>
      <c r="R181" s="1306">
        <f t="shared" si="22"/>
        <v>0</v>
      </c>
      <c r="S181" s="1306">
        <f t="shared" si="22"/>
        <v>0</v>
      </c>
      <c r="T181" s="1306">
        <f t="shared" si="22"/>
        <v>0</v>
      </c>
      <c r="U181" s="1306">
        <f t="shared" si="22"/>
        <v>0</v>
      </c>
      <c r="V181" s="1306">
        <f t="shared" si="22"/>
        <v>0</v>
      </c>
      <c r="W181" s="1306">
        <f t="shared" si="22"/>
        <v>0</v>
      </c>
      <c r="X181" s="1306">
        <f t="shared" si="22"/>
        <v>0</v>
      </c>
      <c r="Y181" s="1306">
        <f t="shared" si="22"/>
        <v>0</v>
      </c>
      <c r="Z181" s="1306">
        <f t="shared" si="22"/>
        <v>0</v>
      </c>
      <c r="AA181" s="1306">
        <f t="shared" si="22"/>
        <v>0</v>
      </c>
      <c r="AB181" s="1306">
        <f t="shared" si="22"/>
        <v>0</v>
      </c>
      <c r="AC181" s="1306">
        <f t="shared" si="22"/>
        <v>0</v>
      </c>
      <c r="AD181" s="1306">
        <f t="shared" si="22"/>
        <v>0</v>
      </c>
      <c r="AE181" s="1306">
        <f t="shared" si="22"/>
        <v>0</v>
      </c>
      <c r="AF181" s="1306">
        <f t="shared" si="22"/>
        <v>0</v>
      </c>
      <c r="AG181" s="1306">
        <f t="shared" si="22"/>
        <v>0</v>
      </c>
      <c r="AH181" s="1207"/>
    </row>
    <row r="182" spans="1:34" ht="13.5" thickBot="1" x14ac:dyDescent="0.25">
      <c r="A182" s="1250"/>
      <c r="B182" s="1307"/>
      <c r="C182" s="1308"/>
      <c r="D182" s="1308"/>
      <c r="E182" s="1308"/>
      <c r="F182" s="1309"/>
      <c r="G182" s="1309"/>
      <c r="H182" s="1309"/>
      <c r="I182" s="1309"/>
      <c r="J182" s="1309"/>
      <c r="K182" s="1309"/>
      <c r="L182" s="1309"/>
      <c r="M182" s="1309"/>
      <c r="N182" s="1309"/>
      <c r="O182" s="1309"/>
      <c r="P182" s="1310"/>
      <c r="Q182" s="1309"/>
      <c r="R182" s="1309"/>
      <c r="S182" s="1309"/>
      <c r="T182" s="1309"/>
      <c r="U182" s="1309"/>
      <c r="V182" s="1309"/>
      <c r="W182" s="1309"/>
      <c r="X182" s="1309"/>
      <c r="Y182" s="1309"/>
      <c r="Z182" s="1309"/>
      <c r="AA182" s="1309"/>
      <c r="AB182" s="1309"/>
      <c r="AC182" s="1309"/>
      <c r="AD182" s="1309"/>
      <c r="AE182" s="1309"/>
      <c r="AF182" s="1309"/>
      <c r="AG182" s="1309"/>
      <c r="AH182" s="1207"/>
    </row>
    <row r="183" spans="1:34" x14ac:dyDescent="0.2">
      <c r="A183" s="1236"/>
      <c r="B183" s="1237"/>
      <c r="C183" s="1302"/>
      <c r="D183" s="1302"/>
      <c r="E183" s="1302"/>
      <c r="F183" s="1303"/>
      <c r="G183" s="1303"/>
      <c r="H183" s="1303"/>
      <c r="I183" s="1303"/>
      <c r="J183" s="1303"/>
      <c r="K183" s="1303"/>
      <c r="L183" s="1303"/>
      <c r="M183" s="1303"/>
      <c r="N183" s="1303"/>
      <c r="O183" s="1303"/>
      <c r="P183" s="1304"/>
      <c r="Q183" s="1303"/>
      <c r="R183" s="1303"/>
      <c r="S183" s="1303"/>
      <c r="T183" s="1303"/>
      <c r="U183" s="1303"/>
      <c r="V183" s="1303"/>
      <c r="W183" s="1303"/>
      <c r="X183" s="1303"/>
      <c r="Y183" s="1303"/>
      <c r="Z183" s="1303"/>
      <c r="AA183" s="1303"/>
      <c r="AB183" s="1303"/>
      <c r="AC183" s="1303"/>
      <c r="AD183" s="1303"/>
      <c r="AE183" s="1303"/>
      <c r="AF183" s="1303"/>
      <c r="AG183" s="1303"/>
      <c r="AH183" s="1208"/>
    </row>
    <row r="184" spans="1:34" x14ac:dyDescent="0.2">
      <c r="A184" s="1236" t="s">
        <v>14</v>
      </c>
      <c r="B184" s="1237"/>
      <c r="C184" s="1302">
        <f t="shared" ref="C184:AG184" si="23">C177+C180+C181</f>
        <v>-71655.263000000006</v>
      </c>
      <c r="D184" s="1302">
        <f t="shared" si="23"/>
        <v>-71655.263000000006</v>
      </c>
      <c r="E184" s="1302">
        <f t="shared" si="23"/>
        <v>-71655.263000000006</v>
      </c>
      <c r="F184" s="1302">
        <f t="shared" si="23"/>
        <v>-71655.263000000006</v>
      </c>
      <c r="G184" s="1302">
        <f t="shared" si="23"/>
        <v>-71655.263000000006</v>
      </c>
      <c r="H184" s="1302">
        <f t="shared" si="23"/>
        <v>-71655.263000000006</v>
      </c>
      <c r="I184" s="1302">
        <f t="shared" si="23"/>
        <v>-71655.263000000006</v>
      </c>
      <c r="J184" s="1302">
        <f t="shared" si="23"/>
        <v>-71655.263000000006</v>
      </c>
      <c r="K184" s="1302">
        <f t="shared" si="23"/>
        <v>-71655.263000000006</v>
      </c>
      <c r="L184" s="1302">
        <f t="shared" si="23"/>
        <v>-71655.263000000006</v>
      </c>
      <c r="M184" s="1302">
        <f t="shared" si="23"/>
        <v>-71655.263000000006</v>
      </c>
      <c r="N184" s="1302">
        <f t="shared" si="23"/>
        <v>-71655.263000000006</v>
      </c>
      <c r="O184" s="1302">
        <f t="shared" si="23"/>
        <v>-71655.263000000006</v>
      </c>
      <c r="P184" s="1306">
        <f t="shared" si="23"/>
        <v>-71655.263000000006</v>
      </c>
      <c r="Q184" s="1302">
        <f t="shared" si="23"/>
        <v>-71655.263000000006</v>
      </c>
      <c r="R184" s="1302">
        <f t="shared" si="23"/>
        <v>-71655.263000000006</v>
      </c>
      <c r="S184" s="1302">
        <f t="shared" si="23"/>
        <v>-71655.263000000006</v>
      </c>
      <c r="T184" s="1302">
        <f t="shared" si="23"/>
        <v>-71655.263000000006</v>
      </c>
      <c r="U184" s="1302">
        <f t="shared" si="23"/>
        <v>-71655.263000000006</v>
      </c>
      <c r="V184" s="1302">
        <f t="shared" si="23"/>
        <v>-71655.263000000006</v>
      </c>
      <c r="W184" s="1302">
        <f t="shared" si="23"/>
        <v>-71655.263000000006</v>
      </c>
      <c r="X184" s="1302">
        <f t="shared" si="23"/>
        <v>-71655.263000000006</v>
      </c>
      <c r="Y184" s="1302">
        <f t="shared" si="23"/>
        <v>-71655.263000000006</v>
      </c>
      <c r="Z184" s="1302">
        <f t="shared" si="23"/>
        <v>-71655.263000000006</v>
      </c>
      <c r="AA184" s="1302">
        <f t="shared" si="23"/>
        <v>-71655.263000000006</v>
      </c>
      <c r="AB184" s="1302">
        <f t="shared" si="23"/>
        <v>-71655.263000000006</v>
      </c>
      <c r="AC184" s="1302">
        <f t="shared" si="23"/>
        <v>-71655.263000000006</v>
      </c>
      <c r="AD184" s="1302">
        <f t="shared" si="23"/>
        <v>-71655.263000000006</v>
      </c>
      <c r="AE184" s="1302">
        <f t="shared" si="23"/>
        <v>-71655.263000000006</v>
      </c>
      <c r="AF184" s="1302">
        <f t="shared" si="23"/>
        <v>-71655.263000000006</v>
      </c>
      <c r="AG184" s="1302">
        <f t="shared" si="23"/>
        <v>-71655.263000000006</v>
      </c>
      <c r="AH184" s="1229"/>
    </row>
    <row r="185" spans="1:34" x14ac:dyDescent="0.2">
      <c r="A185" s="1236"/>
      <c r="B185" s="1237"/>
      <c r="C185" s="1302"/>
      <c r="D185" s="1302"/>
      <c r="E185" s="1302"/>
      <c r="F185" s="1303"/>
      <c r="G185" s="1303"/>
      <c r="H185" s="1303"/>
      <c r="I185" s="1303"/>
      <c r="J185" s="1303"/>
      <c r="K185" s="1303"/>
      <c r="L185" s="1303"/>
      <c r="M185" s="1303"/>
      <c r="N185" s="1303"/>
      <c r="O185" s="1303"/>
      <c r="P185" s="1304"/>
      <c r="Q185" s="1303"/>
      <c r="R185" s="1303"/>
      <c r="S185" s="1303"/>
      <c r="T185" s="1303"/>
      <c r="U185" s="1303"/>
      <c r="V185" s="1303"/>
      <c r="W185" s="1303"/>
      <c r="X185" s="1303"/>
      <c r="Y185" s="1303"/>
      <c r="Z185" s="1303"/>
      <c r="AA185" s="1303"/>
      <c r="AB185" s="1303"/>
      <c r="AC185" s="1303"/>
      <c r="AD185" s="1303"/>
      <c r="AE185" s="1303"/>
      <c r="AF185" s="1303"/>
      <c r="AG185" s="1303"/>
      <c r="AH185" s="1208"/>
    </row>
    <row r="186" spans="1:34" ht="13.5" thickBot="1" x14ac:dyDescent="0.25">
      <c r="A186" s="1250"/>
      <c r="B186" s="1307"/>
      <c r="C186" s="1312"/>
      <c r="D186" s="1312"/>
      <c r="E186" s="1312"/>
      <c r="F186" s="1313"/>
      <c r="G186" s="1313"/>
      <c r="H186" s="1313"/>
      <c r="I186" s="1313"/>
      <c r="J186" s="1313"/>
      <c r="K186" s="1313"/>
      <c r="L186" s="1313"/>
      <c r="M186" s="1313"/>
      <c r="N186" s="1313"/>
      <c r="O186" s="1313"/>
      <c r="P186" s="1314"/>
      <c r="Q186" s="1313"/>
      <c r="R186" s="1313"/>
      <c r="S186" s="1313"/>
      <c r="T186" s="1313"/>
      <c r="U186" s="1313"/>
      <c r="V186" s="1313"/>
      <c r="W186" s="1313"/>
      <c r="X186" s="1313"/>
      <c r="Y186" s="1313"/>
      <c r="Z186" s="1313"/>
      <c r="AA186" s="1313"/>
      <c r="AB186" s="1313"/>
      <c r="AC186" s="1313"/>
      <c r="AD186" s="1313"/>
      <c r="AE186" s="1313"/>
      <c r="AF186" s="1313"/>
      <c r="AG186" s="1313"/>
      <c r="AH186" s="1208"/>
    </row>
    <row r="187" spans="1:34" x14ac:dyDescent="0.2">
      <c r="A187" s="1316"/>
      <c r="B187" s="1207"/>
      <c r="C187" s="1227"/>
      <c r="D187" s="1227"/>
      <c r="E187" s="1227"/>
      <c r="F187" s="1227"/>
      <c r="G187" s="1227"/>
      <c r="H187" s="1227"/>
      <c r="I187" s="1227"/>
      <c r="J187" s="1227"/>
      <c r="K187" s="1227"/>
      <c r="L187" s="1227"/>
      <c r="M187" s="1227"/>
      <c r="N187" s="1227"/>
      <c r="O187" s="1227"/>
      <c r="P187" s="1229"/>
      <c r="Q187" s="1227"/>
      <c r="R187" s="1227"/>
      <c r="S187" s="1227"/>
      <c r="T187" s="1227"/>
      <c r="U187" s="1227"/>
      <c r="V187" s="1227"/>
      <c r="W187" s="1227"/>
      <c r="X187" s="1227"/>
      <c r="Y187" s="1227"/>
      <c r="Z187" s="1227"/>
      <c r="AA187" s="1227"/>
      <c r="AB187" s="1227"/>
      <c r="AC187" s="1227"/>
      <c r="AD187" s="1227"/>
      <c r="AE187" s="1227"/>
      <c r="AF187" s="1227"/>
      <c r="AG187" s="1227"/>
      <c r="AH187" s="1208"/>
    </row>
    <row r="188" spans="1:34" x14ac:dyDescent="0.2">
      <c r="A188" s="1344"/>
      <c r="B188" s="1383"/>
      <c r="C188" s="1219"/>
      <c r="D188" s="1219"/>
      <c r="E188" s="1219"/>
      <c r="F188" s="1219"/>
      <c r="G188" s="1219"/>
      <c r="H188" s="1219"/>
      <c r="I188" s="1219"/>
      <c r="J188" s="1219"/>
      <c r="K188" s="1219"/>
      <c r="L188" s="1219"/>
      <c r="M188" s="1219"/>
      <c r="N188" s="1219"/>
      <c r="O188" s="1221"/>
      <c r="P188" s="1221"/>
      <c r="Q188" s="1219"/>
      <c r="R188" s="1219"/>
      <c r="S188" s="1219"/>
      <c r="T188" s="1219"/>
      <c r="U188" s="1219"/>
      <c r="V188" s="1219"/>
      <c r="W188" s="1219"/>
      <c r="X188" s="1219"/>
      <c r="Y188" s="1219"/>
      <c r="Z188" s="1219"/>
      <c r="AA188" s="1384"/>
      <c r="AB188" s="1219"/>
      <c r="AC188" s="1219"/>
      <c r="AD188" s="1219"/>
      <c r="AE188" s="1219"/>
      <c r="AF188" s="1219"/>
      <c r="AG188" s="1219"/>
      <c r="AH188" s="1229"/>
    </row>
    <row r="189" spans="1:34" x14ac:dyDescent="0.2">
      <c r="A189" s="1316"/>
      <c r="B189" s="1207"/>
      <c r="C189" s="1219"/>
      <c r="D189" s="1219"/>
      <c r="E189" s="1219"/>
      <c r="F189" s="1219"/>
      <c r="G189" s="1219"/>
      <c r="H189" s="1219"/>
      <c r="I189" s="1219"/>
      <c r="J189" s="1219"/>
      <c r="K189" s="1219"/>
      <c r="L189" s="1219"/>
      <c r="M189" s="1219"/>
      <c r="N189" s="1219"/>
      <c r="O189" s="1219"/>
      <c r="P189" s="1221"/>
      <c r="Q189" s="1219"/>
      <c r="R189" s="1219"/>
      <c r="S189" s="1219"/>
      <c r="T189" s="1219"/>
      <c r="U189" s="1219"/>
      <c r="V189" s="1219"/>
      <c r="W189" s="1219"/>
      <c r="X189" s="1219"/>
      <c r="Y189" s="1219"/>
      <c r="Z189" s="1219"/>
      <c r="AA189" s="1219"/>
      <c r="AB189" s="1219"/>
      <c r="AC189" s="1219"/>
      <c r="AD189" s="1219"/>
      <c r="AE189" s="1219"/>
      <c r="AF189" s="1219"/>
      <c r="AG189" s="1219"/>
      <c r="AH189" s="1229"/>
    </row>
    <row r="190" spans="1:34" x14ac:dyDescent="0.2">
      <c r="A190" s="1210" t="s">
        <v>415</v>
      </c>
      <c r="B190" s="1215">
        <f>SUM(B191:B194)</f>
        <v>375000</v>
      </c>
      <c r="C190" s="1207"/>
      <c r="D190" s="1207"/>
      <c r="E190" s="1207"/>
      <c r="F190" s="1207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8"/>
      <c r="Q190" s="1207"/>
      <c r="R190" s="1207"/>
      <c r="S190" s="1207"/>
      <c r="T190" s="1385"/>
      <c r="U190" s="1345"/>
      <c r="V190" s="1207"/>
      <c r="W190" s="1207"/>
      <c r="X190" s="1207"/>
      <c r="Y190" s="1207"/>
      <c r="Z190" s="1207"/>
      <c r="AA190" s="1384"/>
      <c r="AB190" s="1207"/>
      <c r="AC190" s="1207"/>
      <c r="AD190" s="1207"/>
      <c r="AE190" s="1207"/>
      <c r="AF190" s="1207"/>
      <c r="AG190" s="1207"/>
      <c r="AH190" s="1207"/>
    </row>
    <row r="191" spans="1:34" x14ac:dyDescent="0.2">
      <c r="A191" s="1365" t="s">
        <v>414</v>
      </c>
      <c r="B191" s="1219">
        <v>25000</v>
      </c>
      <c r="C191" s="1207"/>
      <c r="D191" s="1229"/>
      <c r="E191" s="1207"/>
      <c r="F191" s="1207"/>
      <c r="G191" s="1207"/>
      <c r="H191" s="1207"/>
      <c r="I191" s="1207"/>
      <c r="J191" s="1207"/>
      <c r="K191" s="1207"/>
      <c r="L191" s="1207"/>
      <c r="M191" s="1207"/>
      <c r="N191" s="1207"/>
      <c r="O191" s="1207"/>
      <c r="P191" s="1208"/>
      <c r="Q191" s="1207"/>
      <c r="R191" s="1207"/>
      <c r="S191" s="1219"/>
      <c r="T191" s="1350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</row>
    <row r="192" spans="1:34" x14ac:dyDescent="0.2">
      <c r="A192" s="1365" t="s">
        <v>287</v>
      </c>
      <c r="B192" s="1219">
        <v>200000</v>
      </c>
      <c r="C192" s="1207"/>
      <c r="D192" s="1207"/>
      <c r="E192" s="1207"/>
      <c r="F192" s="1207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8"/>
      <c r="Q192" s="1207"/>
      <c r="R192" s="1207"/>
      <c r="S192" s="1219"/>
      <c r="T192" s="1350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</row>
    <row r="193" spans="1:34" x14ac:dyDescent="0.2">
      <c r="A193" s="1316" t="s">
        <v>413</v>
      </c>
      <c r="B193" s="1386">
        <v>75000</v>
      </c>
      <c r="C193" s="1207"/>
      <c r="D193" s="1207"/>
      <c r="E193" s="1207"/>
      <c r="F193" s="1207"/>
      <c r="G193" s="1207"/>
      <c r="H193" s="1207"/>
      <c r="I193" s="1207"/>
      <c r="J193" s="1207"/>
      <c r="K193" s="1207"/>
      <c r="L193" s="1227"/>
      <c r="M193" s="1207"/>
      <c r="N193" s="1207"/>
      <c r="O193" s="1207"/>
      <c r="P193" s="1208"/>
      <c r="Q193" s="1207"/>
      <c r="R193" s="1207"/>
      <c r="S193" s="1219"/>
      <c r="T193" s="1350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</row>
    <row r="194" spans="1:34" x14ac:dyDescent="0.2">
      <c r="A194" s="1316" t="s">
        <v>441</v>
      </c>
      <c r="B194" s="1219">
        <v>75000</v>
      </c>
      <c r="C194" s="1207"/>
      <c r="D194" s="1207"/>
      <c r="E194" s="1207"/>
      <c r="F194" s="1207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8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</row>
    <row r="195" spans="1:34" x14ac:dyDescent="0.2">
      <c r="A195" s="1207"/>
      <c r="B195" s="1207"/>
      <c r="C195" s="1207"/>
      <c r="D195" s="1207"/>
      <c r="E195" s="1207"/>
      <c r="F195" s="1207"/>
      <c r="G195" s="1207"/>
      <c r="H195" s="1207"/>
      <c r="I195" s="1207"/>
      <c r="J195" s="1207"/>
      <c r="K195" s="1207"/>
      <c r="L195" s="1207"/>
      <c r="M195" s="1207"/>
      <c r="N195" s="1207"/>
      <c r="O195" s="1207"/>
      <c r="P195" s="1208"/>
      <c r="Q195" s="1207"/>
      <c r="R195" s="1207"/>
      <c r="S195" s="1207"/>
      <c r="T195" s="1207"/>
      <c r="U195" s="1207"/>
      <c r="V195" s="1207"/>
      <c r="W195" s="1207"/>
      <c r="X195" s="1207"/>
      <c r="Y195" s="1207"/>
      <c r="Z195" s="1207"/>
      <c r="AA195" s="1207"/>
      <c r="AB195" s="1207"/>
      <c r="AC195" s="1207"/>
      <c r="AD195" s="1207"/>
      <c r="AE195" s="1207"/>
      <c r="AF195" s="1207"/>
      <c r="AG195" s="1207"/>
      <c r="AH195" s="1207"/>
    </row>
    <row r="196" spans="1:34" ht="13.5" thickBot="1" x14ac:dyDescent="0.25">
      <c r="A196" s="1207"/>
      <c r="B196" s="1207"/>
      <c r="C196" s="1207"/>
      <c r="D196" s="1207"/>
      <c r="E196" s="1207"/>
      <c r="F196" s="1207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8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07"/>
      <c r="AA196" s="1207"/>
      <c r="AB196" s="1207"/>
      <c r="AC196" s="1207"/>
      <c r="AD196" s="1207"/>
      <c r="AE196" s="1207"/>
      <c r="AF196" s="1207"/>
      <c r="AG196" s="1207"/>
      <c r="AH196" s="1207"/>
    </row>
    <row r="197" spans="1:34" x14ac:dyDescent="0.2">
      <c r="A197" s="1233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34"/>
      <c r="O197" s="1234"/>
      <c r="P197" s="1235"/>
      <c r="Q197" s="1234"/>
      <c r="R197" s="1234"/>
      <c r="S197" s="1234"/>
      <c r="T197" s="1234"/>
      <c r="U197" s="1234"/>
      <c r="V197" s="1234"/>
      <c r="W197" s="1234"/>
      <c r="X197" s="1234"/>
      <c r="Y197" s="1234"/>
      <c r="Z197" s="1234"/>
      <c r="AA197" s="1234"/>
      <c r="AB197" s="1234"/>
      <c r="AC197" s="1234"/>
      <c r="AD197" s="1234"/>
      <c r="AE197" s="1234"/>
      <c r="AF197" s="1234"/>
      <c r="AG197" s="1234"/>
      <c r="AH197" s="1207"/>
    </row>
    <row r="198" spans="1:34" x14ac:dyDescent="0.2">
      <c r="A198" s="1236"/>
      <c r="B198" s="1237" t="s">
        <v>37</v>
      </c>
      <c r="C198" s="1237"/>
      <c r="D198" s="1237"/>
      <c r="E198" s="1238" t="s">
        <v>396</v>
      </c>
      <c r="F198" s="1239" t="s">
        <v>96</v>
      </c>
      <c r="G198" s="1471"/>
      <c r="H198" s="1239"/>
      <c r="I198" s="1239"/>
      <c r="J198" s="1239"/>
      <c r="K198" s="1239"/>
      <c r="L198" s="1239"/>
      <c r="M198" s="1239"/>
      <c r="N198" s="1239"/>
      <c r="O198" s="1239"/>
      <c r="P198" s="1240"/>
      <c r="Q198" s="1239"/>
      <c r="R198" s="1239"/>
      <c r="S198" s="1239"/>
      <c r="T198" s="1239"/>
      <c r="U198" s="1239"/>
      <c r="V198" s="1239"/>
      <c r="W198" s="1239"/>
      <c r="X198" s="1239"/>
      <c r="Y198" s="1239"/>
      <c r="Z198" s="1239"/>
      <c r="AA198" s="1239"/>
      <c r="AB198" s="1239"/>
      <c r="AC198" s="1239"/>
      <c r="AD198" s="1239"/>
      <c r="AE198" s="1239"/>
      <c r="AF198" s="1239"/>
      <c r="AG198" s="1239"/>
      <c r="AH198" s="1207"/>
    </row>
    <row r="199" spans="1:34" x14ac:dyDescent="0.2">
      <c r="A199" s="1236"/>
      <c r="B199" s="1237"/>
      <c r="C199" s="1237"/>
      <c r="D199" s="1239"/>
      <c r="E199" s="1237"/>
      <c r="F199" s="1237"/>
      <c r="G199" s="1237"/>
      <c r="H199" s="1237"/>
      <c r="I199" s="1237"/>
      <c r="J199" s="1237"/>
      <c r="K199" s="1237"/>
      <c r="L199" s="1237"/>
      <c r="M199" s="1237"/>
      <c r="N199" s="1237"/>
      <c r="O199" s="1237"/>
      <c r="P199" s="1241"/>
      <c r="Q199" s="1237"/>
      <c r="R199" s="1237"/>
      <c r="S199" s="1237"/>
      <c r="T199" s="1237"/>
      <c r="U199" s="1237"/>
      <c r="V199" s="1237"/>
      <c r="W199" s="1237"/>
      <c r="X199" s="1237"/>
      <c r="Y199" s="1237"/>
      <c r="Z199" s="1237"/>
      <c r="AA199" s="1237"/>
      <c r="AB199" s="1237"/>
      <c r="AC199" s="1237"/>
      <c r="AD199" s="1237"/>
      <c r="AE199" s="1237"/>
      <c r="AF199" s="1237"/>
      <c r="AG199" s="1237"/>
      <c r="AH199" s="1207"/>
    </row>
    <row r="200" spans="1:34" x14ac:dyDescent="0.2">
      <c r="A200" s="1236"/>
      <c r="B200" s="1237"/>
      <c r="C200" s="1239"/>
      <c r="D200" s="1239">
        <v>42495</v>
      </c>
      <c r="E200" s="1237"/>
      <c r="F200" s="1237"/>
      <c r="G200" s="1237"/>
      <c r="H200" s="1237"/>
      <c r="I200" s="1237"/>
      <c r="J200" s="1237"/>
      <c r="K200" s="1237"/>
      <c r="L200" s="1237"/>
      <c r="M200" s="1237"/>
      <c r="N200" s="1237"/>
      <c r="O200" s="1237"/>
      <c r="P200" s="1241"/>
      <c r="Q200" s="1237"/>
      <c r="R200" s="1237"/>
      <c r="S200" s="1237"/>
      <c r="T200" s="1237"/>
      <c r="U200" s="1237"/>
      <c r="V200" s="1237"/>
      <c r="W200" s="1237"/>
      <c r="X200" s="1237"/>
      <c r="Y200" s="1237"/>
      <c r="Z200" s="1237"/>
      <c r="AA200" s="1237"/>
      <c r="AB200" s="1237"/>
      <c r="AC200" s="1237"/>
      <c r="AD200" s="1237"/>
      <c r="AE200" s="1237"/>
      <c r="AF200" s="1237"/>
      <c r="AG200" s="1237"/>
      <c r="AH200" s="1207"/>
    </row>
    <row r="201" spans="1:34" x14ac:dyDescent="0.2">
      <c r="A201" s="1236"/>
      <c r="B201" s="1237"/>
      <c r="C201" s="1239"/>
      <c r="D201" s="1239"/>
      <c r="E201" s="1237"/>
      <c r="F201" s="1237"/>
      <c r="G201" s="1237"/>
      <c r="H201" s="1237"/>
      <c r="I201" s="1237"/>
      <c r="J201" s="1237"/>
      <c r="K201" s="1237"/>
      <c r="L201" s="1237"/>
      <c r="M201" s="1237"/>
      <c r="N201" s="1237"/>
      <c r="O201" s="1237"/>
      <c r="P201" s="1241"/>
      <c r="Q201" s="1237"/>
      <c r="R201" s="1237"/>
      <c r="S201" s="1237"/>
      <c r="T201" s="1237"/>
      <c r="U201" s="1237"/>
      <c r="V201" s="1237"/>
      <c r="W201" s="1237"/>
      <c r="X201" s="1237"/>
      <c r="Y201" s="1237"/>
      <c r="Z201" s="1237"/>
      <c r="AA201" s="1237"/>
      <c r="AB201" s="1237"/>
      <c r="AC201" s="1237"/>
      <c r="AD201" s="1237"/>
      <c r="AE201" s="1237"/>
      <c r="AF201" s="1237"/>
      <c r="AG201" s="1237"/>
      <c r="AH201" s="1207"/>
    </row>
    <row r="202" spans="1:34" ht="13.5" thickBot="1" x14ac:dyDescent="0.25">
      <c r="A202" s="1236"/>
      <c r="B202" s="1237"/>
      <c r="C202" s="1237"/>
      <c r="D202" s="1237"/>
      <c r="E202" s="1237"/>
      <c r="F202" s="1237"/>
      <c r="G202" s="1237"/>
      <c r="H202" s="1237"/>
      <c r="I202" s="1237"/>
      <c r="J202" s="1237"/>
      <c r="K202" s="1237"/>
      <c r="L202" s="1237"/>
      <c r="M202" s="1237"/>
      <c r="N202" s="1237"/>
      <c r="O202" s="1237"/>
      <c r="P202" s="1241"/>
      <c r="Q202" s="1237"/>
      <c r="R202" s="1237"/>
      <c r="S202" s="1237"/>
      <c r="T202" s="1237"/>
      <c r="U202" s="1237"/>
      <c r="V202" s="1237"/>
      <c r="W202" s="1237"/>
      <c r="X202" s="1237"/>
      <c r="Y202" s="1237"/>
      <c r="Z202" s="1237"/>
      <c r="AA202" s="1237"/>
      <c r="AB202" s="1237"/>
      <c r="AC202" s="1237"/>
      <c r="AD202" s="1237"/>
      <c r="AE202" s="1237"/>
      <c r="AF202" s="1237"/>
      <c r="AG202" s="1237"/>
      <c r="AH202" s="1207"/>
    </row>
    <row r="203" spans="1:34" ht="13.5" thickBot="1" x14ac:dyDescent="0.25">
      <c r="A203" s="1236"/>
      <c r="B203" s="1237"/>
      <c r="C203" s="1243"/>
      <c r="D203" s="1244" t="s">
        <v>16</v>
      </c>
      <c r="E203" s="1244"/>
      <c r="F203" s="1244"/>
      <c r="G203" s="1244"/>
      <c r="H203" s="1244"/>
      <c r="I203" s="1244"/>
      <c r="J203" s="1244"/>
      <c r="K203" s="1244"/>
      <c r="L203" s="1244"/>
      <c r="M203" s="1244"/>
      <c r="N203" s="1244"/>
      <c r="O203" s="1244"/>
      <c r="P203" s="1245"/>
      <c r="Q203" s="1244"/>
      <c r="R203" s="1244"/>
      <c r="S203" s="1244"/>
      <c r="T203" s="1244"/>
      <c r="U203" s="1244"/>
      <c r="V203" s="1244"/>
      <c r="W203" s="1244"/>
      <c r="X203" s="1244"/>
      <c r="Y203" s="1244"/>
      <c r="Z203" s="1244"/>
      <c r="AA203" s="1244"/>
      <c r="AB203" s="1244"/>
      <c r="AC203" s="1244"/>
      <c r="AD203" s="1244"/>
      <c r="AE203" s="1244"/>
      <c r="AF203" s="1244"/>
      <c r="AG203" s="1244"/>
      <c r="AH203" s="1207"/>
    </row>
    <row r="204" spans="1:34" ht="13.5" thickBot="1" x14ac:dyDescent="0.25">
      <c r="A204" s="1236"/>
      <c r="B204" s="1237"/>
      <c r="C204" s="1246" t="s">
        <v>452</v>
      </c>
      <c r="D204" s="1246" t="s">
        <v>453</v>
      </c>
      <c r="E204" s="1246" t="s">
        <v>434</v>
      </c>
      <c r="F204" s="1246" t="s">
        <v>390</v>
      </c>
      <c r="G204" s="1246" t="s">
        <v>454</v>
      </c>
      <c r="H204" s="1246" t="s">
        <v>455</v>
      </c>
      <c r="I204" s="1246" t="s">
        <v>456</v>
      </c>
      <c r="J204" s="1246" t="s">
        <v>457</v>
      </c>
      <c r="K204" s="1246" t="s">
        <v>458</v>
      </c>
      <c r="L204" s="1246" t="s">
        <v>216</v>
      </c>
      <c r="M204" s="1246" t="s">
        <v>459</v>
      </c>
      <c r="N204" s="1246" t="s">
        <v>297</v>
      </c>
      <c r="O204" s="1246" t="s">
        <v>211</v>
      </c>
      <c r="P204" s="1247" t="s">
        <v>270</v>
      </c>
      <c r="Q204" s="1246">
        <v>15</v>
      </c>
      <c r="R204" s="1246">
        <v>16</v>
      </c>
      <c r="S204" s="1246" t="s">
        <v>461</v>
      </c>
      <c r="T204" s="1246" t="s">
        <v>442</v>
      </c>
      <c r="U204" s="1246" t="s">
        <v>462</v>
      </c>
      <c r="V204" s="1246" t="s">
        <v>470</v>
      </c>
      <c r="W204" s="1246" t="s">
        <v>471</v>
      </c>
      <c r="X204" s="1246" t="s">
        <v>472</v>
      </c>
      <c r="Y204" s="1246" t="s">
        <v>463</v>
      </c>
      <c r="Z204" s="1246" t="s">
        <v>465</v>
      </c>
      <c r="AA204" s="1246" t="s">
        <v>466</v>
      </c>
      <c r="AB204" s="1246" t="s">
        <v>435</v>
      </c>
      <c r="AC204" s="1246" t="s">
        <v>467</v>
      </c>
      <c r="AD204" s="1246" t="s">
        <v>464</v>
      </c>
      <c r="AE204" s="1246" t="s">
        <v>429</v>
      </c>
      <c r="AF204" s="1246" t="s">
        <v>149</v>
      </c>
      <c r="AG204" s="1246" t="s">
        <v>210</v>
      </c>
      <c r="AH204" s="1207"/>
    </row>
    <row r="205" spans="1:34" x14ac:dyDescent="0.2">
      <c r="A205" s="1233"/>
      <c r="B205" s="1248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37"/>
      <c r="O205" s="1237"/>
      <c r="P205" s="1241"/>
      <c r="Q205" s="1237"/>
      <c r="R205" s="1237"/>
      <c r="S205" s="1237"/>
      <c r="T205" s="1237"/>
      <c r="U205" s="1237"/>
      <c r="V205" s="1237"/>
      <c r="W205" s="1237"/>
      <c r="X205" s="1237"/>
      <c r="Y205" s="1237"/>
      <c r="Z205" s="1237"/>
      <c r="AA205" s="1237"/>
      <c r="AB205" s="1237"/>
      <c r="AC205" s="1237"/>
      <c r="AD205" s="1237"/>
      <c r="AE205" s="1237"/>
      <c r="AF205" s="1237"/>
      <c r="AG205" s="1237"/>
      <c r="AH205" s="1207"/>
    </row>
    <row r="206" spans="1:34" x14ac:dyDescent="0.2">
      <c r="A206" s="1236" t="s">
        <v>0</v>
      </c>
      <c r="B206" s="1249">
        <v>-15654.775</v>
      </c>
      <c r="C206" s="1237"/>
      <c r="D206" s="1237"/>
      <c r="E206" s="1237"/>
      <c r="F206" s="1237"/>
      <c r="G206" s="1237"/>
      <c r="H206" s="1237"/>
      <c r="I206" s="1237"/>
      <c r="J206" s="1237"/>
      <c r="K206" s="1237"/>
      <c r="L206" s="1237"/>
      <c r="M206" s="1237"/>
      <c r="N206" s="1237"/>
      <c r="O206" s="1237"/>
      <c r="P206" s="1241"/>
      <c r="Q206" s="1237"/>
      <c r="R206" s="1237"/>
      <c r="S206" s="1237"/>
      <c r="T206" s="1237"/>
      <c r="U206" s="1237"/>
      <c r="V206" s="1237"/>
      <c r="W206" s="1237"/>
      <c r="X206" s="1237"/>
      <c r="Y206" s="1237"/>
      <c r="Z206" s="1237"/>
      <c r="AA206" s="1237"/>
      <c r="AB206" s="1237"/>
      <c r="AC206" s="1237"/>
      <c r="AD206" s="1237"/>
      <c r="AE206" s="1237"/>
      <c r="AF206" s="1237"/>
      <c r="AG206" s="1237"/>
      <c r="AH206" s="1207"/>
    </row>
    <row r="207" spans="1:34" ht="13.5" thickBot="1" x14ac:dyDescent="0.25">
      <c r="A207" s="1250"/>
      <c r="B207" s="1251"/>
      <c r="C207" s="1237"/>
      <c r="D207" s="1237"/>
      <c r="E207" s="1237"/>
      <c r="F207" s="1237"/>
      <c r="G207" s="1237"/>
      <c r="H207" s="1237"/>
      <c r="I207" s="1237"/>
      <c r="J207" s="1237"/>
      <c r="K207" s="1237"/>
      <c r="L207" s="1237"/>
      <c r="M207" s="1237"/>
      <c r="N207" s="1237"/>
      <c r="O207" s="1237"/>
      <c r="P207" s="1241"/>
      <c r="Q207" s="1237"/>
      <c r="R207" s="1237"/>
      <c r="S207" s="1237"/>
      <c r="T207" s="1237"/>
      <c r="U207" s="1237"/>
      <c r="V207" s="1237"/>
      <c r="W207" s="1237"/>
      <c r="X207" s="1237"/>
      <c r="Y207" s="1237"/>
      <c r="Z207" s="1237"/>
      <c r="AA207" s="1237"/>
      <c r="AB207" s="1237"/>
      <c r="AC207" s="1237"/>
      <c r="AD207" s="1237"/>
      <c r="AE207" s="1237"/>
      <c r="AF207" s="1237"/>
      <c r="AG207" s="1237"/>
      <c r="AH207" s="1207"/>
    </row>
    <row r="208" spans="1:34" x14ac:dyDescent="0.2">
      <c r="A208" s="1233"/>
      <c r="B208" s="1253"/>
      <c r="C208" s="1237"/>
      <c r="D208" s="1237"/>
      <c r="E208" s="1237"/>
      <c r="F208" s="1237"/>
      <c r="G208" s="1237"/>
      <c r="H208" s="1237"/>
      <c r="I208" s="1237"/>
      <c r="J208" s="1237"/>
      <c r="K208" s="1237"/>
      <c r="L208" s="1237"/>
      <c r="M208" s="1237"/>
      <c r="N208" s="1237"/>
      <c r="O208" s="1237"/>
      <c r="P208" s="1241"/>
      <c r="Q208" s="1237"/>
      <c r="R208" s="1237"/>
      <c r="S208" s="1237"/>
      <c r="T208" s="1237"/>
      <c r="U208" s="1237"/>
      <c r="V208" s="1237"/>
      <c r="W208" s="1237"/>
      <c r="X208" s="1237"/>
      <c r="Y208" s="1237"/>
      <c r="Z208" s="1237"/>
      <c r="AA208" s="1237"/>
      <c r="AB208" s="1237"/>
      <c r="AC208" s="1237"/>
      <c r="AD208" s="1237"/>
      <c r="AE208" s="1237"/>
      <c r="AF208" s="1237"/>
      <c r="AG208" s="1237"/>
      <c r="AH208" s="1207"/>
    </row>
    <row r="209" spans="1:34" x14ac:dyDescent="0.2">
      <c r="A209" s="1236" t="s">
        <v>1</v>
      </c>
      <c r="B209" s="1249">
        <f>B210+B211+B212</f>
        <v>0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7"/>
      <c r="O209" s="1237"/>
      <c r="P209" s="1241"/>
      <c r="Q209" s="1237"/>
      <c r="R209" s="1237"/>
      <c r="S209" s="1237"/>
      <c r="T209" s="1237"/>
      <c r="U209" s="1237"/>
      <c r="V209" s="1237"/>
      <c r="W209" s="1237"/>
      <c r="X209" s="1237"/>
      <c r="Y209" s="1237"/>
      <c r="Z209" s="1237"/>
      <c r="AA209" s="1237"/>
      <c r="AB209" s="1237"/>
      <c r="AC209" s="1237"/>
      <c r="AD209" s="1237"/>
      <c r="AE209" s="1237"/>
      <c r="AF209" s="1237"/>
      <c r="AG209" s="1237"/>
      <c r="AH209" s="1207"/>
    </row>
    <row r="210" spans="1:34" x14ac:dyDescent="0.2">
      <c r="A210" s="1236" t="s">
        <v>38</v>
      </c>
      <c r="B210" s="1249">
        <f>C258</f>
        <v>0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7"/>
      <c r="O210" s="1237"/>
      <c r="P210" s="1241"/>
      <c r="Q210" s="1237"/>
      <c r="R210" s="1237"/>
      <c r="S210" s="1237"/>
      <c r="T210" s="1237"/>
      <c r="U210" s="1237"/>
      <c r="V210" s="1237"/>
      <c r="W210" s="1237"/>
      <c r="X210" s="1237"/>
      <c r="Y210" s="1237"/>
      <c r="Z210" s="1237"/>
      <c r="AA210" s="1237"/>
      <c r="AB210" s="1237"/>
      <c r="AC210" s="1237"/>
      <c r="AD210" s="1237"/>
      <c r="AE210" s="1237"/>
      <c r="AF210" s="1237"/>
      <c r="AG210" s="1237"/>
      <c r="AH210" s="1207"/>
    </row>
    <row r="211" spans="1:34" x14ac:dyDescent="0.2">
      <c r="A211" s="1236" t="s">
        <v>39</v>
      </c>
      <c r="B211" s="1249">
        <f>C280</f>
        <v>0</v>
      </c>
      <c r="C211" s="1237"/>
      <c r="D211" s="1237"/>
      <c r="E211" s="1237"/>
      <c r="F211" s="1237"/>
      <c r="G211" s="1237"/>
      <c r="H211" s="1237"/>
      <c r="I211" s="1237"/>
      <c r="J211" s="1237"/>
      <c r="K211" s="1237"/>
      <c r="L211" s="1237"/>
      <c r="M211" s="1237"/>
      <c r="N211" s="1237"/>
      <c r="O211" s="1237"/>
      <c r="P211" s="1241"/>
      <c r="Q211" s="1237"/>
      <c r="R211" s="1237"/>
      <c r="S211" s="1237"/>
      <c r="T211" s="1237"/>
      <c r="U211" s="1237"/>
      <c r="V211" s="1237"/>
      <c r="W211" s="1237"/>
      <c r="X211" s="1237"/>
      <c r="Y211" s="1237"/>
      <c r="Z211" s="1237"/>
      <c r="AA211" s="1237"/>
      <c r="AB211" s="1237"/>
      <c r="AC211" s="1237"/>
      <c r="AD211" s="1237"/>
      <c r="AE211" s="1237"/>
      <c r="AF211" s="1237"/>
      <c r="AG211" s="1237"/>
      <c r="AH211" s="1207"/>
    </row>
    <row r="212" spans="1:34" x14ac:dyDescent="0.2">
      <c r="A212" s="1236" t="s">
        <v>3</v>
      </c>
      <c r="B212" s="1249"/>
      <c r="C212" s="1237"/>
      <c r="D212" s="1237"/>
      <c r="E212" s="1237"/>
      <c r="F212" s="1237"/>
      <c r="G212" s="1237"/>
      <c r="H212" s="1237"/>
      <c r="I212" s="1237"/>
      <c r="J212" s="1237"/>
      <c r="K212" s="1237"/>
      <c r="L212" s="1237"/>
      <c r="M212" s="1237"/>
      <c r="N212" s="1237"/>
      <c r="O212" s="1237"/>
      <c r="P212" s="1241"/>
      <c r="Q212" s="1237"/>
      <c r="R212" s="1237"/>
      <c r="S212" s="1237"/>
      <c r="T212" s="1237"/>
      <c r="U212" s="1237"/>
      <c r="V212" s="1237"/>
      <c r="W212" s="1237"/>
      <c r="X212" s="1237"/>
      <c r="Y212" s="1237"/>
      <c r="Z212" s="1237"/>
      <c r="AA212" s="1237"/>
      <c r="AB212" s="1237"/>
      <c r="AC212" s="1237"/>
      <c r="AD212" s="1237"/>
      <c r="AE212" s="1237"/>
      <c r="AF212" s="1237"/>
      <c r="AG212" s="1237"/>
      <c r="AH212" s="1207"/>
    </row>
    <row r="213" spans="1:34" ht="13.5" thickBot="1" x14ac:dyDescent="0.25">
      <c r="A213" s="1250"/>
      <c r="B213" s="1251"/>
      <c r="C213" s="1237"/>
      <c r="D213" s="1237"/>
      <c r="E213" s="1237"/>
      <c r="F213" s="1237"/>
      <c r="G213" s="1237"/>
      <c r="H213" s="1237"/>
      <c r="I213" s="1237"/>
      <c r="J213" s="1237"/>
      <c r="K213" s="1237"/>
      <c r="L213" s="1237"/>
      <c r="M213" s="1237"/>
      <c r="N213" s="1237"/>
      <c r="O213" s="1237"/>
      <c r="P213" s="1241"/>
      <c r="Q213" s="1237"/>
      <c r="R213" s="1237"/>
      <c r="S213" s="1237"/>
      <c r="T213" s="1237"/>
      <c r="U213" s="1237"/>
      <c r="V213" s="1237"/>
      <c r="W213" s="1237"/>
      <c r="X213" s="1237"/>
      <c r="Y213" s="1237"/>
      <c r="Z213" s="1237"/>
      <c r="AA213" s="1237"/>
      <c r="AB213" s="1237"/>
      <c r="AC213" s="1237"/>
      <c r="AD213" s="1237"/>
      <c r="AE213" s="1237"/>
      <c r="AF213" s="1237"/>
      <c r="AG213" s="1237"/>
      <c r="AH213" s="1207"/>
    </row>
    <row r="214" spans="1:34" x14ac:dyDescent="0.2">
      <c r="A214" s="1233"/>
      <c r="B214" s="1253"/>
      <c r="C214" s="1237"/>
      <c r="D214" s="1237"/>
      <c r="E214" s="1237"/>
      <c r="F214" s="1237"/>
      <c r="G214" s="1237"/>
      <c r="H214" s="1237"/>
      <c r="I214" s="1237"/>
      <c r="J214" s="1237"/>
      <c r="K214" s="1237"/>
      <c r="L214" s="1237"/>
      <c r="M214" s="1237"/>
      <c r="N214" s="1237"/>
      <c r="O214" s="1237"/>
      <c r="P214" s="1241"/>
      <c r="Q214" s="1237"/>
      <c r="R214" s="1237"/>
      <c r="S214" s="1237"/>
      <c r="T214" s="1237"/>
      <c r="U214" s="1237"/>
      <c r="V214" s="1237"/>
      <c r="W214" s="1237"/>
      <c r="X214" s="1237"/>
      <c r="Y214" s="1237"/>
      <c r="Z214" s="1237"/>
      <c r="AA214" s="1237"/>
      <c r="AB214" s="1237"/>
      <c r="AC214" s="1237"/>
      <c r="AD214" s="1237"/>
      <c r="AE214" s="1237"/>
      <c r="AF214" s="1237"/>
      <c r="AG214" s="1237"/>
      <c r="AH214" s="1207"/>
    </row>
    <row r="215" spans="1:34" x14ac:dyDescent="0.2">
      <c r="A215" s="1236" t="s">
        <v>4</v>
      </c>
      <c r="B215" s="1249">
        <f>B206-B209</f>
        <v>-15654.775</v>
      </c>
      <c r="C215" s="1237"/>
      <c r="D215" s="1237"/>
      <c r="E215" s="1237"/>
      <c r="F215" s="1237"/>
      <c r="G215" s="1237"/>
      <c r="H215" s="1237"/>
      <c r="I215" s="1237"/>
      <c r="J215" s="1237"/>
      <c r="K215" s="1237"/>
      <c r="L215" s="1237"/>
      <c r="M215" s="1237"/>
      <c r="N215" s="1237"/>
      <c r="O215" s="1237"/>
      <c r="P215" s="1241"/>
      <c r="Q215" s="1237"/>
      <c r="R215" s="1237"/>
      <c r="S215" s="1237"/>
      <c r="T215" s="1237"/>
      <c r="U215" s="1237"/>
      <c r="V215" s="1237"/>
      <c r="W215" s="1237"/>
      <c r="X215" s="1237"/>
      <c r="Y215" s="1237"/>
      <c r="Z215" s="1237"/>
      <c r="AA215" s="1237"/>
      <c r="AB215" s="1237"/>
      <c r="AC215" s="1237"/>
      <c r="AD215" s="1237"/>
      <c r="AE215" s="1237"/>
      <c r="AF215" s="1237"/>
      <c r="AG215" s="1237"/>
      <c r="AH215" s="1207"/>
    </row>
    <row r="216" spans="1:34" ht="13.5" thickBot="1" x14ac:dyDescent="0.25">
      <c r="A216" s="1250"/>
      <c r="B216" s="1251"/>
      <c r="C216" s="1237"/>
      <c r="D216" s="1237"/>
      <c r="E216" s="1237"/>
      <c r="F216" s="1237"/>
      <c r="G216" s="1237"/>
      <c r="H216" s="1237"/>
      <c r="I216" s="1237"/>
      <c r="J216" s="1237"/>
      <c r="K216" s="1237"/>
      <c r="L216" s="1237"/>
      <c r="M216" s="1237"/>
      <c r="N216" s="1237"/>
      <c r="O216" s="1237"/>
      <c r="P216" s="1241"/>
      <c r="Q216" s="1237"/>
      <c r="R216" s="1237"/>
      <c r="S216" s="1237"/>
      <c r="T216" s="1237"/>
      <c r="U216" s="1237"/>
      <c r="V216" s="1237"/>
      <c r="W216" s="1237"/>
      <c r="X216" s="1237"/>
      <c r="Y216" s="1237"/>
      <c r="Z216" s="1237"/>
      <c r="AA216" s="1237"/>
      <c r="AB216" s="1237"/>
      <c r="AC216" s="1237"/>
      <c r="AD216" s="1237"/>
      <c r="AE216" s="1237"/>
      <c r="AF216" s="1237"/>
      <c r="AG216" s="1237"/>
      <c r="AH216" s="1207"/>
    </row>
    <row r="217" spans="1:34" x14ac:dyDescent="0.2">
      <c r="A217" s="1233"/>
      <c r="B217" s="1253"/>
      <c r="C217" s="1237"/>
      <c r="D217" s="1237"/>
      <c r="E217" s="1237"/>
      <c r="F217" s="1237"/>
      <c r="G217" s="1237"/>
      <c r="H217" s="1237"/>
      <c r="I217" s="1237"/>
      <c r="J217" s="1237"/>
      <c r="K217" s="1237"/>
      <c r="L217" s="1237"/>
      <c r="M217" s="1237"/>
      <c r="N217" s="1237"/>
      <c r="O217" s="1237"/>
      <c r="P217" s="1241"/>
      <c r="Q217" s="1237"/>
      <c r="R217" s="1237"/>
      <c r="S217" s="1237"/>
      <c r="T217" s="1237"/>
      <c r="U217" s="1237"/>
      <c r="V217" s="1237"/>
      <c r="W217" s="1237"/>
      <c r="X217" s="1237"/>
      <c r="Y217" s="1237"/>
      <c r="Z217" s="1237"/>
      <c r="AA217" s="1237"/>
      <c r="AB217" s="1237"/>
      <c r="AC217" s="1237"/>
      <c r="AD217" s="1237"/>
      <c r="AE217" s="1237"/>
      <c r="AF217" s="1237"/>
      <c r="AG217" s="1237"/>
      <c r="AH217" s="1207"/>
    </row>
    <row r="218" spans="1:34" x14ac:dyDescent="0.2">
      <c r="A218" s="1236" t="s">
        <v>17</v>
      </c>
      <c r="B218" s="1249"/>
      <c r="C218" s="1237"/>
      <c r="D218" s="1237"/>
      <c r="E218" s="1237"/>
      <c r="F218" s="1237"/>
      <c r="G218" s="1237"/>
      <c r="H218" s="1237"/>
      <c r="I218" s="1237"/>
      <c r="J218" s="1237"/>
      <c r="K218" s="1237"/>
      <c r="L218" s="1237"/>
      <c r="M218" s="1237"/>
      <c r="N218" s="1237"/>
      <c r="O218" s="1237"/>
      <c r="P218" s="1241"/>
      <c r="Q218" s="1237"/>
      <c r="R218" s="1237"/>
      <c r="S218" s="1237"/>
      <c r="T218" s="1237"/>
      <c r="U218" s="1237"/>
      <c r="V218" s="1237"/>
      <c r="W218" s="1237"/>
      <c r="X218" s="1237"/>
      <c r="Y218" s="1237"/>
      <c r="Z218" s="1237"/>
      <c r="AA218" s="1237"/>
      <c r="AB218" s="1237"/>
      <c r="AC218" s="1237"/>
      <c r="AD218" s="1237"/>
      <c r="AE218" s="1237"/>
      <c r="AF218" s="1237"/>
      <c r="AG218" s="1237"/>
      <c r="AH218" s="1207"/>
    </row>
    <row r="219" spans="1:34" ht="13.5" thickBot="1" x14ac:dyDescent="0.25">
      <c r="A219" s="1250"/>
      <c r="B219" s="1251"/>
      <c r="C219" s="1237"/>
      <c r="D219" s="1237"/>
      <c r="E219" s="1237"/>
      <c r="F219" s="1237"/>
      <c r="G219" s="1237"/>
      <c r="H219" s="1237"/>
      <c r="I219" s="1237"/>
      <c r="J219" s="1237"/>
      <c r="K219" s="1237"/>
      <c r="L219" s="1237"/>
      <c r="M219" s="1237"/>
      <c r="N219" s="1237"/>
      <c r="O219" s="1237"/>
      <c r="P219" s="1241"/>
      <c r="Q219" s="1237"/>
      <c r="R219" s="1237"/>
      <c r="S219" s="1237"/>
      <c r="T219" s="1237"/>
      <c r="U219" s="1237"/>
      <c r="V219" s="1237"/>
      <c r="W219" s="1237"/>
      <c r="X219" s="1258"/>
      <c r="Y219" s="1237"/>
      <c r="Z219" s="1237"/>
      <c r="AA219" s="1237"/>
      <c r="AB219" s="1237"/>
      <c r="AC219" s="1237"/>
      <c r="AD219" s="1237"/>
      <c r="AE219" s="1237"/>
      <c r="AF219" s="1237"/>
      <c r="AG219" s="1237"/>
      <c r="AH219" s="1207"/>
    </row>
    <row r="220" spans="1:34" x14ac:dyDescent="0.2">
      <c r="A220" s="1233"/>
      <c r="B220" s="1253"/>
      <c r="C220" s="1212"/>
      <c r="D220" s="1471"/>
      <c r="E220" s="1237"/>
      <c r="F220" s="1237"/>
      <c r="G220" s="1470"/>
      <c r="H220" s="1471"/>
      <c r="I220" s="1471"/>
      <c r="J220" s="1471"/>
      <c r="K220" s="1471"/>
      <c r="L220" s="1753"/>
      <c r="M220" s="1753"/>
      <c r="N220" s="1237"/>
      <c r="O220" s="1237"/>
      <c r="P220" s="1241"/>
      <c r="Q220" s="1212"/>
      <c r="R220" s="1237"/>
      <c r="S220" s="1237"/>
      <c r="T220" s="1237"/>
      <c r="U220" s="1237"/>
      <c r="V220" s="1237"/>
      <c r="W220" s="1237"/>
      <c r="X220" s="1237"/>
      <c r="Y220" s="1237"/>
      <c r="Z220" s="1237"/>
      <c r="AA220" s="1237"/>
      <c r="AB220" s="1237"/>
      <c r="AC220" s="1256"/>
      <c r="AD220" s="1369"/>
      <c r="AE220" s="1471"/>
      <c r="AF220" s="1475" t="s">
        <v>1044</v>
      </c>
      <c r="AH220" s="1207"/>
    </row>
    <row r="221" spans="1:34" x14ac:dyDescent="0.2">
      <c r="A221" s="1236" t="s">
        <v>5</v>
      </c>
      <c r="B221" s="1249">
        <f>B215-B218</f>
        <v>-15654.775</v>
      </c>
      <c r="C221" s="1212"/>
      <c r="D221" s="1471"/>
      <c r="E221" s="1370"/>
      <c r="G221" s="1470"/>
      <c r="H221" s="1471"/>
      <c r="I221" s="1471"/>
      <c r="J221" s="1471"/>
      <c r="L221" s="1471"/>
      <c r="M221" s="1471"/>
      <c r="N221" s="1471"/>
      <c r="O221" s="1212" t="s">
        <v>1154</v>
      </c>
      <c r="P221" s="1212" t="s">
        <v>1311</v>
      </c>
      <c r="Q221" s="1212"/>
      <c r="R221" s="1237"/>
      <c r="S221" s="1471"/>
      <c r="T221" s="1471"/>
      <c r="U221" s="1471"/>
      <c r="V221" s="1471"/>
      <c r="W221" s="1237"/>
      <c r="X221" s="1388"/>
      <c r="Y221" s="1501" t="s">
        <v>1322</v>
      </c>
      <c r="Z221" s="1497" t="s">
        <v>371</v>
      </c>
      <c r="AA221" s="1508" t="s">
        <v>1326</v>
      </c>
      <c r="AB221" s="1497"/>
      <c r="AC221" s="1256"/>
      <c r="AD221" s="1369"/>
      <c r="AE221" s="1476"/>
      <c r="AF221" s="1475" t="s">
        <v>49</v>
      </c>
      <c r="AG221" s="1370"/>
      <c r="AH221" s="1207"/>
    </row>
    <row r="222" spans="1:34" ht="13.5" thickBot="1" x14ac:dyDescent="0.25">
      <c r="A222" s="1250"/>
      <c r="B222" s="1251"/>
      <c r="D222" s="1237"/>
      <c r="E222" s="1237"/>
      <c r="F222" s="1237"/>
      <c r="G222" s="1237"/>
      <c r="H222" s="1471"/>
      <c r="I222" s="1237"/>
      <c r="J222" s="1471"/>
      <c r="K222" s="1237"/>
      <c r="L222" s="1237"/>
      <c r="M222" s="1237"/>
      <c r="N222" s="1237"/>
      <c r="O222" s="1237"/>
      <c r="P222" s="1241"/>
      <c r="Q222" s="1237"/>
      <c r="R222" s="1237"/>
      <c r="S222" s="1237"/>
      <c r="T222" s="1237"/>
      <c r="U222" s="1471"/>
      <c r="V222" s="1237"/>
      <c r="W222" s="1237"/>
      <c r="X222" s="1237"/>
      <c r="Y222" s="1237"/>
      <c r="Z222" s="1237"/>
      <c r="AA222" s="1237"/>
      <c r="AB222" s="1237"/>
      <c r="AC222" s="1237"/>
      <c r="AD222" s="1237"/>
      <c r="AE222" s="1237"/>
      <c r="AF222" s="1237"/>
      <c r="AG222" s="1237"/>
      <c r="AH222" s="1207"/>
    </row>
    <row r="223" spans="1:34" x14ac:dyDescent="0.2">
      <c r="A223" s="1269"/>
      <c r="B223" s="1237"/>
      <c r="C223" s="1270"/>
      <c r="D223" s="1272"/>
      <c r="E223" s="1271"/>
      <c r="F223" s="1271"/>
      <c r="G223" s="1271"/>
      <c r="H223" s="1271"/>
      <c r="I223" s="1271"/>
      <c r="J223" s="1271"/>
      <c r="K223" s="1271"/>
      <c r="L223" s="1271"/>
      <c r="M223" s="1271"/>
      <c r="N223" s="1271"/>
      <c r="O223" s="1271"/>
      <c r="P223" s="1273"/>
      <c r="Q223" s="1271"/>
      <c r="R223" s="1271"/>
      <c r="S223" s="1271"/>
      <c r="T223" s="1271"/>
      <c r="U223" s="1271"/>
      <c r="V223" s="1271"/>
      <c r="W223" s="1271"/>
      <c r="X223" s="1271"/>
      <c r="Y223" s="1271"/>
      <c r="Z223" s="1271"/>
      <c r="AA223" s="1271"/>
      <c r="AB223" s="1271"/>
      <c r="AC223" s="1271"/>
      <c r="AD223" s="1271"/>
      <c r="AE223" s="1271"/>
      <c r="AF223" s="1271"/>
      <c r="AG223" s="1271"/>
      <c r="AH223" s="1207"/>
    </row>
    <row r="224" spans="1:34" ht="13.5" thickBot="1" x14ac:dyDescent="0.25">
      <c r="A224" s="1274" t="s">
        <v>7</v>
      </c>
      <c r="B224" s="1237"/>
      <c r="C224" s="1275">
        <f t="shared" ref="C224:AG224" si="24">C225+C226+C227+C229+C228</f>
        <v>0</v>
      </c>
      <c r="D224" s="1275">
        <f t="shared" si="24"/>
        <v>0</v>
      </c>
      <c r="E224" s="1275">
        <f t="shared" si="24"/>
        <v>0</v>
      </c>
      <c r="F224" s="1275">
        <f t="shared" si="24"/>
        <v>0</v>
      </c>
      <c r="G224" s="1275">
        <f t="shared" si="24"/>
        <v>0</v>
      </c>
      <c r="H224" s="1275">
        <f t="shared" si="24"/>
        <v>0</v>
      </c>
      <c r="I224" s="1275">
        <f t="shared" si="24"/>
        <v>0</v>
      </c>
      <c r="J224" s="1275">
        <f t="shared" si="24"/>
        <v>0</v>
      </c>
      <c r="K224" s="1275">
        <f t="shared" si="24"/>
        <v>0</v>
      </c>
      <c r="L224" s="1275">
        <f t="shared" si="24"/>
        <v>0</v>
      </c>
      <c r="M224" s="1275">
        <f t="shared" si="24"/>
        <v>0</v>
      </c>
      <c r="N224" s="1275">
        <f t="shared" si="24"/>
        <v>0</v>
      </c>
      <c r="O224" s="1275">
        <f t="shared" si="24"/>
        <v>0</v>
      </c>
      <c r="P224" s="1276">
        <f t="shared" si="24"/>
        <v>0</v>
      </c>
      <c r="Q224" s="1275">
        <f t="shared" si="24"/>
        <v>0</v>
      </c>
      <c r="R224" s="1275">
        <f t="shared" si="24"/>
        <v>0</v>
      </c>
      <c r="S224" s="1275">
        <f t="shared" si="24"/>
        <v>0</v>
      </c>
      <c r="T224" s="1275">
        <f t="shared" si="24"/>
        <v>0</v>
      </c>
      <c r="U224" s="1275">
        <f t="shared" si="24"/>
        <v>0</v>
      </c>
      <c r="V224" s="1275">
        <f t="shared" si="24"/>
        <v>0</v>
      </c>
      <c r="W224" s="1275">
        <f>W225+W226+W227+W229+W228</f>
        <v>0</v>
      </c>
      <c r="X224" s="1275">
        <f t="shared" si="24"/>
        <v>0</v>
      </c>
      <c r="Y224" s="1275">
        <f t="shared" si="24"/>
        <v>0</v>
      </c>
      <c r="Z224" s="1275">
        <f t="shared" si="24"/>
        <v>0</v>
      </c>
      <c r="AA224" s="1275">
        <f t="shared" si="24"/>
        <v>0</v>
      </c>
      <c r="AB224" s="1275">
        <f t="shared" si="24"/>
        <v>0</v>
      </c>
      <c r="AC224" s="1275">
        <f t="shared" si="24"/>
        <v>0</v>
      </c>
      <c r="AD224" s="1275">
        <f t="shared" si="24"/>
        <v>0</v>
      </c>
      <c r="AE224" s="1275">
        <f t="shared" si="24"/>
        <v>0</v>
      </c>
      <c r="AF224" s="1275">
        <f t="shared" si="24"/>
        <v>24800</v>
      </c>
      <c r="AG224" s="1275">
        <f t="shared" si="24"/>
        <v>0</v>
      </c>
      <c r="AH224" s="1227">
        <f>SUM(C224:AG224)</f>
        <v>24800</v>
      </c>
    </row>
    <row r="225" spans="1:34" x14ac:dyDescent="0.2">
      <c r="A225" s="1274" t="s">
        <v>8</v>
      </c>
      <c r="B225" s="1389"/>
      <c r="C225" s="1302"/>
      <c r="D225" s="1302"/>
      <c r="E225" s="1303"/>
      <c r="F225" s="1303"/>
      <c r="G225" s="1303"/>
      <c r="H225" s="1303"/>
      <c r="I225" s="1303"/>
      <c r="J225" s="1303"/>
      <c r="K225" s="1303"/>
      <c r="L225" s="1303"/>
      <c r="M225" s="1303"/>
      <c r="N225" s="1303"/>
      <c r="O225" s="1303"/>
      <c r="P225" s="1304"/>
      <c r="Q225" s="1303"/>
      <c r="R225" s="1303"/>
      <c r="S225" s="1303"/>
      <c r="T225" s="1303"/>
      <c r="U225" s="1303"/>
      <c r="V225" s="1303"/>
      <c r="W225" s="1303"/>
      <c r="X225" s="1303"/>
      <c r="Y225" s="1303"/>
      <c r="Z225" s="1303"/>
      <c r="AA225" s="1303"/>
      <c r="AB225" s="1303"/>
      <c r="AC225" s="1303"/>
      <c r="AD225" s="1303"/>
      <c r="AE225" s="1303"/>
      <c r="AF225" s="1303"/>
      <c r="AG225" s="1303"/>
      <c r="AH225" s="1227">
        <f>SUM(C225:AG225)</f>
        <v>0</v>
      </c>
    </row>
    <row r="226" spans="1:34" x14ac:dyDescent="0.2">
      <c r="A226" s="1274" t="s">
        <v>9</v>
      </c>
      <c r="B226" s="1389"/>
      <c r="C226" s="1302"/>
      <c r="D226" s="1302"/>
      <c r="E226" s="1303"/>
      <c r="F226" s="1303"/>
      <c r="G226" s="1303"/>
      <c r="H226" s="1303"/>
      <c r="I226" s="1303"/>
      <c r="J226" s="1303"/>
      <c r="K226" s="1303"/>
      <c r="L226" s="1303"/>
      <c r="M226" s="1319"/>
      <c r="N226" s="1303"/>
      <c r="O226" s="1303"/>
      <c r="P226" s="1304"/>
      <c r="Q226" s="1303"/>
      <c r="R226" s="1303"/>
      <c r="S226" s="1303"/>
      <c r="T226" s="1303"/>
      <c r="U226" s="1303"/>
      <c r="V226" s="1454"/>
      <c r="W226" s="1443"/>
      <c r="X226" s="1303"/>
      <c r="Y226" s="1303"/>
      <c r="Z226" s="1303"/>
      <c r="AA226" s="1303"/>
      <c r="AB226" s="1303"/>
      <c r="AC226" s="1303"/>
      <c r="AD226" s="1303"/>
      <c r="AE226" s="1303"/>
      <c r="AF226" s="1303"/>
      <c r="AG226" s="1303"/>
      <c r="AH226" s="1227">
        <f>SUM(C226:AG226)</f>
        <v>0</v>
      </c>
    </row>
    <row r="227" spans="1:34" s="1289" customFormat="1" x14ac:dyDescent="0.2">
      <c r="A227" s="1285" t="s">
        <v>10</v>
      </c>
      <c r="B227" s="1372"/>
      <c r="C227" s="1374"/>
      <c r="D227" s="1374"/>
      <c r="E227" s="1375"/>
      <c r="F227" s="1375"/>
      <c r="G227" s="1375"/>
      <c r="H227" s="1375"/>
      <c r="I227" s="1390"/>
      <c r="J227" s="1375"/>
      <c r="K227" s="1375"/>
      <c r="L227" s="1391"/>
      <c r="M227" s="1375"/>
      <c r="N227" s="1375"/>
      <c r="O227" s="1375"/>
      <c r="P227" s="1375"/>
      <c r="Q227" s="1375"/>
      <c r="R227" s="1375"/>
      <c r="S227" s="1375"/>
      <c r="T227" s="1375"/>
      <c r="U227" s="1375"/>
      <c r="V227" s="1375"/>
      <c r="W227" s="1375"/>
      <c r="X227" s="1377"/>
      <c r="Y227" s="1375"/>
      <c r="Z227" s="1375"/>
      <c r="AA227" s="1375"/>
      <c r="AB227" s="1375"/>
      <c r="AC227" s="1376"/>
      <c r="AD227" s="1378"/>
      <c r="AE227" s="1375"/>
      <c r="AF227" s="1375">
        <v>24800</v>
      </c>
      <c r="AG227" s="1375"/>
      <c r="AH227" s="1231">
        <f>SUM(C227:AG227)</f>
        <v>24800</v>
      </c>
    </row>
    <row r="228" spans="1:34" s="1289" customFormat="1" x14ac:dyDescent="0.2">
      <c r="A228" s="1285" t="s">
        <v>356</v>
      </c>
      <c r="B228" s="1372"/>
      <c r="C228" s="1292"/>
      <c r="D228" s="1292"/>
      <c r="E228" s="1292"/>
      <c r="F228" s="1292"/>
      <c r="G228" s="1292"/>
      <c r="H228" s="1292"/>
      <c r="I228" s="1292"/>
      <c r="J228" s="1292"/>
      <c r="K228" s="1292"/>
      <c r="L228" s="1292"/>
      <c r="M228" s="1292"/>
      <c r="N228" s="1292"/>
      <c r="O228" s="1292"/>
      <c r="P228" s="1292"/>
      <c r="Q228" s="1292"/>
      <c r="R228" s="1292"/>
      <c r="S228" s="1292"/>
      <c r="T228" s="1292"/>
      <c r="U228" s="1292"/>
      <c r="V228" s="1292"/>
      <c r="W228" s="1292"/>
      <c r="X228" s="1292"/>
      <c r="Y228" s="1292"/>
      <c r="Z228" s="1292"/>
      <c r="AA228" s="1292"/>
      <c r="AB228" s="1292"/>
      <c r="AC228" s="1292"/>
      <c r="AD228" s="1292"/>
      <c r="AE228" s="1292"/>
      <c r="AF228" s="1292"/>
      <c r="AG228" s="1292"/>
      <c r="AH228" s="1456">
        <f>SUM(C228:AG228)</f>
        <v>0</v>
      </c>
    </row>
    <row r="229" spans="1:34" x14ac:dyDescent="0.2">
      <c r="A229" s="1274" t="s">
        <v>11</v>
      </c>
      <c r="B229" s="1237"/>
      <c r="C229" s="1302"/>
      <c r="D229" s="1306"/>
      <c r="E229" s="1306"/>
      <c r="F229" s="1304"/>
      <c r="G229" s="1304"/>
      <c r="H229" s="1304"/>
      <c r="I229" s="1304"/>
      <c r="J229" s="1304"/>
      <c r="K229" s="1304"/>
      <c r="L229" s="1304"/>
      <c r="M229" s="1304"/>
      <c r="N229" s="1304"/>
      <c r="O229" s="1304"/>
      <c r="P229" s="1304"/>
      <c r="Q229" s="1304"/>
      <c r="R229" s="1304"/>
      <c r="S229" s="1304"/>
      <c r="T229" s="1304"/>
      <c r="U229" s="1304"/>
      <c r="V229" s="1304"/>
      <c r="W229" s="1304"/>
      <c r="X229" s="1304"/>
      <c r="Y229" s="1304"/>
      <c r="Z229" s="1304"/>
      <c r="AA229" s="1304"/>
      <c r="AB229" s="1304"/>
      <c r="AC229" s="1304"/>
      <c r="AD229" s="1304"/>
      <c r="AE229" s="1304"/>
      <c r="AF229" s="1473"/>
      <c r="AG229" s="1454"/>
      <c r="AH229" s="1207"/>
    </row>
    <row r="230" spans="1:34" ht="13.5" thickBot="1" x14ac:dyDescent="0.25">
      <c r="A230" s="1294"/>
      <c r="B230" s="1237"/>
      <c r="C230" s="1302"/>
      <c r="D230" s="1302"/>
      <c r="E230" s="1302"/>
      <c r="F230" s="1303"/>
      <c r="G230" s="1303"/>
      <c r="H230" s="1303"/>
      <c r="I230" s="1303"/>
      <c r="J230" s="1303"/>
      <c r="K230" s="1303"/>
      <c r="L230" s="1303"/>
      <c r="M230" s="1303"/>
      <c r="N230" s="1303"/>
      <c r="O230" s="1303"/>
      <c r="P230" s="1304"/>
      <c r="Q230" s="1303"/>
      <c r="R230" s="1303"/>
      <c r="S230" s="1303"/>
      <c r="T230" s="1303"/>
      <c r="U230" s="1303"/>
      <c r="V230" s="1303"/>
      <c r="W230" s="1303"/>
      <c r="X230" s="1303"/>
      <c r="Y230" s="1303"/>
      <c r="Z230" s="1303"/>
      <c r="AA230" s="1303"/>
      <c r="AB230" s="1303"/>
      <c r="AC230" s="1303"/>
      <c r="AD230" s="1303"/>
      <c r="AE230" s="1303"/>
      <c r="AF230" s="1303"/>
      <c r="AG230" s="1303"/>
      <c r="AH230" s="1207"/>
    </row>
    <row r="231" spans="1:34" x14ac:dyDescent="0.2">
      <c r="A231" s="1269"/>
      <c r="B231" s="1237"/>
      <c r="C231" s="1296"/>
      <c r="D231" s="1297"/>
      <c r="E231" s="1297"/>
      <c r="F231" s="1298"/>
      <c r="G231" s="1298"/>
      <c r="H231" s="1298"/>
      <c r="I231" s="1298"/>
      <c r="J231" s="1298"/>
      <c r="K231" s="1298"/>
      <c r="L231" s="1298"/>
      <c r="M231" s="1298"/>
      <c r="N231" s="1298"/>
      <c r="O231" s="1298"/>
      <c r="P231" s="1299"/>
      <c r="Q231" s="1298"/>
      <c r="R231" s="1298"/>
      <c r="S231" s="1298"/>
      <c r="T231" s="1298"/>
      <c r="U231" s="1298"/>
      <c r="V231" s="1298"/>
      <c r="W231" s="1298"/>
      <c r="X231" s="1298"/>
      <c r="Y231" s="1298"/>
      <c r="Z231" s="1298"/>
      <c r="AA231" s="1298"/>
      <c r="AB231" s="1298"/>
      <c r="AC231" s="1298"/>
      <c r="AD231" s="1298"/>
      <c r="AE231" s="1298"/>
      <c r="AF231" s="1298"/>
      <c r="AG231" s="1298"/>
      <c r="AH231" s="1207"/>
    </row>
    <row r="232" spans="1:34" ht="13.5" thickBot="1" x14ac:dyDescent="0.25">
      <c r="A232" s="1274" t="s">
        <v>12</v>
      </c>
      <c r="B232" s="1237"/>
      <c r="C232" s="1275">
        <f t="shared" ref="C232:AG232" si="25">C233</f>
        <v>0</v>
      </c>
      <c r="D232" s="1275">
        <f t="shared" si="25"/>
        <v>0</v>
      </c>
      <c r="E232" s="1275">
        <f t="shared" si="25"/>
        <v>0</v>
      </c>
      <c r="F232" s="1275">
        <f t="shared" si="25"/>
        <v>0</v>
      </c>
      <c r="G232" s="1275">
        <f t="shared" si="25"/>
        <v>0</v>
      </c>
      <c r="H232" s="1275">
        <f t="shared" si="25"/>
        <v>0</v>
      </c>
      <c r="I232" s="1275">
        <f t="shared" si="25"/>
        <v>0</v>
      </c>
      <c r="J232" s="1275">
        <f t="shared" si="25"/>
        <v>0</v>
      </c>
      <c r="K232" s="1275">
        <f t="shared" si="25"/>
        <v>0</v>
      </c>
      <c r="L232" s="1275">
        <f t="shared" si="25"/>
        <v>0</v>
      </c>
      <c r="M232" s="1275">
        <f t="shared" si="25"/>
        <v>0</v>
      </c>
      <c r="N232" s="1275">
        <f t="shared" si="25"/>
        <v>0</v>
      </c>
      <c r="O232" s="1275">
        <f t="shared" si="25"/>
        <v>0</v>
      </c>
      <c r="P232" s="1276">
        <f t="shared" si="25"/>
        <v>0</v>
      </c>
      <c r="Q232" s="1275">
        <f t="shared" si="25"/>
        <v>0</v>
      </c>
      <c r="R232" s="1275">
        <f t="shared" si="25"/>
        <v>0</v>
      </c>
      <c r="S232" s="1275">
        <f t="shared" si="25"/>
        <v>0</v>
      </c>
      <c r="T232" s="1275">
        <f t="shared" si="25"/>
        <v>0</v>
      </c>
      <c r="U232" s="1275">
        <f t="shared" si="25"/>
        <v>0</v>
      </c>
      <c r="V232" s="1275">
        <f t="shared" si="25"/>
        <v>0</v>
      </c>
      <c r="W232" s="1275">
        <f t="shared" si="25"/>
        <v>0</v>
      </c>
      <c r="X232" s="1275">
        <f t="shared" si="25"/>
        <v>0</v>
      </c>
      <c r="Y232" s="1275">
        <f t="shared" si="25"/>
        <v>0</v>
      </c>
      <c r="Z232" s="1275">
        <f t="shared" si="25"/>
        <v>0</v>
      </c>
      <c r="AA232" s="1275">
        <f t="shared" si="25"/>
        <v>0</v>
      </c>
      <c r="AB232" s="1275">
        <f t="shared" si="25"/>
        <v>0</v>
      </c>
      <c r="AC232" s="1275">
        <f t="shared" si="25"/>
        <v>0</v>
      </c>
      <c r="AD232" s="1275">
        <f t="shared" si="25"/>
        <v>0</v>
      </c>
      <c r="AE232" s="1275">
        <f t="shared" si="25"/>
        <v>0</v>
      </c>
      <c r="AF232" s="1275">
        <f t="shared" si="25"/>
        <v>0</v>
      </c>
      <c r="AG232" s="1275">
        <f t="shared" si="25"/>
        <v>0</v>
      </c>
      <c r="AH232" s="1207"/>
    </row>
    <row r="233" spans="1:34" x14ac:dyDescent="0.2">
      <c r="A233" s="1274" t="s">
        <v>8</v>
      </c>
      <c r="B233" s="1237"/>
      <c r="C233" s="1302"/>
      <c r="D233" s="1302"/>
      <c r="E233" s="1302"/>
      <c r="F233" s="1303"/>
      <c r="G233" s="1303"/>
      <c r="H233" s="1303"/>
      <c r="I233" s="1303"/>
      <c r="J233" s="1303"/>
      <c r="K233" s="1303"/>
      <c r="L233" s="1303"/>
      <c r="M233" s="1303"/>
      <c r="N233" s="1303"/>
      <c r="O233" s="1303"/>
      <c r="P233" s="1304"/>
      <c r="Q233" s="1303"/>
      <c r="R233" s="1303"/>
      <c r="S233" s="1303"/>
      <c r="T233" s="1303"/>
      <c r="U233" s="1303"/>
      <c r="V233" s="1303"/>
      <c r="W233" s="1303"/>
      <c r="X233" s="1303"/>
      <c r="Y233" s="1303"/>
      <c r="Z233" s="1303"/>
      <c r="AA233" s="1303"/>
      <c r="AB233" s="1303"/>
      <c r="AC233" s="1303"/>
      <c r="AD233" s="1303"/>
      <c r="AE233" s="1303"/>
      <c r="AF233" s="1303"/>
      <c r="AG233" s="1303"/>
      <c r="AH233" s="1207"/>
    </row>
    <row r="234" spans="1:34" x14ac:dyDescent="0.2">
      <c r="A234" s="1274" t="s">
        <v>775</v>
      </c>
      <c r="B234" s="1237"/>
      <c r="C234" s="1282">
        <v>2738.9589999999998</v>
      </c>
      <c r="D234" s="1282"/>
      <c r="E234" s="1282"/>
      <c r="F234" s="1282"/>
      <c r="G234" s="1282">
        <v>4803.12</v>
      </c>
      <c r="H234" s="1282">
        <v>251.62799999999999</v>
      </c>
      <c r="I234" s="1282">
        <v>1855.4989999999998</v>
      </c>
      <c r="J234" s="1282">
        <v>1009.756</v>
      </c>
      <c r="K234" s="1282"/>
      <c r="L234" s="1282">
        <v>9014.7250000000004</v>
      </c>
      <c r="M234" s="1282"/>
      <c r="N234" s="1282">
        <v>3376.451</v>
      </c>
      <c r="O234" s="1282"/>
      <c r="P234" s="1282"/>
      <c r="Q234" s="1282">
        <v>8753.0010000000002</v>
      </c>
      <c r="R234" s="1282"/>
      <c r="S234" s="1282"/>
      <c r="T234" s="1282"/>
      <c r="U234" s="1282"/>
      <c r="V234" s="1282">
        <v>2680.3890000000001</v>
      </c>
      <c r="W234" s="1282">
        <v>1055.691</v>
      </c>
      <c r="X234" s="1282">
        <v>1150</v>
      </c>
      <c r="Y234" s="1282"/>
      <c r="Z234" s="1282"/>
      <c r="AA234" s="1282">
        <v>3221.473</v>
      </c>
      <c r="AB234" s="1282">
        <v>1948.681</v>
      </c>
      <c r="AC234" s="1282">
        <v>4123.0829999999996</v>
      </c>
      <c r="AD234" s="1282"/>
      <c r="AE234" s="1282">
        <v>1484.471</v>
      </c>
      <c r="AF234" s="1282">
        <v>17062.332999999999</v>
      </c>
      <c r="AG234" s="1282"/>
      <c r="AH234" s="1455">
        <f>SUM(C234:AG234)</f>
        <v>64529.259999999987</v>
      </c>
    </row>
    <row r="235" spans="1:34" ht="13.5" thickBot="1" x14ac:dyDescent="0.25">
      <c r="A235" s="1294"/>
      <c r="B235" s="1237"/>
      <c r="C235" s="1302"/>
      <c r="D235" s="1302"/>
      <c r="E235" s="1302"/>
      <c r="F235" s="1303"/>
      <c r="G235" s="1303"/>
      <c r="H235" s="1303"/>
      <c r="I235" s="1303"/>
      <c r="J235" s="1303"/>
      <c r="K235" s="1303"/>
      <c r="L235" s="1303"/>
      <c r="M235" s="1303"/>
      <c r="N235" s="1303"/>
      <c r="O235" s="1303"/>
      <c r="P235" s="1304"/>
      <c r="Q235" s="1303"/>
      <c r="R235" s="1303"/>
      <c r="S235" s="1303"/>
      <c r="T235" s="1303"/>
      <c r="U235" s="1303"/>
      <c r="V235" s="1303"/>
      <c r="W235" s="1303"/>
      <c r="X235" s="1303"/>
      <c r="Y235" s="1303"/>
      <c r="Z235" s="1303"/>
      <c r="AA235" s="1303"/>
      <c r="AB235" s="1303"/>
      <c r="AC235" s="1303"/>
      <c r="AD235" s="1303"/>
      <c r="AE235" s="1303"/>
      <c r="AF235" s="1303"/>
      <c r="AG235" s="1303"/>
      <c r="AH235" s="1207"/>
    </row>
    <row r="236" spans="1:34" x14ac:dyDescent="0.2">
      <c r="A236" s="1269"/>
      <c r="B236" s="1237"/>
      <c r="C236" s="1296"/>
      <c r="D236" s="1297"/>
      <c r="E236" s="1297"/>
      <c r="F236" s="1298"/>
      <c r="G236" s="1298"/>
      <c r="H236" s="1298"/>
      <c r="I236" s="1298"/>
      <c r="J236" s="1298"/>
      <c r="K236" s="1298"/>
      <c r="L236" s="1298"/>
      <c r="M236" s="1298"/>
      <c r="N236" s="1298"/>
      <c r="O236" s="1298"/>
      <c r="P236" s="1299"/>
      <c r="Q236" s="1298"/>
      <c r="R236" s="1298"/>
      <c r="S236" s="1298"/>
      <c r="T236" s="1298"/>
      <c r="U236" s="1298"/>
      <c r="V236" s="1298"/>
      <c r="W236" s="1298"/>
      <c r="X236" s="1298"/>
      <c r="Y236" s="1298"/>
      <c r="Z236" s="1298"/>
      <c r="AA236" s="1298"/>
      <c r="AB236" s="1298"/>
      <c r="AC236" s="1298"/>
      <c r="AD236" s="1298"/>
      <c r="AE236" s="1298"/>
      <c r="AF236" s="1298"/>
      <c r="AG236" s="1298"/>
      <c r="AH236" s="1207"/>
    </row>
    <row r="237" spans="1:34" x14ac:dyDescent="0.2">
      <c r="A237" s="1274" t="s">
        <v>13</v>
      </c>
      <c r="B237" s="1237"/>
      <c r="C237" s="1300">
        <f t="shared" ref="C237:AG237" si="26">C232-C224</f>
        <v>0</v>
      </c>
      <c r="D237" s="1300">
        <f t="shared" si="26"/>
        <v>0</v>
      </c>
      <c r="E237" s="1300">
        <f t="shared" si="26"/>
        <v>0</v>
      </c>
      <c r="F237" s="1300">
        <f t="shared" si="26"/>
        <v>0</v>
      </c>
      <c r="G237" s="1300">
        <f t="shared" si="26"/>
        <v>0</v>
      </c>
      <c r="H237" s="1300">
        <f t="shared" si="26"/>
        <v>0</v>
      </c>
      <c r="I237" s="1300">
        <f t="shared" si="26"/>
        <v>0</v>
      </c>
      <c r="J237" s="1300">
        <f t="shared" si="26"/>
        <v>0</v>
      </c>
      <c r="K237" s="1300">
        <f t="shared" si="26"/>
        <v>0</v>
      </c>
      <c r="L237" s="1300">
        <f t="shared" si="26"/>
        <v>0</v>
      </c>
      <c r="M237" s="1300">
        <f t="shared" si="26"/>
        <v>0</v>
      </c>
      <c r="N237" s="1300">
        <f t="shared" si="26"/>
        <v>0</v>
      </c>
      <c r="O237" s="1300">
        <f t="shared" si="26"/>
        <v>0</v>
      </c>
      <c r="P237" s="1301">
        <f t="shared" si="26"/>
        <v>0</v>
      </c>
      <c r="Q237" s="1300">
        <f t="shared" si="26"/>
        <v>0</v>
      </c>
      <c r="R237" s="1300">
        <f t="shared" si="26"/>
        <v>0</v>
      </c>
      <c r="S237" s="1300">
        <f t="shared" si="26"/>
        <v>0</v>
      </c>
      <c r="T237" s="1300">
        <f t="shared" si="26"/>
        <v>0</v>
      </c>
      <c r="U237" s="1300">
        <f t="shared" si="26"/>
        <v>0</v>
      </c>
      <c r="V237" s="1300">
        <f t="shared" si="26"/>
        <v>0</v>
      </c>
      <c r="W237" s="1300">
        <f t="shared" si="26"/>
        <v>0</v>
      </c>
      <c r="X237" s="1300">
        <f t="shared" si="26"/>
        <v>0</v>
      </c>
      <c r="Y237" s="1300">
        <f t="shared" si="26"/>
        <v>0</v>
      </c>
      <c r="Z237" s="1300">
        <f t="shared" si="26"/>
        <v>0</v>
      </c>
      <c r="AA237" s="1300">
        <f t="shared" si="26"/>
        <v>0</v>
      </c>
      <c r="AB237" s="1300">
        <f t="shared" si="26"/>
        <v>0</v>
      </c>
      <c r="AC237" s="1300">
        <f t="shared" si="26"/>
        <v>0</v>
      </c>
      <c r="AD237" s="1300">
        <f t="shared" si="26"/>
        <v>0</v>
      </c>
      <c r="AE237" s="1300">
        <f t="shared" si="26"/>
        <v>0</v>
      </c>
      <c r="AF237" s="1300">
        <f t="shared" si="26"/>
        <v>-24800</v>
      </c>
      <c r="AG237" s="1300">
        <f t="shared" si="26"/>
        <v>0</v>
      </c>
      <c r="AH237" s="1207"/>
    </row>
    <row r="238" spans="1:34" ht="13.5" thickBot="1" x14ac:dyDescent="0.25">
      <c r="A238" s="1274"/>
      <c r="B238" s="1237"/>
      <c r="C238" s="1300"/>
      <c r="D238" s="1302"/>
      <c r="E238" s="1302"/>
      <c r="F238" s="1303"/>
      <c r="G238" s="1303"/>
      <c r="H238" s="1303"/>
      <c r="I238" s="1303"/>
      <c r="J238" s="1303"/>
      <c r="K238" s="1303"/>
      <c r="L238" s="1303"/>
      <c r="M238" s="1303"/>
      <c r="N238" s="1303"/>
      <c r="O238" s="1303"/>
      <c r="P238" s="1304"/>
      <c r="Q238" s="1303"/>
      <c r="R238" s="1303"/>
      <c r="S238" s="1303"/>
      <c r="T238" s="1303"/>
      <c r="U238" s="1303"/>
      <c r="V238" s="1303"/>
      <c r="W238" s="1303"/>
      <c r="X238" s="1303"/>
      <c r="Y238" s="1303"/>
      <c r="Z238" s="1303"/>
      <c r="AA238" s="1303"/>
      <c r="AB238" s="1303"/>
      <c r="AC238" s="1303"/>
      <c r="AD238" s="1303"/>
      <c r="AE238" s="1303"/>
      <c r="AF238" s="1303"/>
      <c r="AG238" s="1303"/>
      <c r="AH238" s="1207"/>
    </row>
    <row r="239" spans="1:34" x14ac:dyDescent="0.2">
      <c r="A239" s="1233"/>
      <c r="B239" s="1234"/>
      <c r="C239" s="1305"/>
      <c r="D239" s="1297"/>
      <c r="E239" s="1297"/>
      <c r="F239" s="1298"/>
      <c r="G239" s="1298"/>
      <c r="H239" s="1298"/>
      <c r="I239" s="1298"/>
      <c r="J239" s="1298"/>
      <c r="K239" s="1298"/>
      <c r="L239" s="1298"/>
      <c r="M239" s="1298"/>
      <c r="N239" s="1298"/>
      <c r="O239" s="1298"/>
      <c r="P239" s="1299"/>
      <c r="Q239" s="1298"/>
      <c r="R239" s="1298"/>
      <c r="S239" s="1298"/>
      <c r="T239" s="1298"/>
      <c r="U239" s="1298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07"/>
    </row>
    <row r="240" spans="1:34" x14ac:dyDescent="0.2">
      <c r="A240" s="1236" t="s">
        <v>15</v>
      </c>
      <c r="B240" s="1237"/>
      <c r="C240" s="1302">
        <f>B221+C237</f>
        <v>-15654.775</v>
      </c>
      <c r="D240" s="1302">
        <f t="shared" ref="D240:AG240" si="27">C247+D237</f>
        <v>-15654.775</v>
      </c>
      <c r="E240" s="1302">
        <f t="shared" si="27"/>
        <v>-15654.775</v>
      </c>
      <c r="F240" s="1302">
        <f t="shared" si="27"/>
        <v>-15654.775</v>
      </c>
      <c r="G240" s="1302">
        <f t="shared" si="27"/>
        <v>-15654.775</v>
      </c>
      <c r="H240" s="1302">
        <f t="shared" si="27"/>
        <v>-15654.775</v>
      </c>
      <c r="I240" s="1302">
        <f t="shared" si="27"/>
        <v>-15654.775</v>
      </c>
      <c r="J240" s="1302">
        <f t="shared" si="27"/>
        <v>-15654.775</v>
      </c>
      <c r="K240" s="1302">
        <f t="shared" si="27"/>
        <v>-15654.775</v>
      </c>
      <c r="L240" s="1302">
        <f t="shared" si="27"/>
        <v>-15654.775</v>
      </c>
      <c r="M240" s="1302">
        <f t="shared" si="27"/>
        <v>-15654.775</v>
      </c>
      <c r="N240" s="1302">
        <f t="shared" si="27"/>
        <v>-15654.775</v>
      </c>
      <c r="O240" s="1302">
        <f t="shared" si="27"/>
        <v>-15654.775</v>
      </c>
      <c r="P240" s="1306">
        <f t="shared" si="27"/>
        <v>-15654.775</v>
      </c>
      <c r="Q240" s="1302">
        <f t="shared" si="27"/>
        <v>-15654.775</v>
      </c>
      <c r="R240" s="1302">
        <f t="shared" si="27"/>
        <v>-15654.775</v>
      </c>
      <c r="S240" s="1302">
        <f t="shared" si="27"/>
        <v>-15654.775</v>
      </c>
      <c r="T240" s="1302">
        <f t="shared" si="27"/>
        <v>-15654.775</v>
      </c>
      <c r="U240" s="1302">
        <f t="shared" si="27"/>
        <v>-15654.775</v>
      </c>
      <c r="V240" s="1302">
        <f t="shared" si="27"/>
        <v>-15654.775</v>
      </c>
      <c r="W240" s="1302">
        <f t="shared" si="27"/>
        <v>-15654.775</v>
      </c>
      <c r="X240" s="1302">
        <f t="shared" si="27"/>
        <v>-15654.775</v>
      </c>
      <c r="Y240" s="1302">
        <f t="shared" si="27"/>
        <v>-15654.775</v>
      </c>
      <c r="Z240" s="1302">
        <f t="shared" si="27"/>
        <v>-15654.775</v>
      </c>
      <c r="AA240" s="1302">
        <f t="shared" si="27"/>
        <v>-15654.775</v>
      </c>
      <c r="AB240" s="1302">
        <f t="shared" si="27"/>
        <v>-15654.775</v>
      </c>
      <c r="AC240" s="1302">
        <f t="shared" si="27"/>
        <v>-15654.775</v>
      </c>
      <c r="AD240" s="1302">
        <f t="shared" si="27"/>
        <v>-15654.775</v>
      </c>
      <c r="AE240" s="1302">
        <f t="shared" si="27"/>
        <v>-15654.775</v>
      </c>
      <c r="AF240" s="1302">
        <f t="shared" si="27"/>
        <v>-40454.775000000001</v>
      </c>
      <c r="AG240" s="1302">
        <f t="shared" si="27"/>
        <v>-17038.017</v>
      </c>
      <c r="AH240" s="1207"/>
    </row>
    <row r="241" spans="1:34" ht="13.5" thickBot="1" x14ac:dyDescent="0.25">
      <c r="A241" s="1250"/>
      <c r="B241" s="1307"/>
      <c r="C241" s="1308"/>
      <c r="D241" s="1308"/>
      <c r="E241" s="1308"/>
      <c r="F241" s="1309"/>
      <c r="G241" s="1309"/>
      <c r="H241" s="1309"/>
      <c r="I241" s="1309"/>
      <c r="J241" s="1309"/>
      <c r="K241" s="1309"/>
      <c r="L241" s="1309"/>
      <c r="M241" s="1309"/>
      <c r="N241" s="1309"/>
      <c r="O241" s="1309"/>
      <c r="P241" s="1310"/>
      <c r="Q241" s="1309"/>
      <c r="R241" s="1309"/>
      <c r="S241" s="1309"/>
      <c r="T241" s="1309"/>
      <c r="U241" s="1309"/>
      <c r="V241" s="1309"/>
      <c r="W241" s="1309"/>
      <c r="X241" s="1309"/>
      <c r="Y241" s="1309"/>
      <c r="Z241" s="1309"/>
      <c r="AA241" s="1309"/>
      <c r="AB241" s="1309"/>
      <c r="AC241" s="1309"/>
      <c r="AD241" s="1309"/>
      <c r="AE241" s="1309"/>
      <c r="AF241" s="1309"/>
      <c r="AG241" s="1309"/>
      <c r="AH241" s="1207"/>
    </row>
    <row r="242" spans="1:34" x14ac:dyDescent="0.2">
      <c r="A242" s="1233"/>
      <c r="B242" s="1234"/>
      <c r="C242" s="1297"/>
      <c r="D242" s="1297"/>
      <c r="E242" s="1297"/>
      <c r="F242" s="1298"/>
      <c r="G242" s="1298"/>
      <c r="H242" s="1298"/>
      <c r="I242" s="1298"/>
      <c r="J242" s="1298"/>
      <c r="K242" s="1298"/>
      <c r="L242" s="1298"/>
      <c r="M242" s="1298"/>
      <c r="N242" s="1298"/>
      <c r="O242" s="1298"/>
      <c r="P242" s="1299"/>
      <c r="Q242" s="1298"/>
      <c r="R242" s="1298"/>
      <c r="S242" s="1298"/>
      <c r="T242" s="1298"/>
      <c r="U242" s="1298"/>
      <c r="V242" s="1298"/>
      <c r="W242" s="1298"/>
      <c r="X242" s="1298"/>
      <c r="Y242" s="1298"/>
      <c r="Z242" s="1298"/>
      <c r="AA242" s="1298"/>
      <c r="AB242" s="1298"/>
      <c r="AC242" s="1298"/>
      <c r="AD242" s="1298"/>
      <c r="AE242" s="1298"/>
      <c r="AF242" s="1298"/>
      <c r="AG242" s="1298"/>
      <c r="AH242" s="1207"/>
    </row>
    <row r="243" spans="1:34" x14ac:dyDescent="0.2">
      <c r="A243" s="1236" t="s">
        <v>82</v>
      </c>
      <c r="B243" s="1237"/>
      <c r="C243" s="1302">
        <f t="shared" ref="C243:AG244" si="28">C251</f>
        <v>0</v>
      </c>
      <c r="D243" s="1302">
        <f t="shared" si="28"/>
        <v>0</v>
      </c>
      <c r="E243" s="1302">
        <f t="shared" si="28"/>
        <v>0</v>
      </c>
      <c r="F243" s="1302">
        <f t="shared" si="28"/>
        <v>0</v>
      </c>
      <c r="G243" s="1302">
        <f t="shared" si="28"/>
        <v>0</v>
      </c>
      <c r="H243" s="1302">
        <f t="shared" si="28"/>
        <v>0</v>
      </c>
      <c r="I243" s="1302">
        <f t="shared" si="28"/>
        <v>0</v>
      </c>
      <c r="J243" s="1302">
        <f t="shared" si="28"/>
        <v>0</v>
      </c>
      <c r="K243" s="1302">
        <f t="shared" si="28"/>
        <v>0</v>
      </c>
      <c r="L243" s="1302">
        <f t="shared" si="28"/>
        <v>0</v>
      </c>
      <c r="M243" s="1302">
        <f t="shared" si="28"/>
        <v>0</v>
      </c>
      <c r="N243" s="1302">
        <f t="shared" si="28"/>
        <v>0</v>
      </c>
      <c r="O243" s="1302">
        <f t="shared" si="28"/>
        <v>0</v>
      </c>
      <c r="P243" s="1306">
        <f t="shared" si="28"/>
        <v>0</v>
      </c>
      <c r="Q243" s="1302">
        <f t="shared" si="28"/>
        <v>0</v>
      </c>
      <c r="R243" s="1302">
        <f t="shared" si="28"/>
        <v>0</v>
      </c>
      <c r="S243" s="1302">
        <f t="shared" si="28"/>
        <v>0</v>
      </c>
      <c r="T243" s="1302">
        <f t="shared" si="28"/>
        <v>0</v>
      </c>
      <c r="U243" s="1302">
        <f t="shared" si="28"/>
        <v>0</v>
      </c>
      <c r="V243" s="1302">
        <f t="shared" si="28"/>
        <v>0</v>
      </c>
      <c r="W243" s="1302">
        <f t="shared" si="28"/>
        <v>0</v>
      </c>
      <c r="X243" s="1302">
        <f t="shared" si="28"/>
        <v>0</v>
      </c>
      <c r="Y243" s="1302">
        <f t="shared" si="28"/>
        <v>0</v>
      </c>
      <c r="Z243" s="1302">
        <f t="shared" si="28"/>
        <v>0</v>
      </c>
      <c r="AA243" s="1302">
        <f t="shared" si="28"/>
        <v>0</v>
      </c>
      <c r="AB243" s="1302">
        <f t="shared" si="28"/>
        <v>0</v>
      </c>
      <c r="AC243" s="1302">
        <f t="shared" si="28"/>
        <v>0</v>
      </c>
      <c r="AD243" s="1302">
        <f t="shared" si="28"/>
        <v>0</v>
      </c>
      <c r="AE243" s="1302">
        <f t="shared" si="28"/>
        <v>0</v>
      </c>
      <c r="AF243" s="1302">
        <f t="shared" si="28"/>
        <v>23416.758000000002</v>
      </c>
      <c r="AG243" s="1302">
        <f t="shared" si="28"/>
        <v>0</v>
      </c>
      <c r="AH243" s="1207"/>
    </row>
    <row r="244" spans="1:34" x14ac:dyDescent="0.2">
      <c r="A244" s="1236" t="s">
        <v>83</v>
      </c>
      <c r="B244" s="1237"/>
      <c r="C244" s="1306">
        <f t="shared" si="28"/>
        <v>0</v>
      </c>
      <c r="D244" s="1306">
        <f t="shared" si="28"/>
        <v>0</v>
      </c>
      <c r="E244" s="1306">
        <f t="shared" si="28"/>
        <v>0</v>
      </c>
      <c r="F244" s="1306">
        <f t="shared" si="28"/>
        <v>0</v>
      </c>
      <c r="G244" s="1306">
        <f t="shared" si="28"/>
        <v>0</v>
      </c>
      <c r="H244" s="1306">
        <f t="shared" si="28"/>
        <v>0</v>
      </c>
      <c r="I244" s="1306">
        <f t="shared" si="28"/>
        <v>0</v>
      </c>
      <c r="J244" s="1306">
        <f t="shared" si="28"/>
        <v>0</v>
      </c>
      <c r="K244" s="1306">
        <f t="shared" si="28"/>
        <v>0</v>
      </c>
      <c r="L244" s="1306">
        <f t="shared" si="28"/>
        <v>0</v>
      </c>
      <c r="M244" s="1306">
        <f t="shared" si="28"/>
        <v>0</v>
      </c>
      <c r="N244" s="1306">
        <f t="shared" si="28"/>
        <v>0</v>
      </c>
      <c r="O244" s="1306">
        <f t="shared" si="28"/>
        <v>0</v>
      </c>
      <c r="P244" s="1306">
        <f t="shared" si="28"/>
        <v>0</v>
      </c>
      <c r="Q244" s="1306">
        <f t="shared" si="28"/>
        <v>0</v>
      </c>
      <c r="R244" s="1306">
        <f t="shared" si="28"/>
        <v>0</v>
      </c>
      <c r="S244" s="1306">
        <f t="shared" si="28"/>
        <v>0</v>
      </c>
      <c r="T244" s="1306">
        <f t="shared" si="28"/>
        <v>0</v>
      </c>
      <c r="U244" s="1306">
        <f t="shared" si="28"/>
        <v>0</v>
      </c>
      <c r="V244" s="1306">
        <f t="shared" si="28"/>
        <v>0</v>
      </c>
      <c r="W244" s="1306">
        <f t="shared" si="28"/>
        <v>0</v>
      </c>
      <c r="X244" s="1306">
        <f t="shared" si="28"/>
        <v>0</v>
      </c>
      <c r="Y244" s="1306">
        <f t="shared" si="28"/>
        <v>0</v>
      </c>
      <c r="Z244" s="1306">
        <f t="shared" si="28"/>
        <v>0</v>
      </c>
      <c r="AA244" s="1306">
        <f t="shared" si="28"/>
        <v>0</v>
      </c>
      <c r="AB244" s="1306">
        <f t="shared" si="28"/>
        <v>0</v>
      </c>
      <c r="AC244" s="1306">
        <f t="shared" si="28"/>
        <v>0</v>
      </c>
      <c r="AD244" s="1306">
        <f t="shared" si="28"/>
        <v>0</v>
      </c>
      <c r="AE244" s="1306">
        <f t="shared" si="28"/>
        <v>0</v>
      </c>
      <c r="AF244" s="1306">
        <f t="shared" si="28"/>
        <v>0</v>
      </c>
      <c r="AG244" s="1306">
        <f t="shared" si="28"/>
        <v>0</v>
      </c>
      <c r="AH244" s="1207"/>
    </row>
    <row r="245" spans="1:34" ht="13.5" thickBot="1" x14ac:dyDescent="0.25">
      <c r="A245" s="1250"/>
      <c r="B245" s="1307"/>
      <c r="C245" s="1308"/>
      <c r="D245" s="1308"/>
      <c r="E245" s="1308"/>
      <c r="F245" s="1309"/>
      <c r="G245" s="1309"/>
      <c r="H245" s="1309"/>
      <c r="I245" s="1309"/>
      <c r="J245" s="1309"/>
      <c r="K245" s="1309"/>
      <c r="L245" s="1309"/>
      <c r="M245" s="1309"/>
      <c r="N245" s="1309"/>
      <c r="O245" s="1309"/>
      <c r="P245" s="1310"/>
      <c r="Q245" s="1309"/>
      <c r="R245" s="1309"/>
      <c r="S245" s="1309"/>
      <c r="T245" s="1309"/>
      <c r="U245" s="1309"/>
      <c r="V245" s="1309"/>
      <c r="W245" s="1309"/>
      <c r="X245" s="1309"/>
      <c r="Y245" s="1309"/>
      <c r="Z245" s="1309"/>
      <c r="AA245" s="1309"/>
      <c r="AB245" s="1309"/>
      <c r="AC245" s="1309"/>
      <c r="AD245" s="1309"/>
      <c r="AE245" s="1309"/>
      <c r="AF245" s="1309"/>
      <c r="AG245" s="1309"/>
      <c r="AH245" s="1207"/>
    </row>
    <row r="246" spans="1:34" x14ac:dyDescent="0.2">
      <c r="A246" s="1236"/>
      <c r="B246" s="1237"/>
      <c r="C246" s="1302"/>
      <c r="D246" s="1302"/>
      <c r="E246" s="1302"/>
      <c r="F246" s="1303"/>
      <c r="G246" s="1303"/>
      <c r="H246" s="1303"/>
      <c r="I246" s="1303"/>
      <c r="J246" s="1303"/>
      <c r="K246" s="1303"/>
      <c r="L246" s="1303"/>
      <c r="M246" s="1303"/>
      <c r="N246" s="1303"/>
      <c r="O246" s="1303"/>
      <c r="P246" s="1304"/>
      <c r="Q246" s="1303"/>
      <c r="R246" s="1303"/>
      <c r="S246" s="1303"/>
      <c r="T246" s="1303"/>
      <c r="U246" s="1303"/>
      <c r="V246" s="1303"/>
      <c r="W246" s="1303"/>
      <c r="X246" s="1303"/>
      <c r="Y246" s="1303"/>
      <c r="Z246" s="1303"/>
      <c r="AA246" s="1303"/>
      <c r="AB246" s="1303"/>
      <c r="AC246" s="1303"/>
      <c r="AD246" s="1303"/>
      <c r="AE246" s="1303"/>
      <c r="AF246" s="1303"/>
      <c r="AG246" s="1303"/>
      <c r="AH246" s="1207"/>
    </row>
    <row r="247" spans="1:34" x14ac:dyDescent="0.2">
      <c r="A247" s="1236" t="s">
        <v>14</v>
      </c>
      <c r="B247" s="1237"/>
      <c r="C247" s="1302">
        <f t="shared" ref="C247:AG247" si="29">C240+C243+C244</f>
        <v>-15654.775</v>
      </c>
      <c r="D247" s="1302">
        <f t="shared" si="29"/>
        <v>-15654.775</v>
      </c>
      <c r="E247" s="1302">
        <f t="shared" si="29"/>
        <v>-15654.775</v>
      </c>
      <c r="F247" s="1302">
        <f t="shared" si="29"/>
        <v>-15654.775</v>
      </c>
      <c r="G247" s="1302">
        <f t="shared" si="29"/>
        <v>-15654.775</v>
      </c>
      <c r="H247" s="1302">
        <f t="shared" si="29"/>
        <v>-15654.775</v>
      </c>
      <c r="I247" s="1302">
        <f t="shared" si="29"/>
        <v>-15654.775</v>
      </c>
      <c r="J247" s="1302">
        <f t="shared" si="29"/>
        <v>-15654.775</v>
      </c>
      <c r="K247" s="1302">
        <f t="shared" si="29"/>
        <v>-15654.775</v>
      </c>
      <c r="L247" s="1302">
        <f t="shared" si="29"/>
        <v>-15654.775</v>
      </c>
      <c r="M247" s="1302">
        <f t="shared" si="29"/>
        <v>-15654.775</v>
      </c>
      <c r="N247" s="1302">
        <f t="shared" si="29"/>
        <v>-15654.775</v>
      </c>
      <c r="O247" s="1302">
        <f t="shared" si="29"/>
        <v>-15654.775</v>
      </c>
      <c r="P247" s="1306">
        <f t="shared" si="29"/>
        <v>-15654.775</v>
      </c>
      <c r="Q247" s="1302">
        <f t="shared" si="29"/>
        <v>-15654.775</v>
      </c>
      <c r="R247" s="1302">
        <f t="shared" si="29"/>
        <v>-15654.775</v>
      </c>
      <c r="S247" s="1302">
        <f t="shared" si="29"/>
        <v>-15654.775</v>
      </c>
      <c r="T247" s="1302">
        <f t="shared" si="29"/>
        <v>-15654.775</v>
      </c>
      <c r="U247" s="1302">
        <f t="shared" si="29"/>
        <v>-15654.775</v>
      </c>
      <c r="V247" s="1302">
        <f t="shared" si="29"/>
        <v>-15654.775</v>
      </c>
      <c r="W247" s="1302">
        <f t="shared" si="29"/>
        <v>-15654.775</v>
      </c>
      <c r="X247" s="1302">
        <f t="shared" si="29"/>
        <v>-15654.775</v>
      </c>
      <c r="Y247" s="1302">
        <f t="shared" si="29"/>
        <v>-15654.775</v>
      </c>
      <c r="Z247" s="1302">
        <f t="shared" si="29"/>
        <v>-15654.775</v>
      </c>
      <c r="AA247" s="1302">
        <f t="shared" si="29"/>
        <v>-15654.775</v>
      </c>
      <c r="AB247" s="1302">
        <f t="shared" si="29"/>
        <v>-15654.775</v>
      </c>
      <c r="AC247" s="1302">
        <f t="shared" si="29"/>
        <v>-15654.775</v>
      </c>
      <c r="AD247" s="1302">
        <f t="shared" si="29"/>
        <v>-15654.775</v>
      </c>
      <c r="AE247" s="1302">
        <f t="shared" si="29"/>
        <v>-15654.775</v>
      </c>
      <c r="AF247" s="1302">
        <f t="shared" si="29"/>
        <v>-17038.017</v>
      </c>
      <c r="AG247" s="1302">
        <f t="shared" si="29"/>
        <v>-17038.017</v>
      </c>
      <c r="AH247" s="1207"/>
    </row>
    <row r="248" spans="1:34" x14ac:dyDescent="0.2">
      <c r="A248" s="1236"/>
      <c r="B248" s="1237"/>
      <c r="C248" s="1302"/>
      <c r="D248" s="1302"/>
      <c r="E248" s="1302"/>
      <c r="F248" s="1303"/>
      <c r="G248" s="1303"/>
      <c r="H248" s="1303"/>
      <c r="I248" s="1303"/>
      <c r="J248" s="1303"/>
      <c r="K248" s="1303"/>
      <c r="L248" s="1303"/>
      <c r="M248" s="1303"/>
      <c r="N248" s="1303"/>
      <c r="O248" s="1303"/>
      <c r="P248" s="1304"/>
      <c r="Q248" s="1303"/>
      <c r="R248" s="1303"/>
      <c r="S248" s="1303"/>
      <c r="T248" s="1303"/>
      <c r="U248" s="1303"/>
      <c r="V248" s="1303"/>
      <c r="W248" s="1303"/>
      <c r="X248" s="1303"/>
      <c r="Y248" s="1303"/>
      <c r="Z248" s="1303"/>
      <c r="AA248" s="1303"/>
      <c r="AB248" s="1303"/>
      <c r="AC248" s="1303"/>
      <c r="AD248" s="1303"/>
      <c r="AE248" s="1303"/>
      <c r="AF248" s="1303"/>
      <c r="AG248" s="1303"/>
      <c r="AH248" s="1207"/>
    </row>
    <row r="249" spans="1:34" ht="13.5" thickBot="1" x14ac:dyDescent="0.25">
      <c r="A249" s="1250"/>
      <c r="B249" s="1307"/>
      <c r="C249" s="1312"/>
      <c r="D249" s="1312"/>
      <c r="E249" s="1312"/>
      <c r="F249" s="1313"/>
      <c r="G249" s="1313"/>
      <c r="H249" s="1313"/>
      <c r="I249" s="1313"/>
      <c r="J249" s="1313"/>
      <c r="K249" s="1313"/>
      <c r="L249" s="1313"/>
      <c r="M249" s="1313"/>
      <c r="N249" s="1313"/>
      <c r="O249" s="1313"/>
      <c r="P249" s="1314"/>
      <c r="Q249" s="1313"/>
      <c r="R249" s="1313"/>
      <c r="S249" s="1313"/>
      <c r="T249" s="1313"/>
      <c r="U249" s="1313"/>
      <c r="V249" s="1313"/>
      <c r="W249" s="1313"/>
      <c r="X249" s="1313"/>
      <c r="Y249" s="1313"/>
      <c r="Z249" s="1313"/>
      <c r="AA249" s="1313"/>
      <c r="AB249" s="1313"/>
      <c r="AC249" s="1313"/>
      <c r="AD249" s="1313"/>
      <c r="AE249" s="1313"/>
      <c r="AF249" s="1313"/>
      <c r="AG249" s="1313"/>
      <c r="AH249" s="1207"/>
    </row>
    <row r="250" spans="1:34" x14ac:dyDescent="0.2">
      <c r="A250" s="1316"/>
      <c r="B250" s="1207"/>
      <c r="C250" s="1227"/>
      <c r="D250" s="1227"/>
      <c r="E250" s="1227"/>
      <c r="F250" s="1227"/>
      <c r="G250" s="1227"/>
      <c r="H250" s="1227"/>
      <c r="I250" s="1227"/>
      <c r="J250" s="1227"/>
      <c r="K250" s="1227"/>
      <c r="L250" s="1227"/>
      <c r="M250" s="1227"/>
      <c r="N250" s="1227"/>
      <c r="O250" s="1227"/>
      <c r="P250" s="1229"/>
      <c r="Q250" s="1227"/>
      <c r="R250" s="1227"/>
      <c r="S250" s="1227"/>
      <c r="T250" s="1227"/>
      <c r="U250" s="1227"/>
      <c r="V250" s="1227"/>
      <c r="W250" s="1227"/>
      <c r="X250" s="1227"/>
      <c r="Y250" s="1227"/>
      <c r="Z250" s="1227"/>
      <c r="AA250" s="1227"/>
      <c r="AB250" s="1227"/>
      <c r="AC250" s="1227"/>
      <c r="AD250" s="1227"/>
      <c r="AE250" s="1227"/>
      <c r="AF250" s="1227"/>
      <c r="AG250" s="1227"/>
      <c r="AH250" s="1227">
        <f>SUM(C250:AG250)</f>
        <v>0</v>
      </c>
    </row>
    <row r="251" spans="1:34" x14ac:dyDescent="0.2">
      <c r="A251" s="1316"/>
      <c r="B251" s="1207"/>
      <c r="C251" s="1219"/>
      <c r="D251" s="1219"/>
      <c r="E251" s="1219"/>
      <c r="F251" s="1219"/>
      <c r="G251" s="1220"/>
      <c r="H251" s="1219"/>
      <c r="I251" s="1219"/>
      <c r="J251" s="1219"/>
      <c r="K251" s="1219"/>
      <c r="L251" s="1220"/>
      <c r="M251" s="1220"/>
      <c r="N251" s="1221"/>
      <c r="O251" s="1220"/>
      <c r="P251" s="1221"/>
      <c r="Q251" s="1219"/>
      <c r="R251" s="1219"/>
      <c r="S251" s="1219"/>
      <c r="T251" s="1219"/>
      <c r="U251" s="1219"/>
      <c r="V251" s="1221"/>
      <c r="W251" s="1219"/>
      <c r="X251" s="1219"/>
      <c r="Y251" s="1219"/>
      <c r="Z251" s="1219"/>
      <c r="AA251" s="1220"/>
      <c r="AB251" s="1219"/>
      <c r="AC251" s="1219"/>
      <c r="AD251" s="1220"/>
      <c r="AE251" s="1219"/>
      <c r="AF251" s="1221">
        <v>23416.758000000002</v>
      </c>
      <c r="AG251" s="1219"/>
      <c r="AH251" s="1345"/>
    </row>
    <row r="252" spans="1:34" x14ac:dyDescent="0.2">
      <c r="A252" s="1207"/>
      <c r="B252" s="1207"/>
      <c r="C252" s="1207"/>
      <c r="D252" s="1219"/>
      <c r="E252" s="1347"/>
      <c r="F252" s="1207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8"/>
      <c r="Q252" s="1227"/>
      <c r="R252" s="1207"/>
      <c r="S252" s="1345"/>
      <c r="T252" s="1207"/>
      <c r="U252" s="1207"/>
      <c r="V252" s="1207"/>
      <c r="W252" s="1207"/>
      <c r="X252" s="1207"/>
      <c r="Y252" s="1345"/>
      <c r="Z252" s="1345"/>
      <c r="AA252" s="1345"/>
      <c r="AB252" s="1345"/>
      <c r="AC252" s="1345"/>
      <c r="AD252" s="1345"/>
      <c r="AE252" s="1345"/>
      <c r="AF252" s="1345"/>
      <c r="AG252" s="1345"/>
      <c r="AH252" s="1227">
        <f>SUM(C252:AG252)</f>
        <v>0</v>
      </c>
    </row>
    <row r="253" spans="1:34" x14ac:dyDescent="0.2">
      <c r="A253" s="1210" t="s">
        <v>415</v>
      </c>
      <c r="B253" s="1215">
        <f>B254+B255+B257</f>
        <v>425000</v>
      </c>
      <c r="C253" s="1207"/>
      <c r="D253" s="1207"/>
      <c r="E253" s="1207"/>
      <c r="F253" s="1207"/>
      <c r="G253" s="1207"/>
      <c r="H253" s="1207"/>
      <c r="I253" s="1207"/>
      <c r="J253" s="1207"/>
      <c r="K253" s="1392"/>
      <c r="L253" s="1207"/>
      <c r="M253" s="1207"/>
      <c r="N253" s="1207"/>
      <c r="O253" s="1207"/>
      <c r="P253" s="1208"/>
      <c r="Q253" s="1207"/>
      <c r="R253" s="1207"/>
      <c r="S253" s="1207"/>
      <c r="T253" s="1207"/>
      <c r="U253" s="1207"/>
      <c r="V253" s="1207"/>
      <c r="W253" s="1207"/>
      <c r="X253" s="1207"/>
      <c r="Y253" s="1207"/>
      <c r="Z253" s="1207"/>
      <c r="AA253" s="1384"/>
      <c r="AB253" s="1207"/>
      <c r="AC253" s="1207"/>
      <c r="AD253" s="1207"/>
      <c r="AE253" s="1207"/>
      <c r="AF253" s="1207"/>
      <c r="AG253" s="1207"/>
      <c r="AH253" s="1207"/>
    </row>
    <row r="254" spans="1:34" x14ac:dyDescent="0.2">
      <c r="A254" s="1365" t="s">
        <v>414</v>
      </c>
      <c r="B254" s="1219">
        <v>25000</v>
      </c>
      <c r="C254" s="1207"/>
      <c r="D254" s="1207"/>
      <c r="E254" s="1227"/>
      <c r="F254" s="1227"/>
      <c r="G254" s="1227"/>
      <c r="H254" s="1207"/>
      <c r="I254" s="1207"/>
      <c r="J254" s="1207"/>
      <c r="K254" s="1207"/>
      <c r="L254" s="1207"/>
      <c r="M254" s="1207"/>
      <c r="N254" s="1207"/>
      <c r="O254" s="1207"/>
      <c r="P254" s="1208"/>
      <c r="Q254" s="1207"/>
      <c r="R254" s="1207"/>
      <c r="S254" s="1207"/>
      <c r="T254" s="1207"/>
      <c r="U254" s="1227"/>
      <c r="V254" s="1207"/>
      <c r="W254" s="1207"/>
      <c r="X254" s="1207"/>
      <c r="Y254" s="1207"/>
      <c r="Z254" s="1207"/>
      <c r="AA254" s="1354"/>
      <c r="AB254" s="1207"/>
      <c r="AC254" s="1207"/>
      <c r="AD254" s="1207"/>
      <c r="AE254" s="1207"/>
      <c r="AF254" s="1207"/>
      <c r="AG254" s="1227"/>
      <c r="AH254" s="1207"/>
    </row>
    <row r="255" spans="1:34" x14ac:dyDescent="0.2">
      <c r="A255" s="1365" t="s">
        <v>287</v>
      </c>
      <c r="B255" s="1219">
        <v>300000</v>
      </c>
      <c r="C255" s="1207"/>
      <c r="D255" s="1207"/>
      <c r="E255" s="1207"/>
      <c r="F255" s="1207"/>
      <c r="G255" s="1207"/>
      <c r="H255" s="1207"/>
      <c r="I255" s="1207"/>
      <c r="J255" s="1207"/>
      <c r="K255" s="1207"/>
      <c r="L255" s="1207"/>
      <c r="M255" s="1207"/>
      <c r="N255" s="1207"/>
      <c r="O255" s="1207"/>
      <c r="P255" s="1208"/>
      <c r="Q255" s="1207"/>
      <c r="R255" s="1207"/>
      <c r="S255" s="1207"/>
      <c r="T255" s="1207"/>
      <c r="U255" s="1227"/>
      <c r="V255" s="1207"/>
      <c r="W255" s="1207"/>
      <c r="X255" s="1207"/>
      <c r="Y255" s="1207"/>
      <c r="Z255" s="1207"/>
      <c r="AA255" s="1207"/>
      <c r="AB255" s="1207"/>
      <c r="AC255" s="1207"/>
      <c r="AD255" s="1207"/>
      <c r="AE255" s="1207"/>
      <c r="AF255" s="1392"/>
      <c r="AG255" s="1207"/>
      <c r="AH255" s="1207"/>
    </row>
    <row r="256" spans="1:34" x14ac:dyDescent="0.2">
      <c r="A256" s="1316" t="s">
        <v>413</v>
      </c>
      <c r="B256" s="1219"/>
      <c r="C256" s="1207"/>
      <c r="D256" s="1207"/>
      <c r="E256" s="1207"/>
      <c r="F256" s="1207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8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07"/>
      <c r="AA256" s="1207"/>
      <c r="AB256" s="1207"/>
      <c r="AC256" s="1207"/>
      <c r="AD256" s="1207"/>
      <c r="AE256" s="1207"/>
      <c r="AF256" s="1207"/>
      <c r="AG256" s="1207"/>
      <c r="AH256" s="1207"/>
    </row>
    <row r="257" spans="1:34" x14ac:dyDescent="0.2">
      <c r="A257" s="1316" t="s">
        <v>441</v>
      </c>
      <c r="B257" s="1219">
        <v>100000</v>
      </c>
      <c r="C257" s="1207"/>
      <c r="D257" s="1207"/>
      <c r="E257" s="1207"/>
      <c r="F257" s="1207"/>
      <c r="G257" s="1207"/>
      <c r="H257" s="1207"/>
      <c r="I257" s="1207"/>
      <c r="J257" s="1207"/>
      <c r="K257" s="1207"/>
      <c r="L257" s="1207"/>
      <c r="M257" s="1207"/>
      <c r="N257" s="1207"/>
      <c r="O257" s="1207"/>
      <c r="P257" s="1208"/>
      <c r="Q257" s="1207"/>
      <c r="R257" s="1207"/>
      <c r="S257" s="1207"/>
      <c r="T257" s="1207"/>
      <c r="U257" s="1207"/>
      <c r="V257" s="1207"/>
      <c r="W257" s="1207"/>
      <c r="X257" s="1207"/>
      <c r="Y257" s="1207"/>
      <c r="Z257" s="1207"/>
      <c r="AA257" s="1207"/>
      <c r="AB257" s="1207"/>
      <c r="AC257" s="1207"/>
      <c r="AD257" s="1207"/>
      <c r="AE257" s="1207"/>
      <c r="AF257" s="1207"/>
      <c r="AG257" s="1207"/>
      <c r="AH257" s="1207"/>
    </row>
    <row r="258" spans="1:34" x14ac:dyDescent="0.2">
      <c r="A258" s="1207"/>
      <c r="B258" s="1207"/>
      <c r="C258" s="1207"/>
      <c r="D258" s="1207"/>
      <c r="E258" s="1207"/>
      <c r="F258" s="1207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8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07"/>
      <c r="AA258" s="1207"/>
      <c r="AB258" s="1207"/>
      <c r="AC258" s="1207"/>
      <c r="AD258" s="1207"/>
      <c r="AE258" s="1207"/>
      <c r="AF258" s="1207"/>
      <c r="AG258" s="1207"/>
      <c r="AH258" s="1207"/>
    </row>
    <row r="259" spans="1:34" x14ac:dyDescent="0.2">
      <c r="A259" s="1207"/>
      <c r="B259" s="1207"/>
      <c r="C259" s="1207"/>
      <c r="D259" s="1207"/>
      <c r="E259" s="1207"/>
      <c r="F259" s="1207"/>
      <c r="G259" s="1207"/>
      <c r="H259" s="1207"/>
      <c r="I259" s="1207"/>
      <c r="J259" s="1207"/>
      <c r="K259" s="1207"/>
      <c r="L259" s="1207"/>
      <c r="M259" s="1207"/>
      <c r="N259" s="1207"/>
      <c r="O259" s="1207"/>
      <c r="P259" s="1208"/>
      <c r="Q259" s="1207"/>
      <c r="R259" s="1207"/>
      <c r="S259" s="1207"/>
      <c r="T259" s="1207"/>
      <c r="U259" s="1207"/>
      <c r="V259" s="1207"/>
      <c r="W259" s="1207"/>
      <c r="X259" s="1207"/>
      <c r="Y259" s="1207"/>
      <c r="Z259" s="1207"/>
      <c r="AA259" s="1207"/>
      <c r="AB259" s="1207"/>
      <c r="AC259" s="1207"/>
      <c r="AD259" s="1207"/>
      <c r="AE259" s="1207"/>
      <c r="AF259" s="1207"/>
      <c r="AG259" s="1207"/>
      <c r="AH259" s="1207"/>
    </row>
    <row r="260" spans="1:34" ht="13.5" thickBot="1" x14ac:dyDescent="0.25">
      <c r="A260" s="1207"/>
      <c r="B260" s="1207"/>
      <c r="C260" s="1207"/>
      <c r="D260" s="1207"/>
      <c r="E260" s="1207"/>
      <c r="F260" s="1207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8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1207"/>
      <c r="AD260" s="1207"/>
      <c r="AE260" s="1207"/>
      <c r="AF260" s="1207"/>
      <c r="AG260" s="1207"/>
      <c r="AH260" s="1207"/>
    </row>
    <row r="261" spans="1:34" x14ac:dyDescent="0.2">
      <c r="A261" s="1233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34"/>
      <c r="O261" s="1234"/>
      <c r="P261" s="1235"/>
      <c r="Q261" s="1234"/>
      <c r="R261" s="1234"/>
      <c r="S261" s="1234"/>
      <c r="T261" s="1234"/>
      <c r="U261" s="1234"/>
      <c r="V261" s="1234"/>
      <c r="W261" s="1234"/>
      <c r="X261" s="1234"/>
      <c r="Y261" s="1234"/>
      <c r="Z261" s="1234"/>
      <c r="AA261" s="1234"/>
      <c r="AB261" s="1234"/>
      <c r="AC261" s="1234"/>
      <c r="AD261" s="1234"/>
      <c r="AE261" s="1234"/>
      <c r="AF261" s="1234"/>
      <c r="AG261" s="1234"/>
      <c r="AH261" s="1207"/>
    </row>
    <row r="262" spans="1:34" x14ac:dyDescent="0.2">
      <c r="A262" s="1236"/>
      <c r="B262" s="1237" t="s">
        <v>37</v>
      </c>
      <c r="C262" s="1237"/>
      <c r="D262" s="1237"/>
      <c r="E262" s="1238" t="s">
        <v>396</v>
      </c>
      <c r="F262" s="1239" t="s">
        <v>340</v>
      </c>
      <c r="G262" s="1471"/>
      <c r="H262" s="1239"/>
      <c r="I262" s="1239"/>
      <c r="J262" s="1239"/>
      <c r="K262" s="1239"/>
      <c r="L262" s="1239"/>
      <c r="M262" s="1239"/>
      <c r="N262" s="1239"/>
      <c r="O262" s="1239"/>
      <c r="P262" s="1240"/>
      <c r="Q262" s="1239"/>
      <c r="R262" s="1239"/>
      <c r="S262" s="1239"/>
      <c r="T262" s="1239"/>
      <c r="U262" s="1239"/>
      <c r="V262" s="1239"/>
      <c r="W262" s="1239"/>
      <c r="X262" s="1239"/>
      <c r="Y262" s="1239"/>
      <c r="Z262" s="1239"/>
      <c r="AA262" s="1239"/>
      <c r="AB262" s="1239"/>
      <c r="AC262" s="1239"/>
      <c r="AD262" s="1239"/>
      <c r="AE262" s="1239"/>
      <c r="AF262" s="1239"/>
      <c r="AG262" s="1239"/>
      <c r="AH262" s="1207"/>
    </row>
    <row r="263" spans="1:34" x14ac:dyDescent="0.2">
      <c r="A263" s="1236"/>
      <c r="B263" s="1237"/>
      <c r="C263" s="1237"/>
      <c r="D263" s="1237"/>
      <c r="E263" s="1237"/>
      <c r="F263" s="1237"/>
      <c r="G263" s="1237"/>
      <c r="H263" s="1237"/>
      <c r="I263" s="1237"/>
      <c r="J263" s="1237"/>
      <c r="K263" s="1237"/>
      <c r="L263" s="1237"/>
      <c r="M263" s="1237"/>
      <c r="N263" s="1237"/>
      <c r="O263" s="1237"/>
      <c r="P263" s="1241"/>
      <c r="Q263" s="1237"/>
      <c r="R263" s="1237"/>
      <c r="S263" s="1237"/>
      <c r="T263" s="1237"/>
      <c r="U263" s="1237"/>
      <c r="V263" s="1237"/>
      <c r="W263" s="1237"/>
      <c r="X263" s="1237"/>
      <c r="Y263" s="1237"/>
      <c r="Z263" s="1237"/>
      <c r="AA263" s="1237"/>
      <c r="AB263" s="1237"/>
      <c r="AC263" s="1237"/>
      <c r="AD263" s="1237"/>
      <c r="AE263" s="1237"/>
      <c r="AF263" s="1237"/>
      <c r="AG263" s="1237"/>
      <c r="AH263" s="1207"/>
    </row>
    <row r="264" spans="1:34" x14ac:dyDescent="0.2">
      <c r="A264" s="1236"/>
      <c r="B264" s="1237"/>
      <c r="C264" s="1239"/>
      <c r="D264" s="1239">
        <v>42495</v>
      </c>
      <c r="E264" s="1237"/>
      <c r="F264" s="1237"/>
      <c r="G264" s="1237"/>
      <c r="H264" s="1237"/>
      <c r="I264" s="1237"/>
      <c r="J264" s="1237"/>
      <c r="K264" s="1237"/>
      <c r="L264" s="1237"/>
      <c r="M264" s="1237"/>
      <c r="N264" s="1237"/>
      <c r="O264" s="1237"/>
      <c r="P264" s="1241"/>
      <c r="Q264" s="1237"/>
      <c r="R264" s="1237"/>
      <c r="S264" s="1237"/>
      <c r="T264" s="1237"/>
      <c r="U264" s="1237"/>
      <c r="V264" s="1237"/>
      <c r="W264" s="1237"/>
      <c r="X264" s="1237"/>
      <c r="Y264" s="1237"/>
      <c r="Z264" s="1237"/>
      <c r="AA264" s="1237"/>
      <c r="AB264" s="1237"/>
      <c r="AC264" s="1237"/>
      <c r="AD264" s="1237"/>
      <c r="AE264" s="1237"/>
      <c r="AF264" s="1237"/>
      <c r="AG264" s="1237"/>
      <c r="AH264" s="1207"/>
    </row>
    <row r="265" spans="1:34" x14ac:dyDescent="0.2">
      <c r="A265" s="1236"/>
      <c r="B265" s="1237"/>
      <c r="C265" s="1239"/>
      <c r="D265" s="1239"/>
      <c r="E265" s="1237"/>
      <c r="F265" s="1237"/>
      <c r="G265" s="1237"/>
      <c r="H265" s="1237"/>
      <c r="I265" s="1237"/>
      <c r="J265" s="1237"/>
      <c r="K265" s="1237"/>
      <c r="L265" s="1237"/>
      <c r="M265" s="1237"/>
      <c r="N265" s="1237"/>
      <c r="O265" s="1237"/>
      <c r="P265" s="1241"/>
      <c r="Q265" s="1237"/>
      <c r="R265" s="1237"/>
      <c r="S265" s="1237"/>
      <c r="T265" s="1237"/>
      <c r="U265" s="1237"/>
      <c r="V265" s="1237"/>
      <c r="W265" s="1237"/>
      <c r="X265" s="1237"/>
      <c r="Y265" s="1237"/>
      <c r="Z265" s="1237"/>
      <c r="AA265" s="1237"/>
      <c r="AB265" s="1237"/>
      <c r="AC265" s="1237"/>
      <c r="AD265" s="1237"/>
      <c r="AE265" s="1237"/>
      <c r="AF265" s="1237"/>
      <c r="AG265" s="1237"/>
      <c r="AH265" s="1207"/>
    </row>
    <row r="266" spans="1:34" ht="13.5" thickBot="1" x14ac:dyDescent="0.25">
      <c r="A266" s="1236"/>
      <c r="B266" s="1237"/>
      <c r="C266" s="1237"/>
      <c r="D266" s="1237"/>
      <c r="E266" s="1237"/>
      <c r="F266" s="1237"/>
      <c r="G266" s="1237"/>
      <c r="H266" s="1237"/>
      <c r="I266" s="1237"/>
      <c r="J266" s="1237"/>
      <c r="K266" s="1237"/>
      <c r="L266" s="1237"/>
      <c r="M266" s="1237"/>
      <c r="N266" s="1237"/>
      <c r="O266" s="1237"/>
      <c r="P266" s="1241"/>
      <c r="Q266" s="1237"/>
      <c r="R266" s="1237"/>
      <c r="S266" s="1237"/>
      <c r="T266" s="1237"/>
      <c r="U266" s="1237"/>
      <c r="V266" s="1237"/>
      <c r="W266" s="1237"/>
      <c r="X266" s="1237"/>
      <c r="Y266" s="1237"/>
      <c r="Z266" s="1237"/>
      <c r="AA266" s="1237"/>
      <c r="AB266" s="1237"/>
      <c r="AC266" s="1237"/>
      <c r="AD266" s="1237"/>
      <c r="AE266" s="1237"/>
      <c r="AF266" s="1237"/>
      <c r="AG266" s="1237"/>
      <c r="AH266" s="1207"/>
    </row>
    <row r="267" spans="1:34" ht="13.5" thickBot="1" x14ac:dyDescent="0.25">
      <c r="A267" s="1236"/>
      <c r="B267" s="1237"/>
      <c r="C267" s="1243"/>
      <c r="D267" s="1244" t="s">
        <v>16</v>
      </c>
      <c r="E267" s="1244"/>
      <c r="F267" s="1244"/>
      <c r="G267" s="1244"/>
      <c r="H267" s="1244"/>
      <c r="I267" s="1244"/>
      <c r="J267" s="1244"/>
      <c r="K267" s="1244"/>
      <c r="L267" s="1244"/>
      <c r="M267" s="1244"/>
      <c r="N267" s="1244"/>
      <c r="O267" s="1244"/>
      <c r="P267" s="1245"/>
      <c r="Q267" s="1244"/>
      <c r="R267" s="1244"/>
      <c r="S267" s="1244"/>
      <c r="T267" s="1244"/>
      <c r="U267" s="1244"/>
      <c r="V267" s="1244"/>
      <c r="W267" s="1244"/>
      <c r="X267" s="1244"/>
      <c r="Y267" s="1244"/>
      <c r="Z267" s="1244"/>
      <c r="AA267" s="1244"/>
      <c r="AB267" s="1244"/>
      <c r="AC267" s="1244"/>
      <c r="AD267" s="1244"/>
      <c r="AE267" s="1244"/>
      <c r="AF267" s="1244"/>
      <c r="AG267" s="1244"/>
      <c r="AH267" s="1207"/>
    </row>
    <row r="268" spans="1:34" ht="13.5" thickBot="1" x14ac:dyDescent="0.25">
      <c r="A268" s="1236"/>
      <c r="B268" s="1237"/>
      <c r="C268" s="1246" t="s">
        <v>452</v>
      </c>
      <c r="D268" s="1246" t="s">
        <v>453</v>
      </c>
      <c r="E268" s="1246" t="s">
        <v>434</v>
      </c>
      <c r="F268" s="1246" t="s">
        <v>390</v>
      </c>
      <c r="G268" s="1246" t="s">
        <v>454</v>
      </c>
      <c r="H268" s="1246" t="s">
        <v>455</v>
      </c>
      <c r="I268" s="1246" t="s">
        <v>456</v>
      </c>
      <c r="J268" s="1246" t="s">
        <v>457</v>
      </c>
      <c r="K268" s="1246" t="s">
        <v>458</v>
      </c>
      <c r="L268" s="1246" t="s">
        <v>216</v>
      </c>
      <c r="M268" s="1246" t="s">
        <v>459</v>
      </c>
      <c r="N268" s="1246" t="s">
        <v>297</v>
      </c>
      <c r="O268" s="1246" t="s">
        <v>211</v>
      </c>
      <c r="P268" s="1247" t="s">
        <v>270</v>
      </c>
      <c r="Q268" s="1246">
        <v>15</v>
      </c>
      <c r="R268" s="1246">
        <v>16</v>
      </c>
      <c r="S268" s="1246" t="s">
        <v>461</v>
      </c>
      <c r="T268" s="1246" t="s">
        <v>442</v>
      </c>
      <c r="U268" s="1246" t="s">
        <v>462</v>
      </c>
      <c r="V268" s="1246" t="s">
        <v>470</v>
      </c>
      <c r="W268" s="1246" t="s">
        <v>471</v>
      </c>
      <c r="X268" s="1246" t="s">
        <v>472</v>
      </c>
      <c r="Y268" s="1246" t="s">
        <v>463</v>
      </c>
      <c r="Z268" s="1246" t="s">
        <v>465</v>
      </c>
      <c r="AA268" s="1246" t="s">
        <v>466</v>
      </c>
      <c r="AB268" s="1246" t="s">
        <v>435</v>
      </c>
      <c r="AC268" s="1246" t="s">
        <v>467</v>
      </c>
      <c r="AD268" s="1246" t="s">
        <v>464</v>
      </c>
      <c r="AE268" s="1246" t="s">
        <v>429</v>
      </c>
      <c r="AF268" s="1246" t="s">
        <v>149</v>
      </c>
      <c r="AG268" s="1246" t="s">
        <v>210</v>
      </c>
      <c r="AH268" s="1207"/>
    </row>
    <row r="269" spans="1:34" x14ac:dyDescent="0.2">
      <c r="A269" s="1233"/>
      <c r="B269" s="1248"/>
      <c r="C269" s="1237"/>
      <c r="D269" s="1237"/>
      <c r="E269" s="1237"/>
      <c r="F269" s="1237"/>
      <c r="G269" s="1237"/>
      <c r="H269" s="1237"/>
      <c r="I269" s="1237"/>
      <c r="J269" s="1237"/>
      <c r="K269" s="1237"/>
      <c r="L269" s="1237"/>
      <c r="M269" s="1237"/>
      <c r="N269" s="1237"/>
      <c r="O269" s="1237"/>
      <c r="P269" s="1241"/>
      <c r="Q269" s="1237"/>
      <c r="R269" s="1237"/>
      <c r="S269" s="1237"/>
      <c r="T269" s="1237"/>
      <c r="U269" s="1237"/>
      <c r="V269" s="1237"/>
      <c r="W269" s="1237"/>
      <c r="X269" s="1237"/>
      <c r="Y269" s="1237"/>
      <c r="Z269" s="1237"/>
      <c r="AA269" s="1237"/>
      <c r="AB269" s="1237"/>
      <c r="AC269" s="1237"/>
      <c r="AD269" s="1237"/>
      <c r="AE269" s="1237"/>
      <c r="AF269" s="1237"/>
      <c r="AG269" s="1237"/>
      <c r="AH269" s="1207"/>
    </row>
    <row r="270" spans="1:34" x14ac:dyDescent="0.2">
      <c r="A270" s="1236" t="s">
        <v>0</v>
      </c>
      <c r="B270" s="1249">
        <v>-33768.03</v>
      </c>
      <c r="C270" s="1237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41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07"/>
    </row>
    <row r="271" spans="1:34" ht="13.5" thickBot="1" x14ac:dyDescent="0.25">
      <c r="A271" s="1250"/>
      <c r="B271" s="1251"/>
      <c r="C271" s="1237"/>
      <c r="D271" s="1237"/>
      <c r="E271" s="1237"/>
      <c r="F271" s="1237"/>
      <c r="G271" s="1237"/>
      <c r="H271" s="1237"/>
      <c r="I271" s="1237"/>
      <c r="J271" s="1237"/>
      <c r="K271" s="1237"/>
      <c r="L271" s="1237"/>
      <c r="M271" s="1237"/>
      <c r="N271" s="1237"/>
      <c r="O271" s="1237"/>
      <c r="P271" s="1241"/>
      <c r="Q271" s="1237"/>
      <c r="R271" s="1237"/>
      <c r="S271" s="1237"/>
      <c r="T271" s="1237"/>
      <c r="U271" s="1237"/>
      <c r="V271" s="1237"/>
      <c r="W271" s="1237"/>
      <c r="X271" s="1237"/>
      <c r="Y271" s="1237"/>
      <c r="Z271" s="1237"/>
      <c r="AA271" s="1237"/>
      <c r="AB271" s="1237"/>
      <c r="AC271" s="1237"/>
      <c r="AD271" s="1237"/>
      <c r="AE271" s="1237"/>
      <c r="AF271" s="1237"/>
      <c r="AG271" s="1237"/>
      <c r="AH271" s="1207"/>
    </row>
    <row r="272" spans="1:34" x14ac:dyDescent="0.2">
      <c r="A272" s="1233"/>
      <c r="B272" s="1253"/>
      <c r="C272" s="1237"/>
      <c r="D272" s="1237"/>
      <c r="E272" s="1237"/>
      <c r="F272" s="1237"/>
      <c r="G272" s="1237"/>
      <c r="H272" s="1237"/>
      <c r="I272" s="1237"/>
      <c r="J272" s="1237"/>
      <c r="K272" s="1237"/>
      <c r="L272" s="1237"/>
      <c r="M272" s="1237"/>
      <c r="N272" s="1237"/>
      <c r="O272" s="1237"/>
      <c r="P272" s="1241"/>
      <c r="Q272" s="1237"/>
      <c r="R272" s="1237"/>
      <c r="S272" s="1237"/>
      <c r="T272" s="1237"/>
      <c r="U272" s="1237"/>
      <c r="V272" s="1237"/>
      <c r="W272" s="1237"/>
      <c r="X272" s="1237"/>
      <c r="Y272" s="1237"/>
      <c r="Z272" s="1237"/>
      <c r="AA272" s="1237"/>
      <c r="AB272" s="1237"/>
      <c r="AC272" s="1237"/>
      <c r="AD272" s="1237"/>
      <c r="AE272" s="1237"/>
      <c r="AF272" s="1237"/>
      <c r="AG272" s="1237"/>
      <c r="AH272" s="1207"/>
    </row>
    <row r="273" spans="1:34" x14ac:dyDescent="0.2">
      <c r="A273" s="1236" t="s">
        <v>1</v>
      </c>
      <c r="B273" s="1249">
        <f>B274+B275+B276</f>
        <v>0</v>
      </c>
      <c r="C273" s="1237"/>
      <c r="D273" s="1237"/>
      <c r="E273" s="1237"/>
      <c r="F273" s="1237"/>
      <c r="G273" s="1237"/>
      <c r="H273" s="1237"/>
      <c r="I273" s="1237"/>
      <c r="J273" s="1237"/>
      <c r="K273" s="1237"/>
      <c r="L273" s="1237"/>
      <c r="M273" s="1237"/>
      <c r="N273" s="1237"/>
      <c r="O273" s="1237"/>
      <c r="P273" s="1241"/>
      <c r="Q273" s="1237"/>
      <c r="R273" s="1237"/>
      <c r="S273" s="1237"/>
      <c r="T273" s="1237"/>
      <c r="U273" s="1237"/>
      <c r="V273" s="1237"/>
      <c r="W273" s="1237"/>
      <c r="X273" s="1237"/>
      <c r="Y273" s="1237"/>
      <c r="Z273" s="1237"/>
      <c r="AA273" s="1237"/>
      <c r="AB273" s="1237"/>
      <c r="AC273" s="1237"/>
      <c r="AD273" s="1237"/>
      <c r="AE273" s="1237"/>
      <c r="AF273" s="1237"/>
      <c r="AG273" s="1237"/>
      <c r="AH273" s="1207"/>
    </row>
    <row r="274" spans="1:34" x14ac:dyDescent="0.2">
      <c r="A274" s="1236" t="s">
        <v>38</v>
      </c>
      <c r="B274" s="1249">
        <f>C322</f>
        <v>0</v>
      </c>
      <c r="C274" s="1237"/>
      <c r="D274" s="1237"/>
      <c r="E274" s="1237"/>
      <c r="F274" s="1237"/>
      <c r="G274" s="1237"/>
      <c r="H274" s="1237"/>
      <c r="I274" s="1237"/>
      <c r="J274" s="1237"/>
      <c r="K274" s="1237"/>
      <c r="L274" s="1237"/>
      <c r="M274" s="1237"/>
      <c r="N274" s="1237"/>
      <c r="O274" s="1237"/>
      <c r="P274" s="1241"/>
      <c r="Q274" s="1237"/>
      <c r="R274" s="1237"/>
      <c r="S274" s="1237"/>
      <c r="T274" s="1237"/>
      <c r="U274" s="1237"/>
      <c r="V274" s="1237"/>
      <c r="W274" s="1237"/>
      <c r="X274" s="1237"/>
      <c r="Y274" s="1237"/>
      <c r="Z274" s="1237"/>
      <c r="AA274" s="1237"/>
      <c r="AB274" s="1237"/>
      <c r="AC274" s="1237"/>
      <c r="AD274" s="1237"/>
      <c r="AE274" s="1237"/>
      <c r="AF274" s="1237"/>
      <c r="AG274" s="1237"/>
      <c r="AH274" s="1207"/>
    </row>
    <row r="275" spans="1:34" x14ac:dyDescent="0.2">
      <c r="A275" s="1236" t="s">
        <v>39</v>
      </c>
      <c r="B275" s="1249">
        <f>C345</f>
        <v>0</v>
      </c>
      <c r="C275" s="1237"/>
      <c r="D275" s="1237"/>
      <c r="E275" s="1237"/>
      <c r="F275" s="1237"/>
      <c r="G275" s="1237"/>
      <c r="H275" s="1237"/>
      <c r="I275" s="1237"/>
      <c r="J275" s="1237"/>
      <c r="K275" s="1237"/>
      <c r="L275" s="1237"/>
      <c r="M275" s="1237"/>
      <c r="N275" s="1237"/>
      <c r="O275" s="1237"/>
      <c r="P275" s="1241"/>
      <c r="Q275" s="1237"/>
      <c r="R275" s="1237"/>
      <c r="S275" s="1237"/>
      <c r="T275" s="1237"/>
      <c r="U275" s="1237"/>
      <c r="V275" s="1237"/>
      <c r="W275" s="1237"/>
      <c r="X275" s="1237"/>
      <c r="Y275" s="1237"/>
      <c r="Z275" s="1237"/>
      <c r="AA275" s="1237"/>
      <c r="AB275" s="1237"/>
      <c r="AC275" s="1237"/>
      <c r="AD275" s="1237"/>
      <c r="AE275" s="1237"/>
      <c r="AF275" s="1237"/>
      <c r="AG275" s="1237"/>
      <c r="AH275" s="1207"/>
    </row>
    <row r="276" spans="1:34" x14ac:dyDescent="0.2">
      <c r="A276" s="1236" t="s">
        <v>3</v>
      </c>
      <c r="B276" s="1249"/>
      <c r="C276" s="1237"/>
      <c r="D276" s="1237"/>
      <c r="E276" s="1237"/>
      <c r="F276" s="1237"/>
      <c r="G276" s="1237"/>
      <c r="H276" s="1237"/>
      <c r="I276" s="1237"/>
      <c r="J276" s="1237"/>
      <c r="K276" s="1237"/>
      <c r="L276" s="1237"/>
      <c r="M276" s="1237"/>
      <c r="N276" s="1237"/>
      <c r="O276" s="1237"/>
      <c r="P276" s="1241"/>
      <c r="Q276" s="1237"/>
      <c r="R276" s="1237"/>
      <c r="S276" s="1237"/>
      <c r="T276" s="1237"/>
      <c r="U276" s="1237"/>
      <c r="V276" s="1237"/>
      <c r="W276" s="1237"/>
      <c r="X276" s="1237"/>
      <c r="Y276" s="1237"/>
      <c r="Z276" s="1237"/>
      <c r="AA276" s="1237"/>
      <c r="AB276" s="1237"/>
      <c r="AC276" s="1237"/>
      <c r="AD276" s="1237"/>
      <c r="AE276" s="1237"/>
      <c r="AF276" s="1237"/>
      <c r="AG276" s="1237"/>
      <c r="AH276" s="1207"/>
    </row>
    <row r="277" spans="1:34" ht="13.5" thickBot="1" x14ac:dyDescent="0.25">
      <c r="A277" s="1250"/>
      <c r="B277" s="1251"/>
      <c r="C277" s="1237"/>
      <c r="D277" s="1237"/>
      <c r="E277" s="1237"/>
      <c r="F277" s="1237"/>
      <c r="G277" s="1237"/>
      <c r="H277" s="1237"/>
      <c r="I277" s="1237"/>
      <c r="J277" s="1237"/>
      <c r="K277" s="1237"/>
      <c r="L277" s="1237"/>
      <c r="M277" s="1237"/>
      <c r="N277" s="1237"/>
      <c r="O277" s="1237"/>
      <c r="P277" s="1241"/>
      <c r="Q277" s="1237"/>
      <c r="R277" s="1237"/>
      <c r="S277" s="1237"/>
      <c r="T277" s="1237"/>
      <c r="U277" s="1237"/>
      <c r="V277" s="1237"/>
      <c r="W277" s="1237"/>
      <c r="X277" s="1237"/>
      <c r="Y277" s="1237"/>
      <c r="Z277" s="1237"/>
      <c r="AA277" s="1237"/>
      <c r="AB277" s="1237"/>
      <c r="AC277" s="1237"/>
      <c r="AD277" s="1237"/>
      <c r="AE277" s="1237"/>
      <c r="AF277" s="1237"/>
      <c r="AG277" s="1237"/>
      <c r="AH277" s="1207"/>
    </row>
    <row r="278" spans="1:34" x14ac:dyDescent="0.2">
      <c r="A278" s="1233"/>
      <c r="B278" s="1253"/>
      <c r="C278" s="1237"/>
      <c r="D278" s="1237"/>
      <c r="E278" s="1237"/>
      <c r="F278" s="1237"/>
      <c r="G278" s="1237"/>
      <c r="H278" s="1237"/>
      <c r="I278" s="1237"/>
      <c r="J278" s="1237"/>
      <c r="K278" s="1237"/>
      <c r="L278" s="1237"/>
      <c r="M278" s="1237"/>
      <c r="N278" s="1237"/>
      <c r="O278" s="1237"/>
      <c r="P278" s="1241"/>
      <c r="Q278" s="1237"/>
      <c r="R278" s="1237"/>
      <c r="S278" s="1237"/>
      <c r="T278" s="1237"/>
      <c r="U278" s="1237"/>
      <c r="V278" s="1237"/>
      <c r="W278" s="1237"/>
      <c r="X278" s="1237"/>
      <c r="Y278" s="1237"/>
      <c r="Z278" s="1237"/>
      <c r="AA278" s="1237"/>
      <c r="AB278" s="1237"/>
      <c r="AC278" s="1237"/>
      <c r="AD278" s="1237"/>
      <c r="AE278" s="1237"/>
      <c r="AF278" s="1237"/>
      <c r="AG278" s="1237"/>
      <c r="AH278" s="1207"/>
    </row>
    <row r="279" spans="1:34" x14ac:dyDescent="0.2">
      <c r="A279" s="1236" t="s">
        <v>4</v>
      </c>
      <c r="B279" s="1249">
        <f>B270-B273</f>
        <v>-33768.03</v>
      </c>
      <c r="C279" s="1237"/>
      <c r="D279" s="1237"/>
      <c r="E279" s="1237"/>
      <c r="F279" s="1237"/>
      <c r="G279" s="1237"/>
      <c r="H279" s="1237"/>
      <c r="I279" s="1237"/>
      <c r="J279" s="1237"/>
      <c r="K279" s="1237"/>
      <c r="L279" s="1237"/>
      <c r="M279" s="1237"/>
      <c r="N279" s="1237"/>
      <c r="O279" s="1237"/>
      <c r="P279" s="1241"/>
      <c r="Q279" s="1237"/>
      <c r="R279" s="1237"/>
      <c r="S279" s="1237"/>
      <c r="T279" s="1237"/>
      <c r="U279" s="1237"/>
      <c r="V279" s="1237"/>
      <c r="W279" s="1237"/>
      <c r="X279" s="1237"/>
      <c r="Y279" s="1237"/>
      <c r="Z279" s="1237"/>
      <c r="AA279" s="1237"/>
      <c r="AB279" s="1237"/>
      <c r="AC279" s="1237"/>
      <c r="AD279" s="1237"/>
      <c r="AE279" s="1237"/>
      <c r="AF279" s="1237"/>
      <c r="AG279" s="1237"/>
      <c r="AH279" s="1207"/>
    </row>
    <row r="280" spans="1:34" ht="21" thickBot="1" x14ac:dyDescent="0.35">
      <c r="A280" s="1250"/>
      <c r="B280" s="1251"/>
      <c r="C280" s="1237"/>
      <c r="D280" s="1237"/>
      <c r="E280" s="1237"/>
      <c r="F280" s="1393"/>
      <c r="G280" s="1237"/>
      <c r="H280" s="1237"/>
      <c r="I280" s="1237"/>
      <c r="J280" s="1237"/>
      <c r="K280" s="1237"/>
      <c r="L280" s="1237"/>
      <c r="M280" s="1237"/>
      <c r="N280" s="1237"/>
      <c r="O280" s="1237"/>
      <c r="P280" s="1241"/>
      <c r="Q280" s="1237"/>
      <c r="R280" s="1237"/>
      <c r="S280" s="1237"/>
      <c r="T280" s="1237"/>
      <c r="U280" s="1237"/>
      <c r="V280" s="1237"/>
      <c r="W280" s="1237"/>
      <c r="X280" s="1237"/>
      <c r="Y280" s="1237"/>
      <c r="Z280" s="1237"/>
      <c r="AA280" s="1237"/>
      <c r="AB280" s="1237"/>
      <c r="AC280" s="1237"/>
      <c r="AD280" s="1237"/>
      <c r="AE280" s="1237"/>
      <c r="AF280" s="1237"/>
      <c r="AG280" s="1237"/>
      <c r="AH280" s="1207"/>
    </row>
    <row r="281" spans="1:34" x14ac:dyDescent="0.2">
      <c r="A281" s="1233"/>
      <c r="B281" s="1253"/>
      <c r="C281" s="1237"/>
      <c r="D281" s="1237"/>
      <c r="E281" s="1237"/>
      <c r="F281" s="1237"/>
      <c r="G281" s="1237"/>
      <c r="H281" s="1237"/>
      <c r="I281" s="1237"/>
      <c r="J281" s="1237"/>
      <c r="K281" s="1237"/>
      <c r="L281" s="1237"/>
      <c r="M281" s="1237"/>
      <c r="N281" s="1237"/>
      <c r="O281" s="1237"/>
      <c r="P281" s="1241"/>
      <c r="Q281" s="1237"/>
      <c r="R281" s="1237"/>
      <c r="S281" s="1237"/>
      <c r="T281" s="1237"/>
      <c r="U281" s="1237"/>
      <c r="V281" s="1237"/>
      <c r="W281" s="1237"/>
      <c r="X281" s="1237"/>
      <c r="Y281" s="1237"/>
      <c r="Z281" s="1237"/>
      <c r="AA281" s="1237"/>
      <c r="AB281" s="1237"/>
      <c r="AC281" s="1237"/>
      <c r="AD281" s="1237"/>
      <c r="AE281" s="1237"/>
      <c r="AF281" s="1237"/>
      <c r="AG281" s="1237"/>
      <c r="AH281" s="1207"/>
    </row>
    <row r="282" spans="1:34" x14ac:dyDescent="0.2">
      <c r="A282" s="1236" t="s">
        <v>17</v>
      </c>
      <c r="B282" s="1249"/>
      <c r="C282" s="1237"/>
      <c r="D282" s="1237"/>
      <c r="E282" s="1237"/>
      <c r="F282" s="1237"/>
      <c r="G282" s="1237"/>
      <c r="H282" s="1237"/>
      <c r="I282" s="1237"/>
      <c r="J282" s="1237"/>
      <c r="K282" s="1237"/>
      <c r="L282" s="1237"/>
      <c r="M282" s="1237"/>
      <c r="N282" s="1237"/>
      <c r="O282" s="1237"/>
      <c r="P282" s="1241"/>
      <c r="Q282" s="1237"/>
      <c r="R282" s="1237"/>
      <c r="S282" s="1237"/>
      <c r="T282" s="1237"/>
      <c r="U282" s="1237"/>
      <c r="V282" s="1237"/>
      <c r="W282" s="1237"/>
      <c r="X282" s="1237"/>
      <c r="Y282" s="1237"/>
      <c r="Z282" s="1237"/>
      <c r="AA282" s="1237"/>
      <c r="AB282" s="1237"/>
      <c r="AC282" s="1237"/>
      <c r="AD282" s="1237"/>
      <c r="AE282" s="1237"/>
      <c r="AF282" s="1237"/>
      <c r="AG282" s="1237"/>
      <c r="AH282" s="1207"/>
    </row>
    <row r="283" spans="1:34" ht="13.5" thickBot="1" x14ac:dyDescent="0.25">
      <c r="A283" s="1250"/>
      <c r="B283" s="1251"/>
      <c r="C283" s="1237"/>
      <c r="D283" s="1237"/>
      <c r="E283" s="1237"/>
      <c r="F283" s="1237"/>
      <c r="G283" s="1237"/>
      <c r="H283" s="1237"/>
      <c r="I283" s="1237"/>
      <c r="J283" s="1237"/>
      <c r="K283" s="1237"/>
      <c r="L283" s="1237"/>
      <c r="M283" s="1237"/>
      <c r="N283" s="1237"/>
      <c r="O283" s="1237"/>
      <c r="P283" s="1241"/>
      <c r="Q283" s="1237"/>
      <c r="R283" s="1237"/>
      <c r="S283" s="1237"/>
      <c r="T283" s="1237"/>
      <c r="U283" s="1237"/>
      <c r="V283" s="1237"/>
      <c r="W283" s="1237"/>
      <c r="X283" s="1258"/>
      <c r="Y283" s="1237"/>
      <c r="Z283" s="1237"/>
      <c r="AA283" s="1237"/>
      <c r="AB283" s="1237"/>
      <c r="AC283" s="1237"/>
      <c r="AD283" s="1237"/>
      <c r="AE283" s="1237"/>
      <c r="AF283" s="1471"/>
      <c r="AG283" s="1237"/>
      <c r="AH283" s="1207"/>
    </row>
    <row r="284" spans="1:34" ht="23.25" x14ac:dyDescent="0.35">
      <c r="A284" s="1233"/>
      <c r="B284" s="1253"/>
      <c r="D284" s="1237"/>
      <c r="E284" s="1471"/>
      <c r="F284" s="1750"/>
      <c r="G284" s="1750"/>
      <c r="H284" s="1237"/>
      <c r="I284" s="1370"/>
      <c r="J284" s="1237"/>
      <c r="K284" s="1394"/>
      <c r="L284" s="1237"/>
      <c r="M284" s="1237"/>
      <c r="N284" s="1237"/>
      <c r="O284" s="1237"/>
      <c r="P284" s="1241"/>
      <c r="R284" s="1237"/>
      <c r="S284" s="1748"/>
      <c r="T284" s="1748"/>
      <c r="U284" s="1748"/>
      <c r="V284" s="1748"/>
      <c r="W284" s="1748"/>
      <c r="X284" s="1748"/>
      <c r="Y284" s="1471"/>
      <c r="Z284" s="1471"/>
      <c r="AA284" s="1471"/>
      <c r="AB284" s="1237"/>
      <c r="AC284" s="1237"/>
      <c r="AD284" s="1237"/>
      <c r="AE284" s="1237"/>
      <c r="AF284" s="1471"/>
      <c r="AH284" s="1207"/>
    </row>
    <row r="285" spans="1:34" x14ac:dyDescent="0.2">
      <c r="A285" s="1236" t="s">
        <v>5</v>
      </c>
      <c r="B285" s="1249">
        <f>B279-B282</f>
        <v>-33768.03</v>
      </c>
      <c r="C285" s="1392"/>
      <c r="D285" s="1480"/>
      <c r="E285" s="1371"/>
      <c r="F285" s="1471"/>
      <c r="G285" s="1470"/>
      <c r="H285" s="1471"/>
      <c r="I285" s="1471"/>
      <c r="J285" s="1471"/>
      <c r="K285" s="1471"/>
      <c r="L285" s="1471"/>
      <c r="M285" s="1471"/>
      <c r="N285" s="1474"/>
      <c r="O285" s="1489" t="s">
        <v>1312</v>
      </c>
      <c r="P285" s="1212"/>
      <c r="Q285" s="1467"/>
      <c r="R285" s="1471"/>
      <c r="S285" s="1212"/>
      <c r="T285" s="1471"/>
      <c r="U285" s="1471"/>
      <c r="V285" s="1475" t="s">
        <v>1217</v>
      </c>
      <c r="W285" s="1237"/>
      <c r="X285" s="1256"/>
      <c r="Y285" s="1471"/>
      <c r="Z285" s="1212"/>
      <c r="AA285" s="1212" t="s">
        <v>1323</v>
      </c>
      <c r="AB285" s="1212"/>
      <c r="AC285" s="1395"/>
      <c r="AD285" s="1395" t="s">
        <v>166</v>
      </c>
      <c r="AE285" s="1474" t="s">
        <v>969</v>
      </c>
      <c r="AF285" s="1475" t="s">
        <v>1044</v>
      </c>
      <c r="AG285" s="1370"/>
      <c r="AH285" s="1207"/>
    </row>
    <row r="286" spans="1:34" ht="13.5" thickBot="1" x14ac:dyDescent="0.25">
      <c r="A286" s="1250"/>
      <c r="B286" s="1251"/>
      <c r="C286" s="1237"/>
      <c r="D286" s="1237"/>
      <c r="E286" s="1237"/>
      <c r="F286" s="1237"/>
      <c r="G286" s="1237"/>
      <c r="H286" s="1237"/>
      <c r="I286" s="1237"/>
      <c r="J286" s="1237"/>
      <c r="K286" s="1237"/>
      <c r="L286" s="1237"/>
      <c r="M286" s="1471"/>
      <c r="N286" s="1237"/>
      <c r="O286" s="1237"/>
      <c r="P286" s="1241"/>
      <c r="Q286" s="1237"/>
      <c r="R286" s="1237"/>
      <c r="S286" s="1237"/>
      <c r="T286" s="1237"/>
      <c r="U286" s="1237"/>
      <c r="V286" s="1237"/>
      <c r="W286" s="1237"/>
      <c r="X286" s="1237"/>
      <c r="Y286" s="1237"/>
      <c r="Z286" s="1237"/>
      <c r="AA286" s="1237"/>
      <c r="AB286" s="1237"/>
      <c r="AC286" s="1237"/>
      <c r="AD286" s="1237"/>
      <c r="AE286" s="1237"/>
      <c r="AF286" s="1237"/>
      <c r="AG286" s="1237"/>
      <c r="AH286" s="1207"/>
    </row>
    <row r="287" spans="1:34" x14ac:dyDescent="0.2">
      <c r="A287" s="1269"/>
      <c r="B287" s="1237"/>
      <c r="C287" s="1270"/>
      <c r="D287" s="1272"/>
      <c r="E287" s="1272"/>
      <c r="F287" s="1271"/>
      <c r="G287" s="1271"/>
      <c r="H287" s="1271"/>
      <c r="I287" s="1271"/>
      <c r="J287" s="1271"/>
      <c r="K287" s="1271"/>
      <c r="L287" s="1271"/>
      <c r="M287" s="1271"/>
      <c r="N287" s="1271"/>
      <c r="O287" s="1271"/>
      <c r="P287" s="1273"/>
      <c r="Q287" s="1271"/>
      <c r="R287" s="1271"/>
      <c r="S287" s="1271"/>
      <c r="T287" s="1271"/>
      <c r="U287" s="1271"/>
      <c r="V287" s="1271"/>
      <c r="W287" s="1271"/>
      <c r="X287" s="1271"/>
      <c r="Y287" s="1271"/>
      <c r="Z287" s="1271"/>
      <c r="AA287" s="1271"/>
      <c r="AB287" s="1271"/>
      <c r="AC287" s="1271"/>
      <c r="AD287" s="1271"/>
      <c r="AE287" s="1271"/>
      <c r="AF287" s="1271"/>
      <c r="AG287" s="1271"/>
      <c r="AH287" s="1207"/>
    </row>
    <row r="288" spans="1:34" ht="13.5" thickBot="1" x14ac:dyDescent="0.25">
      <c r="A288" s="1274" t="s">
        <v>7</v>
      </c>
      <c r="B288" s="1237"/>
      <c r="C288" s="1275">
        <f t="shared" ref="C288:AG288" si="30">C289+C290+C291+C293+C292</f>
        <v>0</v>
      </c>
      <c r="D288" s="1275">
        <f t="shared" si="30"/>
        <v>0</v>
      </c>
      <c r="E288" s="1275">
        <f t="shared" si="30"/>
        <v>0</v>
      </c>
      <c r="F288" s="1275">
        <f t="shared" si="30"/>
        <v>0</v>
      </c>
      <c r="G288" s="1275">
        <f t="shared" si="30"/>
        <v>0</v>
      </c>
      <c r="H288" s="1275">
        <f t="shared" si="30"/>
        <v>0</v>
      </c>
      <c r="I288" s="1275">
        <f t="shared" si="30"/>
        <v>0</v>
      </c>
      <c r="J288" s="1275">
        <f t="shared" si="30"/>
        <v>0</v>
      </c>
      <c r="K288" s="1275">
        <f t="shared" si="30"/>
        <v>0</v>
      </c>
      <c r="L288" s="1275">
        <f t="shared" si="30"/>
        <v>0</v>
      </c>
      <c r="M288" s="1275">
        <f t="shared" si="30"/>
        <v>0</v>
      </c>
      <c r="N288" s="1275">
        <f t="shared" si="30"/>
        <v>0</v>
      </c>
      <c r="O288" s="1275">
        <f t="shared" si="30"/>
        <v>0</v>
      </c>
      <c r="P288" s="1276">
        <f t="shared" si="30"/>
        <v>0</v>
      </c>
      <c r="Q288" s="1275">
        <f t="shared" si="30"/>
        <v>0</v>
      </c>
      <c r="R288" s="1275">
        <f t="shared" si="30"/>
        <v>0</v>
      </c>
      <c r="S288" s="1275">
        <f t="shared" si="30"/>
        <v>0</v>
      </c>
      <c r="T288" s="1275">
        <f t="shared" si="30"/>
        <v>0</v>
      </c>
      <c r="U288" s="1275">
        <f t="shared" si="30"/>
        <v>0</v>
      </c>
      <c r="V288" s="1275">
        <f>V289+V290+V291+V293+V292</f>
        <v>0.10500000000001819</v>
      </c>
      <c r="W288" s="1275">
        <f t="shared" si="30"/>
        <v>0</v>
      </c>
      <c r="X288" s="1275">
        <f t="shared" si="30"/>
        <v>0</v>
      </c>
      <c r="Y288" s="1275">
        <f t="shared" si="30"/>
        <v>0</v>
      </c>
      <c r="Z288" s="1275">
        <f t="shared" si="30"/>
        <v>0</v>
      </c>
      <c r="AA288" s="1275">
        <f t="shared" si="30"/>
        <v>0</v>
      </c>
      <c r="AB288" s="1275">
        <f t="shared" si="30"/>
        <v>0</v>
      </c>
      <c r="AC288" s="1275">
        <f t="shared" si="30"/>
        <v>0</v>
      </c>
      <c r="AD288" s="1275">
        <f t="shared" si="30"/>
        <v>0.17600000000675209</v>
      </c>
      <c r="AE288" s="1275">
        <f t="shared" si="30"/>
        <v>0</v>
      </c>
      <c r="AF288" s="1275">
        <f t="shared" si="30"/>
        <v>0</v>
      </c>
      <c r="AG288" s="1275">
        <f t="shared" si="30"/>
        <v>0</v>
      </c>
      <c r="AH288" s="1227">
        <f>SUM(C288:AG288)</f>
        <v>0.28100000000677028</v>
      </c>
    </row>
    <row r="289" spans="1:34" x14ac:dyDescent="0.2">
      <c r="A289" s="1274" t="s">
        <v>8</v>
      </c>
      <c r="B289" s="1389"/>
      <c r="C289" s="1302"/>
      <c r="D289" s="1302"/>
      <c r="E289" s="1396"/>
      <c r="F289" s="1303"/>
      <c r="G289" s="1303"/>
      <c r="H289" s="1303"/>
      <c r="I289" s="1319"/>
      <c r="J289" s="1303"/>
      <c r="K289" s="1303"/>
      <c r="L289" s="1303"/>
      <c r="M289" s="1303"/>
      <c r="N289" s="1303"/>
      <c r="O289" s="1303"/>
      <c r="P289" s="1304"/>
      <c r="Q289" s="1303"/>
      <c r="R289" s="1303"/>
      <c r="S289" s="1303"/>
      <c r="T289" s="1303"/>
      <c r="U289" s="1303"/>
      <c r="V289" s="1282"/>
      <c r="W289" s="1303"/>
      <c r="X289" s="1303"/>
      <c r="Y289" s="1303"/>
      <c r="Z289" s="1303"/>
      <c r="AA289" s="1303"/>
      <c r="AB289" s="1303"/>
      <c r="AC289" s="1303"/>
      <c r="AD289" s="1303"/>
      <c r="AE289" s="1303"/>
      <c r="AF289" s="1303"/>
      <c r="AG289" s="1397"/>
      <c r="AH289" s="1227">
        <f>SUM(C289:AG289)</f>
        <v>0</v>
      </c>
    </row>
    <row r="290" spans="1:34" x14ac:dyDescent="0.2">
      <c r="A290" s="1274" t="s">
        <v>9</v>
      </c>
      <c r="B290" s="1389"/>
      <c r="C290" s="1282"/>
      <c r="D290" s="1282"/>
      <c r="E290" s="1282"/>
      <c r="F290" s="1282"/>
      <c r="G290" s="1282"/>
      <c r="H290" s="1282"/>
      <c r="I290" s="1282"/>
      <c r="J290" s="1282"/>
      <c r="K290" s="1282"/>
      <c r="L290" s="1282"/>
      <c r="M290" s="1282"/>
      <c r="N290" s="1282"/>
      <c r="O290" s="1282"/>
      <c r="P290" s="1282"/>
      <c r="Q290" s="1282"/>
      <c r="R290" s="1282"/>
      <c r="S290" s="1282"/>
      <c r="T290" s="1282"/>
      <c r="U290" s="1282"/>
      <c r="V290" s="1282"/>
      <c r="W290" s="1282"/>
      <c r="X290" s="1282"/>
      <c r="Y290" s="1282"/>
      <c r="Z290" s="1282"/>
      <c r="AA290" s="1282"/>
      <c r="AB290" s="1282"/>
      <c r="AC290" s="1282"/>
      <c r="AD290" s="1282"/>
      <c r="AE290" s="1282"/>
      <c r="AF290" s="1282"/>
      <c r="AG290" s="1282"/>
      <c r="AH290" s="1227">
        <f>SUM(C290:AG290)</f>
        <v>0</v>
      </c>
    </row>
    <row r="291" spans="1:34" s="1289" customFormat="1" x14ac:dyDescent="0.2">
      <c r="A291" s="1285" t="s">
        <v>10</v>
      </c>
      <c r="B291" s="1372"/>
      <c r="C291" s="1398"/>
      <c r="D291" s="1374"/>
      <c r="E291" s="1374"/>
      <c r="F291" s="1375"/>
      <c r="G291" s="1375"/>
      <c r="H291" s="1375"/>
      <c r="I291" s="1375"/>
      <c r="J291" s="1375"/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/>
      <c r="U291" s="1375"/>
      <c r="V291" s="1375"/>
      <c r="W291" s="1375"/>
      <c r="X291" s="1376"/>
      <c r="Y291" s="1375"/>
      <c r="Z291" s="1390"/>
      <c r="AA291" s="1399"/>
      <c r="AB291" s="1375"/>
      <c r="AC291" s="1375"/>
      <c r="AD291" s="1377"/>
      <c r="AE291" s="1375"/>
      <c r="AF291" s="1375"/>
      <c r="AG291" s="1375"/>
      <c r="AH291" s="1231">
        <f>SUM(C291:AG291)</f>
        <v>0</v>
      </c>
    </row>
    <row r="292" spans="1:34" s="1289" customFormat="1" x14ac:dyDescent="0.2">
      <c r="A292" s="1285" t="s">
        <v>356</v>
      </c>
      <c r="B292" s="1372"/>
      <c r="C292" s="1292"/>
      <c r="D292" s="1292"/>
      <c r="E292" s="1292"/>
      <c r="F292" s="1292"/>
      <c r="G292" s="1466"/>
      <c r="H292" s="1292"/>
      <c r="I292" s="1292"/>
      <c r="J292" s="1292"/>
      <c r="K292" s="1292"/>
      <c r="L292" s="1292"/>
      <c r="M292" s="1292"/>
      <c r="N292" s="1292"/>
      <c r="O292" s="1292"/>
      <c r="P292" s="1292"/>
      <c r="Q292" s="1466"/>
      <c r="R292" s="1292"/>
      <c r="S292" s="1292"/>
      <c r="T292" s="1292"/>
      <c r="U292" s="1292"/>
      <c r="V292" s="1292"/>
      <c r="W292" s="1292"/>
      <c r="X292" s="1292"/>
      <c r="Y292" s="1292"/>
      <c r="Z292" s="1292"/>
      <c r="AA292" s="1292"/>
      <c r="AB292" s="1292"/>
      <c r="AC292" s="1292"/>
      <c r="AD292" s="1292">
        <v>113710.17600000001</v>
      </c>
      <c r="AE292" s="1292"/>
      <c r="AF292" s="1292"/>
      <c r="AG292" s="1292"/>
      <c r="AH292" s="1456">
        <f>SUM(C292:AG292)</f>
        <v>113710.17600000001</v>
      </c>
    </row>
    <row r="293" spans="1:34" x14ac:dyDescent="0.2">
      <c r="A293" s="1274" t="s">
        <v>11</v>
      </c>
      <c r="B293" s="1237"/>
      <c r="C293" s="1302"/>
      <c r="D293" s="1306"/>
      <c r="E293" s="1400"/>
      <c r="F293" s="1304"/>
      <c r="G293" s="1304"/>
      <c r="H293" s="1304"/>
      <c r="I293" s="1304"/>
      <c r="J293" s="1319"/>
      <c r="K293" s="1304"/>
      <c r="L293" s="1304"/>
      <c r="M293" s="1304"/>
      <c r="N293" s="1304"/>
      <c r="O293" s="1304"/>
      <c r="P293" s="1318"/>
      <c r="Q293" s="1318"/>
      <c r="R293" s="1304"/>
      <c r="S293" s="1318"/>
      <c r="T293" s="1304"/>
      <c r="U293" s="1304"/>
      <c r="V293" s="1282">
        <f>676.489+2749-676.489-1398.98-1349.915</f>
        <v>0.10500000000001819</v>
      </c>
      <c r="W293" s="1319"/>
      <c r="X293" s="1317"/>
      <c r="Y293" s="1318"/>
      <c r="Z293" s="1319"/>
      <c r="AA293" s="1317"/>
      <c r="AB293" s="1319"/>
      <c r="AC293" s="1304"/>
      <c r="AD293" s="1319">
        <v>-113710</v>
      </c>
      <c r="AE293" s="1304"/>
      <c r="AF293" s="1473"/>
      <c r="AG293" s="1454"/>
      <c r="AH293" s="1207"/>
    </row>
    <row r="294" spans="1:34" ht="13.5" thickBot="1" x14ac:dyDescent="0.25">
      <c r="A294" s="1294"/>
      <c r="B294" s="1237"/>
      <c r="C294" s="1302"/>
      <c r="D294" s="1302"/>
      <c r="E294" s="1302"/>
      <c r="F294" s="1303"/>
      <c r="G294" s="1303"/>
      <c r="H294" s="1303"/>
      <c r="I294" s="1303"/>
      <c r="J294" s="1303"/>
      <c r="K294" s="1303"/>
      <c r="L294" s="1303"/>
      <c r="M294" s="1303"/>
      <c r="N294" s="1303"/>
      <c r="O294" s="1303"/>
      <c r="P294" s="1304"/>
      <c r="Q294" s="1303"/>
      <c r="R294" s="1303"/>
      <c r="S294" s="1303"/>
      <c r="T294" s="1303"/>
      <c r="U294" s="1303"/>
      <c r="V294" s="1303"/>
      <c r="W294" s="1303"/>
      <c r="X294" s="1303"/>
      <c r="Y294" s="1303"/>
      <c r="Z294" s="1303"/>
      <c r="AA294" s="1303"/>
      <c r="AB294" s="1303"/>
      <c r="AC294" s="1303"/>
      <c r="AD294" s="1303"/>
      <c r="AE294" s="1303"/>
      <c r="AF294" s="1303"/>
      <c r="AG294" s="1303"/>
      <c r="AH294" s="1207"/>
    </row>
    <row r="295" spans="1:34" x14ac:dyDescent="0.2">
      <c r="A295" s="1269"/>
      <c r="B295" s="1237"/>
      <c r="C295" s="1296"/>
      <c r="D295" s="1297"/>
      <c r="E295" s="1297"/>
      <c r="F295" s="1298"/>
      <c r="G295" s="1298"/>
      <c r="H295" s="1298"/>
      <c r="I295" s="1298"/>
      <c r="J295" s="1298"/>
      <c r="K295" s="1298"/>
      <c r="L295" s="1298"/>
      <c r="M295" s="1298"/>
      <c r="N295" s="1298"/>
      <c r="O295" s="1298"/>
      <c r="P295" s="1299"/>
      <c r="Q295" s="1298"/>
      <c r="R295" s="1298"/>
      <c r="S295" s="1298"/>
      <c r="T295" s="1298"/>
      <c r="U295" s="1298"/>
      <c r="V295" s="1298"/>
      <c r="W295" s="1298"/>
      <c r="X295" s="1298"/>
      <c r="Y295" s="1298"/>
      <c r="Z295" s="1298"/>
      <c r="AA295" s="1298"/>
      <c r="AB295" s="1298"/>
      <c r="AC295" s="1298"/>
      <c r="AD295" s="1298"/>
      <c r="AE295" s="1298"/>
      <c r="AF295" s="1298"/>
      <c r="AG295" s="1298"/>
      <c r="AH295" s="1207"/>
    </row>
    <row r="296" spans="1:34" ht="13.5" thickBot="1" x14ac:dyDescent="0.25">
      <c r="A296" s="1274" t="s">
        <v>12</v>
      </c>
      <c r="B296" s="1237"/>
      <c r="C296" s="1275">
        <f t="shared" ref="C296:AG296" si="31">C297</f>
        <v>0</v>
      </c>
      <c r="D296" s="1275">
        <f t="shared" si="31"/>
        <v>0</v>
      </c>
      <c r="E296" s="1275">
        <f t="shared" si="31"/>
        <v>0</v>
      </c>
      <c r="F296" s="1275">
        <f t="shared" si="31"/>
        <v>0</v>
      </c>
      <c r="G296" s="1275">
        <f t="shared" si="31"/>
        <v>0</v>
      </c>
      <c r="H296" s="1275">
        <f t="shared" si="31"/>
        <v>0</v>
      </c>
      <c r="I296" s="1275">
        <f t="shared" si="31"/>
        <v>0</v>
      </c>
      <c r="J296" s="1275">
        <f t="shared" si="31"/>
        <v>0</v>
      </c>
      <c r="K296" s="1275">
        <f t="shared" si="31"/>
        <v>0</v>
      </c>
      <c r="L296" s="1275">
        <f t="shared" si="31"/>
        <v>0</v>
      </c>
      <c r="M296" s="1275">
        <f t="shared" si="31"/>
        <v>0</v>
      </c>
      <c r="N296" s="1275">
        <f t="shared" si="31"/>
        <v>0</v>
      </c>
      <c r="O296" s="1275">
        <f t="shared" si="31"/>
        <v>0</v>
      </c>
      <c r="P296" s="1276">
        <f t="shared" si="31"/>
        <v>0</v>
      </c>
      <c r="Q296" s="1275">
        <f t="shared" si="31"/>
        <v>0</v>
      </c>
      <c r="R296" s="1275">
        <f t="shared" si="31"/>
        <v>0</v>
      </c>
      <c r="S296" s="1275">
        <f t="shared" si="31"/>
        <v>0</v>
      </c>
      <c r="T296" s="1275">
        <f t="shared" si="31"/>
        <v>0</v>
      </c>
      <c r="U296" s="1275">
        <f t="shared" si="31"/>
        <v>0</v>
      </c>
      <c r="V296" s="1275">
        <f t="shared" si="31"/>
        <v>0</v>
      </c>
      <c r="W296" s="1275">
        <f t="shared" si="31"/>
        <v>0</v>
      </c>
      <c r="X296" s="1275">
        <f t="shared" si="31"/>
        <v>0</v>
      </c>
      <c r="Y296" s="1275">
        <f t="shared" si="31"/>
        <v>0</v>
      </c>
      <c r="Z296" s="1275">
        <f t="shared" si="31"/>
        <v>0</v>
      </c>
      <c r="AA296" s="1275">
        <f t="shared" si="31"/>
        <v>0</v>
      </c>
      <c r="AB296" s="1275">
        <f t="shared" si="31"/>
        <v>0</v>
      </c>
      <c r="AC296" s="1275">
        <f t="shared" si="31"/>
        <v>0</v>
      </c>
      <c r="AD296" s="1275">
        <f t="shared" si="31"/>
        <v>0</v>
      </c>
      <c r="AE296" s="1275">
        <f t="shared" si="31"/>
        <v>0</v>
      </c>
      <c r="AF296" s="1275">
        <f t="shared" si="31"/>
        <v>0</v>
      </c>
      <c r="AG296" s="1275">
        <f t="shared" si="31"/>
        <v>0</v>
      </c>
      <c r="AH296" s="1207"/>
    </row>
    <row r="297" spans="1:34" x14ac:dyDescent="0.2">
      <c r="A297" s="1274" t="s">
        <v>8</v>
      </c>
      <c r="B297" s="1237"/>
      <c r="C297" s="1302"/>
      <c r="D297" s="1302"/>
      <c r="E297" s="1302"/>
      <c r="F297" s="1303"/>
      <c r="G297" s="1303"/>
      <c r="H297" s="1303"/>
      <c r="I297" s="1303"/>
      <c r="J297" s="1303"/>
      <c r="K297" s="1303"/>
      <c r="L297" s="1303"/>
      <c r="M297" s="1303"/>
      <c r="N297" s="1303"/>
      <c r="O297" s="1303"/>
      <c r="P297" s="1304"/>
      <c r="Q297" s="1303"/>
      <c r="R297" s="1303"/>
      <c r="S297" s="1303"/>
      <c r="T297" s="1303"/>
      <c r="U297" s="1303"/>
      <c r="V297" s="1303"/>
      <c r="W297" s="1303"/>
      <c r="X297" s="1303"/>
      <c r="Y297" s="1303"/>
      <c r="Z297" s="1303"/>
      <c r="AA297" s="1303"/>
      <c r="AB297" s="1303"/>
      <c r="AC297" s="1303"/>
      <c r="AD297" s="1303"/>
      <c r="AE297" s="1303"/>
      <c r="AF297" s="1303"/>
      <c r="AG297" s="1303"/>
      <c r="AH297" s="1207"/>
    </row>
    <row r="298" spans="1:34" x14ac:dyDescent="0.2">
      <c r="A298" s="1274" t="s">
        <v>775</v>
      </c>
      <c r="B298" s="1237"/>
      <c r="C298" s="1282"/>
      <c r="D298" s="1282"/>
      <c r="E298" s="1282">
        <v>1000</v>
      </c>
      <c r="F298" s="1282">
        <v>2400.0730000000003</v>
      </c>
      <c r="G298" s="1282">
        <v>1000</v>
      </c>
      <c r="H298" s="1282">
        <v>2470</v>
      </c>
      <c r="I298" s="1282">
        <v>1964.443</v>
      </c>
      <c r="J298" s="1282">
        <v>2150</v>
      </c>
      <c r="K298" s="1282">
        <v>904.14099999999996</v>
      </c>
      <c r="L298" s="1282">
        <v>5050</v>
      </c>
      <c r="M298" s="1282">
        <v>1150</v>
      </c>
      <c r="N298" s="1282">
        <v>1000</v>
      </c>
      <c r="O298" s="1282">
        <v>1150</v>
      </c>
      <c r="P298" s="1282"/>
      <c r="Q298" s="1282">
        <v>6214.3339999999998</v>
      </c>
      <c r="R298" s="1282">
        <v>728</v>
      </c>
      <c r="S298" s="1282"/>
      <c r="T298" s="1282">
        <v>1150</v>
      </c>
      <c r="U298" s="1282">
        <v>1000</v>
      </c>
      <c r="V298" s="1282">
        <v>5264.5529999999999</v>
      </c>
      <c r="W298" s="1282">
        <v>1350</v>
      </c>
      <c r="X298" s="1282">
        <v>1000</v>
      </c>
      <c r="Y298" s="1282">
        <v>920</v>
      </c>
      <c r="Z298" s="1282"/>
      <c r="AA298" s="1282">
        <v>5183.817</v>
      </c>
      <c r="AB298" s="1282">
        <v>1000</v>
      </c>
      <c r="AC298" s="1282">
        <v>1537.239</v>
      </c>
      <c r="AD298" s="1282"/>
      <c r="AE298" s="1282">
        <v>1000</v>
      </c>
      <c r="AF298" s="1282">
        <v>21061.903999999999</v>
      </c>
      <c r="AG298" s="1282"/>
      <c r="AH298" s="1455">
        <f>SUM(C298:AG298)</f>
        <v>67648.504000000001</v>
      </c>
    </row>
    <row r="299" spans="1:34" ht="13.5" thickBot="1" x14ac:dyDescent="0.25">
      <c r="A299" s="1294"/>
      <c r="B299" s="1237"/>
      <c r="C299" s="1302"/>
      <c r="D299" s="1302"/>
      <c r="E299" s="1302"/>
      <c r="F299" s="1303"/>
      <c r="G299" s="1303"/>
      <c r="H299" s="1303"/>
      <c r="I299" s="1303"/>
      <c r="J299" s="1303"/>
      <c r="K299" s="1303"/>
      <c r="L299" s="1303"/>
      <c r="M299" s="1303"/>
      <c r="N299" s="1303"/>
      <c r="O299" s="1303"/>
      <c r="P299" s="1304"/>
      <c r="Q299" s="1303"/>
      <c r="R299" s="1303"/>
      <c r="S299" s="1303"/>
      <c r="T299" s="1303"/>
      <c r="U299" s="1303"/>
      <c r="V299" s="1303"/>
      <c r="W299" s="1303"/>
      <c r="X299" s="1303"/>
      <c r="Y299" s="1303"/>
      <c r="Z299" s="1303"/>
      <c r="AA299" s="1303"/>
      <c r="AB299" s="1303"/>
      <c r="AC299" s="1303"/>
      <c r="AD299" s="1303"/>
      <c r="AE299" s="1303"/>
      <c r="AF299" s="1303"/>
      <c r="AG299" s="1303"/>
      <c r="AH299" s="1207"/>
    </row>
    <row r="300" spans="1:34" x14ac:dyDescent="0.2">
      <c r="A300" s="1269"/>
      <c r="B300" s="1237"/>
      <c r="C300" s="1296"/>
      <c r="D300" s="1297"/>
      <c r="E300" s="1297"/>
      <c r="F300" s="1298"/>
      <c r="G300" s="1298"/>
      <c r="H300" s="1298"/>
      <c r="I300" s="1298"/>
      <c r="J300" s="1298"/>
      <c r="K300" s="1298"/>
      <c r="L300" s="1298"/>
      <c r="M300" s="1298"/>
      <c r="N300" s="1298"/>
      <c r="O300" s="1298"/>
      <c r="P300" s="1299"/>
      <c r="Q300" s="1298"/>
      <c r="R300" s="1298"/>
      <c r="S300" s="1298"/>
      <c r="T300" s="1298"/>
      <c r="U300" s="1298"/>
      <c r="V300" s="1298"/>
      <c r="W300" s="1298"/>
      <c r="X300" s="1298"/>
      <c r="Y300" s="1298"/>
      <c r="Z300" s="1298"/>
      <c r="AA300" s="1298"/>
      <c r="AB300" s="1298"/>
      <c r="AC300" s="1298"/>
      <c r="AD300" s="1298"/>
      <c r="AE300" s="1298"/>
      <c r="AF300" s="1298"/>
      <c r="AG300" s="1298"/>
      <c r="AH300" s="1207"/>
    </row>
    <row r="301" spans="1:34" x14ac:dyDescent="0.2">
      <c r="A301" s="1274" t="s">
        <v>13</v>
      </c>
      <c r="B301" s="1237"/>
      <c r="C301" s="1300">
        <f t="shared" ref="C301:AG301" si="32">C296-C288</f>
        <v>0</v>
      </c>
      <c r="D301" s="1300">
        <f t="shared" si="32"/>
        <v>0</v>
      </c>
      <c r="E301" s="1300">
        <f t="shared" si="32"/>
        <v>0</v>
      </c>
      <c r="F301" s="1300">
        <f t="shared" si="32"/>
        <v>0</v>
      </c>
      <c r="G301" s="1300">
        <f t="shared" si="32"/>
        <v>0</v>
      </c>
      <c r="H301" s="1300">
        <f t="shared" si="32"/>
        <v>0</v>
      </c>
      <c r="I301" s="1300">
        <f t="shared" si="32"/>
        <v>0</v>
      </c>
      <c r="J301" s="1300">
        <f t="shared" si="32"/>
        <v>0</v>
      </c>
      <c r="K301" s="1300">
        <f t="shared" si="32"/>
        <v>0</v>
      </c>
      <c r="L301" s="1300">
        <f t="shared" si="32"/>
        <v>0</v>
      </c>
      <c r="M301" s="1300">
        <f t="shared" si="32"/>
        <v>0</v>
      </c>
      <c r="N301" s="1300">
        <f t="shared" si="32"/>
        <v>0</v>
      </c>
      <c r="O301" s="1300">
        <f t="shared" si="32"/>
        <v>0</v>
      </c>
      <c r="P301" s="1301">
        <f t="shared" si="32"/>
        <v>0</v>
      </c>
      <c r="Q301" s="1300">
        <f t="shared" si="32"/>
        <v>0</v>
      </c>
      <c r="R301" s="1300">
        <f t="shared" si="32"/>
        <v>0</v>
      </c>
      <c r="S301" s="1300">
        <f t="shared" si="32"/>
        <v>0</v>
      </c>
      <c r="T301" s="1300">
        <f t="shared" si="32"/>
        <v>0</v>
      </c>
      <c r="U301" s="1300">
        <f t="shared" si="32"/>
        <v>0</v>
      </c>
      <c r="V301" s="1300">
        <f t="shared" si="32"/>
        <v>-0.10500000000001819</v>
      </c>
      <c r="W301" s="1300">
        <f t="shared" si="32"/>
        <v>0</v>
      </c>
      <c r="X301" s="1300">
        <f t="shared" si="32"/>
        <v>0</v>
      </c>
      <c r="Y301" s="1300">
        <f t="shared" si="32"/>
        <v>0</v>
      </c>
      <c r="Z301" s="1300">
        <f t="shared" si="32"/>
        <v>0</v>
      </c>
      <c r="AA301" s="1300">
        <f t="shared" si="32"/>
        <v>0</v>
      </c>
      <c r="AB301" s="1300">
        <f t="shared" si="32"/>
        <v>0</v>
      </c>
      <c r="AC301" s="1300">
        <f t="shared" si="32"/>
        <v>0</v>
      </c>
      <c r="AD301" s="1300">
        <f t="shared" si="32"/>
        <v>-0.17600000000675209</v>
      </c>
      <c r="AE301" s="1300">
        <f t="shared" si="32"/>
        <v>0</v>
      </c>
      <c r="AF301" s="1300">
        <f t="shared" si="32"/>
        <v>0</v>
      </c>
      <c r="AG301" s="1300">
        <f t="shared" si="32"/>
        <v>0</v>
      </c>
      <c r="AH301" s="1207"/>
    </row>
    <row r="302" spans="1:34" ht="13.5" thickBot="1" x14ac:dyDescent="0.25">
      <c r="A302" s="1274"/>
      <c r="B302" s="1237"/>
      <c r="C302" s="1300"/>
      <c r="D302" s="1302"/>
      <c r="E302" s="1302"/>
      <c r="F302" s="1303"/>
      <c r="G302" s="1303"/>
      <c r="H302" s="1303"/>
      <c r="I302" s="1303"/>
      <c r="J302" s="1303"/>
      <c r="K302" s="1303"/>
      <c r="L302" s="1303"/>
      <c r="M302" s="1303"/>
      <c r="N302" s="1303"/>
      <c r="O302" s="1303"/>
      <c r="P302" s="1304"/>
      <c r="Q302" s="1303"/>
      <c r="R302" s="1303"/>
      <c r="S302" s="1303"/>
      <c r="T302" s="1303"/>
      <c r="U302" s="1303"/>
      <c r="V302" s="1303"/>
      <c r="W302" s="1303"/>
      <c r="X302" s="1303"/>
      <c r="Y302" s="1303"/>
      <c r="Z302" s="1303"/>
      <c r="AA302" s="1303"/>
      <c r="AB302" s="1303"/>
      <c r="AC302" s="1303"/>
      <c r="AD302" s="1303"/>
      <c r="AE302" s="1303"/>
      <c r="AF302" s="1303"/>
      <c r="AG302" s="1303"/>
      <c r="AH302" s="1207"/>
    </row>
    <row r="303" spans="1:34" x14ac:dyDescent="0.2">
      <c r="A303" s="1233"/>
      <c r="B303" s="1234"/>
      <c r="C303" s="1305"/>
      <c r="D303" s="1297"/>
      <c r="E303" s="1297"/>
      <c r="F303" s="1298"/>
      <c r="G303" s="1298"/>
      <c r="H303" s="1298"/>
      <c r="I303" s="1298"/>
      <c r="J303" s="1298"/>
      <c r="K303" s="1298"/>
      <c r="L303" s="1298"/>
      <c r="M303" s="1298"/>
      <c r="N303" s="1298"/>
      <c r="O303" s="1298"/>
      <c r="P303" s="1299"/>
      <c r="Q303" s="1298"/>
      <c r="R303" s="1298"/>
      <c r="S303" s="1298"/>
      <c r="T303" s="1298"/>
      <c r="U303" s="1298"/>
      <c r="V303" s="1298"/>
      <c r="W303" s="1298"/>
      <c r="X303" s="1298"/>
      <c r="Y303" s="1298"/>
      <c r="Z303" s="1298"/>
      <c r="AA303" s="1298"/>
      <c r="AB303" s="1298"/>
      <c r="AC303" s="1298"/>
      <c r="AD303" s="1298"/>
      <c r="AE303" s="1298"/>
      <c r="AF303" s="1298"/>
      <c r="AG303" s="1298"/>
      <c r="AH303" s="1207"/>
    </row>
    <row r="304" spans="1:34" x14ac:dyDescent="0.2">
      <c r="A304" s="1236" t="s">
        <v>15</v>
      </c>
      <c r="B304" s="1237"/>
      <c r="C304" s="1302">
        <f>B285+C301</f>
        <v>-33768.03</v>
      </c>
      <c r="D304" s="1302">
        <f t="shared" ref="D304:AG304" si="33">C311+D301</f>
        <v>-33768.03</v>
      </c>
      <c r="E304" s="1302">
        <f t="shared" si="33"/>
        <v>-33768.03</v>
      </c>
      <c r="F304" s="1302">
        <f t="shared" si="33"/>
        <v>-33768.03</v>
      </c>
      <c r="G304" s="1302">
        <f t="shared" si="33"/>
        <v>-33768.03</v>
      </c>
      <c r="H304" s="1302">
        <f t="shared" si="33"/>
        <v>-33768.03</v>
      </c>
      <c r="I304" s="1302">
        <f t="shared" si="33"/>
        <v>-33768.03</v>
      </c>
      <c r="J304" s="1302">
        <f t="shared" si="33"/>
        <v>-33768.03</v>
      </c>
      <c r="K304" s="1302">
        <f t="shared" si="33"/>
        <v>-33768.03</v>
      </c>
      <c r="L304" s="1302">
        <f t="shared" si="33"/>
        <v>-33768.03</v>
      </c>
      <c r="M304" s="1302">
        <f t="shared" si="33"/>
        <v>-33768.03</v>
      </c>
      <c r="N304" s="1302">
        <f t="shared" si="33"/>
        <v>-33768.03</v>
      </c>
      <c r="O304" s="1302">
        <f t="shared" si="33"/>
        <v>-33768.03</v>
      </c>
      <c r="P304" s="1306">
        <f t="shared" si="33"/>
        <v>-33768.03</v>
      </c>
      <c r="Q304" s="1302">
        <f t="shared" si="33"/>
        <v>-33768.03</v>
      </c>
      <c r="R304" s="1302">
        <f t="shared" si="33"/>
        <v>-33768.03</v>
      </c>
      <c r="S304" s="1302">
        <f t="shared" si="33"/>
        <v>-33768.03</v>
      </c>
      <c r="T304" s="1302">
        <f t="shared" si="33"/>
        <v>-33768.03</v>
      </c>
      <c r="U304" s="1302">
        <f t="shared" si="33"/>
        <v>-33768.03</v>
      </c>
      <c r="V304" s="1302">
        <f t="shared" si="33"/>
        <v>-33768.135000000002</v>
      </c>
      <c r="W304" s="1302">
        <f t="shared" si="33"/>
        <v>-33768.135000000002</v>
      </c>
      <c r="X304" s="1302">
        <f t="shared" si="33"/>
        <v>-33768.135000000002</v>
      </c>
      <c r="Y304" s="1302">
        <f t="shared" si="33"/>
        <v>-33768.135000000002</v>
      </c>
      <c r="Z304" s="1302">
        <f t="shared" si="33"/>
        <v>-33768.135000000002</v>
      </c>
      <c r="AA304" s="1302">
        <f t="shared" si="33"/>
        <v>-33768.135000000002</v>
      </c>
      <c r="AB304" s="1302">
        <f t="shared" si="33"/>
        <v>-33768.135000000002</v>
      </c>
      <c r="AC304" s="1302">
        <f t="shared" si="33"/>
        <v>-33768.135000000002</v>
      </c>
      <c r="AD304" s="1302">
        <f t="shared" si="33"/>
        <v>-33768.311000000009</v>
      </c>
      <c r="AE304" s="1302">
        <f t="shared" si="33"/>
        <v>-33768.311000000009</v>
      </c>
      <c r="AF304" s="1302">
        <f t="shared" si="33"/>
        <v>-33768.311000000009</v>
      </c>
      <c r="AG304" s="1302">
        <f t="shared" si="33"/>
        <v>-33768.311000000009</v>
      </c>
      <c r="AH304" s="1207"/>
    </row>
    <row r="305" spans="1:34" ht="13.5" thickBot="1" x14ac:dyDescent="0.25">
      <c r="A305" s="1250"/>
      <c r="B305" s="1307"/>
      <c r="C305" s="1308"/>
      <c r="D305" s="1308"/>
      <c r="E305" s="1308"/>
      <c r="F305" s="1309"/>
      <c r="G305" s="1309"/>
      <c r="H305" s="1309"/>
      <c r="I305" s="1309"/>
      <c r="J305" s="1309"/>
      <c r="K305" s="1309"/>
      <c r="L305" s="1309"/>
      <c r="M305" s="1309"/>
      <c r="N305" s="1309"/>
      <c r="O305" s="1309"/>
      <c r="P305" s="1310"/>
      <c r="Q305" s="1309"/>
      <c r="R305" s="1309"/>
      <c r="S305" s="1309"/>
      <c r="T305" s="1309"/>
      <c r="U305" s="1309"/>
      <c r="V305" s="1309"/>
      <c r="W305" s="1309"/>
      <c r="X305" s="1309"/>
      <c r="Y305" s="1309"/>
      <c r="Z305" s="1309"/>
      <c r="AA305" s="1309"/>
      <c r="AB305" s="1309"/>
      <c r="AC305" s="1309"/>
      <c r="AD305" s="1309"/>
      <c r="AE305" s="1309"/>
      <c r="AF305" s="1309"/>
      <c r="AG305" s="1309"/>
      <c r="AH305" s="1207"/>
    </row>
    <row r="306" spans="1:34" x14ac:dyDescent="0.2">
      <c r="A306" s="1233"/>
      <c r="B306" s="1234"/>
      <c r="C306" s="1297"/>
      <c r="D306" s="1297"/>
      <c r="E306" s="1297"/>
      <c r="F306" s="1298"/>
      <c r="G306" s="1298"/>
      <c r="H306" s="1298"/>
      <c r="I306" s="1298"/>
      <c r="J306" s="1298"/>
      <c r="K306" s="1298"/>
      <c r="L306" s="1298"/>
      <c r="M306" s="1298"/>
      <c r="N306" s="1298"/>
      <c r="O306" s="1298"/>
      <c r="P306" s="1299"/>
      <c r="Q306" s="1298"/>
      <c r="R306" s="1298"/>
      <c r="S306" s="1298"/>
      <c r="T306" s="1298"/>
      <c r="U306" s="1298"/>
      <c r="V306" s="1298"/>
      <c r="W306" s="1298"/>
      <c r="X306" s="1298"/>
      <c r="Y306" s="1298"/>
      <c r="Z306" s="1298"/>
      <c r="AA306" s="1298"/>
      <c r="AB306" s="1298"/>
      <c r="AC306" s="1298"/>
      <c r="AD306" s="1298"/>
      <c r="AE306" s="1298"/>
      <c r="AF306" s="1298"/>
      <c r="AG306" s="1298"/>
      <c r="AH306" s="1207"/>
    </row>
    <row r="307" spans="1:34" x14ac:dyDescent="0.2">
      <c r="A307" s="1236" t="s">
        <v>82</v>
      </c>
      <c r="B307" s="1237"/>
      <c r="C307" s="1302">
        <f t="shared" ref="C307:AG308" si="34">C315</f>
        <v>0</v>
      </c>
      <c r="D307" s="1302">
        <f t="shared" si="34"/>
        <v>0</v>
      </c>
      <c r="E307" s="1302">
        <f t="shared" si="34"/>
        <v>0</v>
      </c>
      <c r="F307" s="1302">
        <f t="shared" si="34"/>
        <v>0</v>
      </c>
      <c r="G307" s="1302">
        <f t="shared" si="34"/>
        <v>0</v>
      </c>
      <c r="H307" s="1302">
        <f t="shared" si="34"/>
        <v>0</v>
      </c>
      <c r="I307" s="1302">
        <f t="shared" si="34"/>
        <v>0</v>
      </c>
      <c r="J307" s="1302">
        <f t="shared" si="34"/>
        <v>0</v>
      </c>
      <c r="K307" s="1302">
        <f t="shared" si="34"/>
        <v>0</v>
      </c>
      <c r="L307" s="1302">
        <f t="shared" si="34"/>
        <v>0</v>
      </c>
      <c r="M307" s="1302">
        <f t="shared" si="34"/>
        <v>0</v>
      </c>
      <c r="N307" s="1302">
        <f t="shared" si="34"/>
        <v>0</v>
      </c>
      <c r="O307" s="1302">
        <f t="shared" si="34"/>
        <v>0</v>
      </c>
      <c r="P307" s="1306">
        <f t="shared" si="34"/>
        <v>0</v>
      </c>
      <c r="Q307" s="1302">
        <f t="shared" si="34"/>
        <v>0</v>
      </c>
      <c r="R307" s="1302">
        <f t="shared" si="34"/>
        <v>0</v>
      </c>
      <c r="S307" s="1302">
        <f t="shared" si="34"/>
        <v>0</v>
      </c>
      <c r="T307" s="1302">
        <f t="shared" si="34"/>
        <v>0</v>
      </c>
      <c r="U307" s="1302">
        <f t="shared" si="34"/>
        <v>0</v>
      </c>
      <c r="V307" s="1302">
        <f t="shared" si="34"/>
        <v>0</v>
      </c>
      <c r="W307" s="1302">
        <f t="shared" si="34"/>
        <v>0</v>
      </c>
      <c r="X307" s="1302">
        <f t="shared" si="34"/>
        <v>0</v>
      </c>
      <c r="Y307" s="1302">
        <f t="shared" si="34"/>
        <v>0</v>
      </c>
      <c r="Z307" s="1302">
        <f t="shared" si="34"/>
        <v>0</v>
      </c>
      <c r="AA307" s="1302">
        <f t="shared" si="34"/>
        <v>0</v>
      </c>
      <c r="AB307" s="1302">
        <f t="shared" si="34"/>
        <v>0</v>
      </c>
      <c r="AC307" s="1302">
        <f t="shared" si="34"/>
        <v>0</v>
      </c>
      <c r="AD307" s="1302">
        <f t="shared" si="34"/>
        <v>0</v>
      </c>
      <c r="AE307" s="1302">
        <f t="shared" si="34"/>
        <v>0</v>
      </c>
      <c r="AF307" s="1302">
        <f t="shared" si="34"/>
        <v>0</v>
      </c>
      <c r="AG307" s="1302">
        <f t="shared" si="34"/>
        <v>0</v>
      </c>
      <c r="AH307" s="1207"/>
    </row>
    <row r="308" spans="1:34" x14ac:dyDescent="0.2">
      <c r="A308" s="1236" t="s">
        <v>83</v>
      </c>
      <c r="B308" s="1237"/>
      <c r="C308" s="1306">
        <f t="shared" si="34"/>
        <v>0</v>
      </c>
      <c r="D308" s="1306">
        <f t="shared" si="34"/>
        <v>0</v>
      </c>
      <c r="E308" s="1306">
        <f t="shared" si="34"/>
        <v>0</v>
      </c>
      <c r="F308" s="1306">
        <f t="shared" si="34"/>
        <v>0</v>
      </c>
      <c r="G308" s="1306">
        <f t="shared" si="34"/>
        <v>0</v>
      </c>
      <c r="H308" s="1306">
        <f t="shared" si="34"/>
        <v>0</v>
      </c>
      <c r="I308" s="1306">
        <f t="shared" si="34"/>
        <v>0</v>
      </c>
      <c r="J308" s="1306">
        <f t="shared" si="34"/>
        <v>0</v>
      </c>
      <c r="K308" s="1306">
        <f t="shared" si="34"/>
        <v>0</v>
      </c>
      <c r="L308" s="1306">
        <f t="shared" si="34"/>
        <v>0</v>
      </c>
      <c r="M308" s="1306">
        <f t="shared" si="34"/>
        <v>0</v>
      </c>
      <c r="N308" s="1306">
        <f t="shared" si="34"/>
        <v>0</v>
      </c>
      <c r="O308" s="1306">
        <f t="shared" si="34"/>
        <v>0</v>
      </c>
      <c r="P308" s="1306">
        <f t="shared" si="34"/>
        <v>0</v>
      </c>
      <c r="Q308" s="1306">
        <f t="shared" si="34"/>
        <v>0</v>
      </c>
      <c r="R308" s="1306">
        <f t="shared" si="34"/>
        <v>0</v>
      </c>
      <c r="S308" s="1306">
        <f t="shared" si="34"/>
        <v>0</v>
      </c>
      <c r="T308" s="1306">
        <f t="shared" si="34"/>
        <v>0</v>
      </c>
      <c r="U308" s="1306">
        <f t="shared" si="34"/>
        <v>0</v>
      </c>
      <c r="V308" s="1306">
        <f t="shared" si="34"/>
        <v>0</v>
      </c>
      <c r="W308" s="1306">
        <f t="shared" si="34"/>
        <v>0</v>
      </c>
      <c r="X308" s="1306">
        <f t="shared" si="34"/>
        <v>0</v>
      </c>
      <c r="Y308" s="1306">
        <f t="shared" si="34"/>
        <v>0</v>
      </c>
      <c r="Z308" s="1306">
        <f t="shared" si="34"/>
        <v>0</v>
      </c>
      <c r="AA308" s="1306">
        <f t="shared" si="34"/>
        <v>0</v>
      </c>
      <c r="AB308" s="1306">
        <f t="shared" si="34"/>
        <v>0</v>
      </c>
      <c r="AC308" s="1306">
        <f t="shared" si="34"/>
        <v>0</v>
      </c>
      <c r="AD308" s="1306">
        <f t="shared" si="34"/>
        <v>0</v>
      </c>
      <c r="AE308" s="1306">
        <f t="shared" si="34"/>
        <v>0</v>
      </c>
      <c r="AF308" s="1306">
        <f t="shared" si="34"/>
        <v>0</v>
      </c>
      <c r="AG308" s="1306">
        <f t="shared" si="34"/>
        <v>0</v>
      </c>
      <c r="AH308" s="1207"/>
    </row>
    <row r="309" spans="1:34" ht="13.5" thickBot="1" x14ac:dyDescent="0.25">
      <c r="A309" s="1250"/>
      <c r="B309" s="1307"/>
      <c r="C309" s="1308"/>
      <c r="D309" s="1308"/>
      <c r="E309" s="1308"/>
      <c r="F309" s="1309"/>
      <c r="G309" s="1309"/>
      <c r="H309" s="1309"/>
      <c r="I309" s="1309"/>
      <c r="J309" s="1309"/>
      <c r="K309" s="1309"/>
      <c r="L309" s="1309"/>
      <c r="M309" s="1309"/>
      <c r="N309" s="1309"/>
      <c r="O309" s="1309"/>
      <c r="P309" s="1310"/>
      <c r="Q309" s="1309"/>
      <c r="R309" s="1309"/>
      <c r="S309" s="1309"/>
      <c r="T309" s="1309"/>
      <c r="U309" s="1309"/>
      <c r="V309" s="1309"/>
      <c r="W309" s="1309"/>
      <c r="X309" s="1309"/>
      <c r="Y309" s="1309"/>
      <c r="Z309" s="1309"/>
      <c r="AA309" s="1309"/>
      <c r="AB309" s="1309"/>
      <c r="AC309" s="1309"/>
      <c r="AD309" s="1309"/>
      <c r="AE309" s="1309"/>
      <c r="AF309" s="1309"/>
      <c r="AG309" s="1309"/>
      <c r="AH309" s="1207"/>
    </row>
    <row r="310" spans="1:34" x14ac:dyDescent="0.2">
      <c r="A310" s="1236"/>
      <c r="B310" s="1237"/>
      <c r="C310" s="1302"/>
      <c r="D310" s="1302"/>
      <c r="E310" s="1302"/>
      <c r="F310" s="1303"/>
      <c r="G310" s="1303"/>
      <c r="H310" s="1303"/>
      <c r="I310" s="1303"/>
      <c r="J310" s="1303"/>
      <c r="K310" s="1303"/>
      <c r="L310" s="1303"/>
      <c r="M310" s="1303"/>
      <c r="N310" s="1303"/>
      <c r="O310" s="1303"/>
      <c r="P310" s="1304"/>
      <c r="Q310" s="1303"/>
      <c r="R310" s="1303"/>
      <c r="S310" s="1303"/>
      <c r="T310" s="1303"/>
      <c r="U310" s="1303"/>
      <c r="V310" s="1303"/>
      <c r="W310" s="1303"/>
      <c r="X310" s="1303"/>
      <c r="Y310" s="1303"/>
      <c r="Z310" s="1303"/>
      <c r="AA310" s="1303"/>
      <c r="AB310" s="1303"/>
      <c r="AC310" s="1303"/>
      <c r="AD310" s="1303"/>
      <c r="AE310" s="1303"/>
      <c r="AF310" s="1303"/>
      <c r="AG310" s="1303"/>
      <c r="AH310" s="1207"/>
    </row>
    <row r="311" spans="1:34" x14ac:dyDescent="0.2">
      <c r="A311" s="1236" t="s">
        <v>14</v>
      </c>
      <c r="B311" s="1237"/>
      <c r="C311" s="1302">
        <f t="shared" ref="C311:AG311" si="35">C304+C307+C308</f>
        <v>-33768.03</v>
      </c>
      <c r="D311" s="1302">
        <f t="shared" si="35"/>
        <v>-33768.03</v>
      </c>
      <c r="E311" s="1302">
        <f t="shared" si="35"/>
        <v>-33768.03</v>
      </c>
      <c r="F311" s="1302">
        <f t="shared" si="35"/>
        <v>-33768.03</v>
      </c>
      <c r="G311" s="1302">
        <f t="shared" si="35"/>
        <v>-33768.03</v>
      </c>
      <c r="H311" s="1302">
        <f t="shared" si="35"/>
        <v>-33768.03</v>
      </c>
      <c r="I311" s="1302">
        <f t="shared" si="35"/>
        <v>-33768.03</v>
      </c>
      <c r="J311" s="1302">
        <f t="shared" si="35"/>
        <v>-33768.03</v>
      </c>
      <c r="K311" s="1302">
        <f t="shared" si="35"/>
        <v>-33768.03</v>
      </c>
      <c r="L311" s="1302">
        <f t="shared" si="35"/>
        <v>-33768.03</v>
      </c>
      <c r="M311" s="1302">
        <f t="shared" si="35"/>
        <v>-33768.03</v>
      </c>
      <c r="N311" s="1302">
        <f t="shared" si="35"/>
        <v>-33768.03</v>
      </c>
      <c r="O311" s="1302">
        <f t="shared" si="35"/>
        <v>-33768.03</v>
      </c>
      <c r="P311" s="1306">
        <f t="shared" si="35"/>
        <v>-33768.03</v>
      </c>
      <c r="Q311" s="1302">
        <f t="shared" si="35"/>
        <v>-33768.03</v>
      </c>
      <c r="R311" s="1302">
        <f t="shared" si="35"/>
        <v>-33768.03</v>
      </c>
      <c r="S311" s="1302">
        <f t="shared" si="35"/>
        <v>-33768.03</v>
      </c>
      <c r="T311" s="1302">
        <f t="shared" si="35"/>
        <v>-33768.03</v>
      </c>
      <c r="U311" s="1302">
        <f t="shared" si="35"/>
        <v>-33768.03</v>
      </c>
      <c r="V311" s="1302">
        <f t="shared" si="35"/>
        <v>-33768.135000000002</v>
      </c>
      <c r="W311" s="1302">
        <f t="shared" si="35"/>
        <v>-33768.135000000002</v>
      </c>
      <c r="X311" s="1302">
        <f t="shared" si="35"/>
        <v>-33768.135000000002</v>
      </c>
      <c r="Y311" s="1302">
        <f t="shared" si="35"/>
        <v>-33768.135000000002</v>
      </c>
      <c r="Z311" s="1302">
        <f t="shared" si="35"/>
        <v>-33768.135000000002</v>
      </c>
      <c r="AA311" s="1302">
        <f t="shared" si="35"/>
        <v>-33768.135000000002</v>
      </c>
      <c r="AB311" s="1302">
        <f t="shared" si="35"/>
        <v>-33768.135000000002</v>
      </c>
      <c r="AC311" s="1302">
        <f t="shared" si="35"/>
        <v>-33768.135000000002</v>
      </c>
      <c r="AD311" s="1302">
        <f t="shared" si="35"/>
        <v>-33768.311000000009</v>
      </c>
      <c r="AE311" s="1302">
        <f t="shared" si="35"/>
        <v>-33768.311000000009</v>
      </c>
      <c r="AF311" s="1302">
        <f t="shared" si="35"/>
        <v>-33768.311000000009</v>
      </c>
      <c r="AG311" s="1302">
        <f t="shared" si="35"/>
        <v>-33768.311000000009</v>
      </c>
      <c r="AH311" s="1207"/>
    </row>
    <row r="312" spans="1:34" x14ac:dyDescent="0.2">
      <c r="A312" s="1236"/>
      <c r="B312" s="1237"/>
      <c r="C312" s="1302"/>
      <c r="D312" s="1302"/>
      <c r="E312" s="1302"/>
      <c r="F312" s="1303"/>
      <c r="G312" s="1303"/>
      <c r="H312" s="1303"/>
      <c r="I312" s="1303"/>
      <c r="J312" s="1303"/>
      <c r="K312" s="1303"/>
      <c r="L312" s="1303"/>
      <c r="M312" s="1303"/>
      <c r="N312" s="1303"/>
      <c r="O312" s="1303"/>
      <c r="P312" s="1304"/>
      <c r="Q312" s="1303"/>
      <c r="R312" s="1303"/>
      <c r="S312" s="1303"/>
      <c r="T312" s="1303"/>
      <c r="U312" s="1303"/>
      <c r="V312" s="1303"/>
      <c r="W312" s="1303"/>
      <c r="X312" s="1303"/>
      <c r="Y312" s="1303"/>
      <c r="Z312" s="1303"/>
      <c r="AA312" s="1303"/>
      <c r="AB312" s="1303"/>
      <c r="AC312" s="1303"/>
      <c r="AD312" s="1303"/>
      <c r="AE312" s="1303"/>
      <c r="AF312" s="1303"/>
      <c r="AG312" s="1303"/>
      <c r="AH312" s="1207"/>
    </row>
    <row r="313" spans="1:34" ht="13.5" thickBot="1" x14ac:dyDescent="0.25">
      <c r="A313" s="1250"/>
      <c r="B313" s="1307"/>
      <c r="C313" s="1312"/>
      <c r="D313" s="1312"/>
      <c r="E313" s="1312"/>
      <c r="F313" s="1313"/>
      <c r="G313" s="1313"/>
      <c r="H313" s="1313"/>
      <c r="I313" s="1313"/>
      <c r="J313" s="1313"/>
      <c r="K313" s="1313"/>
      <c r="L313" s="1313"/>
      <c r="M313" s="1313"/>
      <c r="N313" s="1313"/>
      <c r="O313" s="1313"/>
      <c r="P313" s="1314"/>
      <c r="Q313" s="1313"/>
      <c r="R313" s="1313"/>
      <c r="S313" s="1313"/>
      <c r="T313" s="1313"/>
      <c r="U313" s="1313"/>
      <c r="V313" s="1313"/>
      <c r="W313" s="1313"/>
      <c r="X313" s="1313"/>
      <c r="Y313" s="1313"/>
      <c r="Z313" s="1313"/>
      <c r="AA313" s="1313"/>
      <c r="AB313" s="1313"/>
      <c r="AC313" s="1313"/>
      <c r="AD313" s="1313"/>
      <c r="AE313" s="1313"/>
      <c r="AF313" s="1313"/>
      <c r="AG313" s="1313"/>
      <c r="AH313" s="1207"/>
    </row>
    <row r="314" spans="1:34" x14ac:dyDescent="0.2">
      <c r="A314" s="1316"/>
      <c r="B314" s="1207"/>
      <c r="C314" s="1227"/>
      <c r="D314" s="1227"/>
      <c r="E314" s="1227"/>
      <c r="F314" s="1227"/>
      <c r="G314" s="1227"/>
      <c r="H314" s="1227"/>
      <c r="I314" s="1227"/>
      <c r="J314" s="1227"/>
      <c r="K314" s="1227"/>
      <c r="L314" s="1227"/>
      <c r="M314" s="1227"/>
      <c r="N314" s="1227"/>
      <c r="O314" s="1227"/>
      <c r="P314" s="1229"/>
      <c r="Q314" s="1227"/>
      <c r="R314" s="1227"/>
      <c r="S314" s="1227"/>
      <c r="T314" s="1227"/>
      <c r="U314" s="1227"/>
      <c r="V314" s="1227"/>
      <c r="W314" s="1227"/>
      <c r="X314" s="1227"/>
      <c r="Y314" s="1227"/>
      <c r="Z314" s="1227"/>
      <c r="AA314" s="1227"/>
      <c r="AB314" s="1227"/>
      <c r="AC314" s="1227"/>
      <c r="AD314" s="1227"/>
      <c r="AE314" s="1227"/>
      <c r="AF314" s="1227"/>
      <c r="AG314" s="1227"/>
      <c r="AH314" s="1227">
        <f>SUM(C314:AG314)</f>
        <v>0</v>
      </c>
    </row>
    <row r="315" spans="1:34" x14ac:dyDescent="0.2">
      <c r="A315" s="1344"/>
      <c r="B315" s="1383"/>
      <c r="C315" s="1219"/>
      <c r="D315" s="1221"/>
      <c r="E315" s="1356"/>
      <c r="F315" s="1219"/>
      <c r="G315" s="1219"/>
      <c r="H315" s="1220"/>
      <c r="I315" s="1219"/>
      <c r="J315" s="1219"/>
      <c r="K315" s="1219"/>
      <c r="L315" s="1219"/>
      <c r="M315" s="1220"/>
      <c r="N315" s="1220"/>
      <c r="O315" s="1220">
        <f>10913.984-7466.84-3447.144</f>
        <v>0</v>
      </c>
      <c r="P315" s="1221"/>
      <c r="Q315" s="1219"/>
      <c r="R315" s="1219"/>
      <c r="S315" s="1219"/>
      <c r="T315" s="1219"/>
      <c r="U315" s="1219"/>
      <c r="V315" s="1219"/>
      <c r="W315" s="1220"/>
      <c r="X315" s="1220"/>
      <c r="Y315" s="1220"/>
      <c r="Z315" s="1220"/>
      <c r="AA315" s="1220"/>
      <c r="AB315" s="1220"/>
      <c r="AC315" s="1220"/>
      <c r="AD315" s="1221"/>
      <c r="AE315" s="1219"/>
      <c r="AF315" s="1219"/>
      <c r="AG315" s="1219"/>
      <c r="AH315" s="1227"/>
    </row>
    <row r="316" spans="1:34" x14ac:dyDescent="0.2">
      <c r="A316" s="1207"/>
      <c r="B316" s="1207"/>
      <c r="C316" s="1207"/>
      <c r="D316" s="1207"/>
      <c r="E316" s="134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1208"/>
      <c r="Q316" s="1207"/>
      <c r="R316" s="1207"/>
      <c r="S316" s="1207"/>
      <c r="T316" s="1207"/>
      <c r="U316" s="1207"/>
      <c r="V316" s="1207"/>
      <c r="W316" s="1207"/>
      <c r="X316" s="1207"/>
      <c r="Y316" s="1207"/>
      <c r="Z316" s="1207"/>
      <c r="AA316" s="1207"/>
      <c r="AB316" s="1207"/>
      <c r="AC316" s="1207"/>
      <c r="AD316" s="1207"/>
      <c r="AE316" s="1207"/>
      <c r="AF316" s="1207"/>
      <c r="AG316" s="1207"/>
      <c r="AH316" s="1227"/>
    </row>
    <row r="317" spans="1:34" x14ac:dyDescent="0.2">
      <c r="A317" s="1210" t="s">
        <v>415</v>
      </c>
      <c r="B317" s="1215">
        <f>B318+B319+B321+B320</f>
        <v>1020000</v>
      </c>
      <c r="C317" s="1367"/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1208"/>
      <c r="Q317" s="1207"/>
      <c r="R317" s="1207"/>
      <c r="S317" s="1207"/>
      <c r="T317" s="1207"/>
      <c r="U317" s="1401"/>
      <c r="V317" s="1220"/>
      <c r="W317" s="1227"/>
      <c r="X317" s="1207"/>
      <c r="Y317" s="1207"/>
      <c r="Z317" s="1207"/>
      <c r="AA317" s="1384"/>
      <c r="AB317" s="1207"/>
      <c r="AC317" s="1207"/>
      <c r="AD317" s="1207"/>
      <c r="AE317" s="1207"/>
      <c r="AF317" s="1207"/>
      <c r="AG317" s="1207"/>
      <c r="AH317" s="1207"/>
    </row>
    <row r="318" spans="1:34" x14ac:dyDescent="0.2">
      <c r="A318" s="1365" t="s">
        <v>414</v>
      </c>
      <c r="B318" s="1219">
        <v>20000</v>
      </c>
      <c r="C318" s="1207"/>
      <c r="D318" s="1207"/>
      <c r="E318" s="122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8"/>
      <c r="Q318" s="1207"/>
      <c r="R318" s="1207"/>
      <c r="S318" s="1207"/>
      <c r="T318" s="1207"/>
      <c r="U318" s="1230"/>
      <c r="V318" s="1230"/>
      <c r="W318" s="1207"/>
      <c r="X318" s="1207"/>
      <c r="Y318" s="1207"/>
      <c r="Z318" s="1207"/>
      <c r="AA318" s="1207"/>
      <c r="AB318" s="1207"/>
      <c r="AC318" s="1227"/>
      <c r="AD318" s="1227"/>
      <c r="AE318" s="1207"/>
      <c r="AF318" s="1207"/>
      <c r="AG318" s="1207"/>
      <c r="AH318" s="1207"/>
    </row>
    <row r="319" spans="1:34" x14ac:dyDescent="0.2">
      <c r="A319" s="1365" t="s">
        <v>287</v>
      </c>
      <c r="B319" s="1219">
        <v>600000</v>
      </c>
      <c r="C319" s="1207"/>
      <c r="D319" s="1207"/>
      <c r="E319" s="1207"/>
      <c r="F319" s="1207"/>
      <c r="G319" s="1207"/>
      <c r="H319" s="1207"/>
      <c r="I319" s="1207"/>
      <c r="J319" s="1207"/>
      <c r="K319" s="1227"/>
      <c r="L319" s="1207"/>
      <c r="M319" s="1207"/>
      <c r="N319" s="1207"/>
      <c r="O319" s="1207"/>
      <c r="P319" s="1208"/>
      <c r="Q319" s="1207"/>
      <c r="R319" s="1207"/>
      <c r="S319" s="1207"/>
      <c r="T319" s="1207"/>
      <c r="U319" s="1402"/>
      <c r="V319" s="1230"/>
      <c r="W319" s="1207"/>
      <c r="X319" s="1227"/>
      <c r="Y319" s="1207"/>
      <c r="Z319" s="1207"/>
      <c r="AA319" s="1207"/>
      <c r="AB319" s="1207"/>
      <c r="AC319" s="1207"/>
      <c r="AD319" s="1207"/>
      <c r="AE319" s="1207"/>
      <c r="AF319" s="1207"/>
      <c r="AG319" s="1207"/>
    </row>
    <row r="320" spans="1:34" x14ac:dyDescent="0.2">
      <c r="A320" s="1316" t="s">
        <v>413</v>
      </c>
      <c r="B320" s="1219">
        <v>200000</v>
      </c>
      <c r="C320" s="1207"/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8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07"/>
      <c r="AA320" s="1207"/>
      <c r="AB320" s="1207"/>
      <c r="AC320" s="1207"/>
      <c r="AD320" s="1207"/>
      <c r="AE320" s="1207"/>
      <c r="AF320" s="1207"/>
      <c r="AG320" s="1207"/>
    </row>
    <row r="321" spans="1:33" x14ac:dyDescent="0.2">
      <c r="A321" s="1316" t="s">
        <v>441</v>
      </c>
      <c r="B321" s="1219">
        <v>200000</v>
      </c>
      <c r="C321" s="1207"/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1208"/>
      <c r="Q321" s="1207"/>
      <c r="R321" s="1207"/>
      <c r="S321" s="1207"/>
      <c r="T321" s="1207"/>
      <c r="U321" s="1207"/>
      <c r="V321" s="1207"/>
      <c r="W321" s="1207"/>
      <c r="X321" s="1207"/>
      <c r="Y321" s="1207"/>
      <c r="Z321" s="1207"/>
      <c r="AA321" s="1207"/>
      <c r="AB321" s="1207"/>
      <c r="AC321" s="1207"/>
      <c r="AD321" s="1207"/>
      <c r="AE321" s="1207"/>
      <c r="AF321" s="1207"/>
      <c r="AG321" s="1207"/>
    </row>
    <row r="322" spans="1:33" x14ac:dyDescent="0.2">
      <c r="A322" s="1207"/>
      <c r="B322" s="1207"/>
      <c r="C322" s="1207"/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8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07"/>
      <c r="AA322" s="1207"/>
      <c r="AB322" s="1207"/>
      <c r="AC322" s="1207"/>
      <c r="AD322" s="1207"/>
      <c r="AE322" s="1207"/>
      <c r="AF322" s="1207"/>
      <c r="AG322" s="1207"/>
    </row>
    <row r="323" spans="1:33" x14ac:dyDescent="0.2">
      <c r="A323" s="1223" t="s">
        <v>449</v>
      </c>
      <c r="B323" s="1280"/>
      <c r="L323" s="1283"/>
    </row>
    <row r="324" spans="1:33" x14ac:dyDescent="0.2">
      <c r="AB324" s="1283"/>
      <c r="AC324" s="1283"/>
      <c r="AD324" s="1283"/>
      <c r="AE324" s="1283"/>
    </row>
    <row r="331" spans="1:33" ht="15" x14ac:dyDescent="0.2">
      <c r="A331" s="1403"/>
      <c r="B331" s="1404"/>
    </row>
    <row r="332" spans="1:33" ht="15" x14ac:dyDescent="0.2">
      <c r="A332" s="1403"/>
      <c r="B332" s="1404"/>
    </row>
    <row r="333" spans="1:33" ht="15" x14ac:dyDescent="0.2">
      <c r="A333" s="1403"/>
      <c r="B333" s="1404"/>
    </row>
    <row r="338" spans="1:2" s="1209" customFormat="1" ht="18" x14ac:dyDescent="0.25">
      <c r="A338" s="1751"/>
      <c r="B338" s="1751"/>
    </row>
    <row r="339" spans="1:2" s="1209" customFormat="1" x14ac:dyDescent="0.2">
      <c r="A339" s="1206"/>
      <c r="B339" s="1206"/>
    </row>
    <row r="341" spans="1:2" s="1209" customFormat="1" x14ac:dyDescent="0.2">
      <c r="A341" s="1223"/>
      <c r="B341" s="1280"/>
    </row>
    <row r="342" spans="1:2" s="1209" customFormat="1" x14ac:dyDescent="0.2">
      <c r="A342" s="1223"/>
      <c r="B342" s="1280"/>
    </row>
    <row r="343" spans="1:2" s="1209" customFormat="1" x14ac:dyDescent="0.2">
      <c r="A343" s="1223"/>
      <c r="B343" s="1280"/>
    </row>
    <row r="344" spans="1:2" s="1209" customFormat="1" x14ac:dyDescent="0.2">
      <c r="A344" s="1223"/>
      <c r="B344" s="1280"/>
    </row>
    <row r="345" spans="1:2" s="1209" customFormat="1" x14ac:dyDescent="0.2">
      <c r="A345" s="1223"/>
      <c r="B345" s="1280"/>
    </row>
    <row r="346" spans="1:2" s="1209" customFormat="1" x14ac:dyDescent="0.2">
      <c r="A346" s="1223"/>
      <c r="B346" s="1280"/>
    </row>
    <row r="347" spans="1:2" s="1209" customFormat="1" x14ac:dyDescent="0.2">
      <c r="A347" s="1223"/>
      <c r="B347" s="1280"/>
    </row>
    <row r="348" spans="1:2" s="1209" customFormat="1" x14ac:dyDescent="0.2">
      <c r="A348" s="1223"/>
      <c r="B348" s="1280"/>
    </row>
    <row r="349" spans="1:2" s="1209" customFormat="1" x14ac:dyDescent="0.2">
      <c r="A349" s="1223"/>
      <c r="B349" s="1280"/>
    </row>
    <row r="350" spans="1:2" s="1209" customFormat="1" x14ac:dyDescent="0.2">
      <c r="A350" s="1223"/>
      <c r="B350" s="1280"/>
    </row>
    <row r="351" spans="1:2" s="1209" customFormat="1" x14ac:dyDescent="0.2">
      <c r="A351" s="1223"/>
      <c r="B351" s="1280"/>
    </row>
    <row r="354" spans="2:2" s="1209" customFormat="1" x14ac:dyDescent="0.2">
      <c r="B354" s="1280"/>
    </row>
    <row r="355" spans="2:2" s="1209" customFormat="1" x14ac:dyDescent="0.2">
      <c r="B355" s="1280"/>
    </row>
    <row r="356" spans="2:2" s="1209" customFormat="1" x14ac:dyDescent="0.2">
      <c r="B356" s="1280"/>
    </row>
    <row r="358" spans="2:2" s="1209" customFormat="1" x14ac:dyDescent="0.2">
      <c r="B358" s="1405"/>
    </row>
  </sheetData>
  <mergeCells count="8">
    <mergeCell ref="A338:B338"/>
    <mergeCell ref="AC37:AD37"/>
    <mergeCell ref="I153:L153"/>
    <mergeCell ref="M153:U153"/>
    <mergeCell ref="V153:X153"/>
    <mergeCell ref="L220:M220"/>
    <mergeCell ref="F284:G284"/>
    <mergeCell ref="S284:X284"/>
  </mergeCells>
  <pageMargins left="0.78740157480314965" right="0.78740157480314965" top="0.98425196850393704" bottom="0.98425196850393704" header="0.51181102362204722" footer="0.51181102362204722"/>
  <pageSetup paperSize="9" scale="34" fitToHeight="2" orientation="landscape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358"/>
  <sheetViews>
    <sheetView topLeftCell="A19" workbookViewId="0">
      <pane ySplit="2025" topLeftCell="A70" activePane="bottomLeft"/>
      <selection activeCell="J19" sqref="J1:J1048576"/>
      <selection pane="bottomLeft" activeCell="H95" sqref="H95"/>
    </sheetView>
  </sheetViews>
  <sheetFormatPr defaultColWidth="11.42578125" defaultRowHeight="12.75" x14ac:dyDescent="0.2"/>
  <cols>
    <col min="1" max="1" width="37.42578125" style="1209" customWidth="1"/>
    <col min="2" max="2" width="13.7109375" style="1209" customWidth="1"/>
    <col min="3" max="3" width="14" style="1209" customWidth="1"/>
    <col min="4" max="4" width="14.28515625" style="1209" customWidth="1"/>
    <col min="5" max="5" width="14.42578125" style="1209" bestFit="1" customWidth="1"/>
    <col min="6" max="6" width="12.7109375" style="1209" customWidth="1"/>
    <col min="7" max="7" width="13.85546875" style="1209" customWidth="1"/>
    <col min="8" max="8" width="13" style="1209" customWidth="1"/>
    <col min="9" max="9" width="11.7109375" style="1209" customWidth="1"/>
    <col min="10" max="11" width="10.85546875" style="1209" customWidth="1"/>
    <col min="12" max="12" width="11.85546875" style="1209" customWidth="1"/>
    <col min="13" max="13" width="10.85546875" style="1209" customWidth="1"/>
    <col min="14" max="14" width="10.28515625" style="1209" customWidth="1"/>
    <col min="15" max="15" width="10.85546875" style="1209" customWidth="1"/>
    <col min="16" max="16" width="10.85546875" style="1320" customWidth="1"/>
    <col min="17" max="17" width="12.28515625" style="1209" customWidth="1"/>
    <col min="18" max="18" width="11.85546875" style="1209" customWidth="1"/>
    <col min="19" max="19" width="11.42578125" style="1209"/>
    <col min="20" max="20" width="14" style="1209" customWidth="1"/>
    <col min="21" max="21" width="14.140625" style="1209" customWidth="1"/>
    <col min="22" max="22" width="11.85546875" style="1209" bestFit="1" customWidth="1"/>
    <col min="23" max="26" width="11.85546875" style="1209" customWidth="1"/>
    <col min="27" max="27" width="13.7109375" style="1209" customWidth="1"/>
    <col min="28" max="31" width="12.42578125" style="1209" customWidth="1"/>
    <col min="32" max="32" width="12" style="1209" customWidth="1"/>
    <col min="33" max="33" width="13.5703125" style="1209" customWidth="1"/>
    <col min="34" max="34" width="13.85546875" style="1209" bestFit="1" customWidth="1"/>
    <col min="35" max="35" width="11.85546875" style="1209" bestFit="1" customWidth="1"/>
    <col min="36" max="39" width="11.42578125" style="1209"/>
    <col min="40" max="40" width="13.85546875" style="1209" bestFit="1" customWidth="1"/>
    <col min="41" max="41" width="11.42578125" style="1209"/>
    <col min="42" max="42" width="13.85546875" style="1209" bestFit="1" customWidth="1"/>
    <col min="43" max="16384" width="11.42578125" style="1209"/>
  </cols>
  <sheetData>
    <row r="1" spans="1:36" x14ac:dyDescent="0.2">
      <c r="A1" s="1206" t="s">
        <v>693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8"/>
      <c r="Q1" s="1207"/>
      <c r="R1" s="1207"/>
      <c r="S1" s="1207"/>
      <c r="T1" s="1207"/>
      <c r="U1" s="1207"/>
      <c r="V1" s="1207"/>
      <c r="W1" s="1207"/>
      <c r="X1" s="1207"/>
      <c r="Y1" s="1207"/>
      <c r="Z1" s="1207"/>
      <c r="AA1" s="1207"/>
      <c r="AB1" s="1207"/>
      <c r="AC1" s="1207"/>
      <c r="AD1" s="1207"/>
      <c r="AE1" s="1207"/>
      <c r="AF1" s="1207"/>
      <c r="AG1" s="1207"/>
      <c r="AH1" s="1207"/>
    </row>
    <row r="2" spans="1:36" x14ac:dyDescent="0.2">
      <c r="A2" s="1210" t="s">
        <v>694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8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</row>
    <row r="3" spans="1:36" x14ac:dyDescent="0.2">
      <c r="A3" s="1210" t="s">
        <v>680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</row>
    <row r="4" spans="1:36" x14ac:dyDescent="0.2">
      <c r="A4" s="1207"/>
      <c r="B4" s="1207"/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2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07"/>
    </row>
    <row r="5" spans="1:36" x14ac:dyDescent="0.2">
      <c r="A5" s="1213" t="s">
        <v>689</v>
      </c>
      <c r="B5" s="1214" t="s">
        <v>132</v>
      </c>
      <c r="C5" s="1215">
        <f t="shared" ref="C5:AG5" si="0">C6+C7+C8+C9</f>
        <v>-540855.95999999985</v>
      </c>
      <c r="D5" s="1215">
        <f t="shared" si="0"/>
        <v>-540855.95999999985</v>
      </c>
      <c r="E5" s="1215">
        <f t="shared" si="0"/>
        <v>-540855.8899999999</v>
      </c>
      <c r="F5" s="1215">
        <f t="shared" si="0"/>
        <v>-540855.8899999999</v>
      </c>
      <c r="G5" s="1215">
        <f t="shared" si="0"/>
        <v>-540855.8899999999</v>
      </c>
      <c r="H5" s="1215">
        <f t="shared" si="0"/>
        <v>-540855.8899999999</v>
      </c>
      <c r="I5" s="1215">
        <f t="shared" si="0"/>
        <v>-540855.8899999999</v>
      </c>
      <c r="J5" s="1216">
        <f t="shared" si="0"/>
        <v>-540855.8899999999</v>
      </c>
      <c r="K5" s="1216">
        <f t="shared" si="0"/>
        <v>-540855.8899999999</v>
      </c>
      <c r="L5" s="1215">
        <f t="shared" si="0"/>
        <v>-540855.8899999999</v>
      </c>
      <c r="M5" s="1215">
        <f t="shared" si="0"/>
        <v>-540855.8899999999</v>
      </c>
      <c r="N5" s="1215">
        <f t="shared" si="0"/>
        <v>-540855.8899999999</v>
      </c>
      <c r="O5" s="1215">
        <f t="shared" si="0"/>
        <v>-540855.8899999999</v>
      </c>
      <c r="P5" s="1217">
        <f t="shared" si="0"/>
        <v>-540855.8899999999</v>
      </c>
      <c r="Q5" s="1215">
        <f t="shared" si="0"/>
        <v>-540855.8899999999</v>
      </c>
      <c r="R5" s="1215">
        <f t="shared" si="0"/>
        <v>-540855.8899999999</v>
      </c>
      <c r="S5" s="1215">
        <f t="shared" si="0"/>
        <v>-540855.8899999999</v>
      </c>
      <c r="T5" s="1215">
        <f t="shared" si="0"/>
        <v>-546555.8899999999</v>
      </c>
      <c r="U5" s="1215">
        <f t="shared" si="0"/>
        <v>-546555.8899999999</v>
      </c>
      <c r="V5" s="1215">
        <f t="shared" si="0"/>
        <v>-546555.8899999999</v>
      </c>
      <c r="W5" s="1215">
        <f t="shared" si="0"/>
        <v>-546555.8899999999</v>
      </c>
      <c r="X5" s="1215">
        <f t="shared" si="0"/>
        <v>-546555.8899999999</v>
      </c>
      <c r="Y5" s="1215">
        <f t="shared" si="0"/>
        <v>-546555.8899999999</v>
      </c>
      <c r="Z5" s="1215">
        <f t="shared" si="0"/>
        <v>-546555.8899999999</v>
      </c>
      <c r="AA5" s="1215">
        <f t="shared" si="0"/>
        <v>-546555.8899999999</v>
      </c>
      <c r="AB5" s="1215">
        <f t="shared" si="0"/>
        <v>-546555.8899999999</v>
      </c>
      <c r="AC5" s="1215">
        <f t="shared" si="0"/>
        <v>-546555.8899999999</v>
      </c>
      <c r="AD5" s="1215">
        <f t="shared" si="0"/>
        <v>-546555.8899999999</v>
      </c>
      <c r="AE5" s="1215">
        <f t="shared" si="0"/>
        <v>-546555.8899999999</v>
      </c>
      <c r="AF5" s="1215">
        <f t="shared" si="0"/>
        <v>-546555.8899999999</v>
      </c>
      <c r="AG5" s="1215">
        <f t="shared" si="0"/>
        <v>-587046.62899999996</v>
      </c>
      <c r="AH5" s="1207"/>
    </row>
    <row r="6" spans="1:36" x14ac:dyDescent="0.2">
      <c r="A6" s="1218">
        <v>100000</v>
      </c>
      <c r="B6" s="1207" t="s">
        <v>690</v>
      </c>
      <c r="C6" s="1219">
        <f t="shared" ref="C6:AF6" si="1">C70</f>
        <v>-574440.11</v>
      </c>
      <c r="D6" s="1219">
        <f t="shared" si="1"/>
        <v>-574440.11</v>
      </c>
      <c r="E6" s="1219">
        <f t="shared" si="1"/>
        <v>-574440.11</v>
      </c>
      <c r="F6" s="1219">
        <f t="shared" si="1"/>
        <v>-574440.11</v>
      </c>
      <c r="G6" s="1219">
        <f t="shared" si="1"/>
        <v>-574440.11</v>
      </c>
      <c r="H6" s="1219">
        <f t="shared" si="1"/>
        <v>-574440.11</v>
      </c>
      <c r="I6" s="1219">
        <f t="shared" si="1"/>
        <v>-574440.11</v>
      </c>
      <c r="J6" s="1220">
        <f t="shared" si="1"/>
        <v>-574440.11</v>
      </c>
      <c r="K6" s="1220">
        <f t="shared" si="1"/>
        <v>-574440.11</v>
      </c>
      <c r="L6" s="1219">
        <f t="shared" si="1"/>
        <v>-574440.11</v>
      </c>
      <c r="M6" s="1219">
        <f t="shared" si="1"/>
        <v>-574440.11</v>
      </c>
      <c r="N6" s="1219">
        <f t="shared" si="1"/>
        <v>-574440.11</v>
      </c>
      <c r="O6" s="1219">
        <f t="shared" si="1"/>
        <v>-574440.11</v>
      </c>
      <c r="P6" s="1221">
        <f t="shared" si="1"/>
        <v>-574440.11</v>
      </c>
      <c r="Q6" s="1219">
        <f t="shared" si="1"/>
        <v>-574440.11</v>
      </c>
      <c r="R6" s="1219">
        <f t="shared" si="1"/>
        <v>-574440.11</v>
      </c>
      <c r="S6" s="1219">
        <f t="shared" si="1"/>
        <v>-574440.11</v>
      </c>
      <c r="T6" s="1219">
        <f t="shared" si="1"/>
        <v>-574440.11</v>
      </c>
      <c r="U6" s="1219">
        <f t="shared" si="1"/>
        <v>-574440.11</v>
      </c>
      <c r="V6" s="1219">
        <f t="shared" si="1"/>
        <v>-574440.11</v>
      </c>
      <c r="W6" s="1219">
        <f t="shared" si="1"/>
        <v>-574440.11</v>
      </c>
      <c r="X6" s="1219">
        <f t="shared" si="1"/>
        <v>-574440.11</v>
      </c>
      <c r="Y6" s="1219">
        <f t="shared" si="1"/>
        <v>-574440.11</v>
      </c>
      <c r="Z6" s="1219">
        <f t="shared" si="1"/>
        <v>-574440.11</v>
      </c>
      <c r="AA6" s="1219">
        <f t="shared" si="1"/>
        <v>-574440.11</v>
      </c>
      <c r="AB6" s="1219">
        <f t="shared" si="1"/>
        <v>-574440.11</v>
      </c>
      <c r="AC6" s="1219">
        <f t="shared" si="1"/>
        <v>-574440.11</v>
      </c>
      <c r="AD6" s="1219">
        <f t="shared" si="1"/>
        <v>-574440.11</v>
      </c>
      <c r="AE6" s="1219">
        <f t="shared" si="1"/>
        <v>-574440.11</v>
      </c>
      <c r="AF6" s="1219">
        <f t="shared" si="1"/>
        <v>-574440.11</v>
      </c>
      <c r="AG6" s="1219">
        <f>AG70</f>
        <v>-574440.11</v>
      </c>
      <c r="AH6" s="1207"/>
    </row>
    <row r="7" spans="1:36" x14ac:dyDescent="0.2">
      <c r="A7" s="1218">
        <v>25000</v>
      </c>
      <c r="B7" s="1207" t="s">
        <v>666</v>
      </c>
      <c r="C7" s="1219">
        <f t="shared" ref="C7:AG7" si="2">C184</f>
        <v>38701.148000000001</v>
      </c>
      <c r="D7" s="1219">
        <f t="shared" si="2"/>
        <v>38701.148000000001</v>
      </c>
      <c r="E7" s="1219">
        <f t="shared" si="2"/>
        <v>38701.148000000001</v>
      </c>
      <c r="F7" s="1219">
        <f t="shared" si="2"/>
        <v>38701.148000000001</v>
      </c>
      <c r="G7" s="1219">
        <f t="shared" si="2"/>
        <v>38701.148000000001</v>
      </c>
      <c r="H7" s="1219">
        <f t="shared" si="2"/>
        <v>38701.148000000001</v>
      </c>
      <c r="I7" s="1219">
        <f t="shared" si="2"/>
        <v>38701.148000000001</v>
      </c>
      <c r="J7" s="1220">
        <f t="shared" si="2"/>
        <v>38701.148000000001</v>
      </c>
      <c r="K7" s="1220">
        <f t="shared" si="2"/>
        <v>38701.148000000001</v>
      </c>
      <c r="L7" s="1219">
        <f t="shared" si="2"/>
        <v>38701.148000000001</v>
      </c>
      <c r="M7" s="1219">
        <f t="shared" si="2"/>
        <v>38701.148000000001</v>
      </c>
      <c r="N7" s="1219">
        <f t="shared" si="2"/>
        <v>38701.148000000001</v>
      </c>
      <c r="O7" s="1219">
        <f t="shared" si="2"/>
        <v>38701.148000000001</v>
      </c>
      <c r="P7" s="1221">
        <f t="shared" si="2"/>
        <v>38701.148000000001</v>
      </c>
      <c r="Q7" s="1219">
        <f t="shared" si="2"/>
        <v>38701.148000000001</v>
      </c>
      <c r="R7" s="1219">
        <f t="shared" si="2"/>
        <v>38701.148000000001</v>
      </c>
      <c r="S7" s="1222">
        <f t="shared" si="2"/>
        <v>38701.148000000001</v>
      </c>
      <c r="T7" s="1219">
        <f t="shared" si="2"/>
        <v>38701.148000000001</v>
      </c>
      <c r="U7" s="1219">
        <f t="shared" si="2"/>
        <v>38701.148000000001</v>
      </c>
      <c r="V7" s="1219">
        <f t="shared" si="2"/>
        <v>38701.148000000001</v>
      </c>
      <c r="W7" s="1219">
        <f t="shared" si="2"/>
        <v>38701.148000000001</v>
      </c>
      <c r="X7" s="1219">
        <f t="shared" si="2"/>
        <v>38701.148000000001</v>
      </c>
      <c r="Y7" s="1219">
        <f t="shared" si="2"/>
        <v>38701.148000000001</v>
      </c>
      <c r="Z7" s="1219">
        <f t="shared" si="2"/>
        <v>38701.148000000001</v>
      </c>
      <c r="AA7" s="1219">
        <f t="shared" si="2"/>
        <v>38701.148000000001</v>
      </c>
      <c r="AB7" s="1219">
        <f t="shared" si="2"/>
        <v>38701.148000000001</v>
      </c>
      <c r="AC7" s="1219">
        <f t="shared" si="2"/>
        <v>38701.148000000001</v>
      </c>
      <c r="AD7" s="1219">
        <f t="shared" si="2"/>
        <v>38701.148000000001</v>
      </c>
      <c r="AE7" s="1219">
        <f t="shared" si="2"/>
        <v>38701.148000000001</v>
      </c>
      <c r="AF7" s="1219">
        <f t="shared" si="2"/>
        <v>38701.148000000001</v>
      </c>
      <c r="AG7" s="1219">
        <f t="shared" si="2"/>
        <v>38701.148000000001</v>
      </c>
      <c r="AH7" s="1207"/>
    </row>
    <row r="8" spans="1:36" x14ac:dyDescent="0.2">
      <c r="A8" s="1218">
        <v>25000</v>
      </c>
      <c r="B8" s="1207" t="s">
        <v>667</v>
      </c>
      <c r="C8" s="1219">
        <f t="shared" ref="C8:AG8" si="3">C247</f>
        <v>-28088.243999999999</v>
      </c>
      <c r="D8" s="1219">
        <f t="shared" si="3"/>
        <v>-28088.243999999999</v>
      </c>
      <c r="E8" s="1219">
        <f t="shared" si="3"/>
        <v>-28088.173999999992</v>
      </c>
      <c r="F8" s="1219">
        <f t="shared" si="3"/>
        <v>-28088.173999999992</v>
      </c>
      <c r="G8" s="1219">
        <f t="shared" si="3"/>
        <v>-28088.173999999992</v>
      </c>
      <c r="H8" s="1219">
        <f t="shared" si="3"/>
        <v>-28088.173999999992</v>
      </c>
      <c r="I8" s="1222">
        <f t="shared" si="3"/>
        <v>-28088.173999999992</v>
      </c>
      <c r="J8" s="1220">
        <f t="shared" si="3"/>
        <v>-28088.173999999992</v>
      </c>
      <c r="K8" s="1220">
        <f t="shared" si="3"/>
        <v>-28088.173999999992</v>
      </c>
      <c r="L8" s="1219">
        <f t="shared" si="3"/>
        <v>-28088.173999999992</v>
      </c>
      <c r="M8" s="1219">
        <f t="shared" si="3"/>
        <v>-28088.173999999992</v>
      </c>
      <c r="N8" s="1219">
        <f t="shared" si="3"/>
        <v>-28088.173999999992</v>
      </c>
      <c r="O8" s="1219">
        <f t="shared" si="3"/>
        <v>-28088.173999999992</v>
      </c>
      <c r="P8" s="1221">
        <f t="shared" si="3"/>
        <v>-28088.173999999992</v>
      </c>
      <c r="Q8" s="1219">
        <f t="shared" si="3"/>
        <v>-28088.173999999992</v>
      </c>
      <c r="R8" s="1219">
        <f t="shared" si="3"/>
        <v>-28088.173999999992</v>
      </c>
      <c r="S8" s="1219">
        <f t="shared" si="3"/>
        <v>-28088.173999999992</v>
      </c>
      <c r="T8" s="1219">
        <f t="shared" si="3"/>
        <v>-28088.173999999992</v>
      </c>
      <c r="U8" s="1219">
        <f t="shared" si="3"/>
        <v>-28088.173999999992</v>
      </c>
      <c r="V8" s="1219">
        <f t="shared" si="3"/>
        <v>-28088.173999999992</v>
      </c>
      <c r="W8" s="1219">
        <f t="shared" si="3"/>
        <v>-28088.173999999992</v>
      </c>
      <c r="X8" s="1219">
        <f t="shared" si="3"/>
        <v>-28088.173999999992</v>
      </c>
      <c r="Y8" s="1219">
        <f t="shared" si="3"/>
        <v>-28088.173999999992</v>
      </c>
      <c r="Z8" s="1219">
        <f t="shared" si="3"/>
        <v>-28088.173999999992</v>
      </c>
      <c r="AA8" s="1219">
        <f t="shared" si="3"/>
        <v>-28088.173999999992</v>
      </c>
      <c r="AB8" s="1219">
        <f t="shared" si="3"/>
        <v>-28088.173999999992</v>
      </c>
      <c r="AC8" s="1219">
        <f t="shared" si="3"/>
        <v>-28088.173999999992</v>
      </c>
      <c r="AD8" s="1219">
        <f t="shared" si="3"/>
        <v>-28088.173999999992</v>
      </c>
      <c r="AE8" s="1219">
        <f t="shared" si="3"/>
        <v>-28088.173999999992</v>
      </c>
      <c r="AF8" s="1219">
        <f t="shared" si="3"/>
        <v>-28088.173999999992</v>
      </c>
      <c r="AG8" s="1219">
        <f t="shared" si="3"/>
        <v>-28088.173999999992</v>
      </c>
      <c r="AH8" s="1207"/>
      <c r="AJ8" s="1223"/>
    </row>
    <row r="9" spans="1:36" x14ac:dyDescent="0.2">
      <c r="A9" s="1218">
        <v>20000</v>
      </c>
      <c r="B9" s="1207" t="s">
        <v>691</v>
      </c>
      <c r="C9" s="1219">
        <f t="shared" ref="C9:AG9" si="4">C311</f>
        <v>22971.245999999999</v>
      </c>
      <c r="D9" s="1219">
        <f t="shared" si="4"/>
        <v>22971.245999999999</v>
      </c>
      <c r="E9" s="1219">
        <f t="shared" si="4"/>
        <v>22971.245999999999</v>
      </c>
      <c r="F9" s="1219">
        <f t="shared" si="4"/>
        <v>22971.245999999999</v>
      </c>
      <c r="G9" s="1222">
        <f t="shared" si="4"/>
        <v>22971.245999999999</v>
      </c>
      <c r="H9" s="1219">
        <f t="shared" si="4"/>
        <v>22971.245999999999</v>
      </c>
      <c r="I9" s="1219">
        <f t="shared" si="4"/>
        <v>22971.245999999999</v>
      </c>
      <c r="J9" s="1220">
        <f t="shared" si="4"/>
        <v>22971.245999999999</v>
      </c>
      <c r="K9" s="1220">
        <f t="shared" si="4"/>
        <v>22971.245999999999</v>
      </c>
      <c r="L9" s="1219">
        <f t="shared" si="4"/>
        <v>22971.245999999999</v>
      </c>
      <c r="M9" s="1219">
        <f t="shared" si="4"/>
        <v>22971.245999999999</v>
      </c>
      <c r="N9" s="1219">
        <f t="shared" si="4"/>
        <v>22971.245999999999</v>
      </c>
      <c r="O9" s="1219">
        <f t="shared" si="4"/>
        <v>22971.245999999999</v>
      </c>
      <c r="P9" s="1221">
        <f t="shared" si="4"/>
        <v>22971.245999999999</v>
      </c>
      <c r="Q9" s="1219">
        <f t="shared" si="4"/>
        <v>22971.245999999999</v>
      </c>
      <c r="R9" s="1219">
        <f t="shared" si="4"/>
        <v>22971.245999999999</v>
      </c>
      <c r="S9" s="1219">
        <f t="shared" si="4"/>
        <v>22971.245999999999</v>
      </c>
      <c r="T9" s="1219">
        <f t="shared" si="4"/>
        <v>17271.245999999999</v>
      </c>
      <c r="U9" s="1219">
        <f t="shared" si="4"/>
        <v>17271.245999999999</v>
      </c>
      <c r="V9" s="1219">
        <f t="shared" si="4"/>
        <v>17271.245999999999</v>
      </c>
      <c r="W9" s="1219">
        <f t="shared" si="4"/>
        <v>17271.245999999999</v>
      </c>
      <c r="X9" s="1219">
        <f t="shared" si="4"/>
        <v>17271.245999999999</v>
      </c>
      <c r="Y9" s="1219">
        <f t="shared" si="4"/>
        <v>17271.245999999999</v>
      </c>
      <c r="Z9" s="1219">
        <f t="shared" si="4"/>
        <v>17271.245999999999</v>
      </c>
      <c r="AA9" s="1219">
        <f t="shared" si="4"/>
        <v>17271.245999999999</v>
      </c>
      <c r="AB9" s="1219">
        <f t="shared" si="4"/>
        <v>17271.245999999999</v>
      </c>
      <c r="AC9" s="1219">
        <f t="shared" si="4"/>
        <v>17271.245999999999</v>
      </c>
      <c r="AD9" s="1219">
        <f t="shared" si="4"/>
        <v>17271.245999999999</v>
      </c>
      <c r="AE9" s="1219">
        <f t="shared" si="4"/>
        <v>17271.245999999999</v>
      </c>
      <c r="AF9" s="1219">
        <f t="shared" si="4"/>
        <v>17271.245999999999</v>
      </c>
      <c r="AG9" s="1219">
        <f t="shared" si="4"/>
        <v>-23219.493000000002</v>
      </c>
      <c r="AH9" s="1207"/>
    </row>
    <row r="10" spans="1:36" x14ac:dyDescent="0.2">
      <c r="A10" s="1213" t="s">
        <v>692</v>
      </c>
      <c r="B10" s="1214" t="s">
        <v>132</v>
      </c>
      <c r="C10" s="1224">
        <f t="shared" ref="C10:AG10" si="5">C11+C12+C13</f>
        <v>3891.2429999999999</v>
      </c>
      <c r="D10" s="1224">
        <f t="shared" si="5"/>
        <v>0</v>
      </c>
      <c r="E10" s="1224">
        <f t="shared" si="5"/>
        <v>1325.9649999999999</v>
      </c>
      <c r="F10" s="1224">
        <f t="shared" si="5"/>
        <v>4644.3969999999999</v>
      </c>
      <c r="G10" s="1224">
        <f t="shared" si="5"/>
        <v>3878.2960000000003</v>
      </c>
      <c r="H10" s="1224">
        <f t="shared" si="5"/>
        <v>0</v>
      </c>
      <c r="I10" s="1224">
        <f t="shared" si="5"/>
        <v>3838.8209999999999</v>
      </c>
      <c r="J10" s="1225">
        <f t="shared" si="5"/>
        <v>1003.638</v>
      </c>
      <c r="K10" s="1225">
        <f t="shared" si="5"/>
        <v>1110</v>
      </c>
      <c r="L10" s="1224">
        <f t="shared" si="5"/>
        <v>5747.7390000000005</v>
      </c>
      <c r="M10" s="1224">
        <f t="shared" si="5"/>
        <v>2524.6890000000003</v>
      </c>
      <c r="N10" s="1224">
        <f t="shared" si="5"/>
        <v>5603.76</v>
      </c>
      <c r="O10" s="1224">
        <f t="shared" si="5"/>
        <v>1591.268</v>
      </c>
      <c r="P10" s="1226">
        <f t="shared" si="5"/>
        <v>1885</v>
      </c>
      <c r="Q10" s="1224">
        <f t="shared" si="5"/>
        <v>17503.526999999998</v>
      </c>
      <c r="R10" s="1224">
        <f t="shared" si="5"/>
        <v>5595.5529999999999</v>
      </c>
      <c r="S10" s="1224">
        <f t="shared" si="5"/>
        <v>5370.0709999999999</v>
      </c>
      <c r="T10" s="1224">
        <f t="shared" si="5"/>
        <v>2763.4790000000003</v>
      </c>
      <c r="U10" s="1224">
        <f t="shared" si="5"/>
        <v>2291.268</v>
      </c>
      <c r="V10" s="1224">
        <f t="shared" si="5"/>
        <v>17989.393</v>
      </c>
      <c r="W10" s="1224">
        <f t="shared" si="5"/>
        <v>5802.9160000000002</v>
      </c>
      <c r="X10" s="1224">
        <f t="shared" si="5"/>
        <v>4218.9669999999996</v>
      </c>
      <c r="Y10" s="1224">
        <f t="shared" si="5"/>
        <v>2936.3139999999999</v>
      </c>
      <c r="Z10" s="1224">
        <f t="shared" si="5"/>
        <v>2334.5810000000001</v>
      </c>
      <c r="AA10" s="1224">
        <f t="shared" si="5"/>
        <v>14971.502</v>
      </c>
      <c r="AB10" s="1224">
        <f t="shared" si="5"/>
        <v>1193.586</v>
      </c>
      <c r="AC10" s="1224">
        <f t="shared" si="5"/>
        <v>878.822</v>
      </c>
      <c r="AD10" s="1224">
        <f t="shared" si="5"/>
        <v>12405.159</v>
      </c>
      <c r="AE10" s="1224">
        <f t="shared" si="5"/>
        <v>1369.326</v>
      </c>
      <c r="AF10" s="1224">
        <f t="shared" si="5"/>
        <v>21386.620999999999</v>
      </c>
      <c r="AG10" s="1224">
        <f t="shared" si="5"/>
        <v>36473.035000000003</v>
      </c>
      <c r="AH10" s="1227">
        <f>SUM(C10:AG10)</f>
        <v>192528.93600000002</v>
      </c>
    </row>
    <row r="11" spans="1:36" x14ac:dyDescent="0.2">
      <c r="A11" s="1213"/>
      <c r="B11" s="1207" t="s">
        <v>666</v>
      </c>
      <c r="C11" s="1227">
        <f t="shared" ref="C11:AG11" si="6">C171</f>
        <v>1800</v>
      </c>
      <c r="D11" s="1227">
        <f t="shared" si="6"/>
        <v>0</v>
      </c>
      <c r="E11" s="1227">
        <f t="shared" si="6"/>
        <v>0</v>
      </c>
      <c r="F11" s="1227">
        <f t="shared" si="6"/>
        <v>1110</v>
      </c>
      <c r="G11" s="1227">
        <f t="shared" si="6"/>
        <v>723.81500000000005</v>
      </c>
      <c r="H11" s="1227">
        <f t="shared" si="6"/>
        <v>0</v>
      </c>
      <c r="I11" s="1227">
        <f t="shared" si="6"/>
        <v>2247.5529999999999</v>
      </c>
      <c r="J11" s="1228">
        <f t="shared" si="6"/>
        <v>0</v>
      </c>
      <c r="K11" s="1228">
        <f t="shared" si="6"/>
        <v>1110</v>
      </c>
      <c r="L11" s="1227">
        <f t="shared" si="6"/>
        <v>0</v>
      </c>
      <c r="M11" s="1227">
        <f t="shared" si="6"/>
        <v>2524.6890000000003</v>
      </c>
      <c r="N11" s="1227">
        <f t="shared" si="6"/>
        <v>817.49199999999996</v>
      </c>
      <c r="O11" s="1227">
        <f t="shared" si="6"/>
        <v>0</v>
      </c>
      <c r="P11" s="1229">
        <f t="shared" si="6"/>
        <v>1885</v>
      </c>
      <c r="Q11" s="1227">
        <f t="shared" si="6"/>
        <v>1614.6669999999999</v>
      </c>
      <c r="R11" s="1227">
        <f t="shared" si="6"/>
        <v>1431.7649999999999</v>
      </c>
      <c r="S11" s="1227">
        <f t="shared" si="6"/>
        <v>0</v>
      </c>
      <c r="T11" s="1227">
        <f t="shared" si="6"/>
        <v>1110</v>
      </c>
      <c r="U11" s="1227">
        <f t="shared" si="6"/>
        <v>700</v>
      </c>
      <c r="V11" s="1227">
        <f t="shared" si="6"/>
        <v>8593.7720000000008</v>
      </c>
      <c r="W11" s="1227">
        <f t="shared" si="6"/>
        <v>1110</v>
      </c>
      <c r="X11" s="1227">
        <f t="shared" si="6"/>
        <v>595.08299999999997</v>
      </c>
      <c r="Y11" s="1227">
        <f t="shared" si="6"/>
        <v>0</v>
      </c>
      <c r="Z11" s="1227">
        <f t="shared" si="6"/>
        <v>0</v>
      </c>
      <c r="AA11" s="1227">
        <f t="shared" si="6"/>
        <v>0</v>
      </c>
      <c r="AB11" s="1227">
        <f t="shared" si="6"/>
        <v>0</v>
      </c>
      <c r="AC11" s="1227">
        <f t="shared" si="6"/>
        <v>0</v>
      </c>
      <c r="AD11" s="1227">
        <f t="shared" si="6"/>
        <v>0</v>
      </c>
      <c r="AE11" s="1227">
        <f t="shared" si="6"/>
        <v>0</v>
      </c>
      <c r="AF11" s="1227">
        <f t="shared" si="6"/>
        <v>4378.1480000000001</v>
      </c>
      <c r="AG11" s="1227">
        <f t="shared" si="6"/>
        <v>3907.5140000000001</v>
      </c>
      <c r="AH11" s="1207"/>
    </row>
    <row r="12" spans="1:36" x14ac:dyDescent="0.2">
      <c r="A12" s="1213"/>
      <c r="B12" s="1207" t="s">
        <v>667</v>
      </c>
      <c r="C12" s="1227">
        <f t="shared" ref="C12:AG12" si="7">C234</f>
        <v>0</v>
      </c>
      <c r="D12" s="1227">
        <f t="shared" si="7"/>
        <v>0</v>
      </c>
      <c r="E12" s="1227">
        <f t="shared" si="7"/>
        <v>0</v>
      </c>
      <c r="F12" s="1227">
        <f t="shared" si="7"/>
        <v>1943.1289999999999</v>
      </c>
      <c r="G12" s="1227">
        <f t="shared" si="7"/>
        <v>0</v>
      </c>
      <c r="H12" s="1227">
        <f t="shared" si="7"/>
        <v>0</v>
      </c>
      <c r="I12" s="1227">
        <f t="shared" si="7"/>
        <v>0</v>
      </c>
      <c r="J12" s="1228">
        <f t="shared" si="7"/>
        <v>0</v>
      </c>
      <c r="K12" s="1228">
        <f t="shared" si="7"/>
        <v>0</v>
      </c>
      <c r="L12" s="1227">
        <f t="shared" si="7"/>
        <v>0</v>
      </c>
      <c r="M12" s="1227">
        <f t="shared" si="7"/>
        <v>0</v>
      </c>
      <c r="N12" s="1227">
        <f t="shared" si="7"/>
        <v>0</v>
      </c>
      <c r="O12" s="1227">
        <f t="shared" si="7"/>
        <v>0</v>
      </c>
      <c r="P12" s="1229">
        <f t="shared" si="7"/>
        <v>0</v>
      </c>
      <c r="Q12" s="1227">
        <f t="shared" si="7"/>
        <v>1639.915</v>
      </c>
      <c r="R12" s="1227">
        <f t="shared" si="7"/>
        <v>0</v>
      </c>
      <c r="S12" s="1227">
        <f t="shared" si="7"/>
        <v>4484.0709999999999</v>
      </c>
      <c r="T12" s="1227">
        <f t="shared" si="7"/>
        <v>0</v>
      </c>
      <c r="U12" s="1227">
        <f t="shared" si="7"/>
        <v>0</v>
      </c>
      <c r="V12" s="1227">
        <f t="shared" si="7"/>
        <v>0</v>
      </c>
      <c r="W12" s="1227">
        <f t="shared" si="7"/>
        <v>3804.9160000000002</v>
      </c>
      <c r="X12" s="1227">
        <f t="shared" si="7"/>
        <v>0</v>
      </c>
      <c r="Y12" s="1227">
        <f t="shared" si="7"/>
        <v>0</v>
      </c>
      <c r="Z12" s="1227">
        <f t="shared" si="7"/>
        <v>770.58100000000002</v>
      </c>
      <c r="AA12" s="1227">
        <f t="shared" si="7"/>
        <v>3237.692</v>
      </c>
      <c r="AB12" s="1227">
        <f t="shared" si="7"/>
        <v>0</v>
      </c>
      <c r="AC12" s="1227">
        <f t="shared" si="7"/>
        <v>0</v>
      </c>
      <c r="AD12" s="1227">
        <f t="shared" si="7"/>
        <v>7042.6080000000002</v>
      </c>
      <c r="AE12" s="1227">
        <f t="shared" si="7"/>
        <v>0</v>
      </c>
      <c r="AF12" s="1227">
        <f t="shared" si="7"/>
        <v>8055.6839999999993</v>
      </c>
      <c r="AG12" s="1227">
        <f t="shared" si="7"/>
        <v>19903.261000000002</v>
      </c>
      <c r="AH12" s="1207"/>
    </row>
    <row r="13" spans="1:36" x14ac:dyDescent="0.2">
      <c r="A13" s="1213"/>
      <c r="B13" s="1207" t="s">
        <v>691</v>
      </c>
      <c r="C13" s="1227">
        <f t="shared" ref="C13:AG13" si="8">C298</f>
        <v>2091.2429999999999</v>
      </c>
      <c r="D13" s="1227">
        <f t="shared" si="8"/>
        <v>0</v>
      </c>
      <c r="E13" s="1227">
        <f t="shared" si="8"/>
        <v>1325.9649999999999</v>
      </c>
      <c r="F13" s="1227">
        <f t="shared" si="8"/>
        <v>1591.268</v>
      </c>
      <c r="G13" s="1227">
        <f t="shared" si="8"/>
        <v>3154.4810000000002</v>
      </c>
      <c r="H13" s="1227">
        <f t="shared" si="8"/>
        <v>0</v>
      </c>
      <c r="I13" s="1227">
        <f t="shared" si="8"/>
        <v>1591.268</v>
      </c>
      <c r="J13" s="1228">
        <f t="shared" si="8"/>
        <v>1003.638</v>
      </c>
      <c r="K13" s="1228">
        <f t="shared" si="8"/>
        <v>0</v>
      </c>
      <c r="L13" s="1227">
        <f t="shared" si="8"/>
        <v>5747.7390000000005</v>
      </c>
      <c r="M13" s="1227">
        <f t="shared" si="8"/>
        <v>0</v>
      </c>
      <c r="N13" s="1227">
        <f t="shared" si="8"/>
        <v>4786.268</v>
      </c>
      <c r="O13" s="1227">
        <f t="shared" si="8"/>
        <v>1591.268</v>
      </c>
      <c r="P13" s="1229">
        <f t="shared" si="8"/>
        <v>0</v>
      </c>
      <c r="Q13" s="1227">
        <f t="shared" si="8"/>
        <v>14248.945</v>
      </c>
      <c r="R13" s="1227">
        <f t="shared" si="8"/>
        <v>4163.7880000000005</v>
      </c>
      <c r="S13" s="1227">
        <f t="shared" si="8"/>
        <v>886</v>
      </c>
      <c r="T13" s="1227">
        <f t="shared" si="8"/>
        <v>1653.479</v>
      </c>
      <c r="U13" s="1227">
        <f t="shared" si="8"/>
        <v>1591.268</v>
      </c>
      <c r="V13" s="1227">
        <f t="shared" si="8"/>
        <v>9395.6209999999992</v>
      </c>
      <c r="W13" s="1227">
        <f t="shared" si="8"/>
        <v>888</v>
      </c>
      <c r="X13" s="1227">
        <f t="shared" si="8"/>
        <v>3623.884</v>
      </c>
      <c r="Y13" s="1227">
        <f t="shared" si="8"/>
        <v>2936.3139999999999</v>
      </c>
      <c r="Z13" s="1227">
        <f t="shared" si="8"/>
        <v>1564</v>
      </c>
      <c r="AA13" s="1227">
        <f t="shared" si="8"/>
        <v>11733.810000000001</v>
      </c>
      <c r="AB13" s="1227">
        <f t="shared" si="8"/>
        <v>1193.586</v>
      </c>
      <c r="AC13" s="1227">
        <f t="shared" si="8"/>
        <v>878.822</v>
      </c>
      <c r="AD13" s="1227">
        <f t="shared" si="8"/>
        <v>5362.5509999999995</v>
      </c>
      <c r="AE13" s="1227">
        <f t="shared" si="8"/>
        <v>1369.326</v>
      </c>
      <c r="AF13" s="1227">
        <f t="shared" si="8"/>
        <v>8952.7890000000007</v>
      </c>
      <c r="AG13" s="1227">
        <f t="shared" si="8"/>
        <v>12662.26</v>
      </c>
      <c r="AH13" s="1207"/>
    </row>
    <row r="14" spans="1:36" x14ac:dyDescent="0.2">
      <c r="A14" s="1207"/>
      <c r="B14" s="1207"/>
      <c r="C14" s="1207"/>
      <c r="D14" s="1207"/>
      <c r="E14" s="1207"/>
      <c r="F14" s="1207"/>
      <c r="G14" s="1207"/>
      <c r="H14" s="1207"/>
      <c r="I14" s="1207"/>
      <c r="J14" s="1230"/>
      <c r="K14" s="1230"/>
      <c r="L14" s="1207"/>
      <c r="M14" s="1207"/>
      <c r="N14" s="1216"/>
      <c r="O14" s="1207"/>
      <c r="P14" s="1208"/>
      <c r="Q14" s="1207"/>
      <c r="R14" s="1207"/>
      <c r="S14" s="1207"/>
      <c r="T14" s="1207"/>
      <c r="U14" s="1216"/>
      <c r="V14" s="1207"/>
      <c r="W14" s="1207"/>
      <c r="X14" s="1207"/>
      <c r="Y14" s="1207"/>
      <c r="Z14" s="1207"/>
      <c r="AA14" s="1216"/>
      <c r="AB14" s="1207"/>
      <c r="AC14" s="1207"/>
      <c r="AD14" s="1207"/>
      <c r="AE14" s="1207"/>
      <c r="AF14" s="1207"/>
      <c r="AG14" s="1216"/>
      <c r="AH14" s="1231">
        <f>AG5+AH10</f>
        <v>-394517.69299999997</v>
      </c>
    </row>
    <row r="15" spans="1:36" ht="13.5" thickBot="1" x14ac:dyDescent="0.25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8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7"/>
      <c r="AF15" s="1207"/>
      <c r="AG15" s="1207"/>
      <c r="AH15" s="1232"/>
      <c r="AI15" s="1223"/>
    </row>
    <row r="16" spans="1:36" x14ac:dyDescent="0.2">
      <c r="A16" s="1233"/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5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2"/>
      <c r="AI16" s="1223"/>
    </row>
    <row r="17" spans="1:35" x14ac:dyDescent="0.2">
      <c r="A17" s="1236"/>
      <c r="B17" s="1237" t="s">
        <v>37</v>
      </c>
      <c r="C17" s="1237"/>
      <c r="D17" s="1237"/>
      <c r="E17" s="1238" t="s">
        <v>36</v>
      </c>
      <c r="F17" s="1239" t="s">
        <v>140</v>
      </c>
      <c r="G17" s="1239"/>
      <c r="H17" s="1211" t="s">
        <v>6</v>
      </c>
      <c r="I17" s="1239"/>
      <c r="J17" s="1239"/>
      <c r="K17" s="1239"/>
      <c r="L17" s="1239"/>
      <c r="M17" s="1239"/>
      <c r="N17" s="1239"/>
      <c r="O17" s="1239"/>
      <c r="P17" s="1240"/>
      <c r="Q17" s="1239"/>
      <c r="R17" s="1239"/>
      <c r="S17" s="1239"/>
      <c r="T17" s="1239"/>
      <c r="U17" s="1239"/>
      <c r="V17" s="1239"/>
      <c r="W17" s="1239"/>
      <c r="X17" s="1239"/>
      <c r="Y17" s="1239"/>
      <c r="AA17" s="1239"/>
      <c r="AB17" s="1239"/>
      <c r="AC17" s="1239"/>
      <c r="AD17" s="1239"/>
      <c r="AE17" s="1239"/>
      <c r="AF17" s="1239"/>
      <c r="AG17" s="1239"/>
      <c r="AH17" s="1232"/>
      <c r="AI17" s="1223"/>
    </row>
    <row r="18" spans="1:35" x14ac:dyDescent="0.2">
      <c r="A18" s="1236"/>
      <c r="B18" s="1237"/>
      <c r="C18" s="1237"/>
      <c r="D18" s="1239">
        <v>42467</v>
      </c>
      <c r="E18" s="1237"/>
      <c r="F18" s="1237"/>
      <c r="G18" s="1237"/>
      <c r="H18" s="1237"/>
      <c r="I18" s="1237"/>
      <c r="J18" s="1237"/>
      <c r="K18" s="1237"/>
      <c r="L18" s="1237"/>
      <c r="M18" s="1237"/>
      <c r="N18" s="1237"/>
      <c r="O18" s="1237"/>
      <c r="P18" s="1241"/>
      <c r="Q18" s="1237"/>
      <c r="R18" s="1237"/>
      <c r="S18" s="1237"/>
      <c r="T18" s="1237"/>
      <c r="U18" s="1237"/>
      <c r="V18" s="1237"/>
      <c r="W18" s="1237"/>
      <c r="X18" s="1237"/>
      <c r="Y18" s="1237"/>
      <c r="Z18" s="1237"/>
      <c r="AA18" s="1237"/>
      <c r="AB18" s="1237"/>
      <c r="AC18" s="1237"/>
      <c r="AD18" s="1237"/>
      <c r="AE18" s="1237"/>
      <c r="AF18" s="1237"/>
      <c r="AG18" s="1237"/>
      <c r="AH18" s="1229"/>
    </row>
    <row r="19" spans="1:35" x14ac:dyDescent="0.2">
      <c r="A19" s="1242"/>
      <c r="B19" s="1239"/>
      <c r="C19" s="1239"/>
      <c r="D19" s="1238"/>
      <c r="E19" s="1237"/>
      <c r="F19" s="1237"/>
      <c r="G19" s="1237"/>
      <c r="H19" s="1237"/>
      <c r="I19" s="1237"/>
      <c r="J19" s="1237"/>
      <c r="K19" s="1237"/>
      <c r="L19" s="1237"/>
      <c r="M19" s="1237"/>
      <c r="N19" s="1237"/>
      <c r="O19" s="1237"/>
      <c r="P19" s="1241"/>
      <c r="Q19" s="1237"/>
      <c r="R19" s="1237"/>
      <c r="S19" s="1237"/>
      <c r="T19" s="1237"/>
      <c r="U19" s="1237"/>
      <c r="V19" s="1237"/>
      <c r="W19" s="1237"/>
      <c r="X19" s="1237"/>
      <c r="Y19" s="1237"/>
      <c r="Z19" s="1237"/>
      <c r="AA19" s="1237"/>
      <c r="AB19" s="1237"/>
      <c r="AC19" s="1237"/>
      <c r="AD19" s="1237"/>
      <c r="AE19" s="1237"/>
      <c r="AF19" s="1237"/>
      <c r="AG19" s="1237"/>
      <c r="AH19" s="1207"/>
    </row>
    <row r="20" spans="1:35" x14ac:dyDescent="0.2">
      <c r="A20" s="1242"/>
      <c r="B20" s="1237"/>
      <c r="C20" s="1237"/>
      <c r="D20" s="1239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41"/>
      <c r="Q20" s="1237"/>
      <c r="R20" s="1237"/>
      <c r="S20" s="1237"/>
      <c r="T20" s="1237"/>
      <c r="U20" s="1237"/>
      <c r="V20" s="1237"/>
      <c r="W20" s="1237"/>
      <c r="X20" s="1237"/>
      <c r="Y20" s="1237"/>
      <c r="Z20" s="1237"/>
      <c r="AA20" s="1237"/>
      <c r="AB20" s="1237"/>
      <c r="AC20" s="1237"/>
      <c r="AD20" s="1237"/>
      <c r="AE20" s="1237"/>
      <c r="AF20" s="1237"/>
      <c r="AG20" s="1237"/>
      <c r="AH20" s="1207"/>
    </row>
    <row r="21" spans="1:35" ht="13.5" thickBot="1" x14ac:dyDescent="0.25">
      <c r="A21" s="1236"/>
      <c r="B21" s="1237"/>
      <c r="C21" s="1237"/>
      <c r="D21" s="1237"/>
      <c r="E21" s="1237"/>
      <c r="F21" s="1237"/>
      <c r="G21" s="1237"/>
      <c r="H21" s="1237"/>
      <c r="I21" s="1237"/>
      <c r="J21" s="1237"/>
      <c r="K21" s="1237"/>
      <c r="L21" s="1237"/>
      <c r="M21" s="1237"/>
      <c r="N21" s="1237"/>
      <c r="O21" s="1237"/>
      <c r="P21" s="1241"/>
      <c r="Q21" s="1237"/>
      <c r="R21" s="1237"/>
      <c r="S21" s="1237"/>
      <c r="T21" s="1237"/>
      <c r="U21" s="1237"/>
      <c r="V21" s="1237"/>
      <c r="W21" s="1237"/>
      <c r="X21" s="1237"/>
      <c r="Y21" s="1237"/>
      <c r="Z21" s="1237"/>
      <c r="AA21" s="1237"/>
      <c r="AB21" s="1237"/>
      <c r="AC21" s="1237"/>
      <c r="AD21" s="1237"/>
      <c r="AE21" s="1237"/>
      <c r="AF21" s="1237"/>
      <c r="AG21" s="1237"/>
      <c r="AH21" s="1207"/>
    </row>
    <row r="22" spans="1:35" ht="13.5" thickBot="1" x14ac:dyDescent="0.25">
      <c r="A22" s="1236"/>
      <c r="B22" s="1237"/>
      <c r="C22" s="1243"/>
      <c r="D22" s="1244" t="s">
        <v>16</v>
      </c>
      <c r="E22" s="1244"/>
      <c r="F22" s="1244"/>
      <c r="G22" s="1244"/>
      <c r="H22" s="1244"/>
      <c r="I22" s="1244"/>
      <c r="J22" s="1244"/>
      <c r="K22" s="1244"/>
      <c r="L22" s="1244"/>
      <c r="M22" s="1244"/>
      <c r="N22" s="1244"/>
      <c r="O22" s="1244"/>
      <c r="P22" s="1245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244"/>
      <c r="AE22" s="1244"/>
      <c r="AF22" s="1244"/>
      <c r="AG22" s="1244"/>
      <c r="AH22" s="1207"/>
    </row>
    <row r="23" spans="1:35" ht="13.5" thickBot="1" x14ac:dyDescent="0.25">
      <c r="A23" s="1236"/>
      <c r="B23" s="1237"/>
      <c r="C23" s="1246" t="s">
        <v>452</v>
      </c>
      <c r="D23" s="1246" t="s">
        <v>453</v>
      </c>
      <c r="E23" s="1246" t="s">
        <v>434</v>
      </c>
      <c r="F23" s="1246" t="s">
        <v>390</v>
      </c>
      <c r="G23" s="1246" t="s">
        <v>454</v>
      </c>
      <c r="H23" s="1246" t="s">
        <v>455</v>
      </c>
      <c r="I23" s="1246" t="s">
        <v>456</v>
      </c>
      <c r="J23" s="1246" t="s">
        <v>457</v>
      </c>
      <c r="K23" s="1246" t="s">
        <v>458</v>
      </c>
      <c r="L23" s="1246" t="s">
        <v>216</v>
      </c>
      <c r="M23" s="1246" t="s">
        <v>459</v>
      </c>
      <c r="N23" s="1246" t="s">
        <v>297</v>
      </c>
      <c r="O23" s="1246" t="s">
        <v>211</v>
      </c>
      <c r="P23" s="1247" t="s">
        <v>270</v>
      </c>
      <c r="Q23" s="1246" t="s">
        <v>490</v>
      </c>
      <c r="R23" s="1246" t="s">
        <v>460</v>
      </c>
      <c r="S23" s="1246" t="s">
        <v>461</v>
      </c>
      <c r="T23" s="1246" t="s">
        <v>442</v>
      </c>
      <c r="U23" s="1246" t="s">
        <v>462</v>
      </c>
      <c r="V23" s="1246" t="s">
        <v>470</v>
      </c>
      <c r="W23" s="1246" t="s">
        <v>471</v>
      </c>
      <c r="X23" s="1246" t="s">
        <v>472</v>
      </c>
      <c r="Y23" s="1246" t="s">
        <v>463</v>
      </c>
      <c r="Z23" s="1246" t="s">
        <v>465</v>
      </c>
      <c r="AA23" s="1246" t="s">
        <v>466</v>
      </c>
      <c r="AB23" s="1246" t="s">
        <v>435</v>
      </c>
      <c r="AC23" s="1246" t="s">
        <v>467</v>
      </c>
      <c r="AD23" s="1246" t="s">
        <v>464</v>
      </c>
      <c r="AE23" s="1246" t="s">
        <v>429</v>
      </c>
      <c r="AF23" s="1246" t="s">
        <v>149</v>
      </c>
      <c r="AG23" s="1246" t="s">
        <v>210</v>
      </c>
      <c r="AH23" s="1207"/>
    </row>
    <row r="24" spans="1:35" x14ac:dyDescent="0.2">
      <c r="A24" s="1233"/>
      <c r="B24" s="1248"/>
      <c r="C24" s="1237"/>
      <c r="D24" s="1237"/>
      <c r="E24" s="1237"/>
      <c r="F24" s="1237"/>
      <c r="G24" s="1237"/>
      <c r="H24" s="1237"/>
      <c r="I24" s="1237"/>
      <c r="J24" s="1237"/>
      <c r="K24" s="1237"/>
      <c r="L24" s="1237"/>
      <c r="M24" s="1237"/>
      <c r="N24" s="1237"/>
      <c r="O24" s="1237"/>
      <c r="P24" s="1241"/>
      <c r="Q24" s="1237"/>
      <c r="R24" s="1237"/>
      <c r="S24" s="1237"/>
      <c r="T24" s="1237"/>
      <c r="U24" s="1237"/>
      <c r="V24" s="1237"/>
      <c r="W24" s="1237"/>
      <c r="X24" s="1237"/>
      <c r="Y24" s="1237"/>
      <c r="Z24" s="1237"/>
      <c r="AA24" s="1237"/>
      <c r="AB24" s="1237"/>
      <c r="AC24" s="1237"/>
      <c r="AD24" s="1237"/>
      <c r="AE24" s="1237"/>
      <c r="AF24" s="1237"/>
      <c r="AG24" s="1237"/>
      <c r="AH24" s="1207"/>
    </row>
    <row r="25" spans="1:35" x14ac:dyDescent="0.2">
      <c r="A25" s="1236" t="s">
        <v>0</v>
      </c>
      <c r="B25" s="1249">
        <v>-768401.522</v>
      </c>
      <c r="C25" s="1237"/>
      <c r="D25" s="1237"/>
      <c r="E25" s="1237"/>
      <c r="F25" s="1237"/>
      <c r="G25" s="1237"/>
      <c r="H25" s="1237"/>
      <c r="I25" s="1237"/>
      <c r="J25" s="1237"/>
      <c r="K25" s="1237"/>
      <c r="L25" s="1237"/>
      <c r="M25" s="1237"/>
      <c r="N25" s="1237"/>
      <c r="O25" s="1237"/>
      <c r="P25" s="1241"/>
      <c r="Q25" s="1237"/>
      <c r="R25" s="1237"/>
      <c r="S25" s="1237"/>
      <c r="T25" s="1237"/>
      <c r="U25" s="1237"/>
      <c r="V25" s="1237"/>
      <c r="W25" s="1237"/>
      <c r="X25" s="1237"/>
      <c r="Y25" s="1237"/>
      <c r="Z25" s="1237"/>
      <c r="AA25" s="1237"/>
      <c r="AB25" s="1237"/>
      <c r="AC25" s="1237"/>
      <c r="AD25" s="1237"/>
      <c r="AE25" s="1237"/>
      <c r="AF25" s="1237"/>
      <c r="AG25" s="1237"/>
      <c r="AH25" s="1207"/>
    </row>
    <row r="26" spans="1:35" ht="13.5" thickBot="1" x14ac:dyDescent="0.25">
      <c r="A26" s="1250"/>
      <c r="B26" s="1251"/>
      <c r="C26" s="1237"/>
      <c r="D26" s="1237"/>
      <c r="E26" s="1237"/>
      <c r="F26" s="1237"/>
      <c r="G26" s="1252"/>
      <c r="H26" s="1237"/>
      <c r="I26" s="1237"/>
      <c r="J26" s="1237"/>
      <c r="K26" s="1237"/>
      <c r="L26" s="1237"/>
      <c r="M26" s="1237"/>
      <c r="N26" s="1237"/>
      <c r="O26" s="1237"/>
      <c r="P26" s="1241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07"/>
    </row>
    <row r="27" spans="1:35" x14ac:dyDescent="0.2">
      <c r="A27" s="1233"/>
      <c r="B27" s="1253"/>
      <c r="C27" s="1237"/>
      <c r="D27" s="1237"/>
      <c r="E27" s="1237"/>
      <c r="F27" s="1237"/>
      <c r="G27" s="1237"/>
      <c r="H27" s="1237"/>
      <c r="I27" s="1237"/>
      <c r="J27" s="1237"/>
      <c r="K27" s="1237"/>
      <c r="L27" s="1237"/>
      <c r="M27" s="1237"/>
      <c r="N27" s="1237"/>
      <c r="O27" s="1237"/>
      <c r="P27" s="1241"/>
      <c r="Q27" s="1237"/>
      <c r="R27" s="1237"/>
      <c r="S27" s="1237"/>
      <c r="T27" s="1237"/>
      <c r="U27" s="1237"/>
      <c r="V27" s="1237"/>
      <c r="W27" s="1237"/>
      <c r="X27" s="1237"/>
      <c r="Y27" s="1237"/>
      <c r="Z27" s="1237"/>
      <c r="AA27" s="1237"/>
      <c r="AB27" s="1237"/>
      <c r="AC27" s="1237"/>
      <c r="AD27" s="1237"/>
      <c r="AE27" s="1237"/>
      <c r="AF27" s="1237"/>
      <c r="AG27" s="1237"/>
      <c r="AH27" s="1207"/>
    </row>
    <row r="28" spans="1:35" x14ac:dyDescent="0.2">
      <c r="A28" s="1236" t="s">
        <v>1</v>
      </c>
      <c r="B28" s="1249">
        <f>B29+B30+B31</f>
        <v>200003.682</v>
      </c>
      <c r="C28" s="1237"/>
      <c r="D28" s="1237"/>
      <c r="E28" s="1237"/>
      <c r="F28" s="1237"/>
      <c r="G28" s="1237"/>
      <c r="H28" s="1237"/>
      <c r="I28" s="1237"/>
      <c r="J28" s="1237"/>
      <c r="K28" s="1237"/>
      <c r="L28" s="1237"/>
      <c r="M28" s="1237"/>
      <c r="N28" s="1237"/>
      <c r="O28" s="1237"/>
      <c r="P28" s="1241"/>
      <c r="Q28" s="1237"/>
      <c r="R28" s="1237"/>
      <c r="S28" s="1237"/>
      <c r="T28" s="1237"/>
      <c r="U28" s="1237"/>
      <c r="V28" s="1237"/>
      <c r="W28" s="1237"/>
      <c r="X28" s="1237"/>
      <c r="Y28" s="1237"/>
      <c r="Z28" s="1237"/>
      <c r="AA28" s="1237"/>
      <c r="AB28" s="1237"/>
      <c r="AC28" s="1237"/>
      <c r="AD28" s="1237"/>
      <c r="AE28" s="1237"/>
      <c r="AF28" s="1237"/>
      <c r="AG28" s="1237"/>
      <c r="AH28" s="1207"/>
    </row>
    <row r="29" spans="1:35" x14ac:dyDescent="0.2">
      <c r="A29" s="1236" t="s">
        <v>38</v>
      </c>
      <c r="B29" s="1249">
        <f>C82</f>
        <v>200003.682</v>
      </c>
      <c r="C29" s="1237"/>
      <c r="D29" s="1237"/>
      <c r="E29" s="1237"/>
      <c r="F29" s="1237"/>
      <c r="G29" s="1237"/>
      <c r="H29" s="1237"/>
      <c r="I29" s="1237"/>
      <c r="J29" s="1237"/>
      <c r="K29" s="1237"/>
      <c r="L29" s="1237"/>
      <c r="M29" s="1237"/>
      <c r="N29" s="1237"/>
      <c r="O29" s="1237"/>
      <c r="P29" s="1241"/>
      <c r="Q29" s="1237"/>
      <c r="R29" s="1237"/>
      <c r="S29" s="1237"/>
      <c r="T29" s="1237"/>
      <c r="U29" s="1237"/>
      <c r="V29" s="1237"/>
      <c r="W29" s="1237"/>
      <c r="X29" s="1237"/>
      <c r="Y29" s="1237"/>
      <c r="Z29" s="1237"/>
      <c r="AA29" s="1237"/>
      <c r="AB29" s="1237"/>
      <c r="AC29" s="1237"/>
      <c r="AD29" s="1237"/>
      <c r="AE29" s="1237"/>
      <c r="AF29" s="1237"/>
      <c r="AG29" s="1237"/>
      <c r="AH29" s="1207"/>
    </row>
    <row r="30" spans="1:35" x14ac:dyDescent="0.2">
      <c r="A30" s="1236" t="s">
        <v>39</v>
      </c>
      <c r="B30" s="1249"/>
      <c r="C30" s="1237"/>
      <c r="D30" s="1237"/>
      <c r="E30" s="1237"/>
      <c r="F30" s="1237"/>
      <c r="G30" s="1237"/>
      <c r="H30" s="1237"/>
      <c r="I30" s="1237"/>
      <c r="J30" s="1237"/>
      <c r="K30" s="1237"/>
      <c r="L30" s="1237"/>
      <c r="M30" s="1237"/>
      <c r="N30" s="1237"/>
      <c r="O30" s="1237"/>
      <c r="P30" s="1241"/>
      <c r="Q30" s="1237"/>
      <c r="R30" s="1237"/>
      <c r="S30" s="1237"/>
      <c r="T30" s="1237"/>
      <c r="U30" s="1237"/>
      <c r="V30" s="1237"/>
      <c r="W30" s="1237"/>
      <c r="X30" s="1237"/>
      <c r="Y30" s="1237"/>
      <c r="Z30" s="1237"/>
      <c r="AA30" s="1237"/>
      <c r="AB30" s="1237"/>
      <c r="AC30" s="1237"/>
      <c r="AD30" s="1237"/>
      <c r="AE30" s="1237"/>
      <c r="AF30" s="1237"/>
      <c r="AG30" s="1237"/>
      <c r="AH30" s="1207"/>
    </row>
    <row r="31" spans="1:35" x14ac:dyDescent="0.2">
      <c r="A31" s="1236" t="s">
        <v>3</v>
      </c>
      <c r="B31" s="1249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41"/>
      <c r="Q31" s="1237"/>
      <c r="R31" s="1237"/>
      <c r="S31" s="1237"/>
      <c r="T31" s="1237"/>
      <c r="U31" s="1237"/>
      <c r="V31" s="1237"/>
      <c r="W31" s="1237"/>
      <c r="X31" s="1237"/>
      <c r="Y31" s="1237"/>
      <c r="Z31" s="1237"/>
      <c r="AA31" s="1237"/>
      <c r="AB31" s="1237"/>
      <c r="AC31" s="1237"/>
      <c r="AD31" s="1237"/>
      <c r="AE31" s="1237"/>
      <c r="AF31" s="1237"/>
      <c r="AG31" s="1237"/>
      <c r="AH31" s="1207"/>
    </row>
    <row r="32" spans="1:35" ht="13.5" thickBot="1" x14ac:dyDescent="0.25">
      <c r="A32" s="1250"/>
      <c r="B32" s="1251"/>
      <c r="C32" s="1237"/>
      <c r="D32" s="1237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41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37"/>
      <c r="AE32" s="1237"/>
      <c r="AF32" s="1237"/>
      <c r="AG32" s="1237"/>
      <c r="AH32" s="1207"/>
    </row>
    <row r="33" spans="1:40" ht="18" x14ac:dyDescent="0.25">
      <c r="A33" s="1233"/>
      <c r="B33" s="1253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  <c r="M33" s="1237"/>
      <c r="N33" s="1237"/>
      <c r="O33" s="1254"/>
      <c r="P33" s="1241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37"/>
      <c r="AE33" s="1237"/>
      <c r="AF33" s="1237"/>
      <c r="AG33" s="1237"/>
      <c r="AH33" s="1207"/>
    </row>
    <row r="34" spans="1:40" ht="18" x14ac:dyDescent="0.25">
      <c r="A34" s="1236" t="s">
        <v>4</v>
      </c>
      <c r="B34" s="1249">
        <f>B25+B28</f>
        <v>-568397.84</v>
      </c>
      <c r="C34" s="1237"/>
      <c r="D34" s="1237"/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54"/>
      <c r="P34" s="1241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37"/>
      <c r="AE34" s="1237"/>
      <c r="AF34" s="1237"/>
      <c r="AG34" s="1237"/>
      <c r="AH34" s="1207"/>
    </row>
    <row r="35" spans="1:40" ht="18.75" thickBot="1" x14ac:dyDescent="0.3">
      <c r="A35" s="1250"/>
      <c r="B35" s="1251"/>
      <c r="C35" s="1237"/>
      <c r="D35" s="1237"/>
      <c r="E35" s="1237"/>
      <c r="F35" s="1237"/>
      <c r="G35" s="1237"/>
      <c r="H35" s="1237"/>
      <c r="I35" s="1237"/>
      <c r="K35" s="1237"/>
      <c r="L35" s="1237"/>
      <c r="M35" s="1237"/>
      <c r="N35" s="1237"/>
      <c r="O35" s="1254"/>
      <c r="P35" s="1241"/>
      <c r="Q35" s="1237"/>
      <c r="R35" s="1237"/>
      <c r="S35" s="1237"/>
      <c r="T35" s="1237"/>
      <c r="U35" s="1237"/>
      <c r="V35" s="1237"/>
      <c r="W35" s="1237"/>
      <c r="X35" s="1237"/>
      <c r="Y35" s="1237"/>
      <c r="Z35" s="1237"/>
      <c r="AA35" s="1237"/>
      <c r="AB35" s="1237"/>
      <c r="AC35" s="1237"/>
      <c r="AD35" s="1237"/>
      <c r="AE35" s="1237"/>
      <c r="AF35" s="1237"/>
      <c r="AG35" s="1237"/>
      <c r="AH35" s="1207"/>
    </row>
    <row r="36" spans="1:40" x14ac:dyDescent="0.2">
      <c r="A36" s="1233"/>
      <c r="B36" s="1253"/>
      <c r="C36" s="1237"/>
      <c r="D36" s="1237"/>
      <c r="E36" s="1237"/>
      <c r="F36" s="1237"/>
      <c r="G36" s="1237"/>
      <c r="H36" s="1237"/>
      <c r="I36" s="1237"/>
      <c r="J36" s="1237"/>
      <c r="K36" s="1237"/>
      <c r="L36" s="1237"/>
      <c r="M36" s="1237"/>
      <c r="N36" s="1237"/>
      <c r="O36" s="1237"/>
      <c r="P36" s="1241"/>
      <c r="Q36" s="1237"/>
      <c r="R36" s="1237"/>
      <c r="S36" s="1237"/>
      <c r="T36" s="1237"/>
      <c r="U36" s="1237"/>
      <c r="V36" s="1237"/>
      <c r="W36" s="1237"/>
      <c r="X36" s="1237"/>
      <c r="Y36" s="1237"/>
      <c r="Z36" s="1237"/>
      <c r="AA36" s="1237"/>
      <c r="AB36" s="1237"/>
      <c r="AC36" s="1237"/>
      <c r="AD36" s="1237"/>
      <c r="AE36" s="1237"/>
      <c r="AF36" s="1237"/>
      <c r="AG36" s="1237"/>
      <c r="AH36" s="1207"/>
    </row>
    <row r="37" spans="1:40" ht="18" x14ac:dyDescent="0.25">
      <c r="A37" s="1236" t="s">
        <v>913</v>
      </c>
      <c r="B37" s="1249"/>
      <c r="C37" s="1237"/>
      <c r="D37" s="1237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12"/>
      <c r="Q37" s="1211"/>
      <c r="R37" s="1237"/>
      <c r="S37" s="1255"/>
      <c r="T37" s="1237"/>
      <c r="U37" s="1237"/>
      <c r="V37" s="1237"/>
      <c r="W37" s="1237"/>
      <c r="X37" s="1237"/>
      <c r="Y37" s="1237"/>
      <c r="Z37" s="1237"/>
      <c r="AA37" s="1237"/>
      <c r="AB37" s="1237"/>
      <c r="AC37" s="1748"/>
      <c r="AD37" s="1748"/>
      <c r="AE37" s="1237"/>
      <c r="AF37" s="1237"/>
      <c r="AG37" s="1237"/>
      <c r="AH37" s="1207"/>
    </row>
    <row r="38" spans="1:40" ht="13.5" thickBot="1" x14ac:dyDescent="0.25">
      <c r="A38" s="1250"/>
      <c r="B38" s="1251"/>
      <c r="C38" s="1237"/>
      <c r="D38" s="1237"/>
      <c r="E38" s="1211"/>
      <c r="F38" s="1237"/>
      <c r="G38" s="1237"/>
      <c r="H38" s="1211"/>
      <c r="I38" s="1237"/>
      <c r="J38" s="1237"/>
      <c r="K38" s="1241"/>
      <c r="L38" s="1237"/>
      <c r="M38" s="1237"/>
      <c r="N38" s="1237"/>
      <c r="O38" s="1237"/>
      <c r="P38" s="1241"/>
      <c r="Q38" s="1237"/>
      <c r="R38" s="1237"/>
      <c r="S38" s="1237"/>
      <c r="T38" s="1237"/>
      <c r="U38" s="1237"/>
      <c r="V38" s="1237"/>
      <c r="W38" s="1237"/>
      <c r="X38" s="1237"/>
      <c r="Y38" s="1237"/>
      <c r="Z38" s="1237"/>
      <c r="AA38" s="1237"/>
      <c r="AB38" s="1237"/>
      <c r="AC38" s="1237"/>
      <c r="AD38" s="1237"/>
      <c r="AE38" s="1237"/>
      <c r="AF38" s="1237"/>
      <c r="AG38" s="1237"/>
      <c r="AH38" s="1207"/>
    </row>
    <row r="39" spans="1:40" x14ac:dyDescent="0.2">
      <c r="A39" s="1233"/>
      <c r="B39" s="1253"/>
      <c r="C39" s="1256"/>
      <c r="D39" s="1452"/>
      <c r="E39" s="1452"/>
      <c r="F39" s="1237"/>
      <c r="G39" s="1237"/>
      <c r="H39" s="1452"/>
      <c r="I39" s="1237"/>
      <c r="J39" s="1237"/>
      <c r="K39" s="1237"/>
      <c r="L39" s="1237"/>
      <c r="M39" s="1478"/>
      <c r="N39" s="1237"/>
      <c r="O39" s="1258"/>
      <c r="P39" s="1212"/>
      <c r="Q39" s="1212"/>
      <c r="R39" s="1237"/>
      <c r="S39" s="1211"/>
      <c r="T39" s="1237"/>
      <c r="U39" s="1259"/>
      <c r="V39" s="1259"/>
      <c r="W39" s="1259"/>
      <c r="X39" s="1259"/>
      <c r="Y39" s="1260"/>
      <c r="Z39" s="1259"/>
      <c r="AA39" s="1261"/>
      <c r="AB39" s="1259"/>
      <c r="AC39" s="1260"/>
      <c r="AD39" s="1259"/>
      <c r="AE39" s="1259"/>
      <c r="AF39" s="1259"/>
      <c r="AG39" s="1259"/>
      <c r="AH39" s="1207"/>
    </row>
    <row r="40" spans="1:40" x14ac:dyDescent="0.2">
      <c r="A40" s="1236" t="s">
        <v>5</v>
      </c>
      <c r="B40" s="1249">
        <f>B34-B37</f>
        <v>-568397.84</v>
      </c>
      <c r="C40" s="1256"/>
      <c r="D40" s="1211"/>
      <c r="E40" s="1256"/>
      <c r="F40" s="1211"/>
      <c r="G40" s="1211"/>
      <c r="H40" s="1211"/>
      <c r="I40" s="1211"/>
      <c r="J40" s="1211"/>
      <c r="K40" s="1211"/>
      <c r="L40" s="1262"/>
      <c r="M40" s="1212" t="s">
        <v>166</v>
      </c>
      <c r="N40" s="1212"/>
      <c r="O40" s="1211"/>
      <c r="P40" s="1212"/>
      <c r="Q40" s="1212"/>
      <c r="R40" s="1211"/>
      <c r="S40" s="1212"/>
      <c r="T40" s="1212"/>
      <c r="U40" s="1212"/>
      <c r="V40" s="1263"/>
      <c r="W40" s="1212"/>
      <c r="X40" s="1478" t="s">
        <v>1185</v>
      </c>
      <c r="Y40" s="1212" t="s">
        <v>1306</v>
      </c>
      <c r="Z40" s="1212"/>
      <c r="AA40" s="1264"/>
      <c r="AB40" s="1212"/>
      <c r="AC40" s="1265" t="s">
        <v>1308</v>
      </c>
      <c r="AD40" s="1266"/>
      <c r="AE40" s="1267"/>
      <c r="AF40" s="1268" t="s">
        <v>1295</v>
      </c>
      <c r="AG40" s="1267" t="s">
        <v>1309</v>
      </c>
      <c r="AH40" s="1207"/>
    </row>
    <row r="41" spans="1:40" ht="13.5" thickBot="1" x14ac:dyDescent="0.25">
      <c r="A41" s="1250"/>
      <c r="B41" s="1251"/>
      <c r="C41" s="1237"/>
      <c r="D41" s="1237"/>
      <c r="E41" s="1237"/>
      <c r="F41" s="1237"/>
      <c r="G41" s="1237"/>
      <c r="H41" s="1237"/>
      <c r="I41" s="1237"/>
      <c r="J41" s="1237"/>
      <c r="K41" s="1237"/>
      <c r="L41" s="1211"/>
      <c r="M41" s="1237"/>
      <c r="N41" s="1237"/>
      <c r="O41" s="1237"/>
      <c r="P41" s="1241"/>
      <c r="Q41" s="1237"/>
      <c r="R41" s="1237"/>
      <c r="S41" s="1237"/>
      <c r="T41" s="1237"/>
      <c r="U41" s="1237"/>
      <c r="V41" s="1237"/>
      <c r="W41" s="1237"/>
      <c r="X41" s="1237"/>
      <c r="Y41" s="1237"/>
      <c r="Z41" s="1237"/>
      <c r="AA41" s="1237"/>
      <c r="AB41" s="1237"/>
      <c r="AC41" s="1237"/>
      <c r="AD41" s="1237"/>
      <c r="AE41" s="1237"/>
      <c r="AF41" s="1237"/>
      <c r="AG41" s="1237"/>
      <c r="AH41" s="1207"/>
    </row>
    <row r="42" spans="1:40" x14ac:dyDescent="0.2">
      <c r="A42" s="1269"/>
      <c r="B42" s="1237"/>
      <c r="C42" s="1270"/>
      <c r="D42" s="1271"/>
      <c r="E42" s="1272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3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  <c r="AB42" s="1271"/>
      <c r="AC42" s="1271"/>
      <c r="AD42" s="1271"/>
      <c r="AE42" s="1271"/>
      <c r="AF42" s="1271"/>
      <c r="AG42" s="1271"/>
      <c r="AH42" s="1227">
        <f t="shared" ref="AH42:AH58" si="9">SUM(C42:AG42)</f>
        <v>0</v>
      </c>
    </row>
    <row r="43" spans="1:40" ht="13.5" thickBot="1" x14ac:dyDescent="0.25">
      <c r="A43" s="1274" t="s">
        <v>914</v>
      </c>
      <c r="B43" s="1237"/>
      <c r="C43" s="1275">
        <f t="shared" ref="C43:AG43" si="10">C44+C45+C48+C52+C51+C49+C50+C46+C47</f>
        <v>6042.2699999999995</v>
      </c>
      <c r="D43" s="1275">
        <f t="shared" si="10"/>
        <v>0</v>
      </c>
      <c r="E43" s="1275">
        <f t="shared" si="10"/>
        <v>0</v>
      </c>
      <c r="F43" s="1275">
        <f t="shared" si="10"/>
        <v>0</v>
      </c>
      <c r="G43" s="1275">
        <f t="shared" si="10"/>
        <v>0</v>
      </c>
      <c r="H43" s="1275">
        <f t="shared" si="10"/>
        <v>0</v>
      </c>
      <c r="I43" s="1275">
        <f t="shared" si="10"/>
        <v>0</v>
      </c>
      <c r="J43" s="1275">
        <f t="shared" si="10"/>
        <v>0</v>
      </c>
      <c r="K43" s="1275">
        <f t="shared" si="10"/>
        <v>0</v>
      </c>
      <c r="L43" s="1275">
        <f t="shared" si="10"/>
        <v>0</v>
      </c>
      <c r="M43" s="1275">
        <f t="shared" si="10"/>
        <v>0</v>
      </c>
      <c r="N43" s="1275">
        <f t="shared" si="10"/>
        <v>0</v>
      </c>
      <c r="O43" s="1275">
        <f t="shared" si="10"/>
        <v>0</v>
      </c>
      <c r="P43" s="1276">
        <f t="shared" si="10"/>
        <v>0</v>
      </c>
      <c r="Q43" s="1275">
        <f t="shared" si="10"/>
        <v>0</v>
      </c>
      <c r="R43" s="1275">
        <f t="shared" si="10"/>
        <v>0</v>
      </c>
      <c r="S43" s="1275">
        <f t="shared" si="10"/>
        <v>0</v>
      </c>
      <c r="T43" s="1275">
        <f t="shared" si="10"/>
        <v>0</v>
      </c>
      <c r="U43" s="1275">
        <f t="shared" si="10"/>
        <v>0</v>
      </c>
      <c r="V43" s="1275">
        <f t="shared" si="10"/>
        <v>6.3664629124104977E-12</v>
      </c>
      <c r="W43" s="1275">
        <f t="shared" si="10"/>
        <v>0</v>
      </c>
      <c r="X43" s="1275">
        <f t="shared" si="10"/>
        <v>0</v>
      </c>
      <c r="Y43" s="1275">
        <f t="shared" si="10"/>
        <v>0</v>
      </c>
      <c r="Z43" s="1275">
        <f t="shared" si="10"/>
        <v>0</v>
      </c>
      <c r="AA43" s="1275">
        <f t="shared" si="10"/>
        <v>0</v>
      </c>
      <c r="AB43" s="1275">
        <f t="shared" si="10"/>
        <v>0</v>
      </c>
      <c r="AC43" s="1275">
        <f t="shared" si="10"/>
        <v>3.637978807091713E-12</v>
      </c>
      <c r="AD43" s="1275">
        <f t="shared" si="10"/>
        <v>0</v>
      </c>
      <c r="AE43" s="1275">
        <f t="shared" si="10"/>
        <v>0</v>
      </c>
      <c r="AF43" s="1275">
        <f t="shared" si="10"/>
        <v>9.0949470177292824E-12</v>
      </c>
      <c r="AG43" s="1275">
        <f t="shared" si="10"/>
        <v>-8.1854523159563541E-12</v>
      </c>
      <c r="AH43" s="1227">
        <f t="shared" si="9"/>
        <v>6042.2700000000104</v>
      </c>
    </row>
    <row r="44" spans="1:40" x14ac:dyDescent="0.2">
      <c r="A44" s="1274" t="s">
        <v>8</v>
      </c>
      <c r="B44" s="1237"/>
      <c r="C44" s="1282">
        <f>1289.967-1289.967</f>
        <v>0</v>
      </c>
      <c r="D44" s="1282"/>
      <c r="E44" s="1282"/>
      <c r="F44" s="1282">
        <f>1162.684-1162.684</f>
        <v>0</v>
      </c>
      <c r="G44" s="1282">
        <f>23294.876-1844.379-21450.497</f>
        <v>0</v>
      </c>
      <c r="H44" s="1282"/>
      <c r="I44" s="1282">
        <f>5250-5250</f>
        <v>0</v>
      </c>
      <c r="J44" s="1282">
        <f>12568.32-12568.32</f>
        <v>0</v>
      </c>
      <c r="K44" s="1282"/>
      <c r="L44" s="1282"/>
      <c r="M44" s="1282">
        <f>5303.965-5303.965</f>
        <v>0</v>
      </c>
      <c r="N44" s="1282">
        <f>12095.559+5888.955-5888.955-12095.559</f>
        <v>0</v>
      </c>
      <c r="O44" s="1282">
        <f>37000-17000-20000</f>
        <v>0</v>
      </c>
      <c r="P44" s="1282"/>
      <c r="Q44" s="1282">
        <f>10695.017+895.017-895.017-4500-5300-895.017</f>
        <v>0</v>
      </c>
      <c r="R44" s="1282">
        <f>47790.476-5290.476-17500-25000</f>
        <v>0</v>
      </c>
      <c r="S44" s="1282"/>
      <c r="T44" s="1282"/>
      <c r="U44" s="1282">
        <f>45172.803-5172.803-16000-24000</f>
        <v>0</v>
      </c>
      <c r="V44" s="1282">
        <f>19132.685-5850-3332.685-9950</f>
        <v>0</v>
      </c>
      <c r="W44" s="1282"/>
      <c r="X44" s="1282">
        <f>47100-7600-16500-23000</f>
        <v>0</v>
      </c>
      <c r="Y44" s="1282"/>
      <c r="Z44" s="1282"/>
      <c r="AA44" s="1282">
        <f>71978.091-7400-2436.373-4688.482-6800-7650-16600-21000-5403.236</f>
        <v>0</v>
      </c>
      <c r="AB44" s="1282">
        <f>6094.843-6094.843</f>
        <v>0</v>
      </c>
      <c r="AC44" s="1282">
        <f>12430.183-5932.566-6497.617</f>
        <v>0</v>
      </c>
      <c r="AD44" s="1282">
        <f>52960-6850-7660-16450-22000</f>
        <v>0</v>
      </c>
      <c r="AE44" s="1282"/>
      <c r="AF44" s="1282">
        <f>10349.263-4500-5849.263</f>
        <v>0</v>
      </c>
      <c r="AG44" s="1282">
        <f>136155.607-1406.185-1085-5137.591-6550-7266.974-5350-6832.423-7704.066-9936.194-16516.146-25195.121-35000-8175.907</f>
        <v>-8.1854523159563541E-12</v>
      </c>
      <c r="AH44" s="1455">
        <f t="shared" si="9"/>
        <v>-8.1854523159563541E-12</v>
      </c>
      <c r="AN44" s="1280">
        <v>9918.1650000000009</v>
      </c>
    </row>
    <row r="45" spans="1:40" x14ac:dyDescent="0.2">
      <c r="A45" s="1274" t="s">
        <v>703</v>
      </c>
      <c r="B45" s="1237"/>
      <c r="C45" s="1282"/>
      <c r="D45" s="1282"/>
      <c r="E45" s="1282">
        <f>992.468-992.468</f>
        <v>0</v>
      </c>
      <c r="F45" s="1282">
        <f>42244.464-23000-3166.58-4428.184-4649.7-7000</f>
        <v>0</v>
      </c>
      <c r="G45" s="1282">
        <f>5000-5000</f>
        <v>0</v>
      </c>
      <c r="H45" s="1282">
        <f>5397.943-279.451-5118.492</f>
        <v>0</v>
      </c>
      <c r="I45" s="1282">
        <f>18678.856-2634.624-9300-6744.232</f>
        <v>0</v>
      </c>
      <c r="J45" s="1282">
        <f>21900-21900</f>
        <v>0</v>
      </c>
      <c r="K45" s="1282"/>
      <c r="L45" s="1282">
        <f>16232.964-518.46-1250.728-1378.711-5744.489-7340.576</f>
        <v>0</v>
      </c>
      <c r="M45" s="1282">
        <f>837.138-837.138</f>
        <v>0</v>
      </c>
      <c r="N45" s="1282">
        <f>20900-20900</f>
        <v>0</v>
      </c>
      <c r="O45" s="1282"/>
      <c r="P45" s="1282"/>
      <c r="Q45" s="1282">
        <f>39969.986-991.958-1507.514-1620.514-5000-5000-5150-20700</f>
        <v>0</v>
      </c>
      <c r="R45" s="1282">
        <f>4816.59-1592.886-3223.704</f>
        <v>0</v>
      </c>
      <c r="S45" s="1282">
        <f>11075.528-1214.779-2886.95-6973.799</f>
        <v>0</v>
      </c>
      <c r="T45" s="1282">
        <f>22065.921-22065.921</f>
        <v>0</v>
      </c>
      <c r="U45" s="1282">
        <f>1926.234-1926.234</f>
        <v>0</v>
      </c>
      <c r="V45" s="1282">
        <f>74434.541-5000-1675.101-2266.985-2737.056-2837.99-3636.86-5000-5200-6950-7100-7650-23500-880.549</f>
        <v>6.3664629124104977E-12</v>
      </c>
      <c r="W45" s="1282">
        <f>11295.545-1320.873-9974.672</f>
        <v>0</v>
      </c>
      <c r="X45" s="1282">
        <f>2204.36-390.815-528.479-1285.066</f>
        <v>0</v>
      </c>
      <c r="Y45" s="1282">
        <f>22661.943-218.953-2881.179-3031.432-6500-7369.949-2660.43</f>
        <v>0</v>
      </c>
      <c r="Z45" s="1282">
        <f>40276.296-2979.488-3650-4149.421-5897.387-23600</f>
        <v>0</v>
      </c>
      <c r="AA45" s="1282">
        <f>6167.64-5550-617.64</f>
        <v>0</v>
      </c>
      <c r="AB45" s="1282">
        <f>15002.731-668.621-4071.107-5013.003-5250</f>
        <v>0</v>
      </c>
      <c r="AC45" s="1282">
        <f>51815.4-1139.294-1859.831-5130.195-5444.219-6600-7106.361-23650-885.5</f>
        <v>3.637978807091713E-12</v>
      </c>
      <c r="AD45" s="1282">
        <f>10804.499-735.951-1058.705-1332.76-3450.105-4226.978</f>
        <v>0</v>
      </c>
      <c r="AE45" s="1282">
        <f>11646.906-4064.909-7581.997</f>
        <v>0</v>
      </c>
      <c r="AF45" s="1282">
        <f>66270.115-758.09-944.819-981.718-1374.989-2707.787-2907.791-3072.483-3432.016-4000-4258.764-4974.094-5114.62-5498.315-5721.173-5978.072-6917.499-7627.885</f>
        <v>9.0949470177292824E-12</v>
      </c>
      <c r="AG45" s="1282">
        <f>54818.979-2463.322-2510.024-3723.182-5800-6922.451-10000-23400</f>
        <v>0</v>
      </c>
      <c r="AH45" s="1455">
        <f t="shared" si="9"/>
        <v>1.9099388737231493E-11</v>
      </c>
      <c r="AI45" s="1283">
        <f>+AH45+AH44</f>
        <v>1.0913936421275139E-11</v>
      </c>
      <c r="AJ45" s="1283"/>
      <c r="AN45" s="1280">
        <v>788.89499999999998</v>
      </c>
    </row>
    <row r="46" spans="1:40" x14ac:dyDescent="0.2">
      <c r="A46" s="1274" t="s">
        <v>704</v>
      </c>
      <c r="B46" s="1237"/>
      <c r="C46" s="1282">
        <f>5411-976.579-3488.15-946.353</f>
        <v>-8.199999999976626E-2</v>
      </c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  <c r="O46" s="1282"/>
      <c r="P46" s="1282"/>
      <c r="Q46" s="1282"/>
      <c r="R46" s="1282"/>
      <c r="S46" s="1282"/>
      <c r="T46" s="1282"/>
      <c r="U46" s="1282"/>
      <c r="V46" s="1282"/>
      <c r="W46" s="1282"/>
      <c r="X46" s="1282"/>
      <c r="Y46" s="1282"/>
      <c r="Z46" s="1282"/>
      <c r="AA46" s="1282"/>
      <c r="AB46" s="1282"/>
      <c r="AC46" s="1282"/>
      <c r="AD46" s="1282"/>
      <c r="AE46" s="1282"/>
      <c r="AF46" s="1282"/>
      <c r="AG46" s="1282"/>
      <c r="AH46" s="1455">
        <f t="shared" si="9"/>
        <v>-8.199999999976626E-2</v>
      </c>
      <c r="AN46" s="1280"/>
    </row>
    <row r="47" spans="1:40" x14ac:dyDescent="0.2">
      <c r="A47" s="1274" t="s">
        <v>705</v>
      </c>
      <c r="B47" s="1237"/>
      <c r="C47" s="1284"/>
      <c r="D47" s="1284"/>
      <c r="E47" s="1284"/>
      <c r="F47" s="1284"/>
      <c r="G47" s="1284"/>
      <c r="H47" s="1284"/>
      <c r="I47" s="1284"/>
      <c r="J47" s="1284"/>
      <c r="K47" s="1284"/>
      <c r="L47" s="1284"/>
      <c r="M47" s="1284"/>
      <c r="N47" s="1284"/>
      <c r="O47" s="1284"/>
      <c r="P47" s="1284"/>
      <c r="Q47" s="1284"/>
      <c r="R47" s="1284"/>
      <c r="S47" s="1284"/>
      <c r="T47" s="1284"/>
      <c r="U47" s="1284"/>
      <c r="V47" s="1282"/>
      <c r="W47" s="1284"/>
      <c r="X47" s="1284"/>
      <c r="Y47" s="1284"/>
      <c r="Z47" s="1284"/>
      <c r="AA47" s="1284"/>
      <c r="AB47" s="1284"/>
      <c r="AC47" s="1284"/>
      <c r="AD47" s="1284"/>
      <c r="AE47" s="1284"/>
      <c r="AF47" s="1284"/>
      <c r="AG47" s="1284"/>
      <c r="AH47" s="1455">
        <f t="shared" si="9"/>
        <v>0</v>
      </c>
      <c r="AI47" s="1283"/>
      <c r="AJ47" s="1283"/>
      <c r="AN47" s="1280"/>
    </row>
    <row r="48" spans="1:40" s="1289" customFormat="1" x14ac:dyDescent="0.2">
      <c r="A48" s="1285" t="s">
        <v>10</v>
      </c>
      <c r="B48" s="1286"/>
      <c r="C48" s="1287"/>
      <c r="D48" s="1287"/>
      <c r="E48" s="1287"/>
      <c r="F48" s="1287"/>
      <c r="G48" s="1287"/>
      <c r="H48" s="1287"/>
      <c r="I48" s="1287"/>
      <c r="J48" s="1287"/>
      <c r="K48" s="1287"/>
      <c r="L48" s="1287"/>
      <c r="M48" s="1287">
        <v>-85000</v>
      </c>
      <c r="N48" s="1287"/>
      <c r="O48" s="1287"/>
      <c r="P48" s="1287"/>
      <c r="Q48" s="1287"/>
      <c r="R48" s="1287"/>
      <c r="S48" s="1287"/>
      <c r="T48" s="1287"/>
      <c r="U48" s="1287"/>
      <c r="V48" s="1287"/>
      <c r="W48" s="1287"/>
      <c r="X48" s="1287"/>
      <c r="Y48" s="1287"/>
      <c r="Z48" s="1287"/>
      <c r="AA48" s="1287"/>
      <c r="AB48" s="1287"/>
      <c r="AC48" s="1287"/>
      <c r="AD48" s="1287"/>
      <c r="AE48" s="1287"/>
      <c r="AF48" s="1287"/>
      <c r="AG48" s="1287"/>
      <c r="AH48" s="1456">
        <f t="shared" si="9"/>
        <v>-85000</v>
      </c>
      <c r="AI48" s="1288"/>
      <c r="AN48" s="1290">
        <v>6347.85</v>
      </c>
    </row>
    <row r="49" spans="1:40" s="1289" customFormat="1" x14ac:dyDescent="0.2">
      <c r="A49" s="1285" t="s">
        <v>356</v>
      </c>
      <c r="B49" s="1291"/>
      <c r="C49" s="1292"/>
      <c r="D49" s="1292"/>
      <c r="E49" s="1292"/>
      <c r="F49" s="1292"/>
      <c r="G49" s="1292"/>
      <c r="H49" s="1292"/>
      <c r="I49" s="1292"/>
      <c r="J49" s="1292"/>
      <c r="K49" s="1292"/>
      <c r="L49" s="1292"/>
      <c r="M49" s="1292">
        <v>85000</v>
      </c>
      <c r="N49" s="1292"/>
      <c r="O49" s="1292"/>
      <c r="P49" s="1292"/>
      <c r="Q49" s="1292"/>
      <c r="R49" s="1292"/>
      <c r="S49" s="1292"/>
      <c r="T49" s="1292"/>
      <c r="U49" s="1292"/>
      <c r="V49" s="1292"/>
      <c r="W49" s="1292"/>
      <c r="X49" s="1292"/>
      <c r="Y49" s="1292"/>
      <c r="Z49" s="1292"/>
      <c r="AA49" s="1292"/>
      <c r="AB49" s="1292"/>
      <c r="AC49" s="1292"/>
      <c r="AD49" s="1292"/>
      <c r="AE49" s="1292"/>
      <c r="AF49" s="1292"/>
      <c r="AG49" s="1292"/>
      <c r="AH49" s="1456">
        <f t="shared" si="9"/>
        <v>85000</v>
      </c>
      <c r="AN49" s="1290">
        <v>6249.5020000000004</v>
      </c>
    </row>
    <row r="50" spans="1:40" x14ac:dyDescent="0.2">
      <c r="A50" s="1274" t="s">
        <v>357</v>
      </c>
      <c r="B50" s="1237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  <c r="O50" s="1282"/>
      <c r="P50" s="1282"/>
      <c r="Q50" s="1282">
        <f>8419.908-8419.908</f>
        <v>0</v>
      </c>
      <c r="R50" s="1282"/>
      <c r="S50" s="1282">
        <f>2639.933-2639.933</f>
        <v>0</v>
      </c>
      <c r="T50" s="1282"/>
      <c r="U50" s="1282"/>
      <c r="V50" s="1282"/>
      <c r="W50" s="1282">
        <f>20049.586-20049.586</f>
        <v>0</v>
      </c>
      <c r="X50" s="1282"/>
      <c r="Y50" s="1282"/>
      <c r="Z50" s="1282"/>
      <c r="AA50" s="1282"/>
      <c r="AB50" s="1282"/>
      <c r="AC50" s="1282"/>
      <c r="AD50" s="1282"/>
      <c r="AE50" s="1282"/>
      <c r="AF50" s="1282"/>
      <c r="AG50" s="1282"/>
      <c r="AH50" s="1455">
        <f t="shared" si="9"/>
        <v>0</v>
      </c>
      <c r="AN50" s="1280">
        <v>2246.556</v>
      </c>
    </row>
    <row r="51" spans="1:40" x14ac:dyDescent="0.2">
      <c r="A51" s="1274" t="s">
        <v>41</v>
      </c>
      <c r="B51" s="1237"/>
      <c r="C51" s="1282"/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  <c r="O51" s="1282"/>
      <c r="P51" s="1282"/>
      <c r="Q51" s="1282"/>
      <c r="R51" s="1282"/>
      <c r="S51" s="1282"/>
      <c r="T51" s="1282"/>
      <c r="U51" s="1282"/>
      <c r="V51" s="1282"/>
      <c r="W51" s="1282"/>
      <c r="X51" s="1282"/>
      <c r="Y51" s="1282"/>
      <c r="Z51" s="1282"/>
      <c r="AA51" s="1282"/>
      <c r="AB51" s="1282"/>
      <c r="AC51" s="1282"/>
      <c r="AD51" s="1282"/>
      <c r="AE51" s="1282"/>
      <c r="AF51" s="1282"/>
      <c r="AG51" s="1282"/>
      <c r="AH51" s="1455">
        <f t="shared" si="9"/>
        <v>0</v>
      </c>
      <c r="AN51" s="1280"/>
    </row>
    <row r="52" spans="1:40" x14ac:dyDescent="0.2">
      <c r="A52" s="1274" t="s">
        <v>11</v>
      </c>
      <c r="B52" s="1237"/>
      <c r="C52" s="1282">
        <f>20278-9263.404-4853.952-118.292</f>
        <v>6042.351999999999</v>
      </c>
      <c r="D52" s="1293"/>
      <c r="E52" s="1293"/>
      <c r="F52" s="1293"/>
      <c r="G52" s="1293"/>
      <c r="H52" s="1293"/>
      <c r="I52" s="1293"/>
      <c r="J52" s="1293"/>
      <c r="K52" s="1293"/>
      <c r="L52" s="1293"/>
      <c r="M52" s="1293"/>
      <c r="N52" s="1293"/>
      <c r="O52" s="1293"/>
      <c r="P52" s="1293"/>
      <c r="Q52" s="1293"/>
      <c r="R52" s="1293"/>
      <c r="S52" s="1293"/>
      <c r="T52" s="1293"/>
      <c r="U52" s="1293"/>
      <c r="V52" s="1293"/>
      <c r="W52" s="1293"/>
      <c r="X52" s="1293"/>
      <c r="Y52" s="1293"/>
      <c r="Z52" s="1293"/>
      <c r="AA52" s="1293"/>
      <c r="AB52" s="1293"/>
      <c r="AC52" s="1293"/>
      <c r="AD52" s="1293"/>
      <c r="AE52" s="1293"/>
      <c r="AF52" s="1293"/>
      <c r="AG52" s="1293"/>
      <c r="AH52" s="1455">
        <f t="shared" si="9"/>
        <v>6042.351999999999</v>
      </c>
      <c r="AN52" s="1280">
        <v>4028.1610000000001</v>
      </c>
    </row>
    <row r="53" spans="1:40" ht="13.5" thickBot="1" x14ac:dyDescent="0.25">
      <c r="A53" s="1294"/>
      <c r="B53" s="1237"/>
      <c r="C53" s="1295"/>
      <c r="D53" s="1295"/>
      <c r="E53" s="1295"/>
      <c r="F53" s="1295"/>
      <c r="G53" s="1295"/>
      <c r="H53" s="1295"/>
      <c r="I53" s="1295"/>
      <c r="J53" s="1295"/>
      <c r="K53" s="1295"/>
      <c r="L53" s="1295"/>
      <c r="M53" s="1295"/>
      <c r="N53" s="1295"/>
      <c r="O53" s="1295"/>
      <c r="P53" s="1295"/>
      <c r="Q53" s="1295"/>
      <c r="R53" s="1295"/>
      <c r="S53" s="1295"/>
      <c r="T53" s="1295"/>
      <c r="U53" s="1295"/>
      <c r="V53" s="1295"/>
      <c r="W53" s="1295"/>
      <c r="X53" s="1295"/>
      <c r="Y53" s="1295"/>
      <c r="Z53" s="1295"/>
      <c r="AA53" s="1295"/>
      <c r="AB53" s="1295"/>
      <c r="AC53" s="1295"/>
      <c r="AD53" s="1295"/>
      <c r="AE53" s="1295"/>
      <c r="AF53" s="1295"/>
      <c r="AG53" s="1295"/>
      <c r="AH53" s="1227">
        <f t="shared" si="9"/>
        <v>0</v>
      </c>
      <c r="AI53" s="1283"/>
      <c r="AJ53" s="1289"/>
      <c r="AN53" s="1280">
        <v>5501.3969999999999</v>
      </c>
    </row>
    <row r="54" spans="1:40" x14ac:dyDescent="0.2">
      <c r="A54" s="1269"/>
      <c r="B54" s="1237"/>
      <c r="C54" s="1296"/>
      <c r="D54" s="1297"/>
      <c r="E54" s="1297"/>
      <c r="F54" s="1298"/>
      <c r="G54" s="1298"/>
      <c r="H54" s="1298"/>
      <c r="I54" s="1298"/>
      <c r="J54" s="1298"/>
      <c r="K54" s="1298"/>
      <c r="L54" s="1298"/>
      <c r="M54" s="1298"/>
      <c r="N54" s="1298"/>
      <c r="O54" s="1298"/>
      <c r="P54" s="1299"/>
      <c r="Q54" s="1298"/>
      <c r="R54" s="1298"/>
      <c r="S54" s="1298"/>
      <c r="T54" s="1298"/>
      <c r="U54" s="1298"/>
      <c r="V54" s="1298"/>
      <c r="W54" s="1298"/>
      <c r="X54" s="1298"/>
      <c r="Y54" s="1298"/>
      <c r="Z54" s="1298"/>
      <c r="AA54" s="1298"/>
      <c r="AB54" s="1298"/>
      <c r="AC54" s="1298"/>
      <c r="AD54" s="1298"/>
      <c r="AE54" s="1298"/>
      <c r="AF54" s="1298"/>
      <c r="AG54" s="1298"/>
      <c r="AH54" s="1227">
        <f t="shared" si="9"/>
        <v>0</v>
      </c>
      <c r="AJ54" s="1289"/>
      <c r="AN54" s="1280">
        <v>3325.74</v>
      </c>
    </row>
    <row r="55" spans="1:40" ht="13.5" thickBot="1" x14ac:dyDescent="0.25">
      <c r="A55" s="1274" t="s">
        <v>12</v>
      </c>
      <c r="B55" s="1237"/>
      <c r="C55" s="1275">
        <f t="shared" ref="C55:AG55" si="11">C56</f>
        <v>0</v>
      </c>
      <c r="D55" s="1275">
        <f t="shared" si="11"/>
        <v>0</v>
      </c>
      <c r="E55" s="1275">
        <f t="shared" si="11"/>
        <v>0</v>
      </c>
      <c r="F55" s="1275">
        <f t="shared" si="11"/>
        <v>0</v>
      </c>
      <c r="G55" s="1275">
        <f t="shared" si="11"/>
        <v>0</v>
      </c>
      <c r="H55" s="1275">
        <f t="shared" si="11"/>
        <v>0</v>
      </c>
      <c r="I55" s="1275">
        <f t="shared" si="11"/>
        <v>0</v>
      </c>
      <c r="J55" s="1275">
        <f t="shared" si="11"/>
        <v>0</v>
      </c>
      <c r="K55" s="1275">
        <f t="shared" si="11"/>
        <v>0</v>
      </c>
      <c r="L55" s="1275">
        <f t="shared" si="11"/>
        <v>0</v>
      </c>
      <c r="M55" s="1276">
        <f t="shared" si="11"/>
        <v>0</v>
      </c>
      <c r="N55" s="1276">
        <f t="shared" si="11"/>
        <v>0</v>
      </c>
      <c r="O55" s="1276">
        <f t="shared" si="11"/>
        <v>0</v>
      </c>
      <c r="P55" s="1276">
        <f t="shared" si="11"/>
        <v>0</v>
      </c>
      <c r="Q55" s="1275">
        <f t="shared" si="11"/>
        <v>0</v>
      </c>
      <c r="R55" s="1275">
        <f t="shared" si="11"/>
        <v>0</v>
      </c>
      <c r="S55" s="1275">
        <f t="shared" si="11"/>
        <v>0</v>
      </c>
      <c r="T55" s="1275">
        <f t="shared" si="11"/>
        <v>0</v>
      </c>
      <c r="U55" s="1275">
        <f t="shared" si="11"/>
        <v>0</v>
      </c>
      <c r="V55" s="1275">
        <f t="shared" si="11"/>
        <v>0</v>
      </c>
      <c r="W55" s="1275">
        <f t="shared" si="11"/>
        <v>0</v>
      </c>
      <c r="X55" s="1275">
        <f t="shared" si="11"/>
        <v>0</v>
      </c>
      <c r="Y55" s="1275">
        <f t="shared" si="11"/>
        <v>0</v>
      </c>
      <c r="Z55" s="1275">
        <f t="shared" si="11"/>
        <v>0</v>
      </c>
      <c r="AA55" s="1275">
        <f t="shared" si="11"/>
        <v>0</v>
      </c>
      <c r="AB55" s="1275">
        <f t="shared" si="11"/>
        <v>0</v>
      </c>
      <c r="AC55" s="1275">
        <f t="shared" si="11"/>
        <v>0</v>
      </c>
      <c r="AD55" s="1275">
        <f t="shared" si="11"/>
        <v>0</v>
      </c>
      <c r="AE55" s="1275">
        <f t="shared" si="11"/>
        <v>0</v>
      </c>
      <c r="AF55" s="1275">
        <f t="shared" si="11"/>
        <v>0</v>
      </c>
      <c r="AG55" s="1275">
        <f t="shared" si="11"/>
        <v>0</v>
      </c>
      <c r="AH55" s="1227">
        <f t="shared" si="9"/>
        <v>0</v>
      </c>
      <c r="AN55" s="1280">
        <v>9717.5709999999999</v>
      </c>
    </row>
    <row r="56" spans="1:40" x14ac:dyDescent="0.2">
      <c r="A56" s="1274" t="s">
        <v>8</v>
      </c>
      <c r="B56" s="1237"/>
      <c r="C56" s="1282"/>
      <c r="D56" s="1282"/>
      <c r="E56" s="1282"/>
      <c r="F56" s="1282"/>
      <c r="G56" s="1282"/>
      <c r="H56" s="1282"/>
      <c r="I56" s="1282"/>
      <c r="J56" s="1282"/>
      <c r="K56" s="1282"/>
      <c r="L56" s="1282"/>
      <c r="M56" s="1282"/>
      <c r="N56" s="1282"/>
      <c r="O56" s="1282"/>
      <c r="P56" s="1282"/>
      <c r="Q56" s="1282"/>
      <c r="R56" s="1282"/>
      <c r="S56" s="1282"/>
      <c r="T56" s="1282"/>
      <c r="U56" s="1282"/>
      <c r="V56" s="1282"/>
      <c r="W56" s="1282"/>
      <c r="X56" s="1282"/>
      <c r="Y56" s="1282"/>
      <c r="Z56" s="1282"/>
      <c r="AA56" s="1282"/>
      <c r="AB56" s="1282"/>
      <c r="AC56" s="1282"/>
      <c r="AD56" s="1282"/>
      <c r="AE56" s="1282"/>
      <c r="AF56" s="1282"/>
      <c r="AG56" s="1282"/>
      <c r="AH56" s="1455">
        <f t="shared" si="9"/>
        <v>0</v>
      </c>
      <c r="AN56" s="1280">
        <v>673.17700000000002</v>
      </c>
    </row>
    <row r="57" spans="1:40" x14ac:dyDescent="0.2">
      <c r="A57" s="1274" t="s">
        <v>215</v>
      </c>
      <c r="B57" s="1237"/>
      <c r="C57" s="1282">
        <v>10876.200999999999</v>
      </c>
      <c r="D57" s="1282">
        <v>7086.0550000000003</v>
      </c>
      <c r="E57" s="1282">
        <v>995.23500000000001</v>
      </c>
      <c r="F57" s="1282">
        <v>2075.2919999999999</v>
      </c>
      <c r="G57" s="1282">
        <v>8041.3799999999992</v>
      </c>
      <c r="H57" s="1282"/>
      <c r="I57" s="1282">
        <v>2470</v>
      </c>
      <c r="J57" s="1282">
        <v>1374.741</v>
      </c>
      <c r="K57" s="1282">
        <v>1997.7069999999999</v>
      </c>
      <c r="L57" s="1282">
        <v>21604.582000000002</v>
      </c>
      <c r="M57" s="1282">
        <v>9984.1630000000005</v>
      </c>
      <c r="N57" s="1282">
        <v>1374.741</v>
      </c>
      <c r="O57" s="1282">
        <v>1000</v>
      </c>
      <c r="P57" s="1282">
        <v>2470</v>
      </c>
      <c r="Q57" s="1282">
        <v>33840.422999999995</v>
      </c>
      <c r="R57" s="1282">
        <v>3844.741</v>
      </c>
      <c r="S57" s="1282">
        <v>1500</v>
      </c>
      <c r="T57" s="1282">
        <v>13134.083999999999</v>
      </c>
      <c r="U57" s="1282">
        <v>2374.741</v>
      </c>
      <c r="V57" s="1282">
        <v>15521.838</v>
      </c>
      <c r="W57" s="1282">
        <v>5532.7380000000003</v>
      </c>
      <c r="X57" s="1282">
        <v>2391.5969999999998</v>
      </c>
      <c r="Y57" s="1282">
        <v>8317.7419999999984</v>
      </c>
      <c r="Z57" s="1282">
        <v>4374.741</v>
      </c>
      <c r="AA57" s="1282">
        <v>15399.978000000001</v>
      </c>
      <c r="AB57" s="1282">
        <v>1700</v>
      </c>
      <c r="AC57" s="1282">
        <v>3433.384</v>
      </c>
      <c r="AD57" s="1282">
        <v>10675.169</v>
      </c>
      <c r="AE57" s="1282">
        <v>1741.1190000000001</v>
      </c>
      <c r="AF57" s="1282">
        <v>16987.532999999999</v>
      </c>
      <c r="AG57" s="1282">
        <v>96595.925999999992</v>
      </c>
      <c r="AH57" s="1455">
        <f>SUM(C57:AG57)</f>
        <v>308715.85099999997</v>
      </c>
      <c r="AI57" s="1283"/>
      <c r="AN57" s="1280">
        <v>4534.4949999999999</v>
      </c>
    </row>
    <row r="58" spans="1:40" ht="13.5" thickBot="1" x14ac:dyDescent="0.25">
      <c r="A58" s="1294"/>
      <c r="B58" s="1237"/>
      <c r="C58" s="1295"/>
      <c r="D58" s="1295"/>
      <c r="E58" s="1295"/>
      <c r="F58" s="1295"/>
      <c r="G58" s="1295"/>
      <c r="H58" s="1295"/>
      <c r="I58" s="1295"/>
      <c r="J58" s="1295"/>
      <c r="K58" s="1295"/>
      <c r="L58" s="1295"/>
      <c r="M58" s="1295"/>
      <c r="N58" s="1295"/>
      <c r="O58" s="1295"/>
      <c r="P58" s="1295"/>
      <c r="Q58" s="1295"/>
      <c r="R58" s="1295"/>
      <c r="S58" s="1295"/>
      <c r="T58" s="1295"/>
      <c r="U58" s="1295"/>
      <c r="V58" s="1295"/>
      <c r="W58" s="1295"/>
      <c r="X58" s="1295"/>
      <c r="Y58" s="1295"/>
      <c r="Z58" s="1295"/>
      <c r="AA58" s="1295"/>
      <c r="AB58" s="1295"/>
      <c r="AC58" s="1295"/>
      <c r="AD58" s="1295"/>
      <c r="AE58" s="1295"/>
      <c r="AF58" s="1295"/>
      <c r="AG58" s="1295"/>
      <c r="AH58" s="1227">
        <f t="shared" si="9"/>
        <v>0</v>
      </c>
      <c r="AN58" s="1280">
        <v>2827.3519999999999</v>
      </c>
    </row>
    <row r="59" spans="1:40" x14ac:dyDescent="0.2">
      <c r="A59" s="1269"/>
      <c r="B59" s="1237"/>
      <c r="C59" s="1296"/>
      <c r="D59" s="1297"/>
      <c r="E59" s="1297"/>
      <c r="F59" s="1298"/>
      <c r="G59" s="1298"/>
      <c r="H59" s="1298"/>
      <c r="I59" s="1298"/>
      <c r="J59" s="1298"/>
      <c r="K59" s="1298"/>
      <c r="L59" s="1298"/>
      <c r="M59" s="1298"/>
      <c r="N59" s="1298"/>
      <c r="O59" s="1298"/>
      <c r="P59" s="1299"/>
      <c r="Q59" s="1298"/>
      <c r="R59" s="1298"/>
      <c r="S59" s="1298"/>
      <c r="T59" s="1298"/>
      <c r="U59" s="1298"/>
      <c r="V59" s="1298"/>
      <c r="W59" s="1298"/>
      <c r="X59" s="1298"/>
      <c r="Y59" s="1298"/>
      <c r="Z59" s="1298"/>
      <c r="AA59" s="1298"/>
      <c r="AB59" s="1298"/>
      <c r="AC59" s="1298"/>
      <c r="AD59" s="1298"/>
      <c r="AE59" s="1298"/>
      <c r="AF59" s="1298"/>
      <c r="AG59" s="1298"/>
      <c r="AH59" s="1207"/>
      <c r="AJ59" s="1209">
        <f>18755+17890+17700+17800</f>
        <v>72145</v>
      </c>
      <c r="AN59" s="1280">
        <v>1850.7819999999999</v>
      </c>
    </row>
    <row r="60" spans="1:40" x14ac:dyDescent="0.2">
      <c r="A60" s="1274" t="s">
        <v>915</v>
      </c>
      <c r="B60" s="1237"/>
      <c r="C60" s="1300">
        <f t="shared" ref="C60:AG60" si="12">C55-C43</f>
        <v>-6042.2699999999995</v>
      </c>
      <c r="D60" s="1300">
        <f t="shared" si="12"/>
        <v>0</v>
      </c>
      <c r="E60" s="1300">
        <f t="shared" si="12"/>
        <v>0</v>
      </c>
      <c r="F60" s="1300">
        <f t="shared" si="12"/>
        <v>0</v>
      </c>
      <c r="G60" s="1300">
        <f t="shared" si="12"/>
        <v>0</v>
      </c>
      <c r="H60" s="1300">
        <f t="shared" si="12"/>
        <v>0</v>
      </c>
      <c r="I60" s="1300">
        <f t="shared" si="12"/>
        <v>0</v>
      </c>
      <c r="J60" s="1300">
        <f t="shared" si="12"/>
        <v>0</v>
      </c>
      <c r="K60" s="1300">
        <f t="shared" si="12"/>
        <v>0</v>
      </c>
      <c r="L60" s="1300">
        <f t="shared" si="12"/>
        <v>0</v>
      </c>
      <c r="M60" s="1300">
        <f t="shared" si="12"/>
        <v>0</v>
      </c>
      <c r="N60" s="1300">
        <f t="shared" si="12"/>
        <v>0</v>
      </c>
      <c r="O60" s="1300">
        <f t="shared" si="12"/>
        <v>0</v>
      </c>
      <c r="P60" s="1301">
        <f t="shared" si="12"/>
        <v>0</v>
      </c>
      <c r="Q60" s="1300">
        <f t="shared" si="12"/>
        <v>0</v>
      </c>
      <c r="R60" s="1300">
        <f t="shared" si="12"/>
        <v>0</v>
      </c>
      <c r="S60" s="1300">
        <f t="shared" si="12"/>
        <v>0</v>
      </c>
      <c r="T60" s="1300">
        <f t="shared" si="12"/>
        <v>0</v>
      </c>
      <c r="U60" s="1300">
        <f t="shared" si="12"/>
        <v>0</v>
      </c>
      <c r="V60" s="1300">
        <f t="shared" si="12"/>
        <v>-6.3664629124104977E-12</v>
      </c>
      <c r="W60" s="1300">
        <f t="shared" si="12"/>
        <v>0</v>
      </c>
      <c r="X60" s="1300">
        <f t="shared" si="12"/>
        <v>0</v>
      </c>
      <c r="Y60" s="1300">
        <f t="shared" si="12"/>
        <v>0</v>
      </c>
      <c r="Z60" s="1300">
        <f t="shared" si="12"/>
        <v>0</v>
      </c>
      <c r="AA60" s="1300">
        <f t="shared" si="12"/>
        <v>0</v>
      </c>
      <c r="AB60" s="1300">
        <f t="shared" si="12"/>
        <v>0</v>
      </c>
      <c r="AC60" s="1300">
        <f t="shared" si="12"/>
        <v>-3.637978807091713E-12</v>
      </c>
      <c r="AD60" s="1300">
        <f t="shared" si="12"/>
        <v>0</v>
      </c>
      <c r="AE60" s="1300">
        <f t="shared" si="12"/>
        <v>0</v>
      </c>
      <c r="AF60" s="1300">
        <f t="shared" si="12"/>
        <v>-9.0949470177292824E-12</v>
      </c>
      <c r="AG60" s="1300">
        <f t="shared" si="12"/>
        <v>8.1854523159563541E-12</v>
      </c>
      <c r="AH60" s="1207"/>
      <c r="AJ60" s="1209">
        <f>AJ59+67000</f>
        <v>139145</v>
      </c>
      <c r="AL60" s="1283"/>
      <c r="AN60" s="1280">
        <v>915.26599999999996</v>
      </c>
    </row>
    <row r="61" spans="1:40" ht="13.5" thickBot="1" x14ac:dyDescent="0.25">
      <c r="A61" s="1274"/>
      <c r="B61" s="1237"/>
      <c r="C61" s="1300"/>
      <c r="D61" s="1302"/>
      <c r="E61" s="1302"/>
      <c r="F61" s="1303"/>
      <c r="G61" s="1303"/>
      <c r="H61" s="1303"/>
      <c r="I61" s="1303"/>
      <c r="J61" s="1303"/>
      <c r="K61" s="1303"/>
      <c r="L61" s="1303"/>
      <c r="M61" s="1303"/>
      <c r="N61" s="1303"/>
      <c r="O61" s="1303"/>
      <c r="P61" s="1304"/>
      <c r="Q61" s="1303"/>
      <c r="R61" s="1303"/>
      <c r="S61" s="1303"/>
      <c r="T61" s="1303"/>
      <c r="U61" s="1303"/>
      <c r="V61" s="1303"/>
      <c r="W61" s="1303"/>
      <c r="X61" s="1303"/>
      <c r="Y61" s="1303"/>
      <c r="Z61" s="1303"/>
      <c r="AA61" s="1303"/>
      <c r="AB61" s="1303"/>
      <c r="AC61" s="1303"/>
      <c r="AD61" s="1303"/>
      <c r="AE61" s="1303"/>
      <c r="AF61" s="1303"/>
      <c r="AG61" s="1303"/>
      <c r="AH61" s="1207"/>
      <c r="AN61" s="1280">
        <v>15000</v>
      </c>
    </row>
    <row r="62" spans="1:40" x14ac:dyDescent="0.2">
      <c r="A62" s="1233"/>
      <c r="B62" s="1234"/>
      <c r="C62" s="1305"/>
      <c r="D62" s="1297"/>
      <c r="E62" s="1297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9"/>
      <c r="Q62" s="1298"/>
      <c r="R62" s="1298"/>
      <c r="S62" s="1298"/>
      <c r="T62" s="1298"/>
      <c r="U62" s="1298"/>
      <c r="V62" s="1298"/>
      <c r="W62" s="1298"/>
      <c r="X62" s="1298"/>
      <c r="Y62" s="1298"/>
      <c r="Z62" s="1298"/>
      <c r="AA62" s="1298"/>
      <c r="AB62" s="1298"/>
      <c r="AC62" s="1298"/>
      <c r="AD62" s="1298"/>
      <c r="AE62" s="1298"/>
      <c r="AF62" s="1298"/>
      <c r="AG62" s="1298"/>
      <c r="AH62" s="1207"/>
      <c r="AN62" s="1280">
        <v>14101.822</v>
      </c>
    </row>
    <row r="63" spans="1:40" x14ac:dyDescent="0.2">
      <c r="A63" s="1236" t="s">
        <v>15</v>
      </c>
      <c r="B63" s="1237"/>
      <c r="C63" s="1302">
        <f>B40+C60</f>
        <v>-574440.11</v>
      </c>
      <c r="D63" s="1302">
        <f t="shared" ref="D63:AG63" si="13">C70+D60</f>
        <v>-574440.11</v>
      </c>
      <c r="E63" s="1302">
        <f t="shared" si="13"/>
        <v>-574440.11</v>
      </c>
      <c r="F63" s="1302">
        <f t="shared" si="13"/>
        <v>-574440.11</v>
      </c>
      <c r="G63" s="1302">
        <f t="shared" si="13"/>
        <v>-574440.11</v>
      </c>
      <c r="H63" s="1302">
        <f t="shared" si="13"/>
        <v>-574440.11</v>
      </c>
      <c r="I63" s="1302">
        <f t="shared" si="13"/>
        <v>-574440.11</v>
      </c>
      <c r="J63" s="1302">
        <f t="shared" si="13"/>
        <v>-574440.11</v>
      </c>
      <c r="K63" s="1302">
        <f t="shared" si="13"/>
        <v>-574440.11</v>
      </c>
      <c r="L63" s="1302">
        <f t="shared" si="13"/>
        <v>-574440.11</v>
      </c>
      <c r="M63" s="1302">
        <f t="shared" si="13"/>
        <v>-574440.11</v>
      </c>
      <c r="N63" s="1302">
        <f t="shared" si="13"/>
        <v>-574440.11</v>
      </c>
      <c r="O63" s="1302">
        <f t="shared" si="13"/>
        <v>-574440.11</v>
      </c>
      <c r="P63" s="1306">
        <f t="shared" si="13"/>
        <v>-574440.11</v>
      </c>
      <c r="Q63" s="1302">
        <f t="shared" si="13"/>
        <v>-574440.11</v>
      </c>
      <c r="R63" s="1302">
        <f t="shared" si="13"/>
        <v>-574440.11</v>
      </c>
      <c r="S63" s="1302">
        <f t="shared" si="13"/>
        <v>-574440.11</v>
      </c>
      <c r="T63" s="1302">
        <f t="shared" si="13"/>
        <v>-574440.11</v>
      </c>
      <c r="U63" s="1302">
        <f t="shared" si="13"/>
        <v>-574440.11</v>
      </c>
      <c r="V63" s="1302">
        <f t="shared" si="13"/>
        <v>-574440.11</v>
      </c>
      <c r="W63" s="1302">
        <f t="shared" si="13"/>
        <v>-574440.11</v>
      </c>
      <c r="X63" s="1302">
        <f t="shared" si="13"/>
        <v>-574440.11</v>
      </c>
      <c r="Y63" s="1302">
        <f t="shared" si="13"/>
        <v>-574440.11</v>
      </c>
      <c r="Z63" s="1302">
        <f t="shared" si="13"/>
        <v>-574440.11</v>
      </c>
      <c r="AA63" s="1302">
        <f t="shared" si="13"/>
        <v>-574440.11</v>
      </c>
      <c r="AB63" s="1302">
        <f t="shared" si="13"/>
        <v>-574440.11</v>
      </c>
      <c r="AC63" s="1302">
        <f t="shared" si="13"/>
        <v>-574440.11</v>
      </c>
      <c r="AD63" s="1302">
        <f t="shared" si="13"/>
        <v>-574440.11</v>
      </c>
      <c r="AE63" s="1302">
        <f t="shared" si="13"/>
        <v>-574440.11</v>
      </c>
      <c r="AF63" s="1302">
        <f t="shared" si="13"/>
        <v>-574440.11</v>
      </c>
      <c r="AG63" s="1302">
        <f t="shared" si="13"/>
        <v>-574440.11</v>
      </c>
      <c r="AH63" s="1207"/>
      <c r="AN63" s="1280">
        <v>1397.2449999999999</v>
      </c>
    </row>
    <row r="64" spans="1:40" ht="13.5" thickBot="1" x14ac:dyDescent="0.25">
      <c r="A64" s="1250"/>
      <c r="B64" s="1307"/>
      <c r="C64" s="1308"/>
      <c r="D64" s="1308"/>
      <c r="E64" s="1308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10"/>
      <c r="Q64" s="1309"/>
      <c r="R64" s="1309"/>
      <c r="S64" s="1309"/>
      <c r="T64" s="1309"/>
      <c r="U64" s="1309"/>
      <c r="V64" s="1309"/>
      <c r="W64" s="1309"/>
      <c r="X64" s="1309"/>
      <c r="Y64" s="1309"/>
      <c r="Z64" s="1309"/>
      <c r="AA64" s="1309"/>
      <c r="AB64" s="1309"/>
      <c r="AC64" s="1309"/>
      <c r="AD64" s="1309"/>
      <c r="AE64" s="1309"/>
      <c r="AF64" s="1309"/>
      <c r="AG64" s="1309"/>
      <c r="AH64" s="1207"/>
      <c r="AN64" s="1280">
        <v>1322.63</v>
      </c>
    </row>
    <row r="65" spans="1:40" x14ac:dyDescent="0.2">
      <c r="A65" s="1233"/>
      <c r="B65" s="1234"/>
      <c r="C65" s="1297"/>
      <c r="D65" s="1297"/>
      <c r="E65" s="1297"/>
      <c r="F65" s="1298"/>
      <c r="G65" s="1298"/>
      <c r="H65" s="1298"/>
      <c r="I65" s="1298"/>
      <c r="J65" s="1298"/>
      <c r="K65" s="1298"/>
      <c r="L65" s="1298"/>
      <c r="M65" s="1298"/>
      <c r="N65" s="1298"/>
      <c r="O65" s="1298"/>
      <c r="P65" s="1299"/>
      <c r="Q65" s="1298"/>
      <c r="R65" s="1298"/>
      <c r="S65" s="1298"/>
      <c r="T65" s="1298"/>
      <c r="U65" s="1298"/>
      <c r="V65" s="1298"/>
      <c r="W65" s="1298"/>
      <c r="X65" s="1298"/>
      <c r="Y65" s="1298"/>
      <c r="Z65" s="1298"/>
      <c r="AA65" s="1298"/>
      <c r="AB65" s="1298"/>
      <c r="AC65" s="1298"/>
      <c r="AD65" s="1298"/>
      <c r="AE65" s="1298"/>
      <c r="AF65" s="1298"/>
      <c r="AG65" s="1298"/>
      <c r="AH65" s="1227">
        <f>SUM(C65:AG65)</f>
        <v>0</v>
      </c>
      <c r="AN65" s="1280">
        <v>1747.816</v>
      </c>
    </row>
    <row r="66" spans="1:40" x14ac:dyDescent="0.2">
      <c r="A66" s="1236" t="s">
        <v>82</v>
      </c>
      <c r="B66" s="1237"/>
      <c r="C66" s="1302">
        <f t="shared" ref="C66:AG67" si="14">C74</f>
        <v>0</v>
      </c>
      <c r="D66" s="1302">
        <f t="shared" si="14"/>
        <v>0</v>
      </c>
      <c r="E66" s="1302">
        <f t="shared" si="14"/>
        <v>0</v>
      </c>
      <c r="F66" s="1302">
        <f t="shared" si="14"/>
        <v>0</v>
      </c>
      <c r="G66" s="1302">
        <f t="shared" si="14"/>
        <v>0</v>
      </c>
      <c r="H66" s="1302">
        <f t="shared" si="14"/>
        <v>0</v>
      </c>
      <c r="I66" s="1302">
        <f t="shared" si="14"/>
        <v>0</v>
      </c>
      <c r="J66" s="1302">
        <f t="shared" si="14"/>
        <v>0</v>
      </c>
      <c r="K66" s="1302">
        <f t="shared" si="14"/>
        <v>0</v>
      </c>
      <c r="L66" s="1302">
        <f t="shared" si="14"/>
        <v>0</v>
      </c>
      <c r="M66" s="1302">
        <f t="shared" si="14"/>
        <v>0</v>
      </c>
      <c r="N66" s="1302">
        <f t="shared" si="14"/>
        <v>0</v>
      </c>
      <c r="O66" s="1302">
        <f t="shared" si="14"/>
        <v>0</v>
      </c>
      <c r="P66" s="1306">
        <f t="shared" si="14"/>
        <v>0</v>
      </c>
      <c r="Q66" s="1302">
        <f t="shared" si="14"/>
        <v>0</v>
      </c>
      <c r="R66" s="1302">
        <f t="shared" si="14"/>
        <v>0</v>
      </c>
      <c r="S66" s="1302">
        <f t="shared" si="14"/>
        <v>0</v>
      </c>
      <c r="T66" s="1302">
        <f t="shared" si="14"/>
        <v>0</v>
      </c>
      <c r="U66" s="1302">
        <f t="shared" si="14"/>
        <v>0</v>
      </c>
      <c r="V66" s="1302">
        <f t="shared" si="14"/>
        <v>0</v>
      </c>
      <c r="W66" s="1302">
        <f t="shared" si="14"/>
        <v>0</v>
      </c>
      <c r="X66" s="1302">
        <f t="shared" si="14"/>
        <v>0</v>
      </c>
      <c r="Y66" s="1302">
        <f t="shared" si="14"/>
        <v>0</v>
      </c>
      <c r="Z66" s="1302">
        <f t="shared" si="14"/>
        <v>0</v>
      </c>
      <c r="AA66" s="1302">
        <f t="shared" si="14"/>
        <v>0</v>
      </c>
      <c r="AB66" s="1302">
        <f t="shared" si="14"/>
        <v>0</v>
      </c>
      <c r="AC66" s="1302">
        <f t="shared" si="14"/>
        <v>0</v>
      </c>
      <c r="AD66" s="1302">
        <f t="shared" si="14"/>
        <v>0</v>
      </c>
      <c r="AE66" s="1302">
        <f t="shared" si="14"/>
        <v>0</v>
      </c>
      <c r="AF66" s="1302">
        <f t="shared" si="14"/>
        <v>0</v>
      </c>
      <c r="AG66" s="1302">
        <f t="shared" si="14"/>
        <v>0</v>
      </c>
      <c r="AH66" s="1207"/>
      <c r="AN66" s="1280">
        <v>1021.722</v>
      </c>
    </row>
    <row r="67" spans="1:40" x14ac:dyDescent="0.2">
      <c r="A67" s="1236" t="s">
        <v>83</v>
      </c>
      <c r="B67" s="1237"/>
      <c r="C67" s="1306">
        <f t="shared" si="14"/>
        <v>0</v>
      </c>
      <c r="D67" s="1306">
        <f t="shared" si="14"/>
        <v>0</v>
      </c>
      <c r="E67" s="1306">
        <f t="shared" si="14"/>
        <v>0</v>
      </c>
      <c r="F67" s="1306">
        <f t="shared" si="14"/>
        <v>0</v>
      </c>
      <c r="G67" s="1306">
        <f t="shared" si="14"/>
        <v>0</v>
      </c>
      <c r="H67" s="1306">
        <f t="shared" si="14"/>
        <v>0</v>
      </c>
      <c r="I67" s="1306">
        <f t="shared" si="14"/>
        <v>0</v>
      </c>
      <c r="J67" s="1306">
        <f t="shared" si="14"/>
        <v>0</v>
      </c>
      <c r="K67" s="1306">
        <f t="shared" si="14"/>
        <v>0</v>
      </c>
      <c r="L67" s="1306">
        <f t="shared" si="14"/>
        <v>0</v>
      </c>
      <c r="M67" s="1306">
        <f t="shared" si="14"/>
        <v>0</v>
      </c>
      <c r="N67" s="1306">
        <f t="shared" si="14"/>
        <v>0</v>
      </c>
      <c r="O67" s="1306">
        <f t="shared" si="14"/>
        <v>0</v>
      </c>
      <c r="P67" s="1306">
        <f t="shared" si="14"/>
        <v>0</v>
      </c>
      <c r="Q67" s="1306">
        <f t="shared" si="14"/>
        <v>0</v>
      </c>
      <c r="R67" s="1306">
        <f t="shared" si="14"/>
        <v>0</v>
      </c>
      <c r="S67" s="1306">
        <f t="shared" si="14"/>
        <v>0</v>
      </c>
      <c r="T67" s="1306">
        <f t="shared" si="14"/>
        <v>0</v>
      </c>
      <c r="U67" s="1306">
        <f t="shared" si="14"/>
        <v>0</v>
      </c>
      <c r="V67" s="1306">
        <f t="shared" si="14"/>
        <v>0</v>
      </c>
      <c r="W67" s="1306">
        <f t="shared" si="14"/>
        <v>0</v>
      </c>
      <c r="X67" s="1306">
        <f t="shared" si="14"/>
        <v>0</v>
      </c>
      <c r="Y67" s="1306">
        <f t="shared" si="14"/>
        <v>0</v>
      </c>
      <c r="Z67" s="1306">
        <f t="shared" si="14"/>
        <v>0</v>
      </c>
      <c r="AA67" s="1306">
        <f t="shared" si="14"/>
        <v>0</v>
      </c>
      <c r="AB67" s="1306">
        <f t="shared" si="14"/>
        <v>0</v>
      </c>
      <c r="AC67" s="1306">
        <f t="shared" si="14"/>
        <v>0</v>
      </c>
      <c r="AD67" s="1306">
        <f t="shared" si="14"/>
        <v>0</v>
      </c>
      <c r="AE67" s="1306">
        <f t="shared" si="14"/>
        <v>0</v>
      </c>
      <c r="AF67" s="1306">
        <f t="shared" si="14"/>
        <v>0</v>
      </c>
      <c r="AG67" s="1306">
        <f t="shared" si="14"/>
        <v>0</v>
      </c>
      <c r="AH67" s="1207"/>
      <c r="AN67" s="1280">
        <v>4000</v>
      </c>
    </row>
    <row r="68" spans="1:40" ht="13.5" thickBot="1" x14ac:dyDescent="0.25">
      <c r="A68" s="1250"/>
      <c r="B68" s="1307"/>
      <c r="C68" s="1308"/>
      <c r="D68" s="1308"/>
      <c r="E68" s="1308"/>
      <c r="F68" s="1309"/>
      <c r="G68" s="1309"/>
      <c r="H68" s="1309"/>
      <c r="I68" s="1309"/>
      <c r="J68" s="1309"/>
      <c r="K68" s="1309"/>
      <c r="L68" s="1309"/>
      <c r="M68" s="1309"/>
      <c r="N68" s="1309"/>
      <c r="O68" s="1309"/>
      <c r="P68" s="1310"/>
      <c r="Q68" s="1309"/>
      <c r="R68" s="1309"/>
      <c r="S68" s="1309"/>
      <c r="T68" s="1309"/>
      <c r="U68" s="1309"/>
      <c r="V68" s="1309"/>
      <c r="W68" s="1309"/>
      <c r="X68" s="1309"/>
      <c r="Y68" s="1309"/>
      <c r="Z68" s="1309"/>
      <c r="AA68" s="1309"/>
      <c r="AB68" s="1309"/>
      <c r="AC68" s="1309"/>
      <c r="AD68" s="1309"/>
      <c r="AE68" s="1309"/>
      <c r="AF68" s="1309"/>
      <c r="AG68" s="1309"/>
      <c r="AH68" s="1207"/>
      <c r="AN68" s="1280"/>
    </row>
    <row r="69" spans="1:40" x14ac:dyDescent="0.2">
      <c r="A69" s="1236"/>
      <c r="B69" s="1237"/>
      <c r="C69" s="1302"/>
      <c r="D69" s="1302"/>
      <c r="E69" s="1302"/>
      <c r="F69" s="1303"/>
      <c r="G69" s="1303"/>
      <c r="H69" s="1303"/>
      <c r="I69" s="1303"/>
      <c r="J69" s="1303"/>
      <c r="K69" s="1303"/>
      <c r="L69" s="1303"/>
      <c r="M69" s="1303"/>
      <c r="N69" s="1303"/>
      <c r="O69" s="1303"/>
      <c r="P69" s="1304"/>
      <c r="Q69" s="1303"/>
      <c r="R69" s="1303"/>
      <c r="S69" s="1303"/>
      <c r="T69" s="1303"/>
      <c r="U69" s="1303"/>
      <c r="V69" s="1303"/>
      <c r="W69" s="1303"/>
      <c r="X69" s="1303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207"/>
      <c r="AN69" s="1280">
        <v>1616.846</v>
      </c>
    </row>
    <row r="70" spans="1:40" x14ac:dyDescent="0.2">
      <c r="A70" s="1236" t="s">
        <v>14</v>
      </c>
      <c r="B70" s="1237"/>
      <c r="C70" s="1302">
        <f t="shared" ref="C70:AG70" si="15">C63+C66+C67</f>
        <v>-574440.11</v>
      </c>
      <c r="D70" s="1302">
        <f t="shared" si="15"/>
        <v>-574440.11</v>
      </c>
      <c r="E70" s="1302">
        <f t="shared" si="15"/>
        <v>-574440.11</v>
      </c>
      <c r="F70" s="1302">
        <f t="shared" si="15"/>
        <v>-574440.11</v>
      </c>
      <c r="G70" s="1302">
        <f t="shared" si="15"/>
        <v>-574440.11</v>
      </c>
      <c r="H70" s="1302">
        <f t="shared" si="15"/>
        <v>-574440.11</v>
      </c>
      <c r="I70" s="1302">
        <f t="shared" si="15"/>
        <v>-574440.11</v>
      </c>
      <c r="J70" s="1302">
        <f t="shared" si="15"/>
        <v>-574440.11</v>
      </c>
      <c r="K70" s="1302">
        <f t="shared" si="15"/>
        <v>-574440.11</v>
      </c>
      <c r="L70" s="1302">
        <f t="shared" si="15"/>
        <v>-574440.11</v>
      </c>
      <c r="M70" s="1302">
        <f t="shared" si="15"/>
        <v>-574440.11</v>
      </c>
      <c r="N70" s="1302">
        <f t="shared" si="15"/>
        <v>-574440.11</v>
      </c>
      <c r="O70" s="1302">
        <f t="shared" si="15"/>
        <v>-574440.11</v>
      </c>
      <c r="P70" s="1306">
        <f t="shared" si="15"/>
        <v>-574440.11</v>
      </c>
      <c r="Q70" s="1302">
        <f t="shared" si="15"/>
        <v>-574440.11</v>
      </c>
      <c r="R70" s="1302">
        <f t="shared" si="15"/>
        <v>-574440.11</v>
      </c>
      <c r="S70" s="1302">
        <f t="shared" si="15"/>
        <v>-574440.11</v>
      </c>
      <c r="T70" s="1302">
        <f t="shared" si="15"/>
        <v>-574440.11</v>
      </c>
      <c r="U70" s="1302">
        <f t="shared" si="15"/>
        <v>-574440.11</v>
      </c>
      <c r="V70" s="1302">
        <f t="shared" si="15"/>
        <v>-574440.11</v>
      </c>
      <c r="W70" s="1302">
        <f t="shared" si="15"/>
        <v>-574440.11</v>
      </c>
      <c r="X70" s="1302">
        <f t="shared" si="15"/>
        <v>-574440.11</v>
      </c>
      <c r="Y70" s="1302">
        <f t="shared" si="15"/>
        <v>-574440.11</v>
      </c>
      <c r="Z70" s="1302">
        <f t="shared" si="15"/>
        <v>-574440.11</v>
      </c>
      <c r="AA70" s="1302">
        <f t="shared" si="15"/>
        <v>-574440.11</v>
      </c>
      <c r="AB70" s="1302">
        <f t="shared" si="15"/>
        <v>-574440.11</v>
      </c>
      <c r="AC70" s="1302">
        <f t="shared" si="15"/>
        <v>-574440.11</v>
      </c>
      <c r="AD70" s="1302">
        <f t="shared" si="15"/>
        <v>-574440.11</v>
      </c>
      <c r="AE70" s="1302">
        <f t="shared" si="15"/>
        <v>-574440.11</v>
      </c>
      <c r="AF70" s="1302">
        <f t="shared" si="15"/>
        <v>-574440.11</v>
      </c>
      <c r="AG70" s="1302">
        <f t="shared" si="15"/>
        <v>-574440.11</v>
      </c>
      <c r="AH70" s="1311"/>
      <c r="AN70" s="1280">
        <v>7523.0129999999999</v>
      </c>
    </row>
    <row r="71" spans="1:40" x14ac:dyDescent="0.2">
      <c r="A71" s="1236"/>
      <c r="B71" s="1237"/>
      <c r="C71" s="1302"/>
      <c r="D71" s="1302"/>
      <c r="E71" s="1302"/>
      <c r="F71" s="1303"/>
      <c r="G71" s="1303"/>
      <c r="H71" s="1303"/>
      <c r="I71" s="1303"/>
      <c r="J71" s="1303"/>
      <c r="K71" s="1303"/>
      <c r="L71" s="1303"/>
      <c r="M71" s="1303"/>
      <c r="N71" s="1303"/>
      <c r="O71" s="1303"/>
      <c r="P71" s="1304"/>
      <c r="Q71" s="1303"/>
      <c r="R71" s="1303"/>
      <c r="S71" s="1303"/>
      <c r="T71" s="1303"/>
      <c r="U71" s="1303"/>
      <c r="V71" s="1303"/>
      <c r="W71" s="1303"/>
      <c r="X71" s="1303"/>
      <c r="Y71" s="1303"/>
      <c r="Z71" s="1303"/>
      <c r="AA71" s="1303"/>
      <c r="AB71" s="1303"/>
      <c r="AC71" s="1303"/>
      <c r="AD71" s="1303"/>
      <c r="AE71" s="1303"/>
      <c r="AF71" s="1303"/>
      <c r="AG71" s="1303"/>
      <c r="AH71" s="1207"/>
      <c r="AN71" s="1280">
        <v>716.57600000000002</v>
      </c>
    </row>
    <row r="72" spans="1:40" ht="13.5" thickBot="1" x14ac:dyDescent="0.25">
      <c r="A72" s="1250"/>
      <c r="B72" s="1307"/>
      <c r="C72" s="1312"/>
      <c r="D72" s="1312"/>
      <c r="E72" s="1312"/>
      <c r="F72" s="1313"/>
      <c r="G72" s="1313"/>
      <c r="H72" s="1313"/>
      <c r="I72" s="1313"/>
      <c r="J72" s="1313"/>
      <c r="K72" s="1313"/>
      <c r="L72" s="1313"/>
      <c r="M72" s="1313"/>
      <c r="N72" s="1313"/>
      <c r="O72" s="1313"/>
      <c r="P72" s="1314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207"/>
      <c r="AN72" s="1315">
        <v>1326.8</v>
      </c>
    </row>
    <row r="73" spans="1:40" x14ac:dyDescent="0.2">
      <c r="A73" s="1316"/>
      <c r="B73" s="1207"/>
      <c r="C73" s="1227"/>
      <c r="D73" s="1227"/>
      <c r="E73" s="1227"/>
      <c r="F73" s="1227"/>
      <c r="G73" s="1227"/>
      <c r="H73" s="1317"/>
      <c r="I73" s="1317"/>
      <c r="J73" s="1317"/>
      <c r="K73" s="1317"/>
      <c r="L73" s="1317"/>
      <c r="M73" s="1317"/>
      <c r="N73" s="1317"/>
      <c r="O73" s="1317"/>
      <c r="P73" s="1318"/>
      <c r="Q73" s="1317"/>
      <c r="R73" s="1317"/>
      <c r="S73" s="1317"/>
      <c r="T73" s="1317"/>
      <c r="U73" s="1317"/>
      <c r="V73" s="1317"/>
      <c r="W73" s="1317"/>
      <c r="X73" s="1317"/>
      <c r="Y73" s="1317"/>
      <c r="Z73" s="1317"/>
      <c r="AA73" s="1317"/>
      <c r="AB73" s="1317"/>
      <c r="AC73" s="1317"/>
      <c r="AD73" s="1317"/>
      <c r="AE73" s="1317"/>
      <c r="AF73" s="1317"/>
      <c r="AG73" s="1317"/>
      <c r="AH73" s="1207"/>
      <c r="AN73" s="1315">
        <v>4180.9530000000004</v>
      </c>
    </row>
    <row r="74" spans="1:40" x14ac:dyDescent="0.2">
      <c r="A74" s="1316" t="s">
        <v>40</v>
      </c>
      <c r="B74" s="1207"/>
      <c r="C74" s="1303"/>
      <c r="D74" s="1303"/>
      <c r="E74" s="1303"/>
      <c r="F74" s="1303"/>
      <c r="G74" s="1303"/>
      <c r="H74" s="1303"/>
      <c r="I74" s="1303"/>
      <c r="J74" s="1303"/>
      <c r="K74" s="1303"/>
      <c r="L74" s="1303"/>
      <c r="M74" s="1303"/>
      <c r="N74" s="1303"/>
      <c r="O74" s="1303"/>
      <c r="P74" s="1303"/>
      <c r="Q74" s="1303"/>
      <c r="R74" s="1303"/>
      <c r="S74" s="1303"/>
      <c r="T74" s="1303"/>
      <c r="U74" s="1303"/>
      <c r="V74" s="1303"/>
      <c r="W74" s="1303"/>
      <c r="X74" s="1303"/>
      <c r="Y74" s="1303"/>
      <c r="Z74" s="1303"/>
      <c r="AA74" s="1303"/>
      <c r="AB74" s="1303"/>
      <c r="AC74" s="1303"/>
      <c r="AD74" s="1303"/>
      <c r="AE74" s="1303"/>
      <c r="AF74" s="1303"/>
      <c r="AG74" s="1303"/>
      <c r="AH74" s="1227">
        <f>SUM(C74:AG74)</f>
        <v>0</v>
      </c>
      <c r="AI74" s="1320"/>
      <c r="AJ74" s="1320"/>
      <c r="AK74" s="1321"/>
      <c r="AN74" s="1315">
        <v>2761.194</v>
      </c>
    </row>
    <row r="75" spans="1:40" x14ac:dyDescent="0.2">
      <c r="A75" s="1316" t="s">
        <v>42</v>
      </c>
      <c r="B75" s="1207"/>
      <c r="C75" s="1303"/>
      <c r="D75" s="1303"/>
      <c r="E75" s="1303"/>
      <c r="F75" s="1319"/>
      <c r="G75" s="1319"/>
      <c r="H75" s="1319"/>
      <c r="I75" s="1319"/>
      <c r="J75" s="1319"/>
      <c r="K75" s="1319"/>
      <c r="L75" s="1319">
        <f>H57</f>
        <v>0</v>
      </c>
      <c r="M75" s="1319"/>
      <c r="N75" s="1319"/>
      <c r="O75" s="1319"/>
      <c r="P75" s="1319"/>
      <c r="Q75" s="1319"/>
      <c r="R75" s="1319"/>
      <c r="S75" s="1319"/>
      <c r="T75" s="1319"/>
      <c r="U75" s="1319"/>
      <c r="V75" s="1319"/>
      <c r="W75" s="1319"/>
      <c r="X75" s="1319"/>
      <c r="Y75" s="1319"/>
      <c r="Z75" s="1319"/>
      <c r="AA75" s="1319"/>
      <c r="AB75" s="1319"/>
      <c r="AC75" s="1319"/>
      <c r="AD75" s="1319"/>
      <c r="AE75" s="1319"/>
      <c r="AF75" s="1319"/>
      <c r="AG75" s="1319"/>
      <c r="AH75" s="1227">
        <f>SUM(C75:AG75)</f>
        <v>0</v>
      </c>
      <c r="AI75" s="1320"/>
      <c r="AJ75" s="1320"/>
      <c r="AK75" s="1321"/>
      <c r="AN75" s="1315">
        <v>6804.6840000000002</v>
      </c>
    </row>
    <row r="76" spans="1:40" ht="13.5" thickBot="1" x14ac:dyDescent="0.25">
      <c r="A76" s="1316"/>
      <c r="B76" s="1207"/>
      <c r="C76" s="1219"/>
      <c r="D76" s="1219"/>
      <c r="E76" s="1219"/>
      <c r="F76" s="1219"/>
      <c r="G76" s="1220"/>
      <c r="H76" s="1322"/>
      <c r="I76" s="1219"/>
      <c r="J76" s="1219"/>
      <c r="K76" s="1219"/>
      <c r="L76" s="1219"/>
      <c r="M76" s="1219"/>
      <c r="N76" s="1219"/>
      <c r="O76" s="1219"/>
      <c r="P76" s="1221"/>
      <c r="Q76" s="1219"/>
      <c r="R76" s="1219"/>
      <c r="S76" s="1219"/>
      <c r="T76" s="1219"/>
      <c r="U76" s="1219"/>
      <c r="V76" s="1322"/>
      <c r="W76" s="1322"/>
      <c r="X76" s="1219"/>
      <c r="Y76" s="1219"/>
      <c r="Z76" s="1219"/>
      <c r="AA76" s="1219"/>
      <c r="AB76" s="1219"/>
      <c r="AC76" s="1219"/>
      <c r="AD76" s="1219"/>
      <c r="AE76" s="1219"/>
      <c r="AF76" s="1219"/>
      <c r="AG76" s="1219"/>
      <c r="AH76" s="1207"/>
      <c r="AI76" s="1320"/>
      <c r="AJ76" s="1320"/>
      <c r="AK76" s="1321"/>
      <c r="AN76" s="1315">
        <v>14590.134</v>
      </c>
    </row>
    <row r="77" spans="1:40" x14ac:dyDescent="0.2">
      <c r="A77" s="1323" t="s">
        <v>495</v>
      </c>
      <c r="B77" s="1324" t="s">
        <v>509</v>
      </c>
      <c r="C77" s="1325"/>
      <c r="D77" s="1326"/>
      <c r="E77" s="1326"/>
      <c r="F77" s="1326"/>
      <c r="G77" s="1327"/>
      <c r="H77" s="1328"/>
      <c r="I77" s="1326"/>
      <c r="J77" s="1326"/>
      <c r="K77" s="1326"/>
      <c r="L77" s="1326"/>
      <c r="M77" s="1326"/>
      <c r="N77" s="1326"/>
      <c r="O77" s="1326"/>
      <c r="P77" s="1329"/>
      <c r="Q77" s="1326"/>
      <c r="R77" s="1326"/>
      <c r="S77" s="1326"/>
      <c r="T77" s="1326"/>
      <c r="U77" s="1326"/>
      <c r="V77" s="1328"/>
      <c r="W77" s="1328"/>
      <c r="X77" s="1326"/>
      <c r="Y77" s="1326"/>
      <c r="Z77" s="1326"/>
      <c r="AA77" s="1326"/>
      <c r="AB77" s="1326"/>
      <c r="AC77" s="1326"/>
      <c r="AD77" s="1326"/>
      <c r="AE77" s="1326"/>
      <c r="AF77" s="1326"/>
      <c r="AG77" s="1326"/>
      <c r="AH77" s="1330">
        <f>SUM(C77:AG77)</f>
        <v>0</v>
      </c>
      <c r="AI77" s="1320"/>
      <c r="AJ77" s="1320"/>
      <c r="AK77" s="1321"/>
      <c r="AN77" s="1280">
        <v>1034.9559999999999</v>
      </c>
    </row>
    <row r="78" spans="1:40" ht="13.5" thickBot="1" x14ac:dyDescent="0.25">
      <c r="A78" s="1331" t="s">
        <v>697</v>
      </c>
      <c r="B78" s="1332" t="s">
        <v>510</v>
      </c>
      <c r="C78" s="1333"/>
      <c r="D78" s="1334"/>
      <c r="E78" s="1334"/>
      <c r="F78" s="1334"/>
      <c r="G78" s="1334"/>
      <c r="H78" s="1335"/>
      <c r="I78" s="1336"/>
      <c r="J78" s="1334"/>
      <c r="K78" s="1334"/>
      <c r="L78" s="1335"/>
      <c r="M78" s="1334"/>
      <c r="N78" s="1334"/>
      <c r="O78" s="1334"/>
      <c r="P78" s="1337"/>
      <c r="Q78" s="1335"/>
      <c r="R78" s="1334"/>
      <c r="S78" s="1334"/>
      <c r="T78" s="1334"/>
      <c r="U78" s="1334"/>
      <c r="V78" s="1335"/>
      <c r="W78" s="1334"/>
      <c r="X78" s="1334"/>
      <c r="Y78" s="1334"/>
      <c r="Z78" s="1334"/>
      <c r="AA78" s="1335"/>
      <c r="AB78" s="1334"/>
      <c r="AC78" s="1334"/>
      <c r="AD78" s="1334"/>
      <c r="AE78" s="1334"/>
      <c r="AF78" s="1334"/>
      <c r="AG78" s="1334"/>
      <c r="AH78" s="1338">
        <f>SUM(C78:AG78)</f>
        <v>0</v>
      </c>
      <c r="AI78" s="1320"/>
      <c r="AJ78" s="1320"/>
      <c r="AK78" s="1321"/>
      <c r="AN78" s="1280"/>
    </row>
    <row r="79" spans="1:40" x14ac:dyDescent="0.2">
      <c r="A79" s="1323" t="s">
        <v>495</v>
      </c>
      <c r="B79" s="1324" t="s">
        <v>509</v>
      </c>
      <c r="C79" s="1339"/>
      <c r="D79" s="1339"/>
      <c r="E79" s="1339"/>
      <c r="F79" s="1339"/>
      <c r="G79" s="1339"/>
      <c r="H79" s="1340"/>
      <c r="I79" s="1341"/>
      <c r="J79" s="1339"/>
      <c r="K79" s="1339"/>
      <c r="L79" s="1340"/>
      <c r="M79" s="1339"/>
      <c r="N79" s="1339"/>
      <c r="O79" s="1339"/>
      <c r="P79" s="1342"/>
      <c r="Q79" s="1340"/>
      <c r="R79" s="1339"/>
      <c r="S79" s="1339"/>
      <c r="T79" s="1339"/>
      <c r="U79" s="1339"/>
      <c r="V79" s="1340"/>
      <c r="W79" s="1339"/>
      <c r="X79" s="1339"/>
      <c r="Y79" s="1339"/>
      <c r="Z79" s="1339"/>
      <c r="AA79" s="1340"/>
      <c r="AB79" s="1339"/>
      <c r="AC79" s="1339"/>
      <c r="AD79" s="1339"/>
      <c r="AE79" s="1339"/>
      <c r="AF79" s="1339"/>
      <c r="AG79" s="1339"/>
      <c r="AH79" s="1330">
        <f>SUM(C79:AG79)</f>
        <v>0</v>
      </c>
      <c r="AI79" s="1320"/>
      <c r="AJ79" s="1320"/>
      <c r="AK79" s="1321"/>
      <c r="AN79" s="1280"/>
    </row>
    <row r="80" spans="1:40" ht="13.5" thickBot="1" x14ac:dyDescent="0.25">
      <c r="A80" s="1331" t="s">
        <v>696</v>
      </c>
      <c r="B80" s="1332" t="s">
        <v>510</v>
      </c>
      <c r="C80" s="1339"/>
      <c r="D80" s="1339"/>
      <c r="E80" s="1339"/>
      <c r="F80" s="1339"/>
      <c r="G80" s="1339"/>
      <c r="H80" s="1340"/>
      <c r="I80" s="1341"/>
      <c r="J80" s="1339"/>
      <c r="K80" s="1339"/>
      <c r="L80" s="1340"/>
      <c r="M80" s="1339"/>
      <c r="N80" s="1339"/>
      <c r="O80" s="1339"/>
      <c r="P80" s="1342"/>
      <c r="Q80" s="1340"/>
      <c r="R80" s="1339"/>
      <c r="S80" s="1339"/>
      <c r="T80" s="1339"/>
      <c r="U80" s="1339"/>
      <c r="V80" s="1340"/>
      <c r="W80" s="1339"/>
      <c r="X80" s="1339"/>
      <c r="Y80" s="1339"/>
      <c r="Z80" s="1339"/>
      <c r="AA80" s="1340"/>
      <c r="AB80" s="1339"/>
      <c r="AC80" s="1339"/>
      <c r="AD80" s="1339"/>
      <c r="AE80" s="1339"/>
      <c r="AF80" s="1339"/>
      <c r="AG80" s="1339"/>
      <c r="AH80" s="1343"/>
      <c r="AI80" s="1320"/>
      <c r="AJ80" s="1320"/>
      <c r="AK80" s="1321"/>
      <c r="AN80" s="1280"/>
    </row>
    <row r="81" spans="1:43" x14ac:dyDescent="0.2">
      <c r="A81" s="1344"/>
      <c r="B81" s="1230"/>
      <c r="C81" s="1228"/>
      <c r="D81" s="1228"/>
      <c r="E81" s="1228"/>
      <c r="F81" s="1228"/>
      <c r="G81" s="1228"/>
      <c r="H81" s="1228"/>
      <c r="I81" s="1228"/>
      <c r="J81" s="1228"/>
      <c r="K81" s="1228"/>
      <c r="L81" s="1228"/>
      <c r="M81" s="1228"/>
      <c r="N81" s="1228"/>
      <c r="O81" s="1228"/>
      <c r="P81" s="1229"/>
      <c r="Q81" s="1228"/>
      <c r="R81" s="1228"/>
      <c r="S81" s="1228"/>
      <c r="T81" s="1228"/>
      <c r="U81" s="1228"/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320"/>
      <c r="AJ81" s="1320"/>
      <c r="AK81" s="1321"/>
      <c r="AN81" s="1280">
        <v>2000</v>
      </c>
    </row>
    <row r="82" spans="1:43" s="1321" customFormat="1" x14ac:dyDescent="0.2">
      <c r="A82" s="1236" t="s">
        <v>2</v>
      </c>
      <c r="B82" s="1207"/>
      <c r="C82" s="1345">
        <f>SUM(C84:C121)</f>
        <v>200003.682</v>
      </c>
      <c r="D82" s="1227"/>
      <c r="E82" s="1346"/>
      <c r="F82" s="1227"/>
      <c r="G82" s="1347"/>
      <c r="H82" s="1228"/>
      <c r="I82" s="1227"/>
      <c r="J82" s="1227"/>
      <c r="K82" s="1227"/>
      <c r="L82" s="1227"/>
      <c r="M82" s="1228"/>
      <c r="N82" s="1228"/>
      <c r="O82" s="1228"/>
      <c r="P82" s="1229"/>
      <c r="Q82" s="1228"/>
      <c r="R82" s="1228"/>
      <c r="S82" s="1228"/>
      <c r="T82" s="1227"/>
      <c r="U82" s="1227"/>
      <c r="V82" s="1227"/>
      <c r="W82" s="1227"/>
      <c r="X82" s="1227"/>
      <c r="Y82" s="1227"/>
      <c r="Z82" s="1227"/>
      <c r="AA82" s="1227"/>
      <c r="AB82" s="1227"/>
      <c r="AC82" s="1227"/>
      <c r="AD82" s="1227"/>
      <c r="AE82" s="1228"/>
      <c r="AF82" s="1227"/>
      <c r="AG82" s="1227"/>
      <c r="AH82" s="1207"/>
      <c r="AN82" s="1348">
        <v>2358.498</v>
      </c>
    </row>
    <row r="83" spans="1:43" s="1321" customFormat="1" x14ac:dyDescent="0.2">
      <c r="A83" s="1237"/>
      <c r="B83" s="1207"/>
      <c r="C83" s="1345"/>
      <c r="D83" s="1207"/>
      <c r="E83" s="1207"/>
      <c r="F83" s="1207"/>
      <c r="G83" s="1349"/>
      <c r="H83" s="1207"/>
      <c r="I83" s="1207"/>
      <c r="J83" s="1207"/>
      <c r="K83" s="1207"/>
      <c r="L83" s="1207"/>
      <c r="M83" s="1207"/>
      <c r="N83" s="1207"/>
      <c r="O83" s="1207"/>
      <c r="P83" s="1208"/>
      <c r="Q83" s="1207"/>
      <c r="R83" s="1207"/>
      <c r="S83" s="1207"/>
      <c r="T83" s="1207"/>
      <c r="U83" s="1207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N83" s="1348">
        <v>1458.3630000000001</v>
      </c>
    </row>
    <row r="84" spans="1:43" s="1321" customFormat="1" x14ac:dyDescent="0.2">
      <c r="A84" s="1207" t="s">
        <v>30</v>
      </c>
      <c r="B84" s="1350">
        <v>42453</v>
      </c>
      <c r="C84" s="1351"/>
      <c r="D84" s="1208"/>
      <c r="E84" s="1207"/>
      <c r="F84" s="1207"/>
      <c r="G84" s="1349"/>
      <c r="H84" s="1207"/>
      <c r="I84" s="1207"/>
      <c r="J84" s="1207"/>
      <c r="K84" s="1352"/>
      <c r="L84" s="1208"/>
      <c r="M84" s="1229"/>
      <c r="N84" s="1207"/>
      <c r="O84" s="1207"/>
      <c r="P84" s="1208"/>
      <c r="Q84" s="1207"/>
      <c r="R84" s="1207"/>
      <c r="S84" s="1207"/>
      <c r="T84" s="1207"/>
      <c r="U84" s="1207"/>
      <c r="V84" s="1207"/>
      <c r="W84" s="1207"/>
      <c r="X84" s="1207"/>
      <c r="Y84" s="1207"/>
      <c r="Z84" s="1207"/>
      <c r="AA84" s="1207"/>
      <c r="AB84" s="1207"/>
      <c r="AC84" s="1207"/>
      <c r="AD84" s="1207"/>
      <c r="AE84" s="1207"/>
      <c r="AF84" s="1207"/>
      <c r="AG84" s="1207"/>
      <c r="AH84" s="1207"/>
      <c r="AN84" s="1315">
        <v>718.548</v>
      </c>
    </row>
    <row r="85" spans="1:43" s="1321" customFormat="1" x14ac:dyDescent="0.2">
      <c r="A85" s="1207"/>
      <c r="B85" s="1350">
        <v>42255</v>
      </c>
      <c r="C85" s="1351"/>
      <c r="D85" s="1208"/>
      <c r="F85" s="1207"/>
      <c r="G85" s="1353"/>
      <c r="H85" s="1207"/>
      <c r="I85" s="1207"/>
      <c r="J85" s="1207"/>
      <c r="K85" s="1208"/>
      <c r="L85" s="1208"/>
      <c r="M85" s="1208"/>
      <c r="N85" s="1207"/>
      <c r="O85" s="1207"/>
      <c r="P85" s="1208"/>
      <c r="Q85" s="1207"/>
      <c r="R85" s="1207"/>
      <c r="S85" s="1207"/>
      <c r="T85" s="1207"/>
      <c r="U85" s="1207"/>
      <c r="V85" s="1207"/>
      <c r="W85" s="1207"/>
      <c r="X85" s="1207"/>
      <c r="Y85" s="1207"/>
      <c r="Z85" s="1207"/>
      <c r="AA85" s="1207"/>
      <c r="AB85" s="1207"/>
      <c r="AC85" s="1207"/>
      <c r="AD85" s="1207"/>
      <c r="AE85" s="1207"/>
      <c r="AF85" s="1207"/>
      <c r="AG85" s="1207"/>
      <c r="AH85" s="1207"/>
      <c r="AN85" s="1315">
        <v>1820.952</v>
      </c>
    </row>
    <row r="86" spans="1:43" x14ac:dyDescent="0.2">
      <c r="A86" s="1207"/>
      <c r="B86" s="1350">
        <v>42248</v>
      </c>
      <c r="C86" s="1345"/>
      <c r="D86" s="1354"/>
      <c r="E86" s="1207"/>
      <c r="F86" s="1207"/>
      <c r="G86" s="1353"/>
      <c r="H86" s="1207"/>
      <c r="I86" s="1207"/>
      <c r="J86" s="1207"/>
      <c r="K86" s="1352"/>
      <c r="L86" s="1208"/>
      <c r="M86" s="1208"/>
      <c r="N86" s="1207"/>
      <c r="O86" s="1207"/>
      <c r="P86" s="1208"/>
      <c r="Q86" s="1207"/>
      <c r="R86" s="1207"/>
      <c r="S86" s="1207"/>
      <c r="T86" s="1207"/>
      <c r="U86" s="1207"/>
      <c r="V86" s="1207"/>
      <c r="W86" s="1207"/>
      <c r="X86" s="1207"/>
      <c r="Y86" s="1207"/>
      <c r="Z86" s="1207"/>
      <c r="AA86" s="1207"/>
      <c r="AB86" s="1207"/>
      <c r="AC86" s="1207"/>
      <c r="AD86" s="1207"/>
      <c r="AE86" s="1207"/>
      <c r="AF86" s="1207"/>
      <c r="AG86" s="1207"/>
      <c r="AH86" s="1207"/>
      <c r="AI86" s="1355"/>
      <c r="AJ86" s="1320"/>
      <c r="AN86" s="1315">
        <v>2110.3739999999998</v>
      </c>
      <c r="AP86" s="1209">
        <v>1701.6279999999999</v>
      </c>
      <c r="AQ86" s="1209" t="s">
        <v>491</v>
      </c>
    </row>
    <row r="87" spans="1:43" x14ac:dyDescent="0.2">
      <c r="A87" s="1207"/>
      <c r="B87" s="1350">
        <v>42248</v>
      </c>
      <c r="C87" s="1356"/>
      <c r="D87" s="1345"/>
      <c r="E87" s="1357"/>
      <c r="F87" s="1207"/>
      <c r="G87" s="1349"/>
      <c r="H87" s="1207"/>
      <c r="I87" s="1207"/>
      <c r="J87" s="1207"/>
      <c r="K87" s="1207"/>
      <c r="L87" s="1207"/>
      <c r="M87" s="1207"/>
      <c r="N87" s="1207"/>
      <c r="O87" s="1207"/>
      <c r="P87" s="1208"/>
      <c r="Q87" s="1207"/>
      <c r="R87" s="1207"/>
      <c r="S87" s="1207"/>
      <c r="T87" s="1207"/>
      <c r="U87" s="1207"/>
      <c r="V87" s="1207"/>
      <c r="W87" s="1207"/>
      <c r="X87" s="1207"/>
      <c r="Y87" s="1207"/>
      <c r="Z87" s="1207"/>
      <c r="AA87" s="1207"/>
      <c r="AB87" s="1207"/>
      <c r="AC87" s="1207"/>
      <c r="AD87" s="1207"/>
      <c r="AE87" s="1207"/>
      <c r="AF87" s="1207"/>
      <c r="AG87" s="1207"/>
      <c r="AH87" s="1207"/>
      <c r="AI87" s="1280"/>
      <c r="AN87" s="1315">
        <v>2000</v>
      </c>
      <c r="AP87" s="1209">
        <v>5818.643</v>
      </c>
      <c r="AQ87" s="1209" t="s">
        <v>492</v>
      </c>
    </row>
    <row r="88" spans="1:43" x14ac:dyDescent="0.2">
      <c r="A88" s="1207" t="s">
        <v>31</v>
      </c>
      <c r="B88" s="1350">
        <v>42458</v>
      </c>
      <c r="C88" s="1358"/>
      <c r="D88" s="1354"/>
      <c r="E88" s="1354"/>
      <c r="F88" s="1354"/>
      <c r="G88" s="1349"/>
      <c r="H88" s="1207"/>
      <c r="I88" s="1207"/>
      <c r="J88" s="1207"/>
      <c r="K88" s="1207"/>
      <c r="L88" s="1207"/>
      <c r="M88" s="1207"/>
      <c r="N88" s="1207"/>
      <c r="O88" s="1207"/>
      <c r="P88" s="1208"/>
      <c r="Q88" s="1207"/>
      <c r="R88" s="1207"/>
      <c r="S88" s="1207"/>
      <c r="T88" s="1207"/>
      <c r="U88" s="1207"/>
      <c r="V88" s="1207"/>
      <c r="W88" s="1207"/>
      <c r="X88" s="1207"/>
      <c r="Y88" s="1207"/>
      <c r="Z88" s="1207"/>
      <c r="AA88" s="1207"/>
      <c r="AB88" s="1207"/>
      <c r="AC88" s="1207"/>
      <c r="AD88" s="1207"/>
      <c r="AE88" s="1207"/>
      <c r="AF88" s="1207"/>
      <c r="AG88" s="1207"/>
      <c r="AH88" s="1207"/>
      <c r="AI88" s="1280"/>
      <c r="AN88" s="1315">
        <v>1841.7439999999999</v>
      </c>
    </row>
    <row r="89" spans="1:43" x14ac:dyDescent="0.2">
      <c r="A89" s="1207"/>
      <c r="B89" s="1350">
        <v>42459</v>
      </c>
      <c r="C89" s="1354"/>
      <c r="D89" s="1354"/>
      <c r="E89" s="1354"/>
      <c r="F89" s="1207"/>
      <c r="G89" s="1353"/>
      <c r="H89" s="1207"/>
      <c r="I89" s="1207"/>
      <c r="J89" s="1207"/>
      <c r="K89" s="1207"/>
      <c r="L89" s="1207"/>
      <c r="M89" s="1207"/>
      <c r="N89" s="1207"/>
      <c r="O89" s="1207"/>
      <c r="P89" s="1208"/>
      <c r="Q89" s="1207"/>
      <c r="R89" s="1207"/>
      <c r="S89" s="1207"/>
      <c r="T89" s="1207"/>
      <c r="U89" s="1207"/>
      <c r="V89" s="1207"/>
      <c r="W89" s="1207"/>
      <c r="X89" s="1207"/>
      <c r="Y89" s="1207"/>
      <c r="Z89" s="1207"/>
      <c r="AA89" s="1207"/>
      <c r="AB89" s="1207"/>
      <c r="AC89" s="1207"/>
      <c r="AD89" s="1207"/>
      <c r="AE89" s="1207"/>
      <c r="AF89" s="1207"/>
      <c r="AG89" s="1207"/>
      <c r="AH89" s="1207"/>
      <c r="AI89" s="1280"/>
      <c r="AN89" s="1315">
        <v>747.24800000000005</v>
      </c>
    </row>
    <row r="90" spans="1:43" x14ac:dyDescent="0.2">
      <c r="A90" s="1207"/>
      <c r="B90" s="1350">
        <v>42454</v>
      </c>
      <c r="C90" s="1359">
        <f>12669.74-5711.676-6958.064</f>
        <v>0</v>
      </c>
      <c r="D90" s="1354"/>
      <c r="E90" s="1357"/>
      <c r="F90" s="1207"/>
      <c r="G90" s="1360"/>
      <c r="H90" s="1207"/>
      <c r="I90" s="1207"/>
      <c r="J90" s="1207"/>
      <c r="K90" s="1207"/>
      <c r="L90" s="1207"/>
      <c r="M90" s="1207"/>
      <c r="N90" s="1207"/>
      <c r="O90" s="1207"/>
      <c r="P90" s="1208"/>
      <c r="Q90" s="1207"/>
      <c r="R90" s="1207"/>
      <c r="S90" s="1207"/>
      <c r="T90" s="1207"/>
      <c r="U90" s="1207"/>
      <c r="V90" s="1207"/>
      <c r="W90" s="1207"/>
      <c r="X90" s="1207"/>
      <c r="Y90" s="1207"/>
      <c r="Z90" s="1207"/>
      <c r="AA90" s="1207"/>
      <c r="AB90" s="1207"/>
      <c r="AC90" s="1207"/>
      <c r="AD90" s="1207"/>
      <c r="AE90" s="1207"/>
      <c r="AF90" s="1207"/>
      <c r="AG90" s="1207"/>
      <c r="AH90" s="1207"/>
      <c r="AI90" s="1280"/>
      <c r="AN90" s="1315">
        <v>4413.4639999999999</v>
      </c>
    </row>
    <row r="91" spans="1:43" x14ac:dyDescent="0.2">
      <c r="A91" s="1207"/>
      <c r="B91" s="1350">
        <v>42457</v>
      </c>
      <c r="C91" s="1358">
        <f>9495.097-5982.186-3512.911</f>
        <v>0</v>
      </c>
      <c r="D91" s="1354"/>
      <c r="E91" s="1354"/>
      <c r="F91" s="1207"/>
      <c r="G91" s="1360"/>
      <c r="H91" s="1207"/>
      <c r="I91" s="1207"/>
      <c r="J91" s="1207"/>
      <c r="K91" s="1207"/>
      <c r="L91" s="1207"/>
      <c r="M91" s="1207"/>
      <c r="N91" s="1207"/>
      <c r="O91" s="1207"/>
      <c r="P91" s="1208"/>
      <c r="Q91" s="1207"/>
      <c r="R91" s="1207"/>
      <c r="S91" s="1207"/>
      <c r="T91" s="1207"/>
      <c r="U91" s="1207"/>
      <c r="V91" s="1207"/>
      <c r="W91" s="1207"/>
      <c r="X91" s="1207"/>
      <c r="Y91" s="1207"/>
      <c r="Z91" s="1207"/>
      <c r="AA91" s="1207"/>
      <c r="AB91" s="1207"/>
      <c r="AC91" s="1207"/>
      <c r="AD91" s="1207"/>
      <c r="AE91" s="1207"/>
      <c r="AF91" s="1207"/>
      <c r="AG91" s="1207"/>
      <c r="AH91" s="1207"/>
      <c r="AN91" s="1315">
        <v>1836.3130000000001</v>
      </c>
    </row>
    <row r="92" spans="1:43" x14ac:dyDescent="0.2">
      <c r="A92" s="1207"/>
      <c r="B92" s="1350">
        <v>42460</v>
      </c>
      <c r="C92" s="1358">
        <f>63581.639-43000-9383.781-7942.997-2000-1254.861</f>
        <v>0</v>
      </c>
      <c r="D92" s="1354"/>
      <c r="E92" s="1354"/>
      <c r="F92" s="1207"/>
      <c r="G92" s="1207"/>
      <c r="H92" s="1207"/>
      <c r="I92" s="1207"/>
      <c r="J92" s="1207"/>
      <c r="K92" s="1207"/>
      <c r="L92" s="1207"/>
      <c r="M92" s="1207"/>
      <c r="N92" s="1207"/>
      <c r="O92" s="1207"/>
      <c r="P92" s="1208"/>
      <c r="Q92" s="1207"/>
      <c r="R92" s="1207"/>
      <c r="S92" s="1207"/>
      <c r="T92" s="1207"/>
      <c r="U92" s="1207"/>
      <c r="V92" s="1207"/>
      <c r="W92" s="1207"/>
      <c r="X92" s="1207"/>
      <c r="Y92" s="1207"/>
      <c r="Z92" s="1207"/>
      <c r="AA92" s="1207"/>
      <c r="AB92" s="1207"/>
      <c r="AC92" s="1207"/>
      <c r="AD92" s="1207"/>
      <c r="AE92" s="1207"/>
      <c r="AF92" s="1207"/>
      <c r="AG92" s="1207"/>
      <c r="AH92" s="1207"/>
      <c r="AN92" s="1315">
        <v>8000</v>
      </c>
    </row>
    <row r="93" spans="1:43" x14ac:dyDescent="0.2">
      <c r="A93" s="1207"/>
      <c r="B93" s="1350">
        <v>42437</v>
      </c>
      <c r="C93" s="1358"/>
      <c r="D93" s="1354"/>
      <c r="E93" s="1354"/>
      <c r="F93" s="1207"/>
      <c r="G93" s="1207"/>
      <c r="H93" s="1207"/>
      <c r="I93" s="1207"/>
      <c r="J93" s="1207"/>
      <c r="K93" s="1207"/>
      <c r="L93" s="1207"/>
      <c r="M93" s="1207"/>
      <c r="N93" s="1207"/>
      <c r="O93" s="1207"/>
      <c r="P93" s="1208"/>
      <c r="Q93" s="1207"/>
      <c r="R93" s="1207"/>
      <c r="S93" s="1207"/>
      <c r="T93" s="1207"/>
      <c r="U93" s="1207"/>
      <c r="V93" s="1207"/>
      <c r="W93" s="1207"/>
      <c r="X93" s="1207"/>
      <c r="Y93" s="1207"/>
      <c r="Z93" s="1207"/>
      <c r="AA93" s="1207"/>
      <c r="AB93" s="1207"/>
      <c r="AC93" s="1207"/>
      <c r="AD93" s="1207"/>
      <c r="AE93" s="1207"/>
      <c r="AF93" s="1207"/>
      <c r="AG93" s="1207"/>
      <c r="AH93" s="1207"/>
      <c r="AN93" s="1280">
        <f>SUM(AN44:AN92)</f>
        <v>167376.80400000003</v>
      </c>
      <c r="AP93" s="1361">
        <f>AN93+AP86+AP87</f>
        <v>174897.07500000004</v>
      </c>
    </row>
    <row r="94" spans="1:43" x14ac:dyDescent="0.2">
      <c r="A94" s="1207"/>
      <c r="B94" s="1350">
        <v>42438</v>
      </c>
      <c r="C94" s="1358"/>
      <c r="D94" s="1354"/>
      <c r="E94" s="1354"/>
      <c r="F94" s="1207"/>
      <c r="G94" s="1207"/>
      <c r="H94" s="1207"/>
      <c r="I94" s="1207"/>
      <c r="J94" s="1207"/>
      <c r="K94" s="1207"/>
      <c r="L94" s="1207"/>
      <c r="M94" s="1207"/>
      <c r="N94" s="1207"/>
      <c r="O94" s="1207"/>
      <c r="P94" s="1208"/>
      <c r="Q94" s="1207"/>
      <c r="R94" s="1207"/>
      <c r="S94" s="1207"/>
      <c r="T94" s="1207"/>
      <c r="U94" s="1207"/>
      <c r="V94" s="1207"/>
      <c r="W94" s="1207"/>
      <c r="X94" s="1207"/>
      <c r="Y94" s="1207"/>
      <c r="Z94" s="1207"/>
      <c r="AA94" s="1207"/>
      <c r="AB94" s="1207"/>
      <c r="AC94" s="1207"/>
      <c r="AD94" s="1207"/>
      <c r="AE94" s="1207"/>
      <c r="AF94" s="1207"/>
      <c r="AG94" s="1207"/>
      <c r="AH94" s="1207"/>
      <c r="AN94" s="1280"/>
      <c r="AP94" s="1361"/>
    </row>
    <row r="95" spans="1:43" x14ac:dyDescent="0.2">
      <c r="A95" s="1207"/>
      <c r="B95" s="1350">
        <v>42441</v>
      </c>
      <c r="C95" s="1363"/>
      <c r="D95" s="1354"/>
      <c r="E95" s="1354"/>
      <c r="F95" s="1207"/>
      <c r="G95" s="1207"/>
      <c r="H95" s="1207"/>
      <c r="I95" s="1207"/>
      <c r="J95" s="1207"/>
      <c r="K95" s="1207"/>
      <c r="L95" s="1207"/>
      <c r="M95" s="1207"/>
      <c r="N95" s="1207"/>
      <c r="O95" s="1207"/>
      <c r="P95" s="1208"/>
      <c r="Q95" s="1207"/>
      <c r="R95" s="1207"/>
      <c r="S95" s="1207"/>
      <c r="T95" s="1207"/>
      <c r="U95" s="1207"/>
      <c r="V95" s="1207"/>
      <c r="W95" s="1207"/>
      <c r="X95" s="1207"/>
      <c r="Y95" s="1207"/>
      <c r="Z95" s="1207"/>
      <c r="AA95" s="1207"/>
      <c r="AB95" s="1207"/>
      <c r="AC95" s="1207"/>
      <c r="AD95" s="1207"/>
      <c r="AE95" s="1207"/>
      <c r="AF95" s="1207"/>
      <c r="AG95" s="1207"/>
      <c r="AH95" s="1207"/>
      <c r="AN95" s="1280"/>
      <c r="AP95" s="1361"/>
    </row>
    <row r="96" spans="1:43" x14ac:dyDescent="0.2">
      <c r="A96" s="1207"/>
      <c r="B96" s="1350">
        <v>42442</v>
      </c>
      <c r="C96" s="1363"/>
      <c r="D96" s="1354"/>
      <c r="E96" s="1354"/>
      <c r="F96" s="1207"/>
      <c r="G96" s="1207"/>
      <c r="H96" s="1207"/>
      <c r="I96" s="1207"/>
      <c r="J96" s="1207"/>
      <c r="K96" s="1207"/>
      <c r="L96" s="1207"/>
      <c r="M96" s="1207"/>
      <c r="N96" s="1207"/>
      <c r="O96" s="1207"/>
      <c r="P96" s="1208"/>
      <c r="Q96" s="1207"/>
      <c r="R96" s="1207"/>
      <c r="S96" s="1207"/>
      <c r="T96" s="1207"/>
      <c r="U96" s="1207"/>
      <c r="V96" s="1207"/>
      <c r="W96" s="1207"/>
      <c r="X96" s="1207"/>
      <c r="Y96" s="1207"/>
      <c r="Z96" s="1207"/>
      <c r="AA96" s="1207"/>
      <c r="AB96" s="1207"/>
      <c r="AC96" s="1207"/>
      <c r="AD96" s="1207"/>
      <c r="AE96" s="1207"/>
      <c r="AF96" s="1207"/>
      <c r="AG96" s="1207"/>
      <c r="AH96" s="1207"/>
      <c r="AN96" s="1280"/>
      <c r="AP96" s="1361"/>
    </row>
    <row r="97" spans="1:42" x14ac:dyDescent="0.2">
      <c r="A97" s="1207"/>
      <c r="B97" s="1350">
        <v>42460</v>
      </c>
      <c r="C97" s="1363"/>
      <c r="D97" s="1354"/>
      <c r="E97" s="1354"/>
      <c r="F97" s="1207"/>
      <c r="G97" s="1207"/>
      <c r="H97" s="1207"/>
      <c r="I97" s="1207"/>
      <c r="J97" s="1207"/>
      <c r="K97" s="1207"/>
      <c r="L97" s="1207"/>
      <c r="M97" s="1207"/>
      <c r="N97" s="1207"/>
      <c r="O97" s="1207"/>
      <c r="P97" s="1208"/>
      <c r="Q97" s="1207"/>
      <c r="R97" s="1207"/>
      <c r="S97" s="1207"/>
      <c r="T97" s="1207"/>
      <c r="U97" s="1207"/>
      <c r="V97" s="1207"/>
      <c r="W97" s="1207"/>
      <c r="X97" s="1207"/>
      <c r="Y97" s="1207"/>
      <c r="Z97" s="1207"/>
      <c r="AA97" s="1207"/>
      <c r="AB97" s="1207"/>
      <c r="AC97" s="1207"/>
      <c r="AD97" s="1207"/>
      <c r="AE97" s="1207"/>
      <c r="AF97" s="1207"/>
      <c r="AG97" s="1207"/>
      <c r="AH97" s="1207"/>
      <c r="AN97" s="1280"/>
      <c r="AP97" s="1361"/>
    </row>
    <row r="98" spans="1:42" x14ac:dyDescent="0.2">
      <c r="A98" s="1207"/>
      <c r="B98" s="1350">
        <v>42458</v>
      </c>
      <c r="C98" s="1363"/>
      <c r="D98" s="1354"/>
      <c r="E98" s="1354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8"/>
      <c r="Q98" s="1207"/>
      <c r="R98" s="1207"/>
      <c r="S98" s="1207"/>
      <c r="T98" s="1207"/>
      <c r="U98" s="1207"/>
      <c r="V98" s="1207"/>
      <c r="W98" s="1207"/>
      <c r="X98" s="1207"/>
      <c r="Y98" s="1207"/>
      <c r="Z98" s="1207"/>
      <c r="AA98" s="1207"/>
      <c r="AB98" s="1207"/>
      <c r="AC98" s="1207"/>
      <c r="AD98" s="1207"/>
      <c r="AE98" s="1207"/>
      <c r="AF98" s="1207"/>
      <c r="AG98" s="1207"/>
      <c r="AH98" s="1207"/>
      <c r="AN98" s="1280"/>
      <c r="AP98" s="1361"/>
    </row>
    <row r="99" spans="1:42" x14ac:dyDescent="0.2">
      <c r="A99" s="1207"/>
      <c r="B99" s="1350">
        <v>42455</v>
      </c>
      <c r="C99" s="1363"/>
      <c r="D99" s="1354"/>
      <c r="E99" s="1354"/>
      <c r="F99" s="1207"/>
      <c r="G99" s="1207"/>
      <c r="H99" s="1207"/>
      <c r="I99" s="1207"/>
      <c r="J99" s="1207"/>
      <c r="K99" s="1207"/>
      <c r="L99" s="1207"/>
      <c r="M99" s="1207"/>
      <c r="N99" s="1207"/>
      <c r="O99" s="1207"/>
      <c r="P99" s="1208"/>
      <c r="Q99" s="1207"/>
      <c r="R99" s="1207"/>
      <c r="S99" s="1207"/>
      <c r="T99" s="1207"/>
      <c r="U99" s="1207"/>
      <c r="V99" s="1207"/>
      <c r="W99" s="1207"/>
      <c r="X99" s="1207"/>
      <c r="Y99" s="1207"/>
      <c r="Z99" s="1207"/>
      <c r="AA99" s="1207"/>
      <c r="AB99" s="1207"/>
      <c r="AC99" s="1207"/>
      <c r="AD99" s="1207"/>
      <c r="AE99" s="1207"/>
      <c r="AF99" s="1207"/>
      <c r="AG99" s="1207"/>
      <c r="AH99" s="1207"/>
      <c r="AN99" s="1280"/>
      <c r="AP99" s="1361"/>
    </row>
    <row r="100" spans="1:42" x14ac:dyDescent="0.2">
      <c r="A100" s="1207"/>
      <c r="B100" s="1350">
        <v>42457</v>
      </c>
      <c r="C100" s="1363"/>
      <c r="D100" s="1354"/>
      <c r="E100" s="1354"/>
      <c r="F100" s="1207"/>
      <c r="G100" s="1207"/>
      <c r="H100" s="1207"/>
      <c r="I100" s="1207"/>
      <c r="J100" s="1207"/>
      <c r="K100" s="1207"/>
      <c r="L100" s="1207"/>
      <c r="M100" s="1207"/>
      <c r="N100" s="1207"/>
      <c r="O100" s="1207"/>
      <c r="P100" s="1208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07"/>
      <c r="AA100" s="1207"/>
      <c r="AB100" s="1207"/>
      <c r="AC100" s="1207"/>
      <c r="AD100" s="1207"/>
      <c r="AE100" s="1207"/>
      <c r="AF100" s="1207"/>
      <c r="AG100" s="1207"/>
      <c r="AH100" s="1207"/>
      <c r="AN100" s="1280"/>
      <c r="AP100" s="1361"/>
    </row>
    <row r="101" spans="1:42" x14ac:dyDescent="0.2">
      <c r="A101" s="1207"/>
      <c r="B101" s="1350">
        <v>42459</v>
      </c>
      <c r="C101" s="1363"/>
      <c r="D101" s="1354"/>
      <c r="E101" s="1354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8"/>
      <c r="Q101" s="1207"/>
      <c r="R101" s="1207"/>
      <c r="S101" s="1207"/>
      <c r="T101" s="1207"/>
      <c r="U101" s="1207"/>
      <c r="V101" s="1207"/>
      <c r="W101" s="1207"/>
      <c r="X101" s="1207"/>
      <c r="Y101" s="1207"/>
      <c r="Z101" s="1207"/>
      <c r="AA101" s="1207"/>
      <c r="AB101" s="1207"/>
      <c r="AC101" s="1207"/>
      <c r="AD101" s="1207"/>
      <c r="AE101" s="1207"/>
      <c r="AF101" s="1207"/>
      <c r="AG101" s="1207"/>
      <c r="AH101" s="1207"/>
      <c r="AN101" s="1280"/>
      <c r="AP101" s="1361"/>
    </row>
    <row r="102" spans="1:42" x14ac:dyDescent="0.2">
      <c r="A102" s="1207"/>
      <c r="B102" s="1350">
        <v>42454</v>
      </c>
      <c r="C102" s="1363"/>
      <c r="D102" s="1354"/>
      <c r="E102" s="1354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8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07"/>
      <c r="AA102" s="1207"/>
      <c r="AB102" s="1207"/>
      <c r="AC102" s="1207"/>
      <c r="AD102" s="1207"/>
      <c r="AE102" s="1207"/>
      <c r="AF102" s="1207"/>
      <c r="AG102" s="1207"/>
      <c r="AH102" s="1207"/>
      <c r="AN102" s="1280"/>
      <c r="AP102" s="1361"/>
    </row>
    <row r="103" spans="1:42" x14ac:dyDescent="0.2">
      <c r="A103" s="1207"/>
      <c r="B103" s="1350">
        <v>42449</v>
      </c>
      <c r="C103" s="1363"/>
      <c r="D103" s="1354"/>
      <c r="E103" s="1354"/>
      <c r="F103" s="1207"/>
      <c r="G103" s="1207"/>
      <c r="H103" s="1207"/>
      <c r="I103" s="1207"/>
      <c r="J103" s="1207"/>
      <c r="K103" s="1207"/>
      <c r="L103" s="1207"/>
      <c r="M103" s="1207"/>
      <c r="N103" s="1207"/>
      <c r="O103" s="1207"/>
      <c r="P103" s="1208"/>
      <c r="Q103" s="1207"/>
      <c r="R103" s="1207"/>
      <c r="S103" s="1207"/>
      <c r="T103" s="1207"/>
      <c r="U103" s="1207"/>
      <c r="V103" s="1207"/>
      <c r="W103" s="1207"/>
      <c r="X103" s="1207"/>
      <c r="Y103" s="1207"/>
      <c r="Z103" s="1207"/>
      <c r="AA103" s="1207"/>
      <c r="AB103" s="1207"/>
      <c r="AC103" s="1207"/>
      <c r="AD103" s="1207"/>
      <c r="AE103" s="1207"/>
      <c r="AF103" s="1207"/>
      <c r="AG103" s="1207"/>
      <c r="AH103" s="1207"/>
      <c r="AN103" s="1280"/>
      <c r="AP103" s="1361"/>
    </row>
    <row r="104" spans="1:42" x14ac:dyDescent="0.2">
      <c r="A104" s="1207"/>
      <c r="B104" s="1350">
        <v>42450</v>
      </c>
      <c r="C104" s="1363"/>
      <c r="D104" s="1354"/>
      <c r="E104" s="1354"/>
      <c r="F104" s="1207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8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07"/>
      <c r="AA104" s="1207"/>
      <c r="AB104" s="1207"/>
      <c r="AC104" s="1207"/>
      <c r="AD104" s="1207"/>
      <c r="AE104" s="1207"/>
      <c r="AF104" s="1207"/>
      <c r="AG104" s="1207"/>
      <c r="AH104" s="1207"/>
      <c r="AN104" s="1280"/>
      <c r="AP104" s="1361"/>
    </row>
    <row r="105" spans="1:42" x14ac:dyDescent="0.2">
      <c r="A105" s="1207"/>
      <c r="B105" s="1350">
        <v>42451</v>
      </c>
      <c r="C105" s="1363"/>
      <c r="D105" s="1354"/>
      <c r="E105" s="1354"/>
      <c r="F105" s="1207"/>
      <c r="G105" s="1207"/>
      <c r="H105" s="1207"/>
      <c r="I105" s="1207"/>
      <c r="J105" s="1207"/>
      <c r="K105" s="1207"/>
      <c r="L105" s="1207"/>
      <c r="M105" s="1207"/>
      <c r="N105" s="1207"/>
      <c r="O105" s="1207"/>
      <c r="P105" s="1208"/>
      <c r="Q105" s="1207"/>
      <c r="R105" s="1207"/>
      <c r="S105" s="1207"/>
      <c r="T105" s="1207"/>
      <c r="U105" s="1207"/>
      <c r="V105" s="1207"/>
      <c r="W105" s="1207"/>
      <c r="X105" s="1207"/>
      <c r="Y105" s="1207"/>
      <c r="Z105" s="1207"/>
      <c r="AA105" s="1207"/>
      <c r="AB105" s="1207"/>
      <c r="AC105" s="1207"/>
      <c r="AD105" s="1207"/>
      <c r="AE105" s="1207"/>
      <c r="AF105" s="1207"/>
      <c r="AG105" s="1207"/>
      <c r="AH105" s="1207"/>
      <c r="AN105" s="1280"/>
      <c r="AP105" s="1361"/>
    </row>
    <row r="106" spans="1:42" x14ac:dyDescent="0.2">
      <c r="A106" s="1207"/>
      <c r="B106" s="1350">
        <v>42452</v>
      </c>
      <c r="C106" s="1363"/>
      <c r="D106" s="1354"/>
      <c r="E106" s="1354"/>
      <c r="F106" s="1207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8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07"/>
      <c r="AA106" s="1207"/>
      <c r="AB106" s="1207"/>
      <c r="AC106" s="1207"/>
      <c r="AD106" s="1207"/>
      <c r="AE106" s="1207"/>
      <c r="AF106" s="1207"/>
      <c r="AG106" s="1207"/>
      <c r="AH106" s="1207"/>
      <c r="AN106" s="1280"/>
      <c r="AP106" s="1361"/>
    </row>
    <row r="107" spans="1:42" x14ac:dyDescent="0.2">
      <c r="A107" s="1207"/>
      <c r="B107" s="1350">
        <v>42453</v>
      </c>
      <c r="C107" s="1363"/>
      <c r="D107" s="1354" t="s">
        <v>813</v>
      </c>
      <c r="E107" s="1354"/>
      <c r="F107" s="1207"/>
      <c r="G107" s="1207"/>
      <c r="H107" s="1207"/>
      <c r="I107" s="1207"/>
      <c r="J107" s="1207"/>
      <c r="K107" s="1207"/>
      <c r="L107" s="1207"/>
      <c r="M107" s="1207"/>
      <c r="N107" s="1207"/>
      <c r="O107" s="1207"/>
      <c r="P107" s="1208"/>
      <c r="Q107" s="1207"/>
      <c r="R107" s="1207"/>
      <c r="S107" s="1207"/>
      <c r="T107" s="1207"/>
      <c r="U107" s="1207"/>
      <c r="V107" s="1207"/>
      <c r="W107" s="1207"/>
      <c r="X107" s="1207"/>
      <c r="Y107" s="1207"/>
      <c r="Z107" s="1207"/>
      <c r="AA107" s="1207"/>
      <c r="AB107" s="1207"/>
      <c r="AC107" s="1207"/>
      <c r="AD107" s="1207"/>
      <c r="AE107" s="1207"/>
      <c r="AF107" s="1207"/>
      <c r="AG107" s="1207"/>
      <c r="AH107" s="1207"/>
      <c r="AN107" s="1280"/>
      <c r="AP107" s="1361"/>
    </row>
    <row r="108" spans="1:42" x14ac:dyDescent="0.2">
      <c r="A108" s="1207" t="s">
        <v>436</v>
      </c>
      <c r="B108" s="1350">
        <v>42349</v>
      </c>
      <c r="C108" s="1358"/>
      <c r="D108" s="1354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8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N108" s="1280"/>
    </row>
    <row r="109" spans="1:42" x14ac:dyDescent="0.2">
      <c r="A109" s="1365" t="s">
        <v>32</v>
      </c>
      <c r="B109" s="1350">
        <v>42458</v>
      </c>
      <c r="C109" s="1351">
        <f>135029.355-4098.088</f>
        <v>130931.26700000001</v>
      </c>
      <c r="D109" s="1354"/>
      <c r="E109" s="1207"/>
      <c r="F109" s="1207"/>
      <c r="G109" s="1346"/>
      <c r="H109" s="1354"/>
      <c r="I109" s="1207"/>
      <c r="J109" s="1207"/>
      <c r="K109" s="1207"/>
      <c r="L109" s="1207"/>
      <c r="M109" s="1207"/>
      <c r="N109" s="1207"/>
      <c r="O109" s="1207"/>
      <c r="P109" s="1208"/>
      <c r="Q109" s="1207"/>
      <c r="R109" s="1207"/>
      <c r="S109" s="1207"/>
      <c r="T109" s="1207"/>
      <c r="U109" s="1207"/>
      <c r="V109" s="1207"/>
      <c r="W109" s="1207"/>
      <c r="X109" s="1207"/>
      <c r="Y109" s="1207"/>
      <c r="Z109" s="1207"/>
      <c r="AA109" s="1207"/>
      <c r="AB109" s="1207"/>
      <c r="AC109" s="1207"/>
      <c r="AD109" s="1207"/>
      <c r="AE109" s="1207"/>
      <c r="AF109" s="1207"/>
      <c r="AG109" s="1207"/>
      <c r="AH109" s="1207"/>
      <c r="AN109" s="1280">
        <v>222914.55799999999</v>
      </c>
    </row>
    <row r="110" spans="1:42" x14ac:dyDescent="0.2">
      <c r="A110" s="1365" t="s">
        <v>33</v>
      </c>
      <c r="B110" s="1350">
        <v>42458</v>
      </c>
      <c r="C110" s="1351"/>
      <c r="D110" s="1354"/>
      <c r="E110" s="1351"/>
      <c r="F110" s="121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8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07"/>
      <c r="AA110" s="1207"/>
      <c r="AB110" s="1207"/>
      <c r="AC110" s="1207"/>
      <c r="AD110" s="1207"/>
      <c r="AE110" s="1207"/>
      <c r="AF110" s="1207"/>
      <c r="AG110" s="1207"/>
      <c r="AH110" s="1207"/>
    </row>
    <row r="111" spans="1:42" x14ac:dyDescent="0.2">
      <c r="A111" s="1365" t="s">
        <v>33</v>
      </c>
      <c r="B111" s="1350">
        <v>42459</v>
      </c>
      <c r="C111" s="1351"/>
      <c r="D111" s="1207"/>
      <c r="E111" s="1350"/>
      <c r="F111" s="1219"/>
      <c r="G111" s="1207"/>
      <c r="H111" s="1207"/>
      <c r="I111" s="1207"/>
      <c r="J111" s="1207"/>
      <c r="K111" s="1207"/>
      <c r="L111" s="1207"/>
      <c r="M111" s="1207"/>
      <c r="N111" s="1207"/>
      <c r="O111" s="1207"/>
      <c r="P111" s="1208"/>
      <c r="Q111" s="1207"/>
      <c r="R111" s="1207"/>
      <c r="S111" s="1207"/>
      <c r="T111" s="1207"/>
      <c r="U111" s="1207"/>
      <c r="V111" s="1207"/>
      <c r="W111" s="1207"/>
      <c r="X111" s="1207"/>
      <c r="Y111" s="1207"/>
      <c r="Z111" s="1207"/>
      <c r="AA111" s="1207"/>
      <c r="AB111" s="1207"/>
      <c r="AC111" s="1207"/>
      <c r="AD111" s="1207"/>
      <c r="AE111" s="1207"/>
      <c r="AF111" s="1207"/>
      <c r="AG111" s="1207"/>
      <c r="AH111" s="1207"/>
      <c r="AN111" s="1361">
        <f>AN109-AN93</f>
        <v>55537.753999999957</v>
      </c>
    </row>
    <row r="112" spans="1:42" x14ac:dyDescent="0.2">
      <c r="A112" s="1365" t="s">
        <v>32</v>
      </c>
      <c r="B112" s="1350">
        <v>42460</v>
      </c>
      <c r="C112" s="1351">
        <v>69072.414999999994</v>
      </c>
      <c r="D112" s="1207"/>
      <c r="E112" s="1350"/>
      <c r="F112" s="121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8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07"/>
      <c r="AA112" s="1207"/>
      <c r="AB112" s="1207"/>
      <c r="AC112" s="1207"/>
      <c r="AD112" s="1207"/>
      <c r="AE112" s="1207"/>
      <c r="AF112" s="1207"/>
      <c r="AG112" s="1207"/>
      <c r="AH112" s="1207"/>
    </row>
    <row r="113" spans="1:34" x14ac:dyDescent="0.2">
      <c r="A113" s="1365" t="s">
        <v>33</v>
      </c>
      <c r="B113" s="1350">
        <v>42445</v>
      </c>
      <c r="C113" s="1351"/>
      <c r="D113" s="1207"/>
      <c r="E113" s="1207"/>
      <c r="F113" s="1207"/>
      <c r="G113" s="1207"/>
      <c r="H113" s="1207"/>
      <c r="I113" s="1207"/>
      <c r="J113" s="1207"/>
      <c r="K113" s="1207"/>
      <c r="L113" s="1207"/>
      <c r="M113" s="1207"/>
      <c r="N113" s="1207"/>
      <c r="O113" s="1207"/>
      <c r="P113" s="1208"/>
      <c r="Q113" s="1207"/>
      <c r="R113" s="1207"/>
      <c r="S113" s="1207"/>
      <c r="T113" s="1207"/>
      <c r="U113" s="1207"/>
      <c r="V113" s="1207"/>
      <c r="W113" s="1207"/>
      <c r="X113" s="1207"/>
      <c r="Y113" s="1207"/>
      <c r="Z113" s="1207"/>
      <c r="AA113" s="1207"/>
      <c r="AB113" s="1207"/>
      <c r="AC113" s="1207"/>
      <c r="AD113" s="1207"/>
      <c r="AE113" s="1207"/>
      <c r="AF113" s="1207"/>
      <c r="AG113" s="1207"/>
      <c r="AH113" s="1207"/>
    </row>
    <row r="114" spans="1:34" x14ac:dyDescent="0.2">
      <c r="A114" s="1365" t="s">
        <v>33</v>
      </c>
      <c r="B114" s="1350">
        <v>42436</v>
      </c>
      <c r="C114" s="1351"/>
      <c r="D114" s="1207"/>
      <c r="E114" s="1354"/>
      <c r="F114" s="1207"/>
      <c r="G114" s="1207"/>
      <c r="H114" s="1207"/>
      <c r="I114" s="1207"/>
      <c r="J114" s="1207"/>
      <c r="K114" s="1207"/>
      <c r="L114" s="1207"/>
      <c r="M114" s="1207"/>
      <c r="N114" s="1207"/>
      <c r="O114" s="1207"/>
      <c r="P114" s="1208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07"/>
      <c r="AA114" s="1207"/>
      <c r="AB114" s="1207"/>
      <c r="AC114" s="1207"/>
      <c r="AD114" s="1207"/>
      <c r="AE114" s="1207"/>
      <c r="AF114" s="1207"/>
      <c r="AG114" s="1207"/>
      <c r="AH114" s="1207"/>
    </row>
    <row r="115" spans="1:34" x14ac:dyDescent="0.2">
      <c r="A115" s="1365" t="s">
        <v>33</v>
      </c>
      <c r="B115" s="1350">
        <v>42437</v>
      </c>
      <c r="C115" s="1351"/>
      <c r="D115" s="1354"/>
      <c r="E115" s="1354"/>
      <c r="F115" s="1207"/>
      <c r="G115" s="1207"/>
      <c r="H115" s="1207"/>
      <c r="I115" s="1207"/>
      <c r="J115" s="1207"/>
      <c r="K115" s="1207"/>
      <c r="L115" s="1207"/>
      <c r="M115" s="1207"/>
      <c r="N115" s="1207"/>
      <c r="O115" s="1207"/>
      <c r="P115" s="1208"/>
      <c r="Q115" s="1207"/>
      <c r="R115" s="1207"/>
      <c r="S115" s="1207"/>
      <c r="T115" s="1207"/>
      <c r="U115" s="1207"/>
      <c r="V115" s="1207"/>
      <c r="W115" s="1207"/>
      <c r="X115" s="1207"/>
      <c r="Y115" s="1207"/>
      <c r="Z115" s="1207"/>
      <c r="AA115" s="1207"/>
      <c r="AB115" s="1207"/>
      <c r="AC115" s="1207"/>
      <c r="AD115" s="1207"/>
      <c r="AE115" s="1207"/>
      <c r="AF115" s="1207"/>
      <c r="AG115" s="1207"/>
      <c r="AH115" s="1207"/>
    </row>
    <row r="116" spans="1:34" x14ac:dyDescent="0.2">
      <c r="A116" s="1365" t="s">
        <v>33</v>
      </c>
      <c r="B116" s="1350">
        <v>42248</v>
      </c>
      <c r="C116" s="1351"/>
      <c r="D116" s="1207"/>
      <c r="E116" s="1207"/>
      <c r="F116" s="1207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8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07"/>
      <c r="AA116" s="1207"/>
      <c r="AB116" s="1207"/>
      <c r="AC116" s="1207"/>
      <c r="AD116" s="1207"/>
      <c r="AE116" s="1207"/>
      <c r="AF116" s="1207"/>
      <c r="AG116" s="1207"/>
      <c r="AH116" s="1207"/>
    </row>
    <row r="117" spans="1:34" x14ac:dyDescent="0.2">
      <c r="A117" s="1365" t="s">
        <v>33</v>
      </c>
      <c r="B117" s="1350">
        <v>42248</v>
      </c>
      <c r="C117" s="1351"/>
      <c r="D117" s="1207"/>
      <c r="E117" s="1354"/>
      <c r="F117" s="1207"/>
      <c r="G117" s="1207"/>
      <c r="H117" s="1207"/>
      <c r="I117" s="1207"/>
      <c r="J117" s="1207"/>
      <c r="K117" s="1207"/>
      <c r="L117" s="1207"/>
      <c r="M117" s="1207"/>
      <c r="N117" s="1207"/>
      <c r="O117" s="1207"/>
      <c r="P117" s="1208"/>
      <c r="Q117" s="1207"/>
      <c r="R117" s="1207"/>
      <c r="S117" s="1207"/>
      <c r="T117" s="1207"/>
      <c r="U117" s="1207"/>
      <c r="V117" s="1207"/>
      <c r="W117" s="1207"/>
      <c r="X117" s="1207"/>
      <c r="Y117" s="1207"/>
      <c r="Z117" s="1207"/>
      <c r="AA117" s="1207"/>
      <c r="AB117" s="1207"/>
      <c r="AC117" s="1207"/>
      <c r="AD117" s="1207"/>
      <c r="AE117" s="1207"/>
      <c r="AF117" s="1207"/>
      <c r="AG117" s="1207"/>
      <c r="AH117" s="1207"/>
    </row>
    <row r="118" spans="1:34" x14ac:dyDescent="0.2">
      <c r="A118" s="1365" t="s">
        <v>33</v>
      </c>
      <c r="B118" s="1350">
        <v>42248</v>
      </c>
      <c r="C118" s="1351"/>
      <c r="D118" s="1207"/>
      <c r="E118" s="1207"/>
      <c r="F118" s="1207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8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07"/>
      <c r="AA118" s="1207"/>
      <c r="AB118" s="1207"/>
      <c r="AC118" s="1207"/>
      <c r="AD118" s="1207"/>
      <c r="AE118" s="1207"/>
      <c r="AF118" s="1207"/>
      <c r="AG118" s="1207"/>
      <c r="AH118" s="1207"/>
    </row>
    <row r="119" spans="1:34" x14ac:dyDescent="0.2">
      <c r="A119" s="1365" t="s">
        <v>33</v>
      </c>
      <c r="B119" s="1350">
        <v>42248</v>
      </c>
      <c r="C119" s="1351"/>
      <c r="D119" s="1207"/>
      <c r="E119" s="1366"/>
      <c r="F119" s="1207"/>
      <c r="G119" s="1207"/>
      <c r="H119" s="1207"/>
      <c r="I119" s="1207"/>
      <c r="J119" s="1207"/>
      <c r="K119" s="1207"/>
      <c r="L119" s="1207"/>
      <c r="M119" s="1207"/>
      <c r="N119" s="1207"/>
      <c r="O119" s="1207"/>
      <c r="P119" s="1208"/>
      <c r="Q119" s="1207"/>
      <c r="R119" s="1207"/>
      <c r="S119" s="1207"/>
      <c r="T119" s="1207"/>
      <c r="U119" s="1207"/>
      <c r="V119" s="1207"/>
      <c r="W119" s="1207"/>
      <c r="X119" s="1207"/>
      <c r="Y119" s="1207"/>
      <c r="Z119" s="1207"/>
      <c r="AA119" s="1207"/>
      <c r="AB119" s="1207"/>
      <c r="AC119" s="1207"/>
      <c r="AD119" s="1207"/>
      <c r="AE119" s="1207"/>
      <c r="AF119" s="1207"/>
      <c r="AG119" s="1207"/>
      <c r="AH119" s="1207"/>
    </row>
    <row r="120" spans="1:34" x14ac:dyDescent="0.2">
      <c r="A120" s="1365" t="s">
        <v>32</v>
      </c>
      <c r="B120" s="1350">
        <v>42251</v>
      </c>
      <c r="C120" s="1367"/>
      <c r="D120" s="1207"/>
      <c r="E120" s="1354"/>
      <c r="F120" s="1207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8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</row>
    <row r="121" spans="1:34" x14ac:dyDescent="0.2">
      <c r="A121" s="1316" t="s">
        <v>1283</v>
      </c>
      <c r="B121" s="1350">
        <v>42438</v>
      </c>
      <c r="C121" s="1351"/>
      <c r="D121" s="1207"/>
      <c r="E121" s="1207"/>
      <c r="F121" s="1207"/>
      <c r="G121" s="1354"/>
      <c r="H121" s="1354"/>
      <c r="I121" s="1207"/>
      <c r="J121" s="1207"/>
      <c r="K121" s="1207"/>
      <c r="L121" s="1207"/>
      <c r="M121" s="1207"/>
      <c r="N121" s="1207"/>
      <c r="O121" s="1207"/>
      <c r="P121" s="1208"/>
      <c r="Q121" s="1207"/>
      <c r="R121" s="1207"/>
      <c r="S121" s="1207"/>
      <c r="T121" s="1207"/>
      <c r="U121" s="1207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</row>
    <row r="122" spans="1:34" x14ac:dyDescent="0.2">
      <c r="A122" s="1207"/>
      <c r="B122" s="1350"/>
      <c r="C122" s="1345"/>
      <c r="D122" s="1207"/>
      <c r="E122" s="1207"/>
      <c r="F122" s="1207"/>
      <c r="G122" s="1354"/>
      <c r="H122" s="1207"/>
      <c r="I122" s="1207"/>
      <c r="J122" s="1207"/>
      <c r="K122" s="1207"/>
      <c r="L122" s="1207"/>
      <c r="M122" s="1207"/>
      <c r="N122" s="1207"/>
      <c r="O122" s="1207"/>
      <c r="P122" s="1208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07"/>
      <c r="AA122" s="1207"/>
      <c r="AB122" s="1207"/>
      <c r="AC122" s="1207"/>
      <c r="AD122" s="1207"/>
      <c r="AE122" s="1207"/>
      <c r="AF122" s="1207"/>
      <c r="AG122" s="1207"/>
      <c r="AH122" s="1207"/>
    </row>
    <row r="123" spans="1:34" x14ac:dyDescent="0.2">
      <c r="A123" s="1207"/>
      <c r="B123" s="1350"/>
      <c r="C123" s="1207"/>
      <c r="D123" s="1207"/>
      <c r="E123" s="1207"/>
      <c r="F123" s="1207"/>
      <c r="G123" s="1207"/>
      <c r="H123" s="1367"/>
      <c r="I123" s="1207"/>
      <c r="J123" s="1207"/>
      <c r="K123" s="1207"/>
      <c r="L123" s="1207"/>
      <c r="M123" s="1207"/>
      <c r="N123" s="1207"/>
      <c r="O123" s="1207"/>
      <c r="P123" s="1208"/>
      <c r="Q123" s="1207"/>
      <c r="R123" s="1207"/>
      <c r="S123" s="1207"/>
      <c r="T123" s="1207"/>
      <c r="U123" s="1207"/>
      <c r="V123" s="1207"/>
      <c r="W123" s="1207"/>
      <c r="X123" s="1207"/>
      <c r="Y123" s="1207"/>
      <c r="Z123" s="1207"/>
      <c r="AA123" s="1207"/>
      <c r="AB123" s="1207"/>
      <c r="AC123" s="1207"/>
      <c r="AD123" s="1207"/>
      <c r="AE123" s="1207"/>
      <c r="AF123" s="1207"/>
      <c r="AG123" s="1207"/>
      <c r="AH123" s="1207"/>
    </row>
    <row r="124" spans="1:34" x14ac:dyDescent="0.2">
      <c r="A124" s="1207"/>
      <c r="B124" s="1350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8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07"/>
      <c r="AA124" s="1207"/>
      <c r="AB124" s="1207"/>
      <c r="AC124" s="1207"/>
      <c r="AD124" s="1207"/>
      <c r="AE124" s="1207"/>
      <c r="AF124" s="1207"/>
      <c r="AG124" s="1207"/>
      <c r="AH124" s="1207"/>
    </row>
    <row r="125" spans="1:34" x14ac:dyDescent="0.2">
      <c r="A125" s="1316"/>
      <c r="B125" s="1350"/>
      <c r="C125" s="1345"/>
      <c r="D125" s="1207"/>
      <c r="E125" s="1207"/>
      <c r="F125" s="1207"/>
      <c r="G125" s="1207"/>
      <c r="H125" s="1207"/>
      <c r="I125" s="1207"/>
      <c r="J125" s="1207"/>
      <c r="K125" s="1207"/>
      <c r="L125" s="1207"/>
      <c r="M125" s="1207"/>
      <c r="N125" s="1207"/>
      <c r="O125" s="1207"/>
      <c r="P125" s="1208"/>
      <c r="Q125" s="1207"/>
      <c r="R125" s="1207"/>
      <c r="S125" s="1207"/>
      <c r="T125" s="1207"/>
      <c r="U125" s="1207"/>
      <c r="V125" s="1207"/>
      <c r="W125" s="1207"/>
      <c r="X125" s="1207"/>
      <c r="Y125" s="1207"/>
      <c r="Z125" s="1207"/>
      <c r="AA125" s="1207"/>
      <c r="AB125" s="1207"/>
      <c r="AC125" s="1207"/>
      <c r="AD125" s="1207"/>
      <c r="AE125" s="1207"/>
      <c r="AF125" s="1207"/>
      <c r="AG125" s="1207"/>
      <c r="AH125" s="1207"/>
    </row>
    <row r="126" spans="1:34" x14ac:dyDescent="0.2">
      <c r="A126" s="1316"/>
      <c r="B126" s="1350"/>
      <c r="C126" s="1345"/>
      <c r="D126" s="1207"/>
      <c r="E126" s="1207"/>
      <c r="F126" s="1207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8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07"/>
      <c r="AA126" s="1207"/>
      <c r="AB126" s="1207"/>
      <c r="AC126" s="1207"/>
      <c r="AD126" s="1207"/>
      <c r="AE126" s="1207"/>
      <c r="AF126" s="1207"/>
      <c r="AG126" s="1207"/>
      <c r="AH126" s="1207"/>
    </row>
    <row r="127" spans="1:34" x14ac:dyDescent="0.2">
      <c r="A127" s="1207"/>
      <c r="B127" s="1207"/>
      <c r="C127" s="1207"/>
      <c r="D127" s="1207"/>
      <c r="E127" s="1207"/>
      <c r="F127" s="1207"/>
      <c r="G127" s="1207"/>
      <c r="H127" s="1207"/>
      <c r="I127" s="1207"/>
      <c r="J127" s="1207"/>
      <c r="K127" s="1207"/>
      <c r="L127" s="1207"/>
      <c r="M127" s="1207"/>
      <c r="N127" s="1207"/>
      <c r="O127" s="1207"/>
      <c r="P127" s="1208"/>
      <c r="Q127" s="1207"/>
      <c r="R127" s="1207"/>
      <c r="S127" s="1207"/>
      <c r="T127" s="1207"/>
      <c r="U127" s="1207"/>
      <c r="V127" s="1207"/>
      <c r="W127" s="1207"/>
      <c r="X127" s="1207"/>
      <c r="Y127" s="1207"/>
      <c r="Z127" s="1207"/>
      <c r="AA127" s="1207"/>
      <c r="AB127" s="1207"/>
      <c r="AC127" s="1207"/>
      <c r="AD127" s="1207"/>
      <c r="AE127" s="1207"/>
      <c r="AF127" s="1207"/>
      <c r="AG127" s="1207"/>
      <c r="AH127" s="1207"/>
    </row>
    <row r="128" spans="1:34" x14ac:dyDescent="0.2">
      <c r="A128" s="1207"/>
      <c r="B128" s="1207"/>
      <c r="C128" s="1207"/>
      <c r="D128" s="1207"/>
      <c r="E128" s="1207"/>
      <c r="F128" s="1207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8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07"/>
      <c r="AA128" s="1207"/>
      <c r="AB128" s="1207"/>
      <c r="AC128" s="1207"/>
      <c r="AD128" s="1207"/>
      <c r="AE128" s="1207"/>
      <c r="AF128" s="1207"/>
      <c r="AG128" s="1207"/>
      <c r="AH128" s="1207"/>
    </row>
    <row r="129" spans="1:34" x14ac:dyDescent="0.2">
      <c r="A129" s="1207"/>
      <c r="B129" s="1207"/>
      <c r="C129" s="1207"/>
      <c r="D129" s="1207"/>
      <c r="E129" s="1207"/>
      <c r="F129" s="1207"/>
      <c r="G129" s="1207"/>
      <c r="H129" s="1207"/>
      <c r="I129" s="1207"/>
      <c r="J129" s="1207"/>
      <c r="K129" s="1207"/>
      <c r="L129" s="1207"/>
      <c r="M129" s="1207"/>
      <c r="N129" s="1207"/>
      <c r="O129" s="1207"/>
      <c r="P129" s="1208"/>
      <c r="Q129" s="1207"/>
      <c r="R129" s="1207"/>
      <c r="S129" s="1207"/>
      <c r="T129" s="1207"/>
      <c r="U129" s="1207"/>
      <c r="V129" s="1207"/>
      <c r="W129" s="1207"/>
      <c r="X129" s="1207"/>
      <c r="Y129" s="1207"/>
      <c r="Z129" s="1207"/>
      <c r="AA129" s="1207"/>
      <c r="AB129" s="1207"/>
      <c r="AC129" s="1207"/>
      <c r="AD129" s="1207"/>
      <c r="AE129" s="1207"/>
      <c r="AF129" s="1207"/>
      <c r="AG129" s="1207"/>
      <c r="AH129" s="1207"/>
    </row>
    <row r="130" spans="1:34" x14ac:dyDescent="0.2">
      <c r="A130" s="1207"/>
      <c r="B130" s="1207"/>
      <c r="C130" s="1207"/>
      <c r="D130" s="1207"/>
      <c r="E130" s="1207"/>
      <c r="F130" s="1207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8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07"/>
      <c r="AA130" s="1207"/>
      <c r="AB130" s="1207"/>
      <c r="AC130" s="1207"/>
      <c r="AD130" s="1207"/>
      <c r="AE130" s="1207"/>
      <c r="AF130" s="1207"/>
      <c r="AG130" s="1207"/>
      <c r="AH130" s="1207"/>
    </row>
    <row r="131" spans="1:34" ht="13.5" thickBot="1" x14ac:dyDescent="0.25">
      <c r="A131" s="1207"/>
      <c r="B131" s="1207"/>
      <c r="C131" s="1207"/>
      <c r="D131" s="1207"/>
      <c r="E131" s="1207"/>
      <c r="F131" s="1207"/>
      <c r="G131" s="1207"/>
      <c r="H131" s="1207"/>
      <c r="I131" s="1207"/>
      <c r="J131" s="1207"/>
      <c r="K131" s="1207"/>
      <c r="L131" s="1207"/>
      <c r="M131" s="1207"/>
      <c r="N131" s="1207"/>
      <c r="O131" s="1207"/>
      <c r="P131" s="1208"/>
      <c r="Q131" s="1207"/>
      <c r="R131" s="1207"/>
      <c r="S131" s="1207"/>
      <c r="T131" s="1207"/>
      <c r="U131" s="1207"/>
      <c r="V131" s="1207"/>
      <c r="W131" s="1207"/>
      <c r="X131" s="1207"/>
      <c r="Y131" s="1207"/>
      <c r="Z131" s="1207"/>
      <c r="AA131" s="1207"/>
      <c r="AB131" s="1207"/>
      <c r="AC131" s="1207"/>
      <c r="AD131" s="1207"/>
      <c r="AE131" s="1207"/>
      <c r="AF131" s="1207"/>
      <c r="AG131" s="1207"/>
      <c r="AH131" s="1207"/>
    </row>
    <row r="132" spans="1:34" x14ac:dyDescent="0.2">
      <c r="A132" s="1233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34"/>
      <c r="O132" s="1234"/>
      <c r="P132" s="1235"/>
      <c r="Q132" s="1234"/>
      <c r="R132" s="1234"/>
      <c r="S132" s="1234"/>
      <c r="T132" s="1234"/>
      <c r="U132" s="1234"/>
      <c r="V132" s="1234"/>
      <c r="W132" s="1234"/>
      <c r="X132" s="1234"/>
      <c r="Y132" s="1234"/>
      <c r="Z132" s="1234"/>
      <c r="AA132" s="1234"/>
      <c r="AB132" s="1234"/>
      <c r="AC132" s="1234"/>
      <c r="AD132" s="1234"/>
      <c r="AE132" s="1234"/>
      <c r="AF132" s="1234"/>
      <c r="AG132" s="1234"/>
      <c r="AH132" s="1207"/>
    </row>
    <row r="133" spans="1:34" x14ac:dyDescent="0.2">
      <c r="A133" s="1236"/>
      <c r="B133" s="1237" t="s">
        <v>37</v>
      </c>
      <c r="C133" s="1237"/>
      <c r="D133" s="1237"/>
      <c r="E133" s="1238" t="s">
        <v>36</v>
      </c>
      <c r="F133" s="1239" t="s">
        <v>95</v>
      </c>
      <c r="G133" s="1211" t="s">
        <v>6</v>
      </c>
      <c r="H133" s="1239"/>
      <c r="I133" s="1239"/>
      <c r="J133" s="1239"/>
      <c r="K133" s="1239"/>
      <c r="L133" s="1239"/>
      <c r="M133" s="1239"/>
      <c r="N133" s="1239"/>
      <c r="O133" s="1239"/>
      <c r="P133" s="1240"/>
      <c r="Q133" s="1239"/>
      <c r="R133" s="1239"/>
      <c r="S133" s="1239"/>
      <c r="T133" s="1239"/>
      <c r="U133" s="1239"/>
      <c r="V133" s="1239"/>
      <c r="W133" s="1239"/>
      <c r="X133" s="1239"/>
      <c r="Y133" s="1239"/>
      <c r="Z133" s="1239"/>
      <c r="AA133" s="1239"/>
      <c r="AB133" s="1239"/>
      <c r="AC133" s="1239"/>
      <c r="AD133" s="1239"/>
      <c r="AE133" s="1239"/>
      <c r="AF133" s="1239"/>
      <c r="AG133" s="1239"/>
      <c r="AH133" s="1207"/>
    </row>
    <row r="134" spans="1:34" x14ac:dyDescent="0.2">
      <c r="A134" s="1236"/>
      <c r="B134" s="1237"/>
      <c r="C134" s="1237"/>
      <c r="D134" s="1239"/>
      <c r="E134" s="1237"/>
      <c r="F134" s="1237"/>
      <c r="G134" s="1237"/>
      <c r="H134" s="1237"/>
      <c r="I134" s="1237"/>
      <c r="J134" s="1237"/>
      <c r="K134" s="1237"/>
      <c r="L134" s="1237"/>
      <c r="M134" s="1237"/>
      <c r="N134" s="1237"/>
      <c r="O134" s="1237"/>
      <c r="P134" s="1241"/>
      <c r="Q134" s="1237"/>
      <c r="R134" s="1237"/>
      <c r="S134" s="1237"/>
      <c r="T134" s="1237"/>
      <c r="U134" s="1237"/>
      <c r="V134" s="1237"/>
      <c r="W134" s="1237"/>
      <c r="X134" s="1237"/>
      <c r="Y134" s="1237"/>
      <c r="Z134" s="1237"/>
      <c r="AA134" s="1237"/>
      <c r="AB134" s="1237"/>
      <c r="AC134" s="1237"/>
      <c r="AD134" s="1237"/>
      <c r="AE134" s="1237"/>
      <c r="AF134" s="1237"/>
      <c r="AG134" s="1237"/>
      <c r="AH134" s="1207"/>
    </row>
    <row r="135" spans="1:34" x14ac:dyDescent="0.2">
      <c r="A135" s="1368"/>
      <c r="B135" s="1237"/>
      <c r="C135" s="1239"/>
      <c r="D135" s="1239">
        <v>42461</v>
      </c>
      <c r="E135" s="1237"/>
      <c r="F135" s="1237"/>
      <c r="G135" s="1237"/>
      <c r="H135" s="1237"/>
      <c r="I135" s="1237"/>
      <c r="J135" s="1237"/>
      <c r="K135" s="1237"/>
      <c r="L135" s="1237"/>
      <c r="M135" s="1237"/>
      <c r="N135" s="1237"/>
      <c r="O135" s="1237"/>
      <c r="P135" s="1241"/>
      <c r="Q135" s="1237"/>
      <c r="R135" s="1237"/>
      <c r="S135" s="1237"/>
      <c r="T135" s="1237"/>
      <c r="U135" s="1237"/>
      <c r="V135" s="1237"/>
      <c r="W135" s="1237"/>
      <c r="X135" s="1237"/>
      <c r="Y135" s="1237"/>
      <c r="Z135" s="1237"/>
      <c r="AA135" s="1237"/>
      <c r="AB135" s="1237"/>
      <c r="AC135" s="1237"/>
      <c r="AD135" s="1237"/>
      <c r="AE135" s="1237"/>
      <c r="AF135" s="1237"/>
      <c r="AG135" s="1237"/>
      <c r="AH135" s="1207"/>
    </row>
    <row r="136" spans="1:34" x14ac:dyDescent="0.2">
      <c r="A136" s="1236"/>
      <c r="B136" s="1237"/>
      <c r="C136" s="1239"/>
      <c r="D136" s="1239"/>
      <c r="E136" s="1237"/>
      <c r="F136" s="1237"/>
      <c r="G136" s="1237"/>
      <c r="H136" s="1237"/>
      <c r="I136" s="1237"/>
      <c r="J136" s="1237"/>
      <c r="K136" s="1237"/>
      <c r="L136" s="1237"/>
      <c r="M136" s="1237"/>
      <c r="N136" s="1237"/>
      <c r="O136" s="1237"/>
      <c r="P136" s="1241"/>
      <c r="Q136" s="1237"/>
      <c r="R136" s="1237"/>
      <c r="S136" s="1237"/>
      <c r="T136" s="1237"/>
      <c r="U136" s="1237"/>
      <c r="V136" s="1237"/>
      <c r="W136" s="1237"/>
      <c r="X136" s="1237"/>
      <c r="Y136" s="1237"/>
      <c r="Z136" s="1237"/>
      <c r="AA136" s="1237"/>
      <c r="AB136" s="1237"/>
      <c r="AC136" s="1237"/>
      <c r="AD136" s="1237"/>
      <c r="AE136" s="1237"/>
      <c r="AF136" s="1237"/>
      <c r="AG136" s="1237"/>
      <c r="AH136" s="1207"/>
    </row>
    <row r="137" spans="1:34" ht="13.5" thickBot="1" x14ac:dyDescent="0.25">
      <c r="A137" s="1236"/>
      <c r="B137" s="1237"/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1237"/>
      <c r="M137" s="1237"/>
      <c r="N137" s="1237"/>
      <c r="O137" s="1237"/>
      <c r="P137" s="1241"/>
      <c r="Q137" s="1237"/>
      <c r="R137" s="1237"/>
      <c r="S137" s="1237"/>
      <c r="T137" s="1237"/>
      <c r="U137" s="1237"/>
      <c r="V137" s="1237"/>
      <c r="W137" s="1237"/>
      <c r="X137" s="1237"/>
      <c r="Y137" s="1237"/>
      <c r="Z137" s="1237"/>
      <c r="AA137" s="1237"/>
      <c r="AB137" s="1237"/>
      <c r="AC137" s="1237"/>
      <c r="AD137" s="1237"/>
      <c r="AE137" s="1237"/>
      <c r="AF137" s="1237"/>
      <c r="AG137" s="1237"/>
      <c r="AH137" s="1207"/>
    </row>
    <row r="138" spans="1:34" ht="13.5" thickBot="1" x14ac:dyDescent="0.25">
      <c r="A138" s="1236"/>
      <c r="B138" s="1237"/>
      <c r="C138" s="1243"/>
      <c r="D138" s="1244" t="s">
        <v>16</v>
      </c>
      <c r="E138" s="1244"/>
      <c r="F138" s="1244"/>
      <c r="G138" s="1244"/>
      <c r="H138" s="1244"/>
      <c r="I138" s="1244"/>
      <c r="J138" s="1244"/>
      <c r="K138" s="1244"/>
      <c r="L138" s="1244"/>
      <c r="M138" s="1244"/>
      <c r="N138" s="1244"/>
      <c r="O138" s="1244"/>
      <c r="P138" s="1245"/>
      <c r="Q138" s="1244"/>
      <c r="R138" s="1244"/>
      <c r="S138" s="1244"/>
      <c r="T138" s="1244"/>
      <c r="U138" s="1244"/>
      <c r="V138" s="1244"/>
      <c r="W138" s="1244"/>
      <c r="X138" s="1244"/>
      <c r="Y138" s="1244"/>
      <c r="Z138" s="1244"/>
      <c r="AA138" s="1244"/>
      <c r="AB138" s="1244"/>
      <c r="AC138" s="1244"/>
      <c r="AD138" s="1244"/>
      <c r="AE138" s="1244"/>
      <c r="AF138" s="1244"/>
      <c r="AG138" s="1244"/>
      <c r="AH138" s="1207"/>
    </row>
    <row r="139" spans="1:34" ht="13.5" thickBot="1" x14ac:dyDescent="0.25">
      <c r="A139" s="1236"/>
      <c r="B139" s="1237"/>
      <c r="C139" s="1246" t="s">
        <v>452</v>
      </c>
      <c r="D139" s="1246" t="s">
        <v>453</v>
      </c>
      <c r="E139" s="1246" t="s">
        <v>434</v>
      </c>
      <c r="F139" s="1246" t="s">
        <v>390</v>
      </c>
      <c r="G139" s="1246" t="s">
        <v>454</v>
      </c>
      <c r="H139" s="1246" t="s">
        <v>455</v>
      </c>
      <c r="I139" s="1246" t="s">
        <v>456</v>
      </c>
      <c r="J139" s="1246" t="s">
        <v>457</v>
      </c>
      <c r="K139" s="1246" t="s">
        <v>458</v>
      </c>
      <c r="L139" s="1246" t="s">
        <v>216</v>
      </c>
      <c r="M139" s="1246" t="s">
        <v>459</v>
      </c>
      <c r="N139" s="1246" t="s">
        <v>297</v>
      </c>
      <c r="O139" s="1246" t="s">
        <v>211</v>
      </c>
      <c r="P139" s="1247" t="s">
        <v>270</v>
      </c>
      <c r="Q139" s="1246">
        <v>15</v>
      </c>
      <c r="R139" s="1246">
        <v>16</v>
      </c>
      <c r="S139" s="1246" t="s">
        <v>461</v>
      </c>
      <c r="T139" s="1246" t="s">
        <v>442</v>
      </c>
      <c r="U139" s="1246" t="s">
        <v>462</v>
      </c>
      <c r="V139" s="1246" t="s">
        <v>470</v>
      </c>
      <c r="W139" s="1246" t="s">
        <v>471</v>
      </c>
      <c r="X139" s="1246" t="s">
        <v>472</v>
      </c>
      <c r="Y139" s="1246" t="s">
        <v>463</v>
      </c>
      <c r="Z139" s="1246" t="s">
        <v>465</v>
      </c>
      <c r="AA139" s="1246" t="s">
        <v>466</v>
      </c>
      <c r="AB139" s="1246" t="s">
        <v>435</v>
      </c>
      <c r="AC139" s="1246" t="s">
        <v>467</v>
      </c>
      <c r="AD139" s="1246" t="s">
        <v>464</v>
      </c>
      <c r="AE139" s="1246" t="s">
        <v>429</v>
      </c>
      <c r="AF139" s="1246" t="s">
        <v>149</v>
      </c>
      <c r="AG139" s="1246" t="s">
        <v>210</v>
      </c>
      <c r="AH139" s="1207"/>
    </row>
    <row r="140" spans="1:34" x14ac:dyDescent="0.2">
      <c r="A140" s="1233"/>
      <c r="B140" s="1248"/>
      <c r="C140" s="1237"/>
      <c r="D140" s="1237"/>
      <c r="E140" s="1237"/>
      <c r="F140" s="1237"/>
      <c r="G140" s="1237"/>
      <c r="H140" s="1237"/>
      <c r="I140" s="1237"/>
      <c r="J140" s="1237"/>
      <c r="K140" s="1237"/>
      <c r="L140" s="1237"/>
      <c r="M140" s="1237"/>
      <c r="N140" s="1237"/>
      <c r="O140" s="1237"/>
      <c r="P140" s="1241"/>
      <c r="Q140" s="1237"/>
      <c r="R140" s="1237"/>
      <c r="S140" s="1237"/>
      <c r="T140" s="1237"/>
      <c r="U140" s="1237"/>
      <c r="V140" s="1237"/>
      <c r="W140" s="1237"/>
      <c r="X140" s="1237"/>
      <c r="Y140" s="1237"/>
      <c r="Z140" s="1237"/>
      <c r="AA140" s="1237"/>
      <c r="AB140" s="1237"/>
      <c r="AC140" s="1237"/>
      <c r="AD140" s="1237"/>
      <c r="AE140" s="1237"/>
      <c r="AF140" s="1237"/>
      <c r="AG140" s="1237"/>
      <c r="AH140" s="1207"/>
    </row>
    <row r="141" spans="1:34" x14ac:dyDescent="0.2">
      <c r="A141" s="1236" t="s">
        <v>0</v>
      </c>
      <c r="B141" s="1249">
        <v>38701.148000000001</v>
      </c>
      <c r="C141" s="1237"/>
      <c r="D141" s="1237"/>
      <c r="E141" s="1237"/>
      <c r="F141" s="1237"/>
      <c r="G141" s="1237"/>
      <c r="H141" s="1237"/>
      <c r="I141" s="1237"/>
      <c r="J141" s="1237"/>
      <c r="K141" s="1237"/>
      <c r="L141" s="1237"/>
      <c r="M141" s="1237"/>
      <c r="N141" s="1237"/>
      <c r="O141" s="1237"/>
      <c r="P141" s="1241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07"/>
    </row>
    <row r="142" spans="1:34" ht="13.5" thickBot="1" x14ac:dyDescent="0.25">
      <c r="A142" s="1250"/>
      <c r="B142" s="1251"/>
      <c r="C142" s="1237"/>
      <c r="D142" s="1237"/>
      <c r="E142" s="1237"/>
      <c r="F142" s="1237"/>
      <c r="G142" s="1237"/>
      <c r="H142" s="1237"/>
      <c r="I142" s="1237"/>
      <c r="J142" s="1237"/>
      <c r="K142" s="1237"/>
      <c r="L142" s="1237"/>
      <c r="M142" s="1237"/>
      <c r="N142" s="1237"/>
      <c r="O142" s="1237"/>
      <c r="P142" s="1241"/>
      <c r="Q142" s="1237"/>
      <c r="R142" s="1237"/>
      <c r="S142" s="1237"/>
      <c r="T142" s="1237"/>
      <c r="U142" s="1237"/>
      <c r="V142" s="1237"/>
      <c r="W142" s="1237"/>
      <c r="X142" s="1237"/>
      <c r="Y142" s="1237"/>
      <c r="Z142" s="1237"/>
      <c r="AA142" s="1237"/>
      <c r="AB142" s="1237"/>
      <c r="AC142" s="1237"/>
      <c r="AD142" s="1237"/>
      <c r="AE142" s="1237"/>
      <c r="AF142" s="1237"/>
      <c r="AG142" s="1237"/>
      <c r="AH142" s="1207"/>
    </row>
    <row r="143" spans="1:34" x14ac:dyDescent="0.2">
      <c r="A143" s="1233"/>
      <c r="B143" s="1253"/>
      <c r="C143" s="1237"/>
      <c r="D143" s="1237"/>
      <c r="E143" s="1237"/>
      <c r="F143" s="1237"/>
      <c r="G143" s="1237"/>
      <c r="H143" s="1237"/>
      <c r="I143" s="1237"/>
      <c r="J143" s="1237"/>
      <c r="K143" s="1237"/>
      <c r="L143" s="1237"/>
      <c r="M143" s="1237"/>
      <c r="N143" s="1237"/>
      <c r="O143" s="1237"/>
      <c r="P143" s="1241"/>
      <c r="Q143" s="1237"/>
      <c r="R143" s="1237"/>
      <c r="S143" s="1237"/>
      <c r="T143" s="1237"/>
      <c r="U143" s="1237"/>
      <c r="V143" s="1237"/>
      <c r="W143" s="1237"/>
      <c r="X143" s="1237"/>
      <c r="Y143" s="1237"/>
      <c r="Z143" s="1237"/>
      <c r="AA143" s="1237"/>
      <c r="AB143" s="1237"/>
      <c r="AC143" s="1237"/>
      <c r="AD143" s="1237"/>
      <c r="AE143" s="1237"/>
      <c r="AF143" s="1237"/>
      <c r="AG143" s="1237"/>
      <c r="AH143" s="1207"/>
    </row>
    <row r="144" spans="1:34" x14ac:dyDescent="0.2">
      <c r="A144" s="1236" t="s">
        <v>1</v>
      </c>
      <c r="B144" s="1249">
        <f>B145+B146+B147</f>
        <v>0</v>
      </c>
      <c r="C144" s="1237"/>
      <c r="D144" s="1237"/>
      <c r="E144" s="1237"/>
      <c r="F144" s="1237"/>
      <c r="G144" s="1237"/>
      <c r="H144" s="1237"/>
      <c r="I144" s="1237"/>
      <c r="J144" s="1237"/>
      <c r="K144" s="1237"/>
      <c r="L144" s="1237"/>
      <c r="M144" s="1237"/>
      <c r="N144" s="1237"/>
      <c r="O144" s="1237"/>
      <c r="P144" s="1241"/>
      <c r="Q144" s="1237"/>
      <c r="R144" s="1237"/>
      <c r="S144" s="1237"/>
      <c r="T144" s="1237"/>
      <c r="U144" s="1237"/>
      <c r="V144" s="1237"/>
      <c r="W144" s="1237"/>
      <c r="X144" s="1237"/>
      <c r="Y144" s="1237"/>
      <c r="Z144" s="1237"/>
      <c r="AA144" s="1237"/>
      <c r="AB144" s="1237"/>
      <c r="AC144" s="1237"/>
      <c r="AD144" s="1237"/>
      <c r="AE144" s="1237"/>
      <c r="AF144" s="1237"/>
      <c r="AG144" s="1237"/>
      <c r="AH144" s="1207"/>
    </row>
    <row r="145" spans="1:34" x14ac:dyDescent="0.2">
      <c r="A145" s="1236" t="s">
        <v>38</v>
      </c>
      <c r="B145" s="1249">
        <f>C195</f>
        <v>0</v>
      </c>
      <c r="C145" s="1237"/>
      <c r="D145" s="1237"/>
      <c r="E145" s="1237"/>
      <c r="F145" s="1237"/>
      <c r="G145" s="1237"/>
      <c r="H145" s="1237"/>
      <c r="I145" s="1237"/>
      <c r="J145" s="1237"/>
      <c r="K145" s="1237"/>
      <c r="L145" s="1237"/>
      <c r="M145" s="1237"/>
      <c r="N145" s="1237"/>
      <c r="O145" s="1237"/>
      <c r="P145" s="1241"/>
      <c r="Q145" s="1237"/>
      <c r="R145" s="1237"/>
      <c r="S145" s="1237"/>
      <c r="T145" s="1237"/>
      <c r="U145" s="1237"/>
      <c r="V145" s="1237"/>
      <c r="W145" s="1237"/>
      <c r="X145" s="1237"/>
      <c r="Y145" s="1237"/>
      <c r="Z145" s="1237"/>
      <c r="AA145" s="1237"/>
      <c r="AB145" s="1237"/>
      <c r="AC145" s="1237"/>
      <c r="AD145" s="1237"/>
      <c r="AE145" s="1237"/>
      <c r="AF145" s="1237"/>
      <c r="AG145" s="1237"/>
      <c r="AH145" s="1207"/>
    </row>
    <row r="146" spans="1:34" x14ac:dyDescent="0.2">
      <c r="A146" s="1236" t="s">
        <v>39</v>
      </c>
      <c r="B146" s="1249">
        <f>C215</f>
        <v>0</v>
      </c>
      <c r="C146" s="1237"/>
      <c r="D146" s="1237"/>
      <c r="E146" s="1237"/>
      <c r="F146" s="1237"/>
      <c r="G146" s="1237"/>
      <c r="H146" s="1237"/>
      <c r="I146" s="1237"/>
      <c r="J146" s="1237"/>
      <c r="K146" s="1237"/>
      <c r="L146" s="1237"/>
      <c r="M146" s="1237"/>
      <c r="N146" s="1237"/>
      <c r="O146" s="1237"/>
      <c r="P146" s="1241"/>
      <c r="Q146" s="1237"/>
      <c r="R146" s="1237"/>
      <c r="S146" s="1237"/>
      <c r="T146" s="1237"/>
      <c r="U146" s="1237"/>
      <c r="V146" s="1237"/>
      <c r="W146" s="1237"/>
      <c r="X146" s="1237"/>
      <c r="Y146" s="1237"/>
      <c r="Z146" s="1237"/>
      <c r="AA146" s="1237"/>
      <c r="AB146" s="1237"/>
      <c r="AC146" s="1237"/>
      <c r="AD146" s="1237"/>
      <c r="AE146" s="1237"/>
      <c r="AF146" s="1237"/>
      <c r="AG146" s="1237"/>
      <c r="AH146" s="1207"/>
    </row>
    <row r="147" spans="1:34" x14ac:dyDescent="0.2">
      <c r="A147" s="1236" t="s">
        <v>3</v>
      </c>
      <c r="B147" s="1249"/>
      <c r="C147" s="1237"/>
      <c r="D147" s="1237"/>
      <c r="E147" s="1237"/>
      <c r="F147" s="1237"/>
      <c r="G147" s="1237"/>
      <c r="H147" s="1237"/>
      <c r="I147" s="1237"/>
      <c r="J147" s="1237"/>
      <c r="K147" s="1237"/>
      <c r="L147" s="1237"/>
      <c r="M147" s="1237"/>
      <c r="N147" s="1237"/>
      <c r="O147" s="1237"/>
      <c r="P147" s="1241"/>
      <c r="Q147" s="1237"/>
      <c r="R147" s="1237"/>
      <c r="S147" s="1237"/>
      <c r="T147" s="1237"/>
      <c r="U147" s="1237"/>
      <c r="V147" s="1237"/>
      <c r="W147" s="1237"/>
      <c r="X147" s="1237"/>
      <c r="Y147" s="1237"/>
      <c r="Z147" s="1237"/>
      <c r="AA147" s="1237"/>
      <c r="AB147" s="1237"/>
      <c r="AC147" s="1237"/>
      <c r="AD147" s="1237"/>
      <c r="AE147" s="1237"/>
      <c r="AF147" s="1237"/>
      <c r="AG147" s="1237"/>
      <c r="AH147" s="1207"/>
    </row>
    <row r="148" spans="1:34" ht="13.5" thickBot="1" x14ac:dyDescent="0.25">
      <c r="A148" s="1250"/>
      <c r="B148" s="1251"/>
      <c r="C148" s="1237"/>
      <c r="D148" s="1237"/>
      <c r="E148" s="1237"/>
      <c r="F148" s="1237"/>
      <c r="G148" s="1237"/>
      <c r="H148" s="1237"/>
      <c r="I148" s="1237"/>
      <c r="J148" s="1237"/>
      <c r="K148" s="1237"/>
      <c r="L148" s="1237"/>
      <c r="M148" s="1237"/>
      <c r="N148" s="1237"/>
      <c r="O148" s="1237"/>
      <c r="P148" s="1241"/>
      <c r="Q148" s="1237"/>
      <c r="R148" s="1237"/>
      <c r="S148" s="1237"/>
      <c r="T148" s="1237"/>
      <c r="U148" s="1237"/>
      <c r="V148" s="1237"/>
      <c r="W148" s="1237"/>
      <c r="X148" s="1237"/>
      <c r="Y148" s="1237"/>
      <c r="Z148" s="1237"/>
      <c r="AA148" s="1237"/>
      <c r="AB148" s="1237"/>
      <c r="AC148" s="1237"/>
      <c r="AD148" s="1237"/>
      <c r="AE148" s="1237"/>
      <c r="AF148" s="1237"/>
      <c r="AG148" s="1237"/>
      <c r="AH148" s="1207"/>
    </row>
    <row r="149" spans="1:34" x14ac:dyDescent="0.2">
      <c r="A149" s="1233"/>
      <c r="B149" s="1253"/>
      <c r="C149" s="1237"/>
      <c r="D149" s="1237"/>
      <c r="E149" s="1237"/>
      <c r="F149" s="1237"/>
      <c r="G149" s="1237"/>
      <c r="H149" s="1237"/>
      <c r="I149" s="1237"/>
      <c r="J149" s="1237"/>
      <c r="K149" s="1237"/>
      <c r="L149" s="1237"/>
      <c r="M149" s="1237"/>
      <c r="N149" s="1237"/>
      <c r="O149" s="1237"/>
      <c r="P149" s="1241"/>
      <c r="Q149" s="1237"/>
      <c r="R149" s="1237"/>
      <c r="S149" s="1237"/>
      <c r="T149" s="1237"/>
      <c r="U149" s="1237"/>
      <c r="V149" s="1237"/>
      <c r="W149" s="1237"/>
      <c r="X149" s="1237"/>
      <c r="Y149" s="1237"/>
      <c r="Z149" s="1237"/>
      <c r="AA149" s="1237"/>
      <c r="AB149" s="1237"/>
      <c r="AC149" s="1237"/>
      <c r="AD149" s="1237"/>
      <c r="AE149" s="1237"/>
      <c r="AF149" s="1237"/>
      <c r="AG149" s="1237"/>
      <c r="AH149" s="1207"/>
    </row>
    <row r="150" spans="1:34" x14ac:dyDescent="0.2">
      <c r="A150" s="1236" t="s">
        <v>4</v>
      </c>
      <c r="B150" s="1249">
        <f>B141+B144</f>
        <v>38701.148000000001</v>
      </c>
      <c r="C150" s="1237"/>
      <c r="D150" s="1237"/>
      <c r="E150" s="1237"/>
      <c r="F150" s="1237"/>
      <c r="G150" s="1237"/>
      <c r="H150" s="1237"/>
      <c r="I150" s="1237"/>
      <c r="J150" s="1237"/>
      <c r="K150" s="1237"/>
      <c r="L150" s="1237"/>
      <c r="M150" s="1237"/>
      <c r="N150" s="1237"/>
      <c r="O150" s="1237"/>
      <c r="P150" s="1241"/>
      <c r="Q150" s="1237"/>
      <c r="R150" s="1237"/>
      <c r="S150" s="1237"/>
      <c r="T150" s="1237"/>
      <c r="U150" s="1237"/>
      <c r="V150" s="1237"/>
      <c r="W150" s="1237"/>
      <c r="X150" s="1237"/>
      <c r="Y150" s="1237"/>
      <c r="Z150" s="1237"/>
      <c r="AA150" s="1237"/>
      <c r="AB150" s="1237"/>
      <c r="AC150" s="1237"/>
      <c r="AD150" s="1237"/>
      <c r="AE150" s="1237"/>
      <c r="AF150" s="1237"/>
      <c r="AG150" s="1237"/>
      <c r="AH150" s="1207"/>
    </row>
    <row r="151" spans="1:34" ht="13.5" thickBot="1" x14ac:dyDescent="0.25">
      <c r="A151" s="1250"/>
      <c r="B151" s="1251"/>
      <c r="C151" s="1237"/>
      <c r="D151" s="1237"/>
      <c r="E151" s="1237"/>
      <c r="F151" s="1237"/>
      <c r="G151" s="1237"/>
      <c r="H151" s="1237"/>
      <c r="I151" s="1237"/>
      <c r="J151" s="1237"/>
      <c r="K151" s="1237"/>
      <c r="L151" s="1237"/>
      <c r="M151" s="1237"/>
      <c r="N151" s="1237"/>
      <c r="O151" s="1237"/>
      <c r="P151" s="1241"/>
      <c r="Q151" s="1237"/>
      <c r="R151" s="1237"/>
      <c r="S151" s="1237"/>
      <c r="T151" s="1237"/>
      <c r="U151" s="1237"/>
      <c r="V151" s="1237"/>
      <c r="W151" s="1237"/>
      <c r="X151" s="1237"/>
      <c r="Y151" s="1237"/>
      <c r="Z151" s="1237"/>
      <c r="AA151" s="1237"/>
      <c r="AB151" s="1237"/>
      <c r="AC151" s="1237"/>
      <c r="AD151" s="1237"/>
      <c r="AE151" s="1237"/>
      <c r="AF151" s="1237"/>
      <c r="AG151" s="1237"/>
      <c r="AH151" s="1207"/>
    </row>
    <row r="152" spans="1:34" x14ac:dyDescent="0.2">
      <c r="A152" s="1233"/>
      <c r="B152" s="1253"/>
      <c r="C152" s="1237"/>
      <c r="D152" s="1237"/>
      <c r="E152" s="1237"/>
      <c r="F152" s="1237"/>
      <c r="G152" s="1237"/>
      <c r="H152" s="1237"/>
      <c r="I152" s="1237"/>
      <c r="J152" s="1237"/>
      <c r="K152" s="1237"/>
      <c r="L152" s="1237"/>
      <c r="M152" s="1237"/>
      <c r="N152" s="1237"/>
      <c r="O152" s="1237"/>
      <c r="P152" s="1241"/>
      <c r="Q152" s="1237"/>
      <c r="R152" s="1237"/>
      <c r="S152" s="1237"/>
      <c r="T152" s="1237"/>
      <c r="U152" s="1237"/>
      <c r="V152" s="1237"/>
      <c r="W152" s="1237"/>
      <c r="X152" s="1237"/>
      <c r="Y152" s="1237"/>
      <c r="Z152" s="1237"/>
      <c r="AA152" s="1237"/>
      <c r="AB152" s="1237"/>
      <c r="AC152" s="1237"/>
      <c r="AD152" s="1237"/>
      <c r="AE152" s="1237"/>
      <c r="AF152" s="1237"/>
      <c r="AG152" s="1237"/>
      <c r="AH152" s="1207"/>
    </row>
    <row r="153" spans="1:34" ht="20.25" x14ac:dyDescent="0.3">
      <c r="A153" s="1236" t="s">
        <v>17</v>
      </c>
      <c r="B153" s="1249"/>
      <c r="C153" s="1237"/>
      <c r="D153" s="1237"/>
      <c r="E153" s="1237"/>
      <c r="F153" s="1237"/>
      <c r="G153" s="1237"/>
      <c r="H153" s="1237"/>
      <c r="I153" s="1749"/>
      <c r="J153" s="1749"/>
      <c r="K153" s="1749"/>
      <c r="L153" s="1749"/>
      <c r="M153" s="1748"/>
      <c r="N153" s="1748"/>
      <c r="O153" s="1748"/>
      <c r="P153" s="1748"/>
      <c r="Q153" s="1748"/>
      <c r="R153" s="1748"/>
      <c r="S153" s="1748"/>
      <c r="T153" s="1748"/>
      <c r="U153" s="1748"/>
      <c r="V153" s="1752"/>
      <c r="W153" s="1752"/>
      <c r="X153" s="1752"/>
      <c r="Y153" s="1237"/>
      <c r="Z153" s="1237"/>
      <c r="AA153" s="1237"/>
      <c r="AB153" s="1237"/>
      <c r="AC153" s="1237"/>
      <c r="AD153" s="1237"/>
      <c r="AE153" s="1237"/>
      <c r="AF153" s="1237"/>
      <c r="AG153" s="1237"/>
      <c r="AH153" s="1207"/>
    </row>
    <row r="154" spans="1:34" ht="13.5" thickBot="1" x14ac:dyDescent="0.25">
      <c r="A154" s="1250"/>
      <c r="B154" s="1251"/>
      <c r="C154" s="1237"/>
      <c r="D154" s="1237"/>
      <c r="E154" s="1237"/>
      <c r="F154" s="1237"/>
      <c r="G154" s="1237"/>
      <c r="H154" s="1237"/>
      <c r="I154" s="1237"/>
      <c r="J154" s="1237"/>
      <c r="K154" s="1237"/>
      <c r="L154" s="1237"/>
      <c r="M154" s="1237"/>
      <c r="N154" s="1237"/>
      <c r="O154" s="1237"/>
      <c r="P154" s="1241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07"/>
    </row>
    <row r="155" spans="1:34" x14ac:dyDescent="0.2">
      <c r="A155" s="1233"/>
      <c r="B155" s="1253"/>
      <c r="C155" s="1237"/>
      <c r="D155" s="1369"/>
      <c r="E155" s="1237"/>
      <c r="F155" s="1237"/>
      <c r="G155" s="1237"/>
      <c r="H155" s="1237"/>
      <c r="I155" s="1237"/>
      <c r="J155" s="1237"/>
      <c r="K155" s="1237"/>
      <c r="L155" s="1237"/>
      <c r="M155" s="1237"/>
      <c r="N155" s="1237"/>
      <c r="O155" s="1237"/>
      <c r="P155" s="1241"/>
      <c r="Q155" s="1237"/>
      <c r="R155" s="1237"/>
      <c r="S155" s="1237"/>
      <c r="T155" s="1237"/>
      <c r="U155" s="1211"/>
      <c r="V155" s="1237"/>
      <c r="W155" s="1237"/>
      <c r="X155" s="1237"/>
      <c r="Y155" s="1237"/>
      <c r="Z155" s="1211"/>
      <c r="AA155" s="1237"/>
      <c r="AB155" s="1237"/>
      <c r="AC155" s="1369"/>
      <c r="AD155" s="1237"/>
      <c r="AF155" s="1237"/>
      <c r="AG155" s="1237"/>
      <c r="AH155" s="1207"/>
    </row>
    <row r="156" spans="1:34" x14ac:dyDescent="0.2">
      <c r="A156" s="1236" t="s">
        <v>5</v>
      </c>
      <c r="B156" s="1249">
        <f>B150-B153</f>
        <v>38701.148000000001</v>
      </c>
      <c r="C156" s="1211"/>
      <c r="D156" s="1369"/>
      <c r="E156" s="1370"/>
      <c r="F156" s="1211"/>
      <c r="G156" s="1256" t="s">
        <v>1298</v>
      </c>
      <c r="H156" s="1211"/>
      <c r="I156" s="1211"/>
      <c r="J156" s="1237"/>
      <c r="K156" s="1211"/>
      <c r="L156" s="1211" t="s">
        <v>1288</v>
      </c>
      <c r="M156" s="1211"/>
      <c r="N156" s="1237"/>
      <c r="O156" s="1211"/>
      <c r="P156" s="1212"/>
      <c r="Q156" s="1211"/>
      <c r="R156" s="1211"/>
      <c r="S156" s="1211"/>
      <c r="T156" s="1256"/>
      <c r="U156" s="1211"/>
      <c r="V156" s="1211"/>
      <c r="W156" s="1211" t="s">
        <v>223</v>
      </c>
      <c r="X156" s="1211"/>
      <c r="Y156" s="1211"/>
      <c r="Z156" s="1211"/>
      <c r="AA156" s="1263"/>
      <c r="AB156" s="1211"/>
      <c r="AC156" s="1371"/>
      <c r="AD156" s="1211"/>
      <c r="AE156" s="1223"/>
      <c r="AF156" s="1211"/>
      <c r="AG156" s="1211"/>
      <c r="AH156" s="1207"/>
    </row>
    <row r="157" spans="1:34" ht="13.5" thickBot="1" x14ac:dyDescent="0.25">
      <c r="A157" s="1250"/>
      <c r="B157" s="1251"/>
      <c r="C157" s="1237"/>
      <c r="D157" s="1237"/>
      <c r="E157" s="1237"/>
      <c r="F157" s="1237"/>
      <c r="G157" s="1237"/>
      <c r="H157" s="1237"/>
      <c r="I157" s="1237"/>
      <c r="J157" s="1237"/>
      <c r="K157" s="1237"/>
      <c r="L157" s="1237"/>
      <c r="M157" s="1237"/>
      <c r="N157" s="1237"/>
      <c r="O157" s="1237"/>
      <c r="P157" s="1212"/>
      <c r="Q157" s="1211"/>
      <c r="R157" s="1211"/>
      <c r="S157" s="1211"/>
      <c r="T157" s="1211"/>
      <c r="U157" s="1211"/>
      <c r="V157" s="1211"/>
      <c r="W157" s="1211"/>
      <c r="X157" s="1211"/>
      <c r="Y157" s="1211"/>
      <c r="Z157" s="1211"/>
      <c r="AA157" s="1211"/>
      <c r="AB157" s="1211"/>
      <c r="AC157" s="1211"/>
      <c r="AD157" s="1211"/>
      <c r="AE157" s="1211"/>
      <c r="AF157" s="1211"/>
      <c r="AG157" s="1211"/>
      <c r="AH157" s="1207"/>
    </row>
    <row r="158" spans="1:34" x14ac:dyDescent="0.2">
      <c r="A158" s="1269"/>
      <c r="B158" s="1237"/>
      <c r="C158" s="1270"/>
      <c r="D158" s="1272"/>
      <c r="E158" s="1272"/>
      <c r="F158" s="1271"/>
      <c r="G158" s="1271"/>
      <c r="H158" s="1271"/>
      <c r="I158" s="1271"/>
      <c r="J158" s="1271"/>
      <c r="K158" s="1271"/>
      <c r="L158" s="1271"/>
      <c r="M158" s="1271"/>
      <c r="N158" s="1271"/>
      <c r="O158" s="1271"/>
      <c r="P158" s="1273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07"/>
    </row>
    <row r="159" spans="1:34" ht="13.5" thickBot="1" x14ac:dyDescent="0.25">
      <c r="A159" s="1274" t="s">
        <v>7</v>
      </c>
      <c r="B159" s="1237"/>
      <c r="C159" s="1275">
        <f t="shared" ref="C159:AG159" si="16">C160+C161+C162+C166+C165+C163+C164</f>
        <v>0</v>
      </c>
      <c r="D159" s="1275">
        <f t="shared" si="16"/>
        <v>0</v>
      </c>
      <c r="E159" s="1275">
        <f t="shared" si="16"/>
        <v>0</v>
      </c>
      <c r="F159" s="1275">
        <f t="shared" si="16"/>
        <v>0</v>
      </c>
      <c r="G159" s="1275">
        <f t="shared" si="16"/>
        <v>0</v>
      </c>
      <c r="H159" s="1275">
        <f t="shared" si="16"/>
        <v>0</v>
      </c>
      <c r="I159" s="1275">
        <f t="shared" si="16"/>
        <v>0</v>
      </c>
      <c r="J159" s="1275">
        <f t="shared" si="16"/>
        <v>0</v>
      </c>
      <c r="K159" s="1275">
        <f t="shared" si="16"/>
        <v>0</v>
      </c>
      <c r="L159" s="1275">
        <f t="shared" si="16"/>
        <v>0</v>
      </c>
      <c r="M159" s="1275">
        <f t="shared" si="16"/>
        <v>0</v>
      </c>
      <c r="N159" s="1275">
        <f t="shared" si="16"/>
        <v>0</v>
      </c>
      <c r="O159" s="1275">
        <f t="shared" si="16"/>
        <v>0</v>
      </c>
      <c r="P159" s="1276">
        <f t="shared" si="16"/>
        <v>0</v>
      </c>
      <c r="Q159" s="1275">
        <f t="shared" si="16"/>
        <v>0</v>
      </c>
      <c r="R159" s="1275">
        <f t="shared" si="16"/>
        <v>0</v>
      </c>
      <c r="S159" s="1275">
        <f t="shared" si="16"/>
        <v>0</v>
      </c>
      <c r="T159" s="1275">
        <f t="shared" si="16"/>
        <v>0</v>
      </c>
      <c r="U159" s="1275">
        <f t="shared" si="16"/>
        <v>0</v>
      </c>
      <c r="V159" s="1275">
        <f t="shared" si="16"/>
        <v>0</v>
      </c>
      <c r="W159" s="1275">
        <f t="shared" si="16"/>
        <v>0</v>
      </c>
      <c r="X159" s="1275">
        <f t="shared" si="16"/>
        <v>0</v>
      </c>
      <c r="Y159" s="1275">
        <f t="shared" si="16"/>
        <v>0</v>
      </c>
      <c r="Z159" s="1275">
        <f t="shared" si="16"/>
        <v>0</v>
      </c>
      <c r="AA159" s="1275">
        <f t="shared" si="16"/>
        <v>0</v>
      </c>
      <c r="AB159" s="1275">
        <f t="shared" si="16"/>
        <v>0</v>
      </c>
      <c r="AC159" s="1275">
        <f t="shared" si="16"/>
        <v>0</v>
      </c>
      <c r="AD159" s="1275">
        <f t="shared" si="16"/>
        <v>0</v>
      </c>
      <c r="AE159" s="1275">
        <f t="shared" si="16"/>
        <v>0</v>
      </c>
      <c r="AF159" s="1275">
        <f t="shared" si="16"/>
        <v>0</v>
      </c>
      <c r="AG159" s="1275">
        <f t="shared" si="16"/>
        <v>0</v>
      </c>
      <c r="AH159" s="1227">
        <f t="shared" ref="AH159:AH167" si="17">SUM(C159:AG159)</f>
        <v>0</v>
      </c>
    </row>
    <row r="160" spans="1:34" x14ac:dyDescent="0.2">
      <c r="A160" s="1274" t="s">
        <v>8</v>
      </c>
      <c r="B160" s="1237"/>
      <c r="C160" s="1302"/>
      <c r="D160" s="1302"/>
      <c r="E160" s="1302"/>
      <c r="F160" s="1303"/>
      <c r="G160" s="1303"/>
      <c r="H160" s="1303"/>
      <c r="I160" s="1303"/>
      <c r="J160" s="1303"/>
      <c r="K160" s="1303"/>
      <c r="L160" s="1303"/>
      <c r="M160" s="1303"/>
      <c r="N160" s="1303"/>
      <c r="O160" s="1303"/>
      <c r="P160" s="1304"/>
      <c r="Q160" s="1303"/>
      <c r="R160" s="1303"/>
      <c r="S160" s="1303"/>
      <c r="T160" s="1303"/>
      <c r="U160" s="1303"/>
      <c r="V160" s="1303"/>
      <c r="W160" s="1303"/>
      <c r="X160" s="1303"/>
      <c r="Y160" s="1303"/>
      <c r="Z160" s="1303"/>
      <c r="AA160" s="1303"/>
      <c r="AB160" s="1303"/>
      <c r="AC160" s="1303"/>
      <c r="AD160" s="1303"/>
      <c r="AE160" s="1303"/>
      <c r="AF160" s="1303"/>
      <c r="AG160" s="1303"/>
      <c r="AH160" s="1227">
        <f t="shared" si="17"/>
        <v>0</v>
      </c>
    </row>
    <row r="161" spans="1:35" x14ac:dyDescent="0.2">
      <c r="A161" s="1274" t="s">
        <v>9</v>
      </c>
      <c r="B161" s="1237"/>
      <c r="C161" s="1302"/>
      <c r="D161" s="1302"/>
      <c r="E161" s="1302"/>
      <c r="F161" s="1303"/>
      <c r="G161" s="1303"/>
      <c r="H161" s="1303"/>
      <c r="I161" s="1303"/>
      <c r="J161" s="1303"/>
      <c r="K161" s="1303"/>
      <c r="L161" s="1303"/>
      <c r="M161" s="1303"/>
      <c r="N161" s="1303"/>
      <c r="O161" s="1303"/>
      <c r="P161" s="1304"/>
      <c r="Q161" s="1303"/>
      <c r="R161" s="1303"/>
      <c r="S161" s="1303"/>
      <c r="T161" s="1303"/>
      <c r="U161" s="1303"/>
      <c r="V161" s="1303"/>
      <c r="W161" s="1303"/>
      <c r="X161" s="1303"/>
      <c r="Y161" s="1303"/>
      <c r="Z161" s="1303"/>
      <c r="AA161" s="1303"/>
      <c r="AB161" s="1303"/>
      <c r="AC161" s="1303"/>
      <c r="AD161" s="1303"/>
      <c r="AE161" s="1303"/>
      <c r="AF161" s="1303"/>
      <c r="AG161" s="1303"/>
      <c r="AH161" s="1227">
        <f t="shared" si="17"/>
        <v>0</v>
      </c>
    </row>
    <row r="162" spans="1:35" s="1289" customFormat="1" x14ac:dyDescent="0.2">
      <c r="A162" s="1285" t="s">
        <v>10</v>
      </c>
      <c r="B162" s="1372"/>
      <c r="C162" s="1373"/>
      <c r="D162" s="1374"/>
      <c r="E162" s="1374"/>
      <c r="F162" s="1375"/>
      <c r="G162" s="1376"/>
      <c r="H162" s="1375"/>
      <c r="I162" s="1375"/>
      <c r="J162" s="1375"/>
      <c r="K162" s="1375"/>
      <c r="L162" s="1375"/>
      <c r="M162" s="1375"/>
      <c r="N162" s="1375"/>
      <c r="O162" s="1375"/>
      <c r="P162" s="1375"/>
      <c r="Q162" s="1375"/>
      <c r="R162" s="1375"/>
      <c r="S162" s="1375"/>
      <c r="T162" s="1376"/>
      <c r="U162" s="1375"/>
      <c r="V162" s="1375"/>
      <c r="W162" s="1375"/>
      <c r="X162" s="1375"/>
      <c r="Y162" s="1375"/>
      <c r="Z162" s="1375"/>
      <c r="AA162" s="1377"/>
      <c r="AB162" s="1375"/>
      <c r="AC162" s="1375"/>
      <c r="AD162" s="1375"/>
      <c r="AE162" s="1378"/>
      <c r="AF162" s="1375"/>
      <c r="AG162" s="1375"/>
      <c r="AH162" s="1231">
        <f t="shared" si="17"/>
        <v>0</v>
      </c>
    </row>
    <row r="163" spans="1:35" s="1289" customFormat="1" x14ac:dyDescent="0.2">
      <c r="A163" s="1285" t="s">
        <v>356</v>
      </c>
      <c r="B163" s="1372"/>
      <c r="C163" s="1292"/>
      <c r="D163" s="1292"/>
      <c r="E163" s="1292"/>
      <c r="F163" s="1292"/>
      <c r="G163" s="1292"/>
      <c r="H163" s="1292"/>
      <c r="I163" s="1292"/>
      <c r="J163" s="1292"/>
      <c r="K163" s="1292"/>
      <c r="L163" s="1292"/>
      <c r="M163" s="1292"/>
      <c r="N163" s="1292"/>
      <c r="O163" s="1292"/>
      <c r="P163" s="1292"/>
      <c r="Q163" s="1292"/>
      <c r="R163" s="1292"/>
      <c r="S163" s="1292"/>
      <c r="T163" s="1292"/>
      <c r="U163" s="1292"/>
      <c r="V163" s="1292"/>
      <c r="W163" s="1292"/>
      <c r="X163" s="1292"/>
      <c r="Y163" s="1292"/>
      <c r="Z163" s="1292"/>
      <c r="AA163" s="1292"/>
      <c r="AB163" s="1292"/>
      <c r="AC163" s="1292"/>
      <c r="AD163" s="1292"/>
      <c r="AE163" s="1292"/>
      <c r="AF163" s="1379"/>
      <c r="AG163" s="1379"/>
      <c r="AH163" s="1231">
        <f t="shared" si="17"/>
        <v>0</v>
      </c>
    </row>
    <row r="164" spans="1:35" x14ac:dyDescent="0.2">
      <c r="A164" s="1274" t="s">
        <v>357</v>
      </c>
      <c r="B164" s="1237"/>
      <c r="C164" s="1306"/>
      <c r="D164" s="1302"/>
      <c r="E164" s="1306"/>
      <c r="F164" s="1303"/>
      <c r="G164" s="1303"/>
      <c r="H164" s="1304"/>
      <c r="I164" s="1304"/>
      <c r="J164" s="1304"/>
      <c r="K164" s="1304"/>
      <c r="L164" s="1304"/>
      <c r="M164" s="1304"/>
      <c r="N164" s="1304"/>
      <c r="O164" s="1304"/>
      <c r="P164" s="1304"/>
      <c r="Q164" s="1304"/>
      <c r="R164" s="1304"/>
      <c r="S164" s="1304"/>
      <c r="T164" s="1304"/>
      <c r="U164" s="1304"/>
      <c r="V164" s="1304"/>
      <c r="W164" s="1304"/>
      <c r="X164" s="1304"/>
      <c r="Y164" s="1304"/>
      <c r="Z164" s="1304"/>
      <c r="AA164" s="1304"/>
      <c r="AB164" s="1304"/>
      <c r="AC164" s="1304"/>
      <c r="AD164" s="1304"/>
      <c r="AE164" s="1304"/>
      <c r="AF164" s="1304"/>
      <c r="AG164" s="1304"/>
      <c r="AH164" s="1227">
        <f t="shared" si="17"/>
        <v>0</v>
      </c>
    </row>
    <row r="165" spans="1:35" x14ac:dyDescent="0.2">
      <c r="A165" s="1274" t="s">
        <v>41</v>
      </c>
      <c r="B165" s="1237"/>
      <c r="C165" s="1306"/>
      <c r="D165" s="1302"/>
      <c r="E165" s="1306"/>
      <c r="F165" s="1303"/>
      <c r="G165" s="1303"/>
      <c r="H165" s="1304"/>
      <c r="I165" s="1304"/>
      <c r="J165" s="1304"/>
      <c r="K165" s="1304"/>
      <c r="L165" s="1304"/>
      <c r="M165" s="1304"/>
      <c r="N165" s="1304"/>
      <c r="O165" s="1304"/>
      <c r="P165" s="1304"/>
      <c r="Q165" s="1304"/>
      <c r="R165" s="1304"/>
      <c r="S165" s="1304"/>
      <c r="T165" s="1304"/>
      <c r="U165" s="1304"/>
      <c r="V165" s="1304"/>
      <c r="W165" s="1304"/>
      <c r="X165" s="1304"/>
      <c r="Y165" s="1304"/>
      <c r="Z165" s="1304"/>
      <c r="AA165" s="1304"/>
      <c r="AB165" s="1304"/>
      <c r="AC165" s="1304"/>
      <c r="AD165" s="1304"/>
      <c r="AE165" s="1304"/>
      <c r="AF165" s="1304"/>
      <c r="AG165" s="1304"/>
      <c r="AH165" s="1227">
        <f t="shared" si="17"/>
        <v>0</v>
      </c>
    </row>
    <row r="166" spans="1:35" x14ac:dyDescent="0.2">
      <c r="A166" s="1274" t="s">
        <v>11</v>
      </c>
      <c r="B166" s="1237"/>
      <c r="C166" s="1302"/>
      <c r="D166" s="1306"/>
      <c r="E166" s="1306"/>
      <c r="F166" s="1304"/>
      <c r="G166" s="1304"/>
      <c r="H166" s="1304"/>
      <c r="I166" s="1304"/>
      <c r="J166" s="1304"/>
      <c r="K166" s="1304"/>
      <c r="L166" s="1304"/>
      <c r="M166" s="1304"/>
      <c r="N166" s="1304"/>
      <c r="O166" s="1304"/>
      <c r="P166" s="1304"/>
      <c r="Q166" s="1304"/>
      <c r="R166" s="1304"/>
      <c r="S166" s="1304"/>
      <c r="T166" s="1304"/>
      <c r="U166" s="1304"/>
      <c r="V166" s="1304"/>
      <c r="W166" s="1304"/>
      <c r="X166" s="1304"/>
      <c r="Y166" s="1304"/>
      <c r="Z166" s="1304"/>
      <c r="AA166" s="1304"/>
      <c r="AB166" s="1318"/>
      <c r="AC166" s="1304"/>
      <c r="AD166" s="1304"/>
      <c r="AE166" s="1304"/>
      <c r="AF166" s="1304"/>
      <c r="AG166" s="1304"/>
      <c r="AH166" s="1227">
        <f t="shared" si="17"/>
        <v>0</v>
      </c>
    </row>
    <row r="167" spans="1:35" ht="13.5" thickBot="1" x14ac:dyDescent="0.25">
      <c r="A167" s="1294"/>
      <c r="B167" s="1237"/>
      <c r="C167" s="1302"/>
      <c r="D167" s="1302"/>
      <c r="E167" s="1302"/>
      <c r="F167" s="1303"/>
      <c r="G167" s="1303"/>
      <c r="H167" s="1303"/>
      <c r="I167" s="1303"/>
      <c r="J167" s="1303"/>
      <c r="K167" s="1303"/>
      <c r="L167" s="1303"/>
      <c r="M167" s="1303"/>
      <c r="N167" s="1303"/>
      <c r="O167" s="1303"/>
      <c r="P167" s="1304"/>
      <c r="Q167" s="1303"/>
      <c r="R167" s="1303"/>
      <c r="S167" s="1303"/>
      <c r="T167" s="1303"/>
      <c r="U167" s="1303"/>
      <c r="V167" s="1303"/>
      <c r="W167" s="1303"/>
      <c r="X167" s="1303"/>
      <c r="Y167" s="1303"/>
      <c r="Z167" s="1303"/>
      <c r="AA167" s="1303"/>
      <c r="AB167" s="1303"/>
      <c r="AC167" s="1303"/>
      <c r="AD167" s="1303"/>
      <c r="AE167" s="1303"/>
      <c r="AF167" s="1303"/>
      <c r="AG167" s="1303"/>
      <c r="AH167" s="1227">
        <f t="shared" si="17"/>
        <v>0</v>
      </c>
    </row>
    <row r="168" spans="1:35" x14ac:dyDescent="0.2">
      <c r="A168" s="1269"/>
      <c r="B168" s="1237"/>
      <c r="C168" s="1296"/>
      <c r="D168" s="1297"/>
      <c r="E168" s="1297"/>
      <c r="F168" s="1298"/>
      <c r="G168" s="1298"/>
      <c r="H168" s="1298"/>
      <c r="I168" s="1298"/>
      <c r="J168" s="1298"/>
      <c r="K168" s="1298"/>
      <c r="L168" s="1298"/>
      <c r="M168" s="1298"/>
      <c r="N168" s="1298"/>
      <c r="O168" s="1298"/>
      <c r="P168" s="1299"/>
      <c r="Q168" s="1298"/>
      <c r="R168" s="1298"/>
      <c r="S168" s="1298"/>
      <c r="T168" s="1298"/>
      <c r="U168" s="1298"/>
      <c r="V168" s="1298"/>
      <c r="W168" s="1298"/>
      <c r="X168" s="1298"/>
      <c r="Y168" s="1298"/>
      <c r="Z168" s="1298"/>
      <c r="AA168" s="1298"/>
      <c r="AB168" s="1298"/>
      <c r="AC168" s="1298"/>
      <c r="AD168" s="1298"/>
      <c r="AE168" s="1298"/>
      <c r="AF168" s="1298"/>
      <c r="AG168" s="1298"/>
      <c r="AH168" s="1207"/>
    </row>
    <row r="169" spans="1:35" ht="13.5" thickBot="1" x14ac:dyDescent="0.25">
      <c r="A169" s="1274" t="s">
        <v>12</v>
      </c>
      <c r="B169" s="1237"/>
      <c r="C169" s="1275">
        <f t="shared" ref="C169:AG169" si="18">C170</f>
        <v>0</v>
      </c>
      <c r="D169" s="1275">
        <f t="shared" si="18"/>
        <v>0</v>
      </c>
      <c r="E169" s="1275">
        <f t="shared" si="18"/>
        <v>0</v>
      </c>
      <c r="F169" s="1275">
        <f t="shared" si="18"/>
        <v>0</v>
      </c>
      <c r="G169" s="1275">
        <f t="shared" si="18"/>
        <v>0</v>
      </c>
      <c r="H169" s="1275">
        <f t="shared" si="18"/>
        <v>0</v>
      </c>
      <c r="I169" s="1275">
        <f t="shared" si="18"/>
        <v>0</v>
      </c>
      <c r="J169" s="1275">
        <f t="shared" si="18"/>
        <v>0</v>
      </c>
      <c r="K169" s="1275">
        <f t="shared" si="18"/>
        <v>0</v>
      </c>
      <c r="L169" s="1275">
        <f t="shared" si="18"/>
        <v>0</v>
      </c>
      <c r="M169" s="1275">
        <f t="shared" si="18"/>
        <v>0</v>
      </c>
      <c r="N169" s="1275">
        <f t="shared" si="18"/>
        <v>0</v>
      </c>
      <c r="O169" s="1275">
        <f t="shared" si="18"/>
        <v>0</v>
      </c>
      <c r="P169" s="1276">
        <f t="shared" si="18"/>
        <v>0</v>
      </c>
      <c r="Q169" s="1275">
        <f t="shared" si="18"/>
        <v>0</v>
      </c>
      <c r="R169" s="1275">
        <f t="shared" si="18"/>
        <v>0</v>
      </c>
      <c r="S169" s="1275">
        <f t="shared" si="18"/>
        <v>0</v>
      </c>
      <c r="T169" s="1275">
        <f t="shared" si="18"/>
        <v>0</v>
      </c>
      <c r="U169" s="1275">
        <f t="shared" si="18"/>
        <v>0</v>
      </c>
      <c r="V169" s="1275">
        <f t="shared" si="18"/>
        <v>0</v>
      </c>
      <c r="W169" s="1275">
        <f t="shared" si="18"/>
        <v>0</v>
      </c>
      <c r="X169" s="1275">
        <f t="shared" si="18"/>
        <v>0</v>
      </c>
      <c r="Y169" s="1275">
        <f t="shared" si="18"/>
        <v>0</v>
      </c>
      <c r="Z169" s="1275">
        <f t="shared" si="18"/>
        <v>0</v>
      </c>
      <c r="AA169" s="1275">
        <f t="shared" si="18"/>
        <v>0</v>
      </c>
      <c r="AB169" s="1275">
        <f t="shared" si="18"/>
        <v>0</v>
      </c>
      <c r="AC169" s="1275">
        <f t="shared" si="18"/>
        <v>0</v>
      </c>
      <c r="AD169" s="1275">
        <f t="shared" si="18"/>
        <v>0</v>
      </c>
      <c r="AE169" s="1275">
        <f t="shared" si="18"/>
        <v>0</v>
      </c>
      <c r="AF169" s="1275">
        <f t="shared" si="18"/>
        <v>0</v>
      </c>
      <c r="AG169" s="1275">
        <f t="shared" si="18"/>
        <v>0</v>
      </c>
      <c r="AH169" s="1207"/>
    </row>
    <row r="170" spans="1:35" x14ac:dyDescent="0.2">
      <c r="A170" s="1274" t="s">
        <v>8</v>
      </c>
      <c r="B170" s="1237"/>
      <c r="C170" s="1302"/>
      <c r="D170" s="1302"/>
      <c r="E170" s="1302"/>
      <c r="F170" s="1303"/>
      <c r="G170" s="1303"/>
      <c r="H170" s="1303"/>
      <c r="I170" s="1303"/>
      <c r="J170" s="1303"/>
      <c r="K170" s="1303"/>
      <c r="L170" s="1303"/>
      <c r="M170" s="1303"/>
      <c r="N170" s="1303"/>
      <c r="O170" s="1303"/>
      <c r="P170" s="1304"/>
      <c r="Q170" s="1303"/>
      <c r="R170" s="1303"/>
      <c r="S170" s="1303"/>
      <c r="T170" s="1303"/>
      <c r="U170" s="1303"/>
      <c r="V170" s="1303"/>
      <c r="W170" s="1303"/>
      <c r="X170" s="1303"/>
      <c r="Y170" s="1303"/>
      <c r="Z170" s="1303"/>
      <c r="AA170" s="1303"/>
      <c r="AB170" s="1303"/>
      <c r="AC170" s="1303"/>
      <c r="AD170" s="1303"/>
      <c r="AE170" s="1303"/>
      <c r="AF170" s="1303"/>
      <c r="AG170" s="1303"/>
      <c r="AH170" s="1207"/>
    </row>
    <row r="171" spans="1:35" x14ac:dyDescent="0.2">
      <c r="A171" s="1274" t="s">
        <v>775</v>
      </c>
      <c r="B171" s="1237"/>
      <c r="C171" s="1282">
        <v>1800</v>
      </c>
      <c r="D171" s="1282"/>
      <c r="E171" s="1282"/>
      <c r="F171" s="1282">
        <v>1110</v>
      </c>
      <c r="G171" s="1282">
        <v>723.81500000000005</v>
      </c>
      <c r="H171" s="1282"/>
      <c r="I171" s="1282">
        <v>2247.5529999999999</v>
      </c>
      <c r="J171" s="1282"/>
      <c r="K171" s="1282">
        <v>1110</v>
      </c>
      <c r="L171" s="1282"/>
      <c r="M171" s="1282">
        <v>2524.6890000000003</v>
      </c>
      <c r="N171" s="1282">
        <v>817.49199999999996</v>
      </c>
      <c r="O171" s="1282"/>
      <c r="P171" s="1282">
        <v>1885</v>
      </c>
      <c r="Q171" s="1282">
        <v>1614.6669999999999</v>
      </c>
      <c r="R171" s="1282">
        <v>1431.7649999999999</v>
      </c>
      <c r="S171" s="1282"/>
      <c r="T171" s="1282">
        <v>1110</v>
      </c>
      <c r="U171" s="1282">
        <v>700</v>
      </c>
      <c r="V171" s="1282">
        <v>8593.7720000000008</v>
      </c>
      <c r="W171" s="1282">
        <v>1110</v>
      </c>
      <c r="X171" s="1282">
        <v>595.08299999999997</v>
      </c>
      <c r="Y171" s="1282"/>
      <c r="Z171" s="1282"/>
      <c r="AA171" s="1282"/>
      <c r="AB171" s="1282"/>
      <c r="AC171" s="1282"/>
      <c r="AD171" s="1282"/>
      <c r="AE171" s="1282"/>
      <c r="AF171" s="1282">
        <v>4378.1480000000001</v>
      </c>
      <c r="AG171" s="1282">
        <v>3907.5140000000001</v>
      </c>
      <c r="AH171" s="1227"/>
    </row>
    <row r="172" spans="1:35" ht="13.5" thickBot="1" x14ac:dyDescent="0.25">
      <c r="A172" s="1294"/>
      <c r="B172" s="1237"/>
      <c r="C172" s="1302"/>
      <c r="D172" s="1302"/>
      <c r="E172" s="1302"/>
      <c r="F172" s="1303"/>
      <c r="G172" s="1303"/>
      <c r="H172" s="1303"/>
      <c r="I172" s="1303"/>
      <c r="J172" s="1303"/>
      <c r="K172" s="1303"/>
      <c r="L172" s="1303"/>
      <c r="M172" s="1303"/>
      <c r="N172" s="1303"/>
      <c r="O172" s="1303"/>
      <c r="P172" s="1304"/>
      <c r="Q172" s="1303"/>
      <c r="R172" s="1303"/>
      <c r="S172" s="1303"/>
      <c r="T172" s="1303"/>
      <c r="U172" s="1303"/>
      <c r="V172" s="1303"/>
      <c r="W172" s="1303"/>
      <c r="X172" s="1303"/>
      <c r="Y172" s="1303"/>
      <c r="Z172" s="1303"/>
      <c r="AA172" s="1303"/>
      <c r="AB172" s="1303"/>
      <c r="AC172" s="1303"/>
      <c r="AD172" s="1303"/>
      <c r="AE172" s="1303"/>
      <c r="AF172" s="1303"/>
      <c r="AG172" s="1303"/>
      <c r="AH172" s="1207"/>
    </row>
    <row r="173" spans="1:35" x14ac:dyDescent="0.2">
      <c r="A173" s="1269"/>
      <c r="B173" s="1237"/>
      <c r="C173" s="1296"/>
      <c r="D173" s="1297"/>
      <c r="E173" s="1297"/>
      <c r="F173" s="1298"/>
      <c r="G173" s="1298"/>
      <c r="H173" s="1298"/>
      <c r="I173" s="1298"/>
      <c r="J173" s="1298"/>
      <c r="K173" s="1298"/>
      <c r="L173" s="1298"/>
      <c r="M173" s="1298"/>
      <c r="N173" s="1298"/>
      <c r="O173" s="1298"/>
      <c r="P173" s="1299"/>
      <c r="Q173" s="1298"/>
      <c r="R173" s="1298"/>
      <c r="S173" s="1298"/>
      <c r="T173" s="1298"/>
      <c r="U173" s="1298"/>
      <c r="V173" s="1298"/>
      <c r="W173" s="1298"/>
      <c r="X173" s="1298"/>
      <c r="Y173" s="1298"/>
      <c r="Z173" s="1298"/>
      <c r="AA173" s="1298"/>
      <c r="AB173" s="1298"/>
      <c r="AC173" s="1298"/>
      <c r="AD173" s="1298"/>
      <c r="AE173" s="1298"/>
      <c r="AF173" s="1298"/>
      <c r="AG173" s="1298"/>
      <c r="AH173" s="1207"/>
    </row>
    <row r="174" spans="1:35" x14ac:dyDescent="0.2">
      <c r="A174" s="1274" t="s">
        <v>13</v>
      </c>
      <c r="B174" s="1237"/>
      <c r="C174" s="1300">
        <f t="shared" ref="C174:AG174" si="19">C169-C159</f>
        <v>0</v>
      </c>
      <c r="D174" s="1300">
        <f t="shared" si="19"/>
        <v>0</v>
      </c>
      <c r="E174" s="1300">
        <f t="shared" si="19"/>
        <v>0</v>
      </c>
      <c r="F174" s="1300">
        <f t="shared" si="19"/>
        <v>0</v>
      </c>
      <c r="G174" s="1300">
        <f t="shared" si="19"/>
        <v>0</v>
      </c>
      <c r="H174" s="1300">
        <f t="shared" si="19"/>
        <v>0</v>
      </c>
      <c r="I174" s="1300">
        <f t="shared" si="19"/>
        <v>0</v>
      </c>
      <c r="J174" s="1300">
        <f t="shared" si="19"/>
        <v>0</v>
      </c>
      <c r="K174" s="1300">
        <f t="shared" si="19"/>
        <v>0</v>
      </c>
      <c r="L174" s="1300">
        <f t="shared" si="19"/>
        <v>0</v>
      </c>
      <c r="M174" s="1300">
        <f t="shared" si="19"/>
        <v>0</v>
      </c>
      <c r="N174" s="1300">
        <f t="shared" si="19"/>
        <v>0</v>
      </c>
      <c r="O174" s="1300">
        <f t="shared" si="19"/>
        <v>0</v>
      </c>
      <c r="P174" s="1301">
        <f t="shared" si="19"/>
        <v>0</v>
      </c>
      <c r="Q174" s="1300">
        <f t="shared" si="19"/>
        <v>0</v>
      </c>
      <c r="R174" s="1300">
        <f t="shared" si="19"/>
        <v>0</v>
      </c>
      <c r="S174" s="1300">
        <f t="shared" si="19"/>
        <v>0</v>
      </c>
      <c r="T174" s="1300">
        <f t="shared" si="19"/>
        <v>0</v>
      </c>
      <c r="U174" s="1300">
        <f t="shared" si="19"/>
        <v>0</v>
      </c>
      <c r="V174" s="1300">
        <f t="shared" si="19"/>
        <v>0</v>
      </c>
      <c r="W174" s="1300">
        <f t="shared" si="19"/>
        <v>0</v>
      </c>
      <c r="X174" s="1300">
        <f t="shared" si="19"/>
        <v>0</v>
      </c>
      <c r="Y174" s="1300">
        <f t="shared" si="19"/>
        <v>0</v>
      </c>
      <c r="Z174" s="1300">
        <f t="shared" si="19"/>
        <v>0</v>
      </c>
      <c r="AA174" s="1300">
        <f t="shared" si="19"/>
        <v>0</v>
      </c>
      <c r="AB174" s="1300">
        <f t="shared" si="19"/>
        <v>0</v>
      </c>
      <c r="AC174" s="1300">
        <f t="shared" si="19"/>
        <v>0</v>
      </c>
      <c r="AD174" s="1300">
        <f t="shared" si="19"/>
        <v>0</v>
      </c>
      <c r="AE174" s="1300">
        <f t="shared" si="19"/>
        <v>0</v>
      </c>
      <c r="AF174" s="1300">
        <f t="shared" si="19"/>
        <v>0</v>
      </c>
      <c r="AG174" s="1300">
        <f t="shared" si="19"/>
        <v>0</v>
      </c>
      <c r="AH174" s="1207"/>
    </row>
    <row r="175" spans="1:35" ht="13.5" thickBot="1" x14ac:dyDescent="0.25">
      <c r="A175" s="1274"/>
      <c r="B175" s="1237"/>
      <c r="C175" s="1300"/>
      <c r="D175" s="1302"/>
      <c r="E175" s="1302"/>
      <c r="F175" s="1303"/>
      <c r="G175" s="1303"/>
      <c r="H175" s="1303"/>
      <c r="I175" s="1303"/>
      <c r="J175" s="1303"/>
      <c r="K175" s="1303"/>
      <c r="L175" s="1303"/>
      <c r="M175" s="1303"/>
      <c r="N175" s="1303"/>
      <c r="O175" s="1303"/>
      <c r="P175" s="1304"/>
      <c r="Q175" s="1303"/>
      <c r="R175" s="1303"/>
      <c r="S175" s="1303"/>
      <c r="T175" s="1303"/>
      <c r="U175" s="1303"/>
      <c r="V175" s="1303"/>
      <c r="W175" s="1303"/>
      <c r="X175" s="1303"/>
      <c r="Y175" s="1303"/>
      <c r="Z175" s="1303"/>
      <c r="AA175" s="1303"/>
      <c r="AB175" s="1303"/>
      <c r="AC175" s="1303"/>
      <c r="AD175" s="1303"/>
      <c r="AE175" s="1303"/>
      <c r="AF175" s="1303"/>
      <c r="AG175" s="1303"/>
      <c r="AH175" s="1207"/>
      <c r="AI175" s="1209" t="s">
        <v>813</v>
      </c>
    </row>
    <row r="176" spans="1:35" x14ac:dyDescent="0.2">
      <c r="A176" s="1233"/>
      <c r="B176" s="1234"/>
      <c r="C176" s="1305"/>
      <c r="D176" s="1297"/>
      <c r="E176" s="1297"/>
      <c r="F176" s="1298"/>
      <c r="G176" s="1298"/>
      <c r="H176" s="1298"/>
      <c r="I176" s="1298"/>
      <c r="J176" s="1298"/>
      <c r="K176" s="1298"/>
      <c r="L176" s="1298"/>
      <c r="M176" s="1298"/>
      <c r="N176" s="1298"/>
      <c r="O176" s="1298"/>
      <c r="P176" s="1299"/>
      <c r="Q176" s="1298"/>
      <c r="R176" s="1298"/>
      <c r="S176" s="1298"/>
      <c r="T176" s="1298"/>
      <c r="U176" s="1298"/>
      <c r="V176" s="1298"/>
      <c r="W176" s="1298"/>
      <c r="X176" s="1298"/>
      <c r="Y176" s="1298"/>
      <c r="Z176" s="1298"/>
      <c r="AA176" s="1298"/>
      <c r="AB176" s="1298"/>
      <c r="AC176" s="1298"/>
      <c r="AD176" s="1298"/>
      <c r="AE176" s="1298"/>
      <c r="AF176" s="1298"/>
      <c r="AG176" s="1298"/>
      <c r="AH176" s="1207"/>
    </row>
    <row r="177" spans="1:34" x14ac:dyDescent="0.2">
      <c r="A177" s="1236" t="s">
        <v>15</v>
      </c>
      <c r="B177" s="1237"/>
      <c r="C177" s="1302">
        <f>B156+C174</f>
        <v>38701.148000000001</v>
      </c>
      <c r="D177" s="1302">
        <f t="shared" ref="D177:AG177" si="20">C184+D174</f>
        <v>38701.148000000001</v>
      </c>
      <c r="E177" s="1302">
        <f t="shared" si="20"/>
        <v>38701.148000000001</v>
      </c>
      <c r="F177" s="1302">
        <f t="shared" si="20"/>
        <v>38701.148000000001</v>
      </c>
      <c r="G177" s="1302">
        <f t="shared" si="20"/>
        <v>38701.148000000001</v>
      </c>
      <c r="H177" s="1302">
        <f t="shared" si="20"/>
        <v>38701.148000000001</v>
      </c>
      <c r="I177" s="1302">
        <f t="shared" si="20"/>
        <v>38701.148000000001</v>
      </c>
      <c r="J177" s="1302">
        <f t="shared" si="20"/>
        <v>38701.148000000001</v>
      </c>
      <c r="K177" s="1302">
        <f t="shared" si="20"/>
        <v>38701.148000000001</v>
      </c>
      <c r="L177" s="1302">
        <f t="shared" si="20"/>
        <v>38701.148000000001</v>
      </c>
      <c r="M177" s="1302">
        <f t="shared" si="20"/>
        <v>38701.148000000001</v>
      </c>
      <c r="N177" s="1302">
        <f t="shared" si="20"/>
        <v>38701.148000000001</v>
      </c>
      <c r="O177" s="1302">
        <f t="shared" si="20"/>
        <v>38701.148000000001</v>
      </c>
      <c r="P177" s="1306">
        <f t="shared" si="20"/>
        <v>38701.148000000001</v>
      </c>
      <c r="Q177" s="1302">
        <f t="shared" si="20"/>
        <v>38701.148000000001</v>
      </c>
      <c r="R177" s="1302">
        <f t="shared" si="20"/>
        <v>38701.148000000001</v>
      </c>
      <c r="S177" s="1302">
        <f t="shared" si="20"/>
        <v>38701.148000000001</v>
      </c>
      <c r="T177" s="1302">
        <f t="shared" si="20"/>
        <v>38701.148000000001</v>
      </c>
      <c r="U177" s="1302">
        <f t="shared" si="20"/>
        <v>38701.148000000001</v>
      </c>
      <c r="V177" s="1302">
        <f t="shared" si="20"/>
        <v>38701.148000000001</v>
      </c>
      <c r="W177" s="1302">
        <f t="shared" si="20"/>
        <v>38701.148000000001</v>
      </c>
      <c r="X177" s="1302">
        <f t="shared" si="20"/>
        <v>38701.148000000001</v>
      </c>
      <c r="Y177" s="1302">
        <f t="shared" si="20"/>
        <v>38701.148000000001</v>
      </c>
      <c r="Z177" s="1302">
        <f t="shared" si="20"/>
        <v>38701.148000000001</v>
      </c>
      <c r="AA177" s="1302">
        <f t="shared" si="20"/>
        <v>38701.148000000001</v>
      </c>
      <c r="AB177" s="1302">
        <f t="shared" si="20"/>
        <v>38701.148000000001</v>
      </c>
      <c r="AC177" s="1302">
        <f t="shared" si="20"/>
        <v>38701.148000000001</v>
      </c>
      <c r="AD177" s="1302">
        <f t="shared" si="20"/>
        <v>38701.148000000001</v>
      </c>
      <c r="AE177" s="1302">
        <f t="shared" si="20"/>
        <v>38701.148000000001</v>
      </c>
      <c r="AF177" s="1302">
        <f t="shared" si="20"/>
        <v>38701.148000000001</v>
      </c>
      <c r="AG177" s="1302">
        <f t="shared" si="20"/>
        <v>38701.148000000001</v>
      </c>
      <c r="AH177" s="1207"/>
    </row>
    <row r="178" spans="1:34" ht="13.5" thickBot="1" x14ac:dyDescent="0.25">
      <c r="A178" s="1250"/>
      <c r="B178" s="1307"/>
      <c r="C178" s="1308"/>
      <c r="D178" s="1308"/>
      <c r="E178" s="1308"/>
      <c r="F178" s="1309"/>
      <c r="G178" s="1309"/>
      <c r="H178" s="1309"/>
      <c r="I178" s="1309"/>
      <c r="J178" s="1309"/>
      <c r="K178" s="1309"/>
      <c r="L178" s="1309"/>
      <c r="M178" s="1309"/>
      <c r="N178" s="1309"/>
      <c r="O178" s="1309"/>
      <c r="P178" s="1310"/>
      <c r="Q178" s="1309"/>
      <c r="R178" s="1309"/>
      <c r="S178" s="1309"/>
      <c r="T178" s="1309"/>
      <c r="U178" s="1309"/>
      <c r="V178" s="1309"/>
      <c r="W178" s="1309"/>
      <c r="X178" s="1309"/>
      <c r="Y178" s="1309"/>
      <c r="Z178" s="1309"/>
      <c r="AA178" s="1309"/>
      <c r="AB178" s="1309"/>
      <c r="AC178" s="1309"/>
      <c r="AD178" s="1309"/>
      <c r="AE178" s="1309"/>
      <c r="AF178" s="1309"/>
      <c r="AG178" s="1309"/>
      <c r="AH178" s="1207"/>
    </row>
    <row r="179" spans="1:34" x14ac:dyDescent="0.2">
      <c r="A179" s="1233"/>
      <c r="B179" s="1234"/>
      <c r="C179" s="1297"/>
      <c r="D179" s="1297"/>
      <c r="E179" s="1297"/>
      <c r="F179" s="1298"/>
      <c r="G179" s="1298"/>
      <c r="H179" s="1298"/>
      <c r="I179" s="1298"/>
      <c r="J179" s="1298"/>
      <c r="K179" s="1298"/>
      <c r="L179" s="1298"/>
      <c r="M179" s="1298"/>
      <c r="N179" s="1298"/>
      <c r="O179" s="1298"/>
      <c r="P179" s="1299"/>
      <c r="Q179" s="1298"/>
      <c r="R179" s="1298"/>
      <c r="S179" s="1298"/>
      <c r="T179" s="1298"/>
      <c r="U179" s="1298"/>
      <c r="V179" s="1298"/>
      <c r="W179" s="1298"/>
      <c r="X179" s="1298"/>
      <c r="Y179" s="1298"/>
      <c r="Z179" s="1298"/>
      <c r="AA179" s="1298"/>
      <c r="AB179" s="1298"/>
      <c r="AC179" s="1298"/>
      <c r="AD179" s="1298"/>
      <c r="AE179" s="1298"/>
      <c r="AF179" s="1298"/>
      <c r="AG179" s="1298"/>
      <c r="AH179" s="1207"/>
    </row>
    <row r="180" spans="1:34" x14ac:dyDescent="0.2">
      <c r="A180" s="1236" t="s">
        <v>82</v>
      </c>
      <c r="B180" s="1237"/>
      <c r="C180" s="1302">
        <f t="shared" ref="C180:AG181" si="21">C188</f>
        <v>0</v>
      </c>
      <c r="D180" s="1302">
        <f t="shared" si="21"/>
        <v>0</v>
      </c>
      <c r="E180" s="1302">
        <f t="shared" si="21"/>
        <v>0</v>
      </c>
      <c r="F180" s="1302">
        <f t="shared" si="21"/>
        <v>0</v>
      </c>
      <c r="G180" s="1302">
        <f t="shared" si="21"/>
        <v>0</v>
      </c>
      <c r="H180" s="1302">
        <f t="shared" si="21"/>
        <v>0</v>
      </c>
      <c r="I180" s="1302">
        <f t="shared" si="21"/>
        <v>0</v>
      </c>
      <c r="J180" s="1302">
        <f t="shared" si="21"/>
        <v>0</v>
      </c>
      <c r="K180" s="1302">
        <f t="shared" si="21"/>
        <v>0</v>
      </c>
      <c r="L180" s="1302">
        <f t="shared" si="21"/>
        <v>0</v>
      </c>
      <c r="M180" s="1302">
        <f t="shared" si="21"/>
        <v>0</v>
      </c>
      <c r="N180" s="1302">
        <f t="shared" si="21"/>
        <v>0</v>
      </c>
      <c r="O180" s="1302">
        <f t="shared" si="21"/>
        <v>0</v>
      </c>
      <c r="P180" s="1306">
        <f t="shared" si="21"/>
        <v>0</v>
      </c>
      <c r="Q180" s="1302">
        <f t="shared" si="21"/>
        <v>0</v>
      </c>
      <c r="R180" s="1302">
        <f t="shared" si="21"/>
        <v>0</v>
      </c>
      <c r="S180" s="1302">
        <f t="shared" si="21"/>
        <v>0</v>
      </c>
      <c r="T180" s="1302">
        <f t="shared" si="21"/>
        <v>0</v>
      </c>
      <c r="U180" s="1302">
        <f t="shared" si="21"/>
        <v>0</v>
      </c>
      <c r="V180" s="1302">
        <f t="shared" si="21"/>
        <v>0</v>
      </c>
      <c r="W180" s="1302">
        <f t="shared" si="21"/>
        <v>0</v>
      </c>
      <c r="X180" s="1302">
        <f t="shared" si="21"/>
        <v>0</v>
      </c>
      <c r="Y180" s="1302">
        <f t="shared" si="21"/>
        <v>0</v>
      </c>
      <c r="Z180" s="1302">
        <f t="shared" si="21"/>
        <v>0</v>
      </c>
      <c r="AA180" s="1302">
        <f t="shared" si="21"/>
        <v>0</v>
      </c>
      <c r="AB180" s="1302">
        <f t="shared" si="21"/>
        <v>0</v>
      </c>
      <c r="AC180" s="1302">
        <f t="shared" si="21"/>
        <v>0</v>
      </c>
      <c r="AD180" s="1302">
        <f t="shared" si="21"/>
        <v>0</v>
      </c>
      <c r="AE180" s="1302">
        <f t="shared" si="21"/>
        <v>0</v>
      </c>
      <c r="AF180" s="1302">
        <f t="shared" si="21"/>
        <v>0</v>
      </c>
      <c r="AG180" s="1302">
        <f t="shared" si="21"/>
        <v>0</v>
      </c>
      <c r="AH180" s="1207"/>
    </row>
    <row r="181" spans="1:34" x14ac:dyDescent="0.2">
      <c r="A181" s="1236" t="s">
        <v>83</v>
      </c>
      <c r="B181" s="1237"/>
      <c r="C181" s="1306">
        <f t="shared" si="21"/>
        <v>0</v>
      </c>
      <c r="D181" s="1306">
        <f t="shared" si="21"/>
        <v>0</v>
      </c>
      <c r="E181" s="1306">
        <f t="shared" si="21"/>
        <v>0</v>
      </c>
      <c r="F181" s="1306">
        <f t="shared" si="21"/>
        <v>0</v>
      </c>
      <c r="G181" s="1306">
        <f t="shared" si="21"/>
        <v>0</v>
      </c>
      <c r="H181" s="1306">
        <f t="shared" si="21"/>
        <v>0</v>
      </c>
      <c r="I181" s="1306">
        <f t="shared" si="21"/>
        <v>0</v>
      </c>
      <c r="J181" s="1306">
        <f t="shared" si="21"/>
        <v>0</v>
      </c>
      <c r="K181" s="1306">
        <f t="shared" si="21"/>
        <v>0</v>
      </c>
      <c r="L181" s="1306">
        <f t="shared" si="21"/>
        <v>0</v>
      </c>
      <c r="M181" s="1306">
        <f t="shared" si="21"/>
        <v>0</v>
      </c>
      <c r="N181" s="1306">
        <f t="shared" si="21"/>
        <v>0</v>
      </c>
      <c r="O181" s="1306">
        <f t="shared" si="21"/>
        <v>0</v>
      </c>
      <c r="P181" s="1306">
        <f t="shared" si="21"/>
        <v>0</v>
      </c>
      <c r="Q181" s="1306">
        <f t="shared" si="21"/>
        <v>0</v>
      </c>
      <c r="R181" s="1306">
        <f t="shared" si="21"/>
        <v>0</v>
      </c>
      <c r="S181" s="1306">
        <f t="shared" si="21"/>
        <v>0</v>
      </c>
      <c r="T181" s="1306">
        <f t="shared" si="21"/>
        <v>0</v>
      </c>
      <c r="U181" s="1306">
        <f t="shared" si="21"/>
        <v>0</v>
      </c>
      <c r="V181" s="1306">
        <f t="shared" si="21"/>
        <v>0</v>
      </c>
      <c r="W181" s="1306">
        <f t="shared" si="21"/>
        <v>0</v>
      </c>
      <c r="X181" s="1306">
        <f t="shared" si="21"/>
        <v>0</v>
      </c>
      <c r="Y181" s="1306">
        <f t="shared" si="21"/>
        <v>0</v>
      </c>
      <c r="Z181" s="1306">
        <f t="shared" si="21"/>
        <v>0</v>
      </c>
      <c r="AA181" s="1306">
        <f t="shared" si="21"/>
        <v>0</v>
      </c>
      <c r="AB181" s="1306">
        <f t="shared" si="21"/>
        <v>0</v>
      </c>
      <c r="AC181" s="1306">
        <f t="shared" si="21"/>
        <v>0</v>
      </c>
      <c r="AD181" s="1306">
        <f t="shared" si="21"/>
        <v>0</v>
      </c>
      <c r="AE181" s="1306">
        <f t="shared" si="21"/>
        <v>0</v>
      </c>
      <c r="AF181" s="1306">
        <f t="shared" si="21"/>
        <v>0</v>
      </c>
      <c r="AG181" s="1306">
        <f t="shared" si="21"/>
        <v>0</v>
      </c>
      <c r="AH181" s="1207"/>
    </row>
    <row r="182" spans="1:34" ht="13.5" thickBot="1" x14ac:dyDescent="0.25">
      <c r="A182" s="1250"/>
      <c r="B182" s="1307"/>
      <c r="C182" s="1308"/>
      <c r="D182" s="1308"/>
      <c r="E182" s="1308"/>
      <c r="F182" s="1309"/>
      <c r="G182" s="1309"/>
      <c r="H182" s="1309"/>
      <c r="I182" s="1309"/>
      <c r="J182" s="1309"/>
      <c r="K182" s="1309"/>
      <c r="L182" s="1309"/>
      <c r="M182" s="1309"/>
      <c r="N182" s="1309"/>
      <c r="O182" s="1309"/>
      <c r="P182" s="1310"/>
      <c r="Q182" s="1309"/>
      <c r="R182" s="1309"/>
      <c r="S182" s="1309"/>
      <c r="T182" s="1309"/>
      <c r="U182" s="1309"/>
      <c r="V182" s="1309"/>
      <c r="W182" s="1309"/>
      <c r="X182" s="1309"/>
      <c r="Y182" s="1309"/>
      <c r="Z182" s="1309"/>
      <c r="AA182" s="1309"/>
      <c r="AB182" s="1309"/>
      <c r="AC182" s="1309"/>
      <c r="AD182" s="1309"/>
      <c r="AE182" s="1309"/>
      <c r="AF182" s="1309"/>
      <c r="AG182" s="1309"/>
      <c r="AH182" s="1207"/>
    </row>
    <row r="183" spans="1:34" x14ac:dyDescent="0.2">
      <c r="A183" s="1236"/>
      <c r="B183" s="1237"/>
      <c r="C183" s="1302"/>
      <c r="D183" s="1302"/>
      <c r="E183" s="1302"/>
      <c r="F183" s="1303"/>
      <c r="G183" s="1303"/>
      <c r="H183" s="1303"/>
      <c r="I183" s="1303"/>
      <c r="J183" s="1303"/>
      <c r="K183" s="1303"/>
      <c r="L183" s="1303"/>
      <c r="M183" s="1303"/>
      <c r="N183" s="1303"/>
      <c r="O183" s="1303"/>
      <c r="P183" s="1304"/>
      <c r="Q183" s="1303"/>
      <c r="R183" s="1303"/>
      <c r="S183" s="1303"/>
      <c r="T183" s="1303"/>
      <c r="U183" s="1303"/>
      <c r="V183" s="1303"/>
      <c r="W183" s="1303"/>
      <c r="X183" s="1303"/>
      <c r="Y183" s="1303"/>
      <c r="Z183" s="1303"/>
      <c r="AA183" s="1303"/>
      <c r="AB183" s="1303"/>
      <c r="AC183" s="1303"/>
      <c r="AD183" s="1303"/>
      <c r="AE183" s="1303"/>
      <c r="AF183" s="1303"/>
      <c r="AG183" s="1303"/>
      <c r="AH183" s="1208"/>
    </row>
    <row r="184" spans="1:34" x14ac:dyDescent="0.2">
      <c r="A184" s="1236" t="s">
        <v>14</v>
      </c>
      <c r="B184" s="1237"/>
      <c r="C184" s="1302">
        <f t="shared" ref="C184:AG184" si="22">C177+C180+C181</f>
        <v>38701.148000000001</v>
      </c>
      <c r="D184" s="1302">
        <f t="shared" si="22"/>
        <v>38701.148000000001</v>
      </c>
      <c r="E184" s="1302">
        <f t="shared" si="22"/>
        <v>38701.148000000001</v>
      </c>
      <c r="F184" s="1302">
        <f t="shared" si="22"/>
        <v>38701.148000000001</v>
      </c>
      <c r="G184" s="1302">
        <f t="shared" si="22"/>
        <v>38701.148000000001</v>
      </c>
      <c r="H184" s="1302">
        <f t="shared" si="22"/>
        <v>38701.148000000001</v>
      </c>
      <c r="I184" s="1302">
        <f t="shared" si="22"/>
        <v>38701.148000000001</v>
      </c>
      <c r="J184" s="1302">
        <f t="shared" si="22"/>
        <v>38701.148000000001</v>
      </c>
      <c r="K184" s="1302">
        <f t="shared" si="22"/>
        <v>38701.148000000001</v>
      </c>
      <c r="L184" s="1302">
        <f t="shared" si="22"/>
        <v>38701.148000000001</v>
      </c>
      <c r="M184" s="1302">
        <f t="shared" si="22"/>
        <v>38701.148000000001</v>
      </c>
      <c r="N184" s="1302">
        <f t="shared" si="22"/>
        <v>38701.148000000001</v>
      </c>
      <c r="O184" s="1302">
        <f t="shared" si="22"/>
        <v>38701.148000000001</v>
      </c>
      <c r="P184" s="1306">
        <f t="shared" si="22"/>
        <v>38701.148000000001</v>
      </c>
      <c r="Q184" s="1302">
        <f t="shared" si="22"/>
        <v>38701.148000000001</v>
      </c>
      <c r="R184" s="1302">
        <f t="shared" si="22"/>
        <v>38701.148000000001</v>
      </c>
      <c r="S184" s="1302">
        <f t="shared" si="22"/>
        <v>38701.148000000001</v>
      </c>
      <c r="T184" s="1302">
        <f t="shared" si="22"/>
        <v>38701.148000000001</v>
      </c>
      <c r="U184" s="1302">
        <f t="shared" si="22"/>
        <v>38701.148000000001</v>
      </c>
      <c r="V184" s="1302">
        <f t="shared" si="22"/>
        <v>38701.148000000001</v>
      </c>
      <c r="W184" s="1302">
        <f t="shared" si="22"/>
        <v>38701.148000000001</v>
      </c>
      <c r="X184" s="1302">
        <f t="shared" si="22"/>
        <v>38701.148000000001</v>
      </c>
      <c r="Y184" s="1302">
        <f t="shared" si="22"/>
        <v>38701.148000000001</v>
      </c>
      <c r="Z184" s="1302">
        <f t="shared" si="22"/>
        <v>38701.148000000001</v>
      </c>
      <c r="AA184" s="1302">
        <f t="shared" si="22"/>
        <v>38701.148000000001</v>
      </c>
      <c r="AB184" s="1302">
        <f t="shared" si="22"/>
        <v>38701.148000000001</v>
      </c>
      <c r="AC184" s="1302">
        <f t="shared" si="22"/>
        <v>38701.148000000001</v>
      </c>
      <c r="AD184" s="1302">
        <f t="shared" si="22"/>
        <v>38701.148000000001</v>
      </c>
      <c r="AE184" s="1302">
        <f t="shared" si="22"/>
        <v>38701.148000000001</v>
      </c>
      <c r="AF184" s="1302">
        <f t="shared" si="22"/>
        <v>38701.148000000001</v>
      </c>
      <c r="AG184" s="1302">
        <f t="shared" si="22"/>
        <v>38701.148000000001</v>
      </c>
      <c r="AH184" s="1229"/>
    </row>
    <row r="185" spans="1:34" x14ac:dyDescent="0.2">
      <c r="A185" s="1236"/>
      <c r="B185" s="1237"/>
      <c r="C185" s="1302"/>
      <c r="D185" s="1302"/>
      <c r="E185" s="1302"/>
      <c r="F185" s="1303"/>
      <c r="G185" s="1303"/>
      <c r="H185" s="1303"/>
      <c r="I185" s="1303"/>
      <c r="J185" s="1303"/>
      <c r="K185" s="1303"/>
      <c r="L185" s="1303"/>
      <c r="M185" s="1303"/>
      <c r="N185" s="1303"/>
      <c r="O185" s="1303"/>
      <c r="P185" s="1304"/>
      <c r="Q185" s="1303"/>
      <c r="R185" s="1303"/>
      <c r="S185" s="1303"/>
      <c r="T185" s="1303"/>
      <c r="U185" s="1303"/>
      <c r="V185" s="1303"/>
      <c r="W185" s="1303"/>
      <c r="X185" s="1303"/>
      <c r="Y185" s="1303"/>
      <c r="Z185" s="1303"/>
      <c r="AA185" s="1303"/>
      <c r="AB185" s="1303"/>
      <c r="AC185" s="1303"/>
      <c r="AD185" s="1303"/>
      <c r="AE185" s="1303"/>
      <c r="AF185" s="1303"/>
      <c r="AG185" s="1303"/>
      <c r="AH185" s="1208"/>
    </row>
    <row r="186" spans="1:34" ht="13.5" thickBot="1" x14ac:dyDescent="0.25">
      <c r="A186" s="1250"/>
      <c r="B186" s="1307"/>
      <c r="C186" s="1312"/>
      <c r="D186" s="1312"/>
      <c r="E186" s="1312"/>
      <c r="F186" s="1313"/>
      <c r="G186" s="1313"/>
      <c r="H186" s="1313"/>
      <c r="I186" s="1313"/>
      <c r="J186" s="1313"/>
      <c r="K186" s="1313"/>
      <c r="L186" s="1313"/>
      <c r="M186" s="1313"/>
      <c r="N186" s="1313"/>
      <c r="O186" s="1313"/>
      <c r="P186" s="1314"/>
      <c r="Q186" s="1313"/>
      <c r="R186" s="1313"/>
      <c r="S186" s="1313"/>
      <c r="T186" s="1313"/>
      <c r="U186" s="1313"/>
      <c r="V186" s="1313"/>
      <c r="W186" s="1313"/>
      <c r="X186" s="1313"/>
      <c r="Y186" s="1313"/>
      <c r="Z186" s="1313"/>
      <c r="AA186" s="1313"/>
      <c r="AB186" s="1313"/>
      <c r="AC186" s="1313"/>
      <c r="AD186" s="1313"/>
      <c r="AE186" s="1313"/>
      <c r="AF186" s="1313"/>
      <c r="AG186" s="1313"/>
      <c r="AH186" s="1208"/>
    </row>
    <row r="187" spans="1:34" x14ac:dyDescent="0.2">
      <c r="A187" s="1316"/>
      <c r="B187" s="1207"/>
      <c r="C187" s="1227"/>
      <c r="D187" s="1227"/>
      <c r="E187" s="1227"/>
      <c r="F187" s="1227"/>
      <c r="G187" s="1227"/>
      <c r="H187" s="1227"/>
      <c r="I187" s="1227"/>
      <c r="J187" s="1227"/>
      <c r="K187" s="1227"/>
      <c r="L187" s="1227"/>
      <c r="M187" s="1227"/>
      <c r="N187" s="1227"/>
      <c r="O187" s="1227"/>
      <c r="P187" s="1229"/>
      <c r="Q187" s="1227"/>
      <c r="R187" s="1227"/>
      <c r="S187" s="1227"/>
      <c r="T187" s="1227"/>
      <c r="U187" s="1227"/>
      <c r="V187" s="1227"/>
      <c r="W187" s="1227"/>
      <c r="X187" s="1227"/>
      <c r="Y187" s="1227"/>
      <c r="Z187" s="1227"/>
      <c r="AA187" s="1227"/>
      <c r="AB187" s="1227"/>
      <c r="AC187" s="1227"/>
      <c r="AD187" s="1227"/>
      <c r="AE187" s="1227"/>
      <c r="AF187" s="1227"/>
      <c r="AG187" s="1227"/>
      <c r="AH187" s="1208"/>
    </row>
    <row r="188" spans="1:34" x14ac:dyDescent="0.2">
      <c r="A188" s="1344"/>
      <c r="B188" s="1383"/>
      <c r="C188" s="1219"/>
      <c r="D188" s="1219"/>
      <c r="E188" s="1219"/>
      <c r="F188" s="1219"/>
      <c r="G188" s="1219"/>
      <c r="H188" s="1219"/>
      <c r="I188" s="1219"/>
      <c r="J188" s="1219"/>
      <c r="K188" s="1219"/>
      <c r="L188" s="1219"/>
      <c r="M188" s="1219"/>
      <c r="N188" s="1219"/>
      <c r="O188" s="1221"/>
      <c r="P188" s="1221"/>
      <c r="Q188" s="1219"/>
      <c r="R188" s="1219"/>
      <c r="S188" s="1219"/>
      <c r="T188" s="1219"/>
      <c r="U188" s="1219"/>
      <c r="V188" s="1219"/>
      <c r="W188" s="1219"/>
      <c r="X188" s="1219"/>
      <c r="Y188" s="1219">
        <f>9238.021-340.993-2104.972-2447.476-632.313-1913.959-743.157-1055.151</f>
        <v>0</v>
      </c>
      <c r="Z188" s="1219"/>
      <c r="AA188" s="1384"/>
      <c r="AB188" s="1219"/>
      <c r="AC188" s="1219"/>
      <c r="AD188" s="1219"/>
      <c r="AE188" s="1219"/>
      <c r="AF188" s="1219"/>
      <c r="AG188" s="1219"/>
      <c r="AH188" s="1229"/>
    </row>
    <row r="189" spans="1:34" x14ac:dyDescent="0.2">
      <c r="A189" s="1316"/>
      <c r="B189" s="1207"/>
      <c r="C189" s="1219"/>
      <c r="D189" s="1219"/>
      <c r="E189" s="1219"/>
      <c r="F189" s="1219"/>
      <c r="G189" s="1219"/>
      <c r="H189" s="1219"/>
      <c r="I189" s="1219"/>
      <c r="J189" s="1219"/>
      <c r="K189" s="1219"/>
      <c r="L189" s="1219"/>
      <c r="M189" s="1219"/>
      <c r="N189" s="1219"/>
      <c r="O189" s="1219"/>
      <c r="P189" s="1221"/>
      <c r="Q189" s="1219"/>
      <c r="R189" s="1219"/>
      <c r="S189" s="1219"/>
      <c r="T189" s="1219"/>
      <c r="U189" s="1219"/>
      <c r="V189" s="1219"/>
      <c r="W189" s="1219"/>
      <c r="X189" s="1219"/>
      <c r="Y189" s="1219"/>
      <c r="Z189" s="1219"/>
      <c r="AA189" s="1219"/>
      <c r="AB189" s="1219"/>
      <c r="AC189" s="1219"/>
      <c r="AD189" s="1219"/>
      <c r="AE189" s="1219"/>
      <c r="AF189" s="1219"/>
      <c r="AG189" s="1219"/>
      <c r="AH189" s="1229"/>
    </row>
    <row r="190" spans="1:34" x14ac:dyDescent="0.2">
      <c r="A190" s="1210" t="s">
        <v>415</v>
      </c>
      <c r="B190" s="1215">
        <f>SUM(B191:B194)</f>
        <v>375000</v>
      </c>
      <c r="C190" s="1207"/>
      <c r="D190" s="1207"/>
      <c r="E190" s="1207"/>
      <c r="F190" s="1207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8"/>
      <c r="Q190" s="1207"/>
      <c r="R190" s="1207"/>
      <c r="S190" s="1207"/>
      <c r="T190" s="1385"/>
      <c r="U190" s="1345"/>
      <c r="V190" s="1207"/>
      <c r="W190" s="1207"/>
      <c r="X190" s="1207"/>
      <c r="Y190" s="1207"/>
      <c r="Z190" s="1207"/>
      <c r="AA190" s="1384"/>
      <c r="AB190" s="1207"/>
      <c r="AC190" s="1207"/>
      <c r="AD190" s="1207"/>
      <c r="AE190" s="1207"/>
      <c r="AF190" s="1207"/>
      <c r="AG190" s="1207"/>
      <c r="AH190" s="1207"/>
    </row>
    <row r="191" spans="1:34" x14ac:dyDescent="0.2">
      <c r="A191" s="1365" t="s">
        <v>414</v>
      </c>
      <c r="B191" s="1219">
        <v>25000</v>
      </c>
      <c r="C191" s="1207"/>
      <c r="D191" s="1229"/>
      <c r="E191" s="1207"/>
      <c r="F191" s="1207"/>
      <c r="G191" s="1207"/>
      <c r="H191" s="1207"/>
      <c r="I191" s="1207"/>
      <c r="J191" s="1207"/>
      <c r="K191" s="1207"/>
      <c r="L191" s="1207"/>
      <c r="M191" s="1207"/>
      <c r="N191" s="1207"/>
      <c r="O191" s="1207"/>
      <c r="P191" s="1208"/>
      <c r="Q191" s="1207"/>
      <c r="R191" s="1207"/>
      <c r="S191" s="1219"/>
      <c r="T191" s="1350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</row>
    <row r="192" spans="1:34" x14ac:dyDescent="0.2">
      <c r="A192" s="1365" t="s">
        <v>287</v>
      </c>
      <c r="B192" s="1219">
        <v>200000</v>
      </c>
      <c r="C192" s="1207"/>
      <c r="D192" s="1207"/>
      <c r="E192" s="1207"/>
      <c r="F192" s="1207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8"/>
      <c r="Q192" s="1207"/>
      <c r="R192" s="1207"/>
      <c r="S192" s="1219"/>
      <c r="T192" s="1350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</row>
    <row r="193" spans="1:34" x14ac:dyDescent="0.2">
      <c r="A193" s="1316" t="s">
        <v>413</v>
      </c>
      <c r="B193" s="1386">
        <v>75000</v>
      </c>
      <c r="C193" s="1207"/>
      <c r="D193" s="1207"/>
      <c r="E193" s="1207"/>
      <c r="F193" s="1207"/>
      <c r="G193" s="1207"/>
      <c r="H193" s="1207"/>
      <c r="I193" s="1207"/>
      <c r="J193" s="1207"/>
      <c r="K193" s="1207"/>
      <c r="L193" s="1227"/>
      <c r="M193" s="1207"/>
      <c r="N193" s="1207"/>
      <c r="O193" s="1207"/>
      <c r="P193" s="1208"/>
      <c r="Q193" s="1207"/>
      <c r="R193" s="1207"/>
      <c r="S193" s="1219"/>
      <c r="T193" s="1350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</row>
    <row r="194" spans="1:34" x14ac:dyDescent="0.2">
      <c r="A194" s="1316" t="s">
        <v>441</v>
      </c>
      <c r="B194" s="1219">
        <v>75000</v>
      </c>
      <c r="C194" s="1207"/>
      <c r="D194" s="1207"/>
      <c r="E194" s="1207"/>
      <c r="F194" s="1207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8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</row>
    <row r="195" spans="1:34" x14ac:dyDescent="0.2">
      <c r="A195" s="1207"/>
      <c r="B195" s="1207"/>
      <c r="C195" s="1207"/>
      <c r="D195" s="1207"/>
      <c r="E195" s="1207"/>
      <c r="F195" s="1207"/>
      <c r="G195" s="1207"/>
      <c r="H195" s="1207"/>
      <c r="I195" s="1207"/>
      <c r="J195" s="1207"/>
      <c r="K195" s="1207"/>
      <c r="L195" s="1207"/>
      <c r="M195" s="1207"/>
      <c r="N195" s="1207"/>
      <c r="O195" s="1207"/>
      <c r="P195" s="1208"/>
      <c r="Q195" s="1207"/>
      <c r="R195" s="1207"/>
      <c r="S195" s="1207"/>
      <c r="T195" s="1207"/>
      <c r="U195" s="1207"/>
      <c r="V195" s="1207"/>
      <c r="W195" s="1207"/>
      <c r="X195" s="1207"/>
      <c r="Y195" s="1207"/>
      <c r="Z195" s="1207"/>
      <c r="AA195" s="1207"/>
      <c r="AB195" s="1207"/>
      <c r="AC195" s="1207"/>
      <c r="AD195" s="1207"/>
      <c r="AE195" s="1207"/>
      <c r="AF195" s="1207"/>
      <c r="AG195" s="1207"/>
      <c r="AH195" s="1207"/>
    </row>
    <row r="196" spans="1:34" ht="13.5" thickBot="1" x14ac:dyDescent="0.25">
      <c r="A196" s="1207"/>
      <c r="B196" s="1207"/>
      <c r="C196" s="1207"/>
      <c r="D196" s="1207"/>
      <c r="E196" s="1207"/>
      <c r="F196" s="1207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8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07"/>
      <c r="AA196" s="1207"/>
      <c r="AB196" s="1207"/>
      <c r="AC196" s="1207"/>
      <c r="AD196" s="1207"/>
      <c r="AE196" s="1207"/>
      <c r="AF196" s="1207"/>
      <c r="AG196" s="1207"/>
      <c r="AH196" s="1207"/>
    </row>
    <row r="197" spans="1:34" x14ac:dyDescent="0.2">
      <c r="A197" s="1233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34"/>
      <c r="O197" s="1234"/>
      <c r="P197" s="1235"/>
      <c r="Q197" s="1234"/>
      <c r="R197" s="1234"/>
      <c r="S197" s="1234"/>
      <c r="T197" s="1234"/>
      <c r="U197" s="1234"/>
      <c r="V197" s="1234"/>
      <c r="W197" s="1234"/>
      <c r="X197" s="1234"/>
      <c r="Y197" s="1234"/>
      <c r="Z197" s="1234"/>
      <c r="AA197" s="1234"/>
      <c r="AB197" s="1234"/>
      <c r="AC197" s="1234"/>
      <c r="AD197" s="1234"/>
      <c r="AE197" s="1234"/>
      <c r="AF197" s="1234"/>
      <c r="AG197" s="1234"/>
      <c r="AH197" s="1207"/>
    </row>
    <row r="198" spans="1:34" x14ac:dyDescent="0.2">
      <c r="A198" s="1236"/>
      <c r="B198" s="1237" t="s">
        <v>37</v>
      </c>
      <c r="C198" s="1237"/>
      <c r="D198" s="1237"/>
      <c r="E198" s="1238" t="s">
        <v>36</v>
      </c>
      <c r="F198" s="1239" t="s">
        <v>96</v>
      </c>
      <c r="G198" s="1211"/>
      <c r="H198" s="1239"/>
      <c r="I198" s="1239"/>
      <c r="J198" s="1239"/>
      <c r="K198" s="1239"/>
      <c r="L198" s="1239"/>
      <c r="M198" s="1239"/>
      <c r="N198" s="1239"/>
      <c r="O198" s="1239"/>
      <c r="P198" s="1240"/>
      <c r="Q198" s="1239"/>
      <c r="R198" s="1239"/>
      <c r="S198" s="1239"/>
      <c r="T198" s="1239"/>
      <c r="U198" s="1239"/>
      <c r="V198" s="1239"/>
      <c r="W198" s="1239"/>
      <c r="X198" s="1239"/>
      <c r="Y198" s="1239"/>
      <c r="Z198" s="1239"/>
      <c r="AA198" s="1239"/>
      <c r="AB198" s="1239"/>
      <c r="AC198" s="1239"/>
      <c r="AD198" s="1239"/>
      <c r="AE198" s="1239"/>
      <c r="AF198" s="1239"/>
      <c r="AG198" s="1239"/>
      <c r="AH198" s="1207"/>
    </row>
    <row r="199" spans="1:34" x14ac:dyDescent="0.2">
      <c r="A199" s="1236"/>
      <c r="B199" s="1237"/>
      <c r="C199" s="1237"/>
      <c r="D199" s="1239"/>
      <c r="E199" s="1237"/>
      <c r="F199" s="1237"/>
      <c r="G199" s="1237"/>
      <c r="H199" s="1237"/>
      <c r="I199" s="1237"/>
      <c r="J199" s="1237"/>
      <c r="K199" s="1237"/>
      <c r="L199" s="1237"/>
      <c r="M199" s="1237"/>
      <c r="N199" s="1237"/>
      <c r="O199" s="1237"/>
      <c r="P199" s="1241"/>
      <c r="Q199" s="1237"/>
      <c r="R199" s="1237"/>
      <c r="S199" s="1237"/>
      <c r="T199" s="1237"/>
      <c r="U199" s="1237"/>
      <c r="V199" s="1237"/>
      <c r="W199" s="1237"/>
      <c r="X199" s="1237"/>
      <c r="Y199" s="1237"/>
      <c r="Z199" s="1237"/>
      <c r="AA199" s="1237"/>
      <c r="AB199" s="1237"/>
      <c r="AC199" s="1237"/>
      <c r="AD199" s="1237"/>
      <c r="AE199" s="1237"/>
      <c r="AF199" s="1237"/>
      <c r="AG199" s="1237"/>
      <c r="AH199" s="1207"/>
    </row>
    <row r="200" spans="1:34" x14ac:dyDescent="0.2">
      <c r="A200" s="1236"/>
      <c r="B200" s="1237"/>
      <c r="C200" s="1239"/>
      <c r="D200" s="1239">
        <v>42461</v>
      </c>
      <c r="E200" s="1237"/>
      <c r="F200" s="1237"/>
      <c r="G200" s="1237"/>
      <c r="H200" s="1237"/>
      <c r="I200" s="1237"/>
      <c r="J200" s="1237"/>
      <c r="K200" s="1237"/>
      <c r="L200" s="1237"/>
      <c r="M200" s="1237"/>
      <c r="N200" s="1237"/>
      <c r="O200" s="1237"/>
      <c r="P200" s="1241"/>
      <c r="Q200" s="1237"/>
      <c r="R200" s="1237"/>
      <c r="S200" s="1237"/>
      <c r="T200" s="1237"/>
      <c r="U200" s="1237"/>
      <c r="V200" s="1237"/>
      <c r="W200" s="1237"/>
      <c r="X200" s="1237"/>
      <c r="Y200" s="1237"/>
      <c r="Z200" s="1237"/>
      <c r="AA200" s="1237"/>
      <c r="AB200" s="1237"/>
      <c r="AC200" s="1237"/>
      <c r="AD200" s="1237"/>
      <c r="AE200" s="1237"/>
      <c r="AF200" s="1237"/>
      <c r="AG200" s="1237"/>
      <c r="AH200" s="1207"/>
    </row>
    <row r="201" spans="1:34" x14ac:dyDescent="0.2">
      <c r="A201" s="1236"/>
      <c r="B201" s="1237"/>
      <c r="C201" s="1239"/>
      <c r="D201" s="1239"/>
      <c r="E201" s="1237"/>
      <c r="F201" s="1237"/>
      <c r="G201" s="1237"/>
      <c r="H201" s="1237"/>
      <c r="I201" s="1237"/>
      <c r="J201" s="1237"/>
      <c r="K201" s="1237"/>
      <c r="L201" s="1237"/>
      <c r="M201" s="1237"/>
      <c r="N201" s="1237"/>
      <c r="O201" s="1237"/>
      <c r="P201" s="1241"/>
      <c r="Q201" s="1237"/>
      <c r="R201" s="1237"/>
      <c r="S201" s="1237"/>
      <c r="T201" s="1237"/>
      <c r="U201" s="1237"/>
      <c r="V201" s="1237"/>
      <c r="W201" s="1237"/>
      <c r="X201" s="1237"/>
      <c r="Y201" s="1237"/>
      <c r="Z201" s="1237"/>
      <c r="AA201" s="1237"/>
      <c r="AB201" s="1237"/>
      <c r="AC201" s="1237"/>
      <c r="AD201" s="1237"/>
      <c r="AE201" s="1237"/>
      <c r="AF201" s="1237"/>
      <c r="AG201" s="1237"/>
      <c r="AH201" s="1207"/>
    </row>
    <row r="202" spans="1:34" ht="13.5" thickBot="1" x14ac:dyDescent="0.25">
      <c r="A202" s="1236"/>
      <c r="B202" s="1237"/>
      <c r="C202" s="1237"/>
      <c r="D202" s="1237"/>
      <c r="E202" s="1237"/>
      <c r="F202" s="1237"/>
      <c r="G202" s="1237"/>
      <c r="H202" s="1237"/>
      <c r="I202" s="1237"/>
      <c r="J202" s="1237"/>
      <c r="K202" s="1237"/>
      <c r="L202" s="1237"/>
      <c r="M202" s="1237"/>
      <c r="N202" s="1237"/>
      <c r="O202" s="1237"/>
      <c r="P202" s="1241"/>
      <c r="Q202" s="1237"/>
      <c r="R202" s="1237"/>
      <c r="S202" s="1237"/>
      <c r="T202" s="1237"/>
      <c r="U202" s="1237"/>
      <c r="V202" s="1237"/>
      <c r="W202" s="1237"/>
      <c r="X202" s="1237"/>
      <c r="Y202" s="1237"/>
      <c r="Z202" s="1237"/>
      <c r="AA202" s="1237"/>
      <c r="AB202" s="1237"/>
      <c r="AC202" s="1237"/>
      <c r="AD202" s="1237"/>
      <c r="AE202" s="1237"/>
      <c r="AF202" s="1237"/>
      <c r="AG202" s="1237"/>
      <c r="AH202" s="1207"/>
    </row>
    <row r="203" spans="1:34" ht="13.5" thickBot="1" x14ac:dyDescent="0.25">
      <c r="A203" s="1236"/>
      <c r="B203" s="1237"/>
      <c r="C203" s="1243"/>
      <c r="D203" s="1244" t="s">
        <v>16</v>
      </c>
      <c r="E203" s="1244"/>
      <c r="F203" s="1244"/>
      <c r="G203" s="1244"/>
      <c r="H203" s="1244"/>
      <c r="I203" s="1244"/>
      <c r="J203" s="1244"/>
      <c r="K203" s="1244"/>
      <c r="L203" s="1244"/>
      <c r="M203" s="1244"/>
      <c r="N203" s="1244"/>
      <c r="O203" s="1244"/>
      <c r="P203" s="1245"/>
      <c r="Q203" s="1244"/>
      <c r="R203" s="1244"/>
      <c r="S203" s="1244"/>
      <c r="T203" s="1244"/>
      <c r="U203" s="1244"/>
      <c r="V203" s="1244"/>
      <c r="W203" s="1244"/>
      <c r="X203" s="1244"/>
      <c r="Y203" s="1244"/>
      <c r="Z203" s="1244"/>
      <c r="AA203" s="1244"/>
      <c r="AB203" s="1244"/>
      <c r="AC203" s="1244"/>
      <c r="AD203" s="1244"/>
      <c r="AE203" s="1244"/>
      <c r="AF203" s="1244"/>
      <c r="AG203" s="1244"/>
      <c r="AH203" s="1207"/>
    </row>
    <row r="204" spans="1:34" ht="13.5" thickBot="1" x14ac:dyDescent="0.25">
      <c r="A204" s="1236"/>
      <c r="B204" s="1237"/>
      <c r="C204" s="1246" t="s">
        <v>452</v>
      </c>
      <c r="D204" s="1246" t="s">
        <v>453</v>
      </c>
      <c r="E204" s="1246" t="s">
        <v>434</v>
      </c>
      <c r="F204" s="1246" t="s">
        <v>390</v>
      </c>
      <c r="G204" s="1246" t="s">
        <v>454</v>
      </c>
      <c r="H204" s="1246" t="s">
        <v>455</v>
      </c>
      <c r="I204" s="1246" t="s">
        <v>456</v>
      </c>
      <c r="J204" s="1246" t="s">
        <v>457</v>
      </c>
      <c r="K204" s="1246" t="s">
        <v>458</v>
      </c>
      <c r="L204" s="1246" t="s">
        <v>216</v>
      </c>
      <c r="M204" s="1246" t="s">
        <v>459</v>
      </c>
      <c r="N204" s="1246" t="s">
        <v>297</v>
      </c>
      <c r="O204" s="1246" t="s">
        <v>211</v>
      </c>
      <c r="P204" s="1247" t="s">
        <v>270</v>
      </c>
      <c r="Q204" s="1246">
        <v>15</v>
      </c>
      <c r="R204" s="1246">
        <v>16</v>
      </c>
      <c r="S204" s="1246" t="s">
        <v>461</v>
      </c>
      <c r="T204" s="1246" t="s">
        <v>442</v>
      </c>
      <c r="U204" s="1246" t="s">
        <v>462</v>
      </c>
      <c r="V204" s="1246" t="s">
        <v>470</v>
      </c>
      <c r="W204" s="1246" t="s">
        <v>471</v>
      </c>
      <c r="X204" s="1246" t="s">
        <v>472</v>
      </c>
      <c r="Y204" s="1246" t="s">
        <v>463</v>
      </c>
      <c r="Z204" s="1246" t="s">
        <v>465</v>
      </c>
      <c r="AA204" s="1246" t="s">
        <v>466</v>
      </c>
      <c r="AB204" s="1246" t="s">
        <v>435</v>
      </c>
      <c r="AC204" s="1246" t="s">
        <v>467</v>
      </c>
      <c r="AD204" s="1246" t="s">
        <v>464</v>
      </c>
      <c r="AE204" s="1246" t="s">
        <v>429</v>
      </c>
      <c r="AF204" s="1246" t="s">
        <v>149</v>
      </c>
      <c r="AG204" s="1246" t="s">
        <v>210</v>
      </c>
      <c r="AH204" s="1207"/>
    </row>
    <row r="205" spans="1:34" x14ac:dyDescent="0.2">
      <c r="A205" s="1233"/>
      <c r="B205" s="1248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37"/>
      <c r="O205" s="1237"/>
      <c r="P205" s="1241"/>
      <c r="Q205" s="1237"/>
      <c r="R205" s="1237"/>
      <c r="S205" s="1237"/>
      <c r="T205" s="1237"/>
      <c r="U205" s="1237"/>
      <c r="V205" s="1237"/>
      <c r="W205" s="1237"/>
      <c r="X205" s="1237"/>
      <c r="Y205" s="1237"/>
      <c r="Z205" s="1237"/>
      <c r="AA205" s="1237"/>
      <c r="AB205" s="1237"/>
      <c r="AC205" s="1237"/>
      <c r="AD205" s="1237"/>
      <c r="AE205" s="1237"/>
      <c r="AF205" s="1237"/>
      <c r="AG205" s="1237"/>
      <c r="AH205" s="1207"/>
    </row>
    <row r="206" spans="1:34" x14ac:dyDescent="0.2">
      <c r="A206" s="1236" t="s">
        <v>0</v>
      </c>
      <c r="B206" s="1249">
        <v>-28088.243999999999</v>
      </c>
      <c r="C206" s="1237"/>
      <c r="D206" s="1237"/>
      <c r="E206" s="1237"/>
      <c r="F206" s="1237"/>
      <c r="G206" s="1237"/>
      <c r="H206" s="1237"/>
      <c r="I206" s="1237"/>
      <c r="J206" s="1237"/>
      <c r="K206" s="1237"/>
      <c r="L206" s="1237"/>
      <c r="M206" s="1237"/>
      <c r="N206" s="1237"/>
      <c r="O206" s="1237"/>
      <c r="P206" s="1241"/>
      <c r="Q206" s="1237"/>
      <c r="R206" s="1237"/>
      <c r="S206" s="1237"/>
      <c r="T206" s="1237"/>
      <c r="U206" s="1237"/>
      <c r="V206" s="1237"/>
      <c r="W206" s="1237"/>
      <c r="X206" s="1237"/>
      <c r="Y206" s="1237"/>
      <c r="Z206" s="1237"/>
      <c r="AA206" s="1237"/>
      <c r="AB206" s="1237"/>
      <c r="AC206" s="1237"/>
      <c r="AD206" s="1237"/>
      <c r="AE206" s="1237"/>
      <c r="AF206" s="1237"/>
      <c r="AG206" s="1237"/>
      <c r="AH206" s="1207"/>
    </row>
    <row r="207" spans="1:34" ht="13.5" thickBot="1" x14ac:dyDescent="0.25">
      <c r="A207" s="1250"/>
      <c r="B207" s="1251"/>
      <c r="C207" s="1237"/>
      <c r="D207" s="1237"/>
      <c r="E207" s="1237"/>
      <c r="F207" s="1237"/>
      <c r="G207" s="1237"/>
      <c r="H207" s="1237"/>
      <c r="I207" s="1237"/>
      <c r="J207" s="1237"/>
      <c r="K207" s="1237"/>
      <c r="L207" s="1237"/>
      <c r="M207" s="1237"/>
      <c r="N207" s="1237"/>
      <c r="O207" s="1237"/>
      <c r="P207" s="1241"/>
      <c r="Q207" s="1237"/>
      <c r="R207" s="1237"/>
      <c r="S207" s="1237"/>
      <c r="T207" s="1237"/>
      <c r="U207" s="1237"/>
      <c r="V207" s="1237"/>
      <c r="W207" s="1237"/>
      <c r="X207" s="1237"/>
      <c r="Y207" s="1237"/>
      <c r="Z207" s="1237"/>
      <c r="AA207" s="1237"/>
      <c r="AB207" s="1237"/>
      <c r="AC207" s="1237"/>
      <c r="AD207" s="1237"/>
      <c r="AE207" s="1237"/>
      <c r="AF207" s="1237"/>
      <c r="AG207" s="1237"/>
      <c r="AH207" s="1207"/>
    </row>
    <row r="208" spans="1:34" x14ac:dyDescent="0.2">
      <c r="A208" s="1233"/>
      <c r="B208" s="1253"/>
      <c r="C208" s="1237"/>
      <c r="D208" s="1237"/>
      <c r="E208" s="1237"/>
      <c r="F208" s="1237"/>
      <c r="G208" s="1237"/>
      <c r="H208" s="1237"/>
      <c r="I208" s="1237"/>
      <c r="J208" s="1237"/>
      <c r="K208" s="1237"/>
      <c r="L208" s="1237"/>
      <c r="M208" s="1237"/>
      <c r="N208" s="1237"/>
      <c r="O208" s="1237"/>
      <c r="P208" s="1241"/>
      <c r="Q208" s="1237"/>
      <c r="R208" s="1237"/>
      <c r="S208" s="1237"/>
      <c r="T208" s="1237"/>
      <c r="U208" s="1237"/>
      <c r="V208" s="1237"/>
      <c r="W208" s="1237"/>
      <c r="X208" s="1237"/>
      <c r="Y208" s="1237"/>
      <c r="Z208" s="1237"/>
      <c r="AA208" s="1237"/>
      <c r="AB208" s="1237"/>
      <c r="AC208" s="1237"/>
      <c r="AD208" s="1237"/>
      <c r="AE208" s="1237"/>
      <c r="AF208" s="1237"/>
      <c r="AG208" s="1237"/>
      <c r="AH208" s="1207"/>
    </row>
    <row r="209" spans="1:34" x14ac:dyDescent="0.2">
      <c r="A209" s="1236" t="s">
        <v>1</v>
      </c>
      <c r="B209" s="1249">
        <f>B210+B211+B212</f>
        <v>0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7"/>
      <c r="O209" s="1237"/>
      <c r="P209" s="1241"/>
      <c r="Q209" s="1237"/>
      <c r="R209" s="1237"/>
      <c r="S209" s="1237"/>
      <c r="T209" s="1237"/>
      <c r="U209" s="1237"/>
      <c r="V209" s="1237"/>
      <c r="W209" s="1237"/>
      <c r="X209" s="1237"/>
      <c r="Y209" s="1237"/>
      <c r="Z209" s="1237"/>
      <c r="AA209" s="1237"/>
      <c r="AB209" s="1237"/>
      <c r="AC209" s="1237"/>
      <c r="AD209" s="1237"/>
      <c r="AE209" s="1237"/>
      <c r="AF209" s="1237"/>
      <c r="AG209" s="1237"/>
      <c r="AH209" s="1207"/>
    </row>
    <row r="210" spans="1:34" x14ac:dyDescent="0.2">
      <c r="A210" s="1236" t="s">
        <v>38</v>
      </c>
      <c r="B210" s="1249">
        <f>C258</f>
        <v>0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7"/>
      <c r="O210" s="1237"/>
      <c r="P210" s="1241"/>
      <c r="Q210" s="1237"/>
      <c r="R210" s="1237"/>
      <c r="S210" s="1237"/>
      <c r="T210" s="1237"/>
      <c r="U210" s="1237"/>
      <c r="V210" s="1237"/>
      <c r="W210" s="1237"/>
      <c r="X210" s="1237"/>
      <c r="Y210" s="1237"/>
      <c r="Z210" s="1237"/>
      <c r="AA210" s="1237"/>
      <c r="AB210" s="1237"/>
      <c r="AC210" s="1237"/>
      <c r="AD210" s="1237"/>
      <c r="AE210" s="1237"/>
      <c r="AF210" s="1237"/>
      <c r="AG210" s="1237"/>
      <c r="AH210" s="1207"/>
    </row>
    <row r="211" spans="1:34" x14ac:dyDescent="0.2">
      <c r="A211" s="1236" t="s">
        <v>39</v>
      </c>
      <c r="B211" s="1249">
        <f>C280</f>
        <v>0</v>
      </c>
      <c r="C211" s="1237"/>
      <c r="D211" s="1237"/>
      <c r="E211" s="1237"/>
      <c r="F211" s="1237"/>
      <c r="G211" s="1237"/>
      <c r="H211" s="1237"/>
      <c r="I211" s="1237"/>
      <c r="J211" s="1237"/>
      <c r="K211" s="1237"/>
      <c r="L211" s="1237"/>
      <c r="M211" s="1237"/>
      <c r="N211" s="1237"/>
      <c r="O211" s="1237"/>
      <c r="P211" s="1241"/>
      <c r="Q211" s="1237"/>
      <c r="R211" s="1237"/>
      <c r="S211" s="1237"/>
      <c r="T211" s="1237"/>
      <c r="U211" s="1237"/>
      <c r="V211" s="1237"/>
      <c r="W211" s="1237"/>
      <c r="X211" s="1237"/>
      <c r="Y211" s="1237"/>
      <c r="Z211" s="1237"/>
      <c r="AA211" s="1237"/>
      <c r="AB211" s="1237"/>
      <c r="AC211" s="1237"/>
      <c r="AD211" s="1237"/>
      <c r="AE211" s="1237"/>
      <c r="AF211" s="1237"/>
      <c r="AG211" s="1237"/>
      <c r="AH211" s="1207"/>
    </row>
    <row r="212" spans="1:34" x14ac:dyDescent="0.2">
      <c r="A212" s="1236" t="s">
        <v>3</v>
      </c>
      <c r="B212" s="1249"/>
      <c r="C212" s="1237"/>
      <c r="D212" s="1237"/>
      <c r="E212" s="1237"/>
      <c r="F212" s="1237"/>
      <c r="G212" s="1237"/>
      <c r="H212" s="1237"/>
      <c r="I212" s="1237"/>
      <c r="J212" s="1237"/>
      <c r="K212" s="1237"/>
      <c r="L212" s="1237"/>
      <c r="M212" s="1237"/>
      <c r="N212" s="1237"/>
      <c r="O212" s="1237"/>
      <c r="P212" s="1241"/>
      <c r="Q212" s="1237"/>
      <c r="R212" s="1237"/>
      <c r="S212" s="1237"/>
      <c r="T212" s="1237"/>
      <c r="U212" s="1237"/>
      <c r="V212" s="1237"/>
      <c r="W212" s="1237"/>
      <c r="X212" s="1237"/>
      <c r="Y212" s="1237"/>
      <c r="Z212" s="1237"/>
      <c r="AA212" s="1237"/>
      <c r="AB212" s="1237"/>
      <c r="AC212" s="1237"/>
      <c r="AD212" s="1237"/>
      <c r="AE212" s="1237"/>
      <c r="AF212" s="1237"/>
      <c r="AG212" s="1237"/>
      <c r="AH212" s="1207"/>
    </row>
    <row r="213" spans="1:34" ht="13.5" thickBot="1" x14ac:dyDescent="0.25">
      <c r="A213" s="1250"/>
      <c r="B213" s="1251"/>
      <c r="C213" s="1237"/>
      <c r="D213" s="1237"/>
      <c r="E213" s="1237"/>
      <c r="F213" s="1237"/>
      <c r="G213" s="1237"/>
      <c r="H213" s="1237"/>
      <c r="I213" s="1237"/>
      <c r="J213" s="1237"/>
      <c r="K213" s="1237"/>
      <c r="L213" s="1237"/>
      <c r="M213" s="1237"/>
      <c r="N213" s="1237"/>
      <c r="O213" s="1237"/>
      <c r="P213" s="1241"/>
      <c r="Q213" s="1237"/>
      <c r="R213" s="1237"/>
      <c r="S213" s="1237"/>
      <c r="T213" s="1237"/>
      <c r="U213" s="1237"/>
      <c r="V213" s="1237"/>
      <c r="W213" s="1237"/>
      <c r="X213" s="1237"/>
      <c r="Y213" s="1237"/>
      <c r="Z213" s="1237"/>
      <c r="AA213" s="1237"/>
      <c r="AB213" s="1237"/>
      <c r="AC213" s="1237"/>
      <c r="AD213" s="1237"/>
      <c r="AE213" s="1237"/>
      <c r="AF213" s="1237"/>
      <c r="AG213" s="1237"/>
      <c r="AH213" s="1207"/>
    </row>
    <row r="214" spans="1:34" x14ac:dyDescent="0.2">
      <c r="A214" s="1233"/>
      <c r="B214" s="1253"/>
      <c r="C214" s="1237"/>
      <c r="D214" s="1237"/>
      <c r="E214" s="1237"/>
      <c r="F214" s="1237"/>
      <c r="G214" s="1237"/>
      <c r="H214" s="1237"/>
      <c r="I214" s="1237"/>
      <c r="J214" s="1237"/>
      <c r="K214" s="1237"/>
      <c r="L214" s="1237"/>
      <c r="M214" s="1237"/>
      <c r="N214" s="1237"/>
      <c r="O214" s="1237"/>
      <c r="P214" s="1241"/>
      <c r="Q214" s="1237"/>
      <c r="R214" s="1237"/>
      <c r="S214" s="1237"/>
      <c r="T214" s="1237"/>
      <c r="U214" s="1237"/>
      <c r="V214" s="1237"/>
      <c r="W214" s="1237"/>
      <c r="X214" s="1237"/>
      <c r="Y214" s="1237"/>
      <c r="Z214" s="1237"/>
      <c r="AA214" s="1237"/>
      <c r="AB214" s="1237"/>
      <c r="AC214" s="1237"/>
      <c r="AD214" s="1237"/>
      <c r="AE214" s="1237"/>
      <c r="AF214" s="1237"/>
      <c r="AG214" s="1237"/>
      <c r="AH214" s="1207"/>
    </row>
    <row r="215" spans="1:34" x14ac:dyDescent="0.2">
      <c r="A215" s="1236" t="s">
        <v>4</v>
      </c>
      <c r="B215" s="1249">
        <f>B206-B209</f>
        <v>-28088.243999999999</v>
      </c>
      <c r="C215" s="1237"/>
      <c r="D215" s="1237"/>
      <c r="E215" s="1237"/>
      <c r="F215" s="1237"/>
      <c r="G215" s="1237"/>
      <c r="H215" s="1237"/>
      <c r="I215" s="1237"/>
      <c r="J215" s="1237"/>
      <c r="K215" s="1237"/>
      <c r="L215" s="1237"/>
      <c r="M215" s="1237"/>
      <c r="N215" s="1237"/>
      <c r="O215" s="1237"/>
      <c r="P215" s="1241"/>
      <c r="Q215" s="1237"/>
      <c r="R215" s="1237"/>
      <c r="S215" s="1237"/>
      <c r="T215" s="1237"/>
      <c r="U215" s="1237"/>
      <c r="V215" s="1237"/>
      <c r="W215" s="1237"/>
      <c r="X215" s="1237"/>
      <c r="Y215" s="1237"/>
      <c r="Z215" s="1237"/>
      <c r="AA215" s="1237"/>
      <c r="AB215" s="1237"/>
      <c r="AC215" s="1237"/>
      <c r="AD215" s="1237"/>
      <c r="AE215" s="1237"/>
      <c r="AF215" s="1237"/>
      <c r="AG215" s="1237"/>
      <c r="AH215" s="1207"/>
    </row>
    <row r="216" spans="1:34" ht="13.5" thickBot="1" x14ac:dyDescent="0.25">
      <c r="A216" s="1250"/>
      <c r="B216" s="1251"/>
      <c r="C216" s="1237"/>
      <c r="D216" s="1237"/>
      <c r="E216" s="1237"/>
      <c r="F216" s="1237"/>
      <c r="G216" s="1237"/>
      <c r="H216" s="1237"/>
      <c r="I216" s="1237"/>
      <c r="J216" s="1237"/>
      <c r="K216" s="1237"/>
      <c r="L216" s="1237"/>
      <c r="M216" s="1237"/>
      <c r="N216" s="1237"/>
      <c r="O216" s="1237"/>
      <c r="P216" s="1241"/>
      <c r="Q216" s="1237"/>
      <c r="R216" s="1237"/>
      <c r="S216" s="1237"/>
      <c r="T216" s="1237"/>
      <c r="U216" s="1237"/>
      <c r="V216" s="1237"/>
      <c r="W216" s="1237"/>
      <c r="X216" s="1237"/>
      <c r="Y216" s="1237"/>
      <c r="Z216" s="1237"/>
      <c r="AA216" s="1237"/>
      <c r="AB216" s="1237"/>
      <c r="AC216" s="1237"/>
      <c r="AD216" s="1237"/>
      <c r="AE216" s="1237"/>
      <c r="AF216" s="1237"/>
      <c r="AG216" s="1237"/>
      <c r="AH216" s="1207"/>
    </row>
    <row r="217" spans="1:34" x14ac:dyDescent="0.2">
      <c r="A217" s="1233"/>
      <c r="B217" s="1253"/>
      <c r="C217" s="1237"/>
      <c r="D217" s="1237"/>
      <c r="E217" s="1237"/>
      <c r="F217" s="1237"/>
      <c r="G217" s="1237"/>
      <c r="H217" s="1237"/>
      <c r="I217" s="1237"/>
      <c r="J217" s="1237"/>
      <c r="K217" s="1237"/>
      <c r="L217" s="1237"/>
      <c r="M217" s="1237"/>
      <c r="N217" s="1237"/>
      <c r="O217" s="1237"/>
      <c r="P217" s="1241"/>
      <c r="Q217" s="1237"/>
      <c r="R217" s="1237"/>
      <c r="S217" s="1237"/>
      <c r="T217" s="1237"/>
      <c r="U217" s="1237"/>
      <c r="V217" s="1237"/>
      <c r="W217" s="1237"/>
      <c r="X217" s="1237"/>
      <c r="Y217" s="1237"/>
      <c r="Z217" s="1237"/>
      <c r="AA217" s="1237"/>
      <c r="AB217" s="1237"/>
      <c r="AC217" s="1237"/>
      <c r="AD217" s="1237"/>
      <c r="AE217" s="1237"/>
      <c r="AF217" s="1237"/>
      <c r="AG217" s="1237"/>
      <c r="AH217" s="1207"/>
    </row>
    <row r="218" spans="1:34" x14ac:dyDescent="0.2">
      <c r="A218" s="1236" t="s">
        <v>17</v>
      </c>
      <c r="B218" s="1249"/>
      <c r="C218" s="1237"/>
      <c r="D218" s="1237"/>
      <c r="E218" s="1237"/>
      <c r="F218" s="1237"/>
      <c r="G218" s="1237"/>
      <c r="H218" s="1237"/>
      <c r="I218" s="1237"/>
      <c r="J218" s="1237"/>
      <c r="K218" s="1237"/>
      <c r="L218" s="1237"/>
      <c r="M218" s="1237"/>
      <c r="N218" s="1237"/>
      <c r="O218" s="1237"/>
      <c r="P218" s="1241"/>
      <c r="Q218" s="1237"/>
      <c r="R218" s="1237"/>
      <c r="S218" s="1237"/>
      <c r="T218" s="1237"/>
      <c r="U218" s="1237"/>
      <c r="V218" s="1237"/>
      <c r="W218" s="1237"/>
      <c r="X218" s="1237"/>
      <c r="Y218" s="1237"/>
      <c r="Z218" s="1237"/>
      <c r="AA218" s="1237"/>
      <c r="AB218" s="1237"/>
      <c r="AC218" s="1237"/>
      <c r="AD218" s="1237"/>
      <c r="AE218" s="1237"/>
      <c r="AF218" s="1237"/>
      <c r="AG218" s="1237"/>
      <c r="AH218" s="1207"/>
    </row>
    <row r="219" spans="1:34" ht="13.5" thickBot="1" x14ac:dyDescent="0.25">
      <c r="A219" s="1250"/>
      <c r="B219" s="1251"/>
      <c r="C219" s="1237"/>
      <c r="D219" s="1237"/>
      <c r="E219" s="1237"/>
      <c r="F219" s="1237"/>
      <c r="G219" s="1237"/>
      <c r="H219" s="1237"/>
      <c r="I219" s="1237"/>
      <c r="J219" s="1237"/>
      <c r="K219" s="1237"/>
      <c r="L219" s="1237"/>
      <c r="M219" s="1237"/>
      <c r="N219" s="1237"/>
      <c r="O219" s="1237"/>
      <c r="P219" s="1241"/>
      <c r="Q219" s="1237"/>
      <c r="R219" s="1237"/>
      <c r="S219" s="1237"/>
      <c r="T219" s="1237"/>
      <c r="U219" s="1237"/>
      <c r="V219" s="1237"/>
      <c r="W219" s="1237"/>
      <c r="X219" s="1258"/>
      <c r="Y219" s="1237"/>
      <c r="Z219" s="1237"/>
      <c r="AA219" s="1237"/>
      <c r="AB219" s="1237"/>
      <c r="AC219" s="1237"/>
      <c r="AD219" s="1237"/>
      <c r="AE219" s="1237"/>
      <c r="AF219" s="1237"/>
      <c r="AG219" s="1237"/>
      <c r="AH219" s="1207"/>
    </row>
    <row r="220" spans="1:34" x14ac:dyDescent="0.2">
      <c r="A220" s="1233"/>
      <c r="B220" s="1253"/>
      <c r="C220" s="1212"/>
      <c r="D220" s="1211"/>
      <c r="E220" s="1237"/>
      <c r="F220" s="1237"/>
      <c r="G220" s="1452"/>
      <c r="H220" s="1211"/>
      <c r="I220" s="1477" t="s">
        <v>1302</v>
      </c>
      <c r="J220" s="1211"/>
      <c r="K220" s="1211" t="s">
        <v>1299</v>
      </c>
      <c r="L220" s="1753" t="s">
        <v>1301</v>
      </c>
      <c r="M220" s="1753"/>
      <c r="N220" s="1237"/>
      <c r="O220" s="1237"/>
      <c r="P220" s="1241"/>
      <c r="Q220" s="1212"/>
      <c r="R220" s="1237"/>
      <c r="S220" s="1237"/>
      <c r="T220" s="1237"/>
      <c r="U220" s="1237"/>
      <c r="V220" s="1237"/>
      <c r="W220" s="1237"/>
      <c r="X220" s="1237"/>
      <c r="Y220" s="1237"/>
      <c r="Z220" s="1237"/>
      <c r="AA220" s="1237"/>
      <c r="AB220" s="1237"/>
      <c r="AC220" s="1256"/>
      <c r="AD220" s="1369"/>
      <c r="AE220" s="1211"/>
      <c r="AF220" s="1211"/>
      <c r="AH220" s="1207"/>
    </row>
    <row r="221" spans="1:34" x14ac:dyDescent="0.2">
      <c r="A221" s="1236" t="s">
        <v>5</v>
      </c>
      <c r="B221" s="1249">
        <f>B215-B218</f>
        <v>-28088.243999999999</v>
      </c>
      <c r="C221" s="1212"/>
      <c r="D221" s="1211"/>
      <c r="E221" s="1370" t="s">
        <v>836</v>
      </c>
      <c r="G221" s="1452"/>
      <c r="H221" s="1211"/>
      <c r="I221" s="1211"/>
      <c r="J221" s="1211"/>
      <c r="L221" s="1211"/>
      <c r="M221" s="1211"/>
      <c r="N221" s="1211"/>
      <c r="O221" s="1212"/>
      <c r="P221" s="1212" t="s">
        <v>324</v>
      </c>
      <c r="Q221" s="1212"/>
      <c r="R221" s="1237"/>
      <c r="S221" s="1211"/>
      <c r="T221" s="1211"/>
      <c r="U221" s="1211"/>
      <c r="V221" s="1211"/>
      <c r="W221" s="1237"/>
      <c r="X221" s="1388"/>
      <c r="Y221" s="1211"/>
      <c r="Z221" s="1237"/>
      <c r="AA221" s="1211"/>
      <c r="AB221" s="1211"/>
      <c r="AC221" s="1256"/>
      <c r="AD221" s="1369"/>
      <c r="AE221" s="1211"/>
      <c r="AF221" s="1211" t="s">
        <v>371</v>
      </c>
      <c r="AG221" s="1370" t="s">
        <v>1046</v>
      </c>
      <c r="AH221" s="1207"/>
    </row>
    <row r="222" spans="1:34" ht="13.5" thickBot="1" x14ac:dyDescent="0.25">
      <c r="A222" s="1250"/>
      <c r="B222" s="1251"/>
      <c r="D222" s="1237"/>
      <c r="E222" s="1237"/>
      <c r="F222" s="1237"/>
      <c r="G222" s="1237"/>
      <c r="H222" s="1211"/>
      <c r="I222" s="1237"/>
      <c r="J222" s="1211"/>
      <c r="K222" s="1237"/>
      <c r="L222" s="1237"/>
      <c r="M222" s="1237"/>
      <c r="N222" s="1237"/>
      <c r="O222" s="1237"/>
      <c r="P222" s="1241"/>
      <c r="Q222" s="1237"/>
      <c r="R222" s="1237"/>
      <c r="S222" s="1237"/>
      <c r="T222" s="1237"/>
      <c r="U222" s="1211"/>
      <c r="V222" s="1237"/>
      <c r="W222" s="1237"/>
      <c r="X222" s="1237"/>
      <c r="Y222" s="1237"/>
      <c r="Z222" s="1237"/>
      <c r="AA222" s="1237"/>
      <c r="AB222" s="1237"/>
      <c r="AC222" s="1237"/>
      <c r="AD222" s="1237"/>
      <c r="AE222" s="1237"/>
      <c r="AF222" s="1237"/>
      <c r="AG222" s="1237"/>
      <c r="AH222" s="1207"/>
    </row>
    <row r="223" spans="1:34" x14ac:dyDescent="0.2">
      <c r="A223" s="1269"/>
      <c r="B223" s="1237"/>
      <c r="C223" s="1270"/>
      <c r="D223" s="1272"/>
      <c r="E223" s="1271"/>
      <c r="F223" s="1271"/>
      <c r="G223" s="1271"/>
      <c r="H223" s="1271"/>
      <c r="I223" s="1271"/>
      <c r="J223" s="1271"/>
      <c r="K223" s="1271"/>
      <c r="L223" s="1271"/>
      <c r="M223" s="1271"/>
      <c r="N223" s="1271"/>
      <c r="O223" s="1271"/>
      <c r="P223" s="1273"/>
      <c r="Q223" s="1271"/>
      <c r="R223" s="1271"/>
      <c r="S223" s="1271"/>
      <c r="T223" s="1271"/>
      <c r="U223" s="1271"/>
      <c r="V223" s="1271"/>
      <c r="W223" s="1271"/>
      <c r="X223" s="1271"/>
      <c r="Y223" s="1271"/>
      <c r="Z223" s="1271"/>
      <c r="AA223" s="1271"/>
      <c r="AB223" s="1271"/>
      <c r="AC223" s="1271"/>
      <c r="AD223" s="1271"/>
      <c r="AE223" s="1271"/>
      <c r="AF223" s="1271"/>
      <c r="AG223" s="1271"/>
      <c r="AH223" s="1207"/>
    </row>
    <row r="224" spans="1:34" ht="13.5" thickBot="1" x14ac:dyDescent="0.25">
      <c r="A224" s="1274" t="s">
        <v>7</v>
      </c>
      <c r="B224" s="1237"/>
      <c r="C224" s="1275">
        <f t="shared" ref="C224:AG224" si="23">C225+C226+C227+C229+C228</f>
        <v>0</v>
      </c>
      <c r="D224" s="1275">
        <f t="shared" si="23"/>
        <v>0</v>
      </c>
      <c r="E224" s="1275">
        <f t="shared" si="23"/>
        <v>-7.0000000006984919E-2</v>
      </c>
      <c r="F224" s="1275">
        <f t="shared" si="23"/>
        <v>0</v>
      </c>
      <c r="G224" s="1275">
        <f t="shared" si="23"/>
        <v>0</v>
      </c>
      <c r="H224" s="1275">
        <f t="shared" si="23"/>
        <v>0</v>
      </c>
      <c r="I224" s="1275">
        <f t="shared" si="23"/>
        <v>0</v>
      </c>
      <c r="J224" s="1275">
        <f t="shared" si="23"/>
        <v>0</v>
      </c>
      <c r="K224" s="1275">
        <f t="shared" si="23"/>
        <v>0</v>
      </c>
      <c r="L224" s="1275">
        <f t="shared" si="23"/>
        <v>0</v>
      </c>
      <c r="M224" s="1275">
        <f t="shared" si="23"/>
        <v>0</v>
      </c>
      <c r="N224" s="1275">
        <f t="shared" si="23"/>
        <v>0</v>
      </c>
      <c r="O224" s="1275">
        <f t="shared" si="23"/>
        <v>0</v>
      </c>
      <c r="P224" s="1276">
        <f t="shared" si="23"/>
        <v>0</v>
      </c>
      <c r="Q224" s="1275">
        <f t="shared" si="23"/>
        <v>0</v>
      </c>
      <c r="R224" s="1275">
        <f t="shared" si="23"/>
        <v>0</v>
      </c>
      <c r="S224" s="1275">
        <f t="shared" si="23"/>
        <v>0</v>
      </c>
      <c r="T224" s="1275">
        <f t="shared" si="23"/>
        <v>0</v>
      </c>
      <c r="U224" s="1275">
        <f t="shared" si="23"/>
        <v>0</v>
      </c>
      <c r="V224" s="1275">
        <f t="shared" si="23"/>
        <v>0</v>
      </c>
      <c r="W224" s="1275">
        <f>W225+W226+W227+W229+W228</f>
        <v>0</v>
      </c>
      <c r="X224" s="1275">
        <f t="shared" si="23"/>
        <v>0</v>
      </c>
      <c r="Y224" s="1275">
        <f t="shared" si="23"/>
        <v>0</v>
      </c>
      <c r="Z224" s="1275">
        <f t="shared" si="23"/>
        <v>0</v>
      </c>
      <c r="AA224" s="1275">
        <f t="shared" si="23"/>
        <v>0</v>
      </c>
      <c r="AB224" s="1275">
        <f t="shared" si="23"/>
        <v>0</v>
      </c>
      <c r="AC224" s="1275">
        <f t="shared" si="23"/>
        <v>0</v>
      </c>
      <c r="AD224" s="1275">
        <f t="shared" si="23"/>
        <v>0</v>
      </c>
      <c r="AE224" s="1275">
        <f t="shared" si="23"/>
        <v>0</v>
      </c>
      <c r="AF224" s="1275">
        <f t="shared" si="23"/>
        <v>0</v>
      </c>
      <c r="AG224" s="1275">
        <f t="shared" si="23"/>
        <v>0</v>
      </c>
      <c r="AH224" s="1227">
        <f>SUM(C224:AG224)</f>
        <v>-7.0000000006984919E-2</v>
      </c>
    </row>
    <row r="225" spans="1:34" x14ac:dyDescent="0.2">
      <c r="A225" s="1274" t="s">
        <v>8</v>
      </c>
      <c r="B225" s="1389"/>
      <c r="C225" s="1302"/>
      <c r="D225" s="1302"/>
      <c r="E225" s="1303"/>
      <c r="F225" s="1303"/>
      <c r="G225" s="1303"/>
      <c r="H225" s="1303"/>
      <c r="I225" s="1303"/>
      <c r="J225" s="1303"/>
      <c r="K225" s="1303"/>
      <c r="L225" s="1303"/>
      <c r="M225" s="1303"/>
      <c r="N225" s="1303"/>
      <c r="O225" s="1303"/>
      <c r="P225" s="1304"/>
      <c r="Q225" s="1303"/>
      <c r="R225" s="1303"/>
      <c r="S225" s="1303"/>
      <c r="T225" s="1303"/>
      <c r="U225" s="1303"/>
      <c r="V225" s="1303"/>
      <c r="W225" s="1303"/>
      <c r="X225" s="1303"/>
      <c r="Y225" s="1303"/>
      <c r="Z225" s="1303"/>
      <c r="AA225" s="1303"/>
      <c r="AB225" s="1303"/>
      <c r="AC225" s="1303"/>
      <c r="AD225" s="1303"/>
      <c r="AE225" s="1303"/>
      <c r="AF225" s="1303"/>
      <c r="AG225" s="1303"/>
      <c r="AH225" s="1227">
        <f>SUM(C225:AG225)</f>
        <v>0</v>
      </c>
    </row>
    <row r="226" spans="1:34" x14ac:dyDescent="0.2">
      <c r="A226" s="1274" t="s">
        <v>9</v>
      </c>
      <c r="B226" s="1389"/>
      <c r="C226" s="1302"/>
      <c r="D226" s="1302"/>
      <c r="E226" s="1303"/>
      <c r="F226" s="1303"/>
      <c r="G226" s="1303"/>
      <c r="H226" s="1303"/>
      <c r="I226" s="1303"/>
      <c r="J226" s="1303"/>
      <c r="K226" s="1303"/>
      <c r="L226" s="1303"/>
      <c r="M226" s="1319"/>
      <c r="N226" s="1303"/>
      <c r="O226" s="1303"/>
      <c r="P226" s="1304"/>
      <c r="Q226" s="1303"/>
      <c r="R226" s="1303"/>
      <c r="S226" s="1303"/>
      <c r="T226" s="1303"/>
      <c r="U226" s="1303"/>
      <c r="V226" s="1454"/>
      <c r="W226" s="1443"/>
      <c r="X226" s="1303"/>
      <c r="Y226" s="1303"/>
      <c r="Z226" s="1303"/>
      <c r="AA226" s="1303"/>
      <c r="AB226" s="1303"/>
      <c r="AC226" s="1303"/>
      <c r="AD226" s="1303"/>
      <c r="AE226" s="1303"/>
      <c r="AF226" s="1303"/>
      <c r="AG226" s="1303"/>
      <c r="AH226" s="1227">
        <f>SUM(C226:AG226)</f>
        <v>0</v>
      </c>
    </row>
    <row r="227" spans="1:34" s="1289" customFormat="1" x14ac:dyDescent="0.2">
      <c r="A227" s="1285" t="s">
        <v>10</v>
      </c>
      <c r="B227" s="1372"/>
      <c r="C227" s="1374"/>
      <c r="D227" s="1374"/>
      <c r="E227" s="1375"/>
      <c r="F227" s="1375"/>
      <c r="G227" s="1375"/>
      <c r="H227" s="1375"/>
      <c r="I227" s="1390"/>
      <c r="J227" s="1375"/>
      <c r="K227" s="1375">
        <f>317947.41+34003.585-317947.41-34003.585</f>
        <v>0</v>
      </c>
      <c r="L227" s="1391">
        <f>2600.28+317.309-2600.28-317.309</f>
        <v>0</v>
      </c>
      <c r="M227" s="1375"/>
      <c r="N227" s="1375"/>
      <c r="O227" s="1375"/>
      <c r="P227" s="1375"/>
      <c r="Q227" s="1375"/>
      <c r="R227" s="1375"/>
      <c r="S227" s="1375"/>
      <c r="T227" s="1375"/>
      <c r="U227" s="1375"/>
      <c r="V227" s="1375"/>
      <c r="W227" s="1375"/>
      <c r="X227" s="1377"/>
      <c r="Y227" s="1375"/>
      <c r="Z227" s="1375"/>
      <c r="AA227" s="1375"/>
      <c r="AB227" s="1375"/>
      <c r="AC227" s="1376"/>
      <c r="AD227" s="1378"/>
      <c r="AE227" s="1375"/>
      <c r="AF227" s="1391"/>
      <c r="AG227" s="1375"/>
      <c r="AH227" s="1231">
        <f>SUM(C227:AG227)</f>
        <v>0</v>
      </c>
    </row>
    <row r="228" spans="1:34" s="1289" customFormat="1" x14ac:dyDescent="0.2">
      <c r="A228" s="1285" t="s">
        <v>356</v>
      </c>
      <c r="B228" s="1372"/>
      <c r="C228" s="1292"/>
      <c r="D228" s="1292"/>
      <c r="E228" s="1292">
        <v>71869.929999999993</v>
      </c>
      <c r="F228" s="1292"/>
      <c r="G228" s="1292"/>
      <c r="H228" s="1292"/>
      <c r="I228" s="1292"/>
      <c r="J228" s="1292"/>
      <c r="K228" s="1292"/>
      <c r="L228" s="1292"/>
      <c r="M228" s="1292"/>
      <c r="N228" s="1292"/>
      <c r="O228" s="1292"/>
      <c r="P228" s="1292">
        <v>25000</v>
      </c>
      <c r="Q228" s="1292"/>
      <c r="R228" s="1292"/>
      <c r="S228" s="1292"/>
      <c r="T228" s="1292"/>
      <c r="U228" s="1292"/>
      <c r="V228" s="1292"/>
      <c r="W228" s="1292"/>
      <c r="X228" s="1292"/>
      <c r="Y228" s="1292"/>
      <c r="Z228" s="1292"/>
      <c r="AA228" s="1292"/>
      <c r="AB228" s="1292"/>
      <c r="AC228" s="1292"/>
      <c r="AD228" s="1292"/>
      <c r="AE228" s="1292"/>
      <c r="AF228" s="1292"/>
      <c r="AG228" s="1292"/>
      <c r="AH228" s="1456">
        <f>SUM(C228:AG228)</f>
        <v>96869.93</v>
      </c>
    </row>
    <row r="229" spans="1:34" x14ac:dyDescent="0.2">
      <c r="A229" s="1274" t="s">
        <v>11</v>
      </c>
      <c r="B229" s="1237"/>
      <c r="C229" s="1302">
        <v>0</v>
      </c>
      <c r="D229" s="1306"/>
      <c r="E229" s="1306">
        <v>-71870</v>
      </c>
      <c r="F229" s="1304"/>
      <c r="G229" s="1304"/>
      <c r="H229" s="1304"/>
      <c r="I229" s="1304"/>
      <c r="J229" s="1304"/>
      <c r="K229" s="1304"/>
      <c r="L229" s="1304"/>
      <c r="M229" s="1304"/>
      <c r="N229" s="1304"/>
      <c r="O229" s="1304"/>
      <c r="P229" s="1304">
        <v>-25000</v>
      </c>
      <c r="Q229" s="1304"/>
      <c r="R229" s="1304"/>
      <c r="S229" s="1304"/>
      <c r="T229" s="1304"/>
      <c r="U229" s="1304"/>
      <c r="V229" s="1304"/>
      <c r="W229" s="1304"/>
      <c r="X229" s="1304"/>
      <c r="Y229" s="1304"/>
      <c r="Z229" s="1304"/>
      <c r="AA229" s="1304"/>
      <c r="AB229" s="1304"/>
      <c r="AC229" s="1304"/>
      <c r="AD229" s="1304"/>
      <c r="AE229" s="1304"/>
      <c r="AF229" s="1304"/>
      <c r="AG229" s="1454"/>
      <c r="AH229" s="1207"/>
    </row>
    <row r="230" spans="1:34" ht="13.5" thickBot="1" x14ac:dyDescent="0.25">
      <c r="A230" s="1294"/>
      <c r="B230" s="1237"/>
      <c r="C230" s="1302"/>
      <c r="D230" s="1302"/>
      <c r="E230" s="1302"/>
      <c r="F230" s="1303"/>
      <c r="G230" s="1303"/>
      <c r="H230" s="1303"/>
      <c r="I230" s="1303"/>
      <c r="J230" s="1303"/>
      <c r="K230" s="1303"/>
      <c r="L230" s="1303"/>
      <c r="M230" s="1303"/>
      <c r="N230" s="1303"/>
      <c r="O230" s="1303"/>
      <c r="P230" s="1304"/>
      <c r="Q230" s="1303"/>
      <c r="R230" s="1303"/>
      <c r="S230" s="1303"/>
      <c r="T230" s="1303"/>
      <c r="U230" s="1303"/>
      <c r="V230" s="1303"/>
      <c r="W230" s="1303"/>
      <c r="X230" s="1303"/>
      <c r="Y230" s="1303"/>
      <c r="Z230" s="1303"/>
      <c r="AA230" s="1303"/>
      <c r="AB230" s="1303"/>
      <c r="AC230" s="1303"/>
      <c r="AD230" s="1303"/>
      <c r="AE230" s="1303"/>
      <c r="AF230" s="1303"/>
      <c r="AG230" s="1303"/>
      <c r="AH230" s="1207"/>
    </row>
    <row r="231" spans="1:34" x14ac:dyDescent="0.2">
      <c r="A231" s="1269"/>
      <c r="B231" s="1237"/>
      <c r="C231" s="1296"/>
      <c r="D231" s="1297"/>
      <c r="E231" s="1297"/>
      <c r="F231" s="1298"/>
      <c r="G231" s="1298"/>
      <c r="H231" s="1298"/>
      <c r="I231" s="1298"/>
      <c r="J231" s="1298"/>
      <c r="K231" s="1298"/>
      <c r="L231" s="1298"/>
      <c r="M231" s="1298"/>
      <c r="N231" s="1298"/>
      <c r="O231" s="1298"/>
      <c r="P231" s="1299"/>
      <c r="Q231" s="1298"/>
      <c r="R231" s="1298"/>
      <c r="S231" s="1298"/>
      <c r="T231" s="1298"/>
      <c r="U231" s="1298"/>
      <c r="V231" s="1298"/>
      <c r="W231" s="1298"/>
      <c r="X231" s="1298"/>
      <c r="Y231" s="1298"/>
      <c r="Z231" s="1298"/>
      <c r="AA231" s="1298"/>
      <c r="AB231" s="1298"/>
      <c r="AC231" s="1298"/>
      <c r="AD231" s="1298"/>
      <c r="AE231" s="1298"/>
      <c r="AF231" s="1298"/>
      <c r="AG231" s="1298"/>
      <c r="AH231" s="1207"/>
    </row>
    <row r="232" spans="1:34" ht="13.5" thickBot="1" x14ac:dyDescent="0.25">
      <c r="A232" s="1274" t="s">
        <v>12</v>
      </c>
      <c r="B232" s="1237"/>
      <c r="C232" s="1275">
        <f t="shared" ref="C232:AG232" si="24">C233</f>
        <v>0</v>
      </c>
      <c r="D232" s="1275">
        <f t="shared" si="24"/>
        <v>0</v>
      </c>
      <c r="E232" s="1275">
        <f t="shared" si="24"/>
        <v>0</v>
      </c>
      <c r="F232" s="1275">
        <f t="shared" si="24"/>
        <v>0</v>
      </c>
      <c r="G232" s="1275">
        <f t="shared" si="24"/>
        <v>0</v>
      </c>
      <c r="H232" s="1275">
        <f t="shared" si="24"/>
        <v>0</v>
      </c>
      <c r="I232" s="1275">
        <f t="shared" si="24"/>
        <v>0</v>
      </c>
      <c r="J232" s="1275">
        <f t="shared" si="24"/>
        <v>0</v>
      </c>
      <c r="K232" s="1275">
        <f t="shared" si="24"/>
        <v>0</v>
      </c>
      <c r="L232" s="1275">
        <f t="shared" si="24"/>
        <v>0</v>
      </c>
      <c r="M232" s="1275">
        <f t="shared" si="24"/>
        <v>0</v>
      </c>
      <c r="N232" s="1275">
        <f t="shared" si="24"/>
        <v>0</v>
      </c>
      <c r="O232" s="1275">
        <f t="shared" si="24"/>
        <v>0</v>
      </c>
      <c r="P232" s="1276">
        <f t="shared" si="24"/>
        <v>0</v>
      </c>
      <c r="Q232" s="1275">
        <f t="shared" si="24"/>
        <v>0</v>
      </c>
      <c r="R232" s="1275">
        <f t="shared" si="24"/>
        <v>0</v>
      </c>
      <c r="S232" s="1275">
        <f t="shared" si="24"/>
        <v>0</v>
      </c>
      <c r="T232" s="1275">
        <f t="shared" si="24"/>
        <v>0</v>
      </c>
      <c r="U232" s="1275">
        <f t="shared" si="24"/>
        <v>0</v>
      </c>
      <c r="V232" s="1275">
        <f t="shared" si="24"/>
        <v>0</v>
      </c>
      <c r="W232" s="1275">
        <f t="shared" si="24"/>
        <v>0</v>
      </c>
      <c r="X232" s="1275">
        <f t="shared" si="24"/>
        <v>0</v>
      </c>
      <c r="Y232" s="1275">
        <f t="shared" si="24"/>
        <v>0</v>
      </c>
      <c r="Z232" s="1275">
        <f t="shared" si="24"/>
        <v>0</v>
      </c>
      <c r="AA232" s="1275">
        <f t="shared" si="24"/>
        <v>0</v>
      </c>
      <c r="AB232" s="1275">
        <f t="shared" si="24"/>
        <v>0</v>
      </c>
      <c r="AC232" s="1275">
        <f t="shared" si="24"/>
        <v>0</v>
      </c>
      <c r="AD232" s="1275">
        <f t="shared" si="24"/>
        <v>0</v>
      </c>
      <c r="AE232" s="1275">
        <f t="shared" si="24"/>
        <v>0</v>
      </c>
      <c r="AF232" s="1275">
        <f t="shared" si="24"/>
        <v>0</v>
      </c>
      <c r="AG232" s="1275">
        <f t="shared" si="24"/>
        <v>0</v>
      </c>
      <c r="AH232" s="1207"/>
    </row>
    <row r="233" spans="1:34" x14ac:dyDescent="0.2">
      <c r="A233" s="1274" t="s">
        <v>8</v>
      </c>
      <c r="B233" s="1237"/>
      <c r="C233" s="1302"/>
      <c r="D233" s="1302"/>
      <c r="E233" s="1302"/>
      <c r="F233" s="1303"/>
      <c r="G233" s="1303"/>
      <c r="H233" s="1303"/>
      <c r="I233" s="1303"/>
      <c r="J233" s="1303"/>
      <c r="K233" s="1303"/>
      <c r="L233" s="1303"/>
      <c r="M233" s="1303"/>
      <c r="N233" s="1303"/>
      <c r="O233" s="1303"/>
      <c r="P233" s="1304"/>
      <c r="Q233" s="1303"/>
      <c r="R233" s="1303"/>
      <c r="S233" s="1303"/>
      <c r="T233" s="1303"/>
      <c r="U233" s="1303"/>
      <c r="V233" s="1303"/>
      <c r="W233" s="1303"/>
      <c r="X233" s="1303"/>
      <c r="Y233" s="1303"/>
      <c r="Z233" s="1303"/>
      <c r="AA233" s="1303"/>
      <c r="AB233" s="1303"/>
      <c r="AC233" s="1303"/>
      <c r="AD233" s="1303"/>
      <c r="AE233" s="1303"/>
      <c r="AF233" s="1303"/>
      <c r="AG233" s="1303"/>
      <c r="AH233" s="1207"/>
    </row>
    <row r="234" spans="1:34" x14ac:dyDescent="0.2">
      <c r="A234" s="1274" t="s">
        <v>775</v>
      </c>
      <c r="B234" s="1237"/>
      <c r="C234" s="1282"/>
      <c r="D234" s="1282"/>
      <c r="E234" s="1282"/>
      <c r="F234" s="1282">
        <v>1943.1289999999999</v>
      </c>
      <c r="G234" s="1282"/>
      <c r="H234" s="1282"/>
      <c r="I234" s="1282"/>
      <c r="J234" s="1282"/>
      <c r="K234" s="1282"/>
      <c r="L234" s="1282"/>
      <c r="M234" s="1282"/>
      <c r="N234" s="1282"/>
      <c r="O234" s="1282"/>
      <c r="P234" s="1282"/>
      <c r="Q234" s="1282">
        <v>1639.915</v>
      </c>
      <c r="R234" s="1282"/>
      <c r="S234" s="1282">
        <v>4484.0709999999999</v>
      </c>
      <c r="T234" s="1282"/>
      <c r="U234" s="1282"/>
      <c r="V234" s="1282"/>
      <c r="W234" s="1282">
        <v>3804.9160000000002</v>
      </c>
      <c r="X234" s="1282"/>
      <c r="Y234" s="1282"/>
      <c r="Z234" s="1282">
        <v>770.58100000000002</v>
      </c>
      <c r="AA234" s="1282">
        <v>3237.692</v>
      </c>
      <c r="AB234" s="1282"/>
      <c r="AC234" s="1282"/>
      <c r="AD234" s="1282">
        <v>7042.6080000000002</v>
      </c>
      <c r="AE234" s="1282"/>
      <c r="AF234" s="1282">
        <v>8055.6839999999993</v>
      </c>
      <c r="AG234" s="1282">
        <v>19903.261000000002</v>
      </c>
      <c r="AH234" s="1455">
        <f>SUM(C234:AG234)</f>
        <v>50881.857000000004</v>
      </c>
    </row>
    <row r="235" spans="1:34" ht="13.5" thickBot="1" x14ac:dyDescent="0.25">
      <c r="A235" s="1294"/>
      <c r="B235" s="1237"/>
      <c r="C235" s="1302"/>
      <c r="D235" s="1302"/>
      <c r="E235" s="1302"/>
      <c r="F235" s="1303"/>
      <c r="G235" s="1303"/>
      <c r="H235" s="1303"/>
      <c r="I235" s="1303"/>
      <c r="J235" s="1303"/>
      <c r="K235" s="1303"/>
      <c r="L235" s="1303"/>
      <c r="M235" s="1303"/>
      <c r="N235" s="1303"/>
      <c r="O235" s="1303"/>
      <c r="P235" s="1304"/>
      <c r="Q235" s="1303"/>
      <c r="R235" s="1303"/>
      <c r="S235" s="1303"/>
      <c r="T235" s="1303"/>
      <c r="U235" s="1303"/>
      <c r="V235" s="1303"/>
      <c r="W235" s="1303"/>
      <c r="X235" s="1303"/>
      <c r="Y235" s="1303"/>
      <c r="Z235" s="1303"/>
      <c r="AA235" s="1303"/>
      <c r="AB235" s="1303"/>
      <c r="AC235" s="1303"/>
      <c r="AD235" s="1303"/>
      <c r="AE235" s="1303"/>
      <c r="AF235" s="1303"/>
      <c r="AG235" s="1303"/>
      <c r="AH235" s="1207"/>
    </row>
    <row r="236" spans="1:34" x14ac:dyDescent="0.2">
      <c r="A236" s="1269"/>
      <c r="B236" s="1237"/>
      <c r="C236" s="1296"/>
      <c r="D236" s="1297"/>
      <c r="E236" s="1297"/>
      <c r="F236" s="1298"/>
      <c r="G236" s="1298"/>
      <c r="H236" s="1298"/>
      <c r="I236" s="1298"/>
      <c r="J236" s="1298"/>
      <c r="K236" s="1298"/>
      <c r="L236" s="1298"/>
      <c r="M236" s="1298"/>
      <c r="N236" s="1298"/>
      <c r="O236" s="1298"/>
      <c r="P236" s="1299"/>
      <c r="Q236" s="1298"/>
      <c r="R236" s="1298"/>
      <c r="S236" s="1298"/>
      <c r="T236" s="1298"/>
      <c r="U236" s="1298"/>
      <c r="V236" s="1298"/>
      <c r="W236" s="1298"/>
      <c r="X236" s="1298"/>
      <c r="Y236" s="1298"/>
      <c r="Z236" s="1298"/>
      <c r="AA236" s="1298"/>
      <c r="AB236" s="1298"/>
      <c r="AC236" s="1298"/>
      <c r="AD236" s="1298"/>
      <c r="AE236" s="1298"/>
      <c r="AF236" s="1298"/>
      <c r="AG236" s="1298"/>
      <c r="AH236" s="1207"/>
    </row>
    <row r="237" spans="1:34" x14ac:dyDescent="0.2">
      <c r="A237" s="1274" t="s">
        <v>13</v>
      </c>
      <c r="B237" s="1237"/>
      <c r="C237" s="1300">
        <f t="shared" ref="C237:AG237" si="25">C232-C224</f>
        <v>0</v>
      </c>
      <c r="D237" s="1300">
        <f t="shared" si="25"/>
        <v>0</v>
      </c>
      <c r="E237" s="1300">
        <f t="shared" si="25"/>
        <v>7.0000000006984919E-2</v>
      </c>
      <c r="F237" s="1300">
        <f t="shared" si="25"/>
        <v>0</v>
      </c>
      <c r="G237" s="1300">
        <f t="shared" si="25"/>
        <v>0</v>
      </c>
      <c r="H237" s="1300">
        <f t="shared" si="25"/>
        <v>0</v>
      </c>
      <c r="I237" s="1300">
        <f t="shared" si="25"/>
        <v>0</v>
      </c>
      <c r="J237" s="1300">
        <f t="shared" si="25"/>
        <v>0</v>
      </c>
      <c r="K237" s="1300">
        <f t="shared" si="25"/>
        <v>0</v>
      </c>
      <c r="L237" s="1300">
        <f t="shared" si="25"/>
        <v>0</v>
      </c>
      <c r="M237" s="1300">
        <f t="shared" si="25"/>
        <v>0</v>
      </c>
      <c r="N237" s="1300">
        <f t="shared" si="25"/>
        <v>0</v>
      </c>
      <c r="O237" s="1300">
        <f t="shared" si="25"/>
        <v>0</v>
      </c>
      <c r="P237" s="1301">
        <f t="shared" si="25"/>
        <v>0</v>
      </c>
      <c r="Q237" s="1300">
        <f t="shared" si="25"/>
        <v>0</v>
      </c>
      <c r="R237" s="1300">
        <f t="shared" si="25"/>
        <v>0</v>
      </c>
      <c r="S237" s="1300">
        <f t="shared" si="25"/>
        <v>0</v>
      </c>
      <c r="T237" s="1300">
        <f t="shared" si="25"/>
        <v>0</v>
      </c>
      <c r="U237" s="1300">
        <f t="shared" si="25"/>
        <v>0</v>
      </c>
      <c r="V237" s="1300">
        <f t="shared" si="25"/>
        <v>0</v>
      </c>
      <c r="W237" s="1300">
        <f t="shared" si="25"/>
        <v>0</v>
      </c>
      <c r="X237" s="1300">
        <f t="shared" si="25"/>
        <v>0</v>
      </c>
      <c r="Y237" s="1300">
        <f t="shared" si="25"/>
        <v>0</v>
      </c>
      <c r="Z237" s="1300">
        <f t="shared" si="25"/>
        <v>0</v>
      </c>
      <c r="AA237" s="1300">
        <f t="shared" si="25"/>
        <v>0</v>
      </c>
      <c r="AB237" s="1300">
        <f t="shared" si="25"/>
        <v>0</v>
      </c>
      <c r="AC237" s="1300">
        <f t="shared" si="25"/>
        <v>0</v>
      </c>
      <c r="AD237" s="1300">
        <f t="shared" si="25"/>
        <v>0</v>
      </c>
      <c r="AE237" s="1300">
        <f t="shared" si="25"/>
        <v>0</v>
      </c>
      <c r="AF237" s="1300">
        <f t="shared" si="25"/>
        <v>0</v>
      </c>
      <c r="AG237" s="1300">
        <f t="shared" si="25"/>
        <v>0</v>
      </c>
      <c r="AH237" s="1207"/>
    </row>
    <row r="238" spans="1:34" ht="13.5" thickBot="1" x14ac:dyDescent="0.25">
      <c r="A238" s="1274"/>
      <c r="B238" s="1237"/>
      <c r="C238" s="1300"/>
      <c r="D238" s="1302"/>
      <c r="E238" s="1302"/>
      <c r="F238" s="1303"/>
      <c r="G238" s="1303"/>
      <c r="H238" s="1303"/>
      <c r="I238" s="1303"/>
      <c r="J238" s="1303"/>
      <c r="K238" s="1303"/>
      <c r="L238" s="1303"/>
      <c r="M238" s="1303"/>
      <c r="N238" s="1303"/>
      <c r="O238" s="1303"/>
      <c r="P238" s="1304"/>
      <c r="Q238" s="1303"/>
      <c r="R238" s="1303"/>
      <c r="S238" s="1303"/>
      <c r="T238" s="1303"/>
      <c r="U238" s="1303"/>
      <c r="V238" s="1303"/>
      <c r="W238" s="1303"/>
      <c r="X238" s="1303"/>
      <c r="Y238" s="1303"/>
      <c r="Z238" s="1303"/>
      <c r="AA238" s="1303"/>
      <c r="AB238" s="1303"/>
      <c r="AC238" s="1303"/>
      <c r="AD238" s="1303"/>
      <c r="AE238" s="1303"/>
      <c r="AF238" s="1303"/>
      <c r="AG238" s="1303"/>
      <c r="AH238" s="1207"/>
    </row>
    <row r="239" spans="1:34" x14ac:dyDescent="0.2">
      <c r="A239" s="1233"/>
      <c r="B239" s="1234"/>
      <c r="C239" s="1305"/>
      <c r="D239" s="1297"/>
      <c r="E239" s="1297"/>
      <c r="F239" s="1298"/>
      <c r="G239" s="1298"/>
      <c r="H239" s="1298"/>
      <c r="I239" s="1298"/>
      <c r="J239" s="1298"/>
      <c r="K239" s="1298"/>
      <c r="L239" s="1298"/>
      <c r="M239" s="1298"/>
      <c r="N239" s="1298"/>
      <c r="O239" s="1298"/>
      <c r="P239" s="1299"/>
      <c r="Q239" s="1298"/>
      <c r="R239" s="1298"/>
      <c r="S239" s="1298"/>
      <c r="T239" s="1298"/>
      <c r="U239" s="1298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07"/>
    </row>
    <row r="240" spans="1:34" x14ac:dyDescent="0.2">
      <c r="A240" s="1236" t="s">
        <v>15</v>
      </c>
      <c r="B240" s="1237"/>
      <c r="C240" s="1302">
        <f>B221+C237</f>
        <v>-28088.243999999999</v>
      </c>
      <c r="D240" s="1302">
        <f t="shared" ref="D240:AG240" si="26">C247+D237</f>
        <v>-28088.243999999999</v>
      </c>
      <c r="E240" s="1302">
        <f t="shared" si="26"/>
        <v>-28088.173999999992</v>
      </c>
      <c r="F240" s="1302">
        <f t="shared" si="26"/>
        <v>-28088.173999999992</v>
      </c>
      <c r="G240" s="1302">
        <f t="shared" si="26"/>
        <v>-28088.173999999992</v>
      </c>
      <c r="H240" s="1302">
        <f t="shared" si="26"/>
        <v>-28088.173999999992</v>
      </c>
      <c r="I240" s="1302">
        <f t="shared" si="26"/>
        <v>-28088.173999999992</v>
      </c>
      <c r="J240" s="1302">
        <f t="shared" si="26"/>
        <v>-28088.173999999992</v>
      </c>
      <c r="K240" s="1302">
        <f t="shared" si="26"/>
        <v>-28088.173999999992</v>
      </c>
      <c r="L240" s="1302">
        <f t="shared" si="26"/>
        <v>-28088.173999999992</v>
      </c>
      <c r="M240" s="1302">
        <f t="shared" si="26"/>
        <v>-28088.173999999992</v>
      </c>
      <c r="N240" s="1302">
        <f t="shared" si="26"/>
        <v>-28088.173999999992</v>
      </c>
      <c r="O240" s="1302">
        <f t="shared" si="26"/>
        <v>-28088.173999999992</v>
      </c>
      <c r="P240" s="1306">
        <f t="shared" si="26"/>
        <v>-28088.173999999992</v>
      </c>
      <c r="Q240" s="1302">
        <f t="shared" si="26"/>
        <v>-28088.173999999992</v>
      </c>
      <c r="R240" s="1302">
        <f t="shared" si="26"/>
        <v>-28088.173999999992</v>
      </c>
      <c r="S240" s="1302">
        <f t="shared" si="26"/>
        <v>-28088.173999999992</v>
      </c>
      <c r="T240" s="1302">
        <f t="shared" si="26"/>
        <v>-28088.173999999992</v>
      </c>
      <c r="U240" s="1302">
        <f t="shared" si="26"/>
        <v>-28088.173999999992</v>
      </c>
      <c r="V240" s="1302">
        <f t="shared" si="26"/>
        <v>-28088.173999999992</v>
      </c>
      <c r="W240" s="1302">
        <f t="shared" si="26"/>
        <v>-28088.173999999992</v>
      </c>
      <c r="X240" s="1302">
        <f t="shared" si="26"/>
        <v>-28088.173999999992</v>
      </c>
      <c r="Y240" s="1302">
        <f t="shared" si="26"/>
        <v>-28088.173999999992</v>
      </c>
      <c r="Z240" s="1302">
        <f t="shared" si="26"/>
        <v>-28088.173999999992</v>
      </c>
      <c r="AA240" s="1302">
        <f t="shared" si="26"/>
        <v>-28088.173999999992</v>
      </c>
      <c r="AB240" s="1302">
        <f t="shared" si="26"/>
        <v>-28088.173999999992</v>
      </c>
      <c r="AC240" s="1302">
        <f t="shared" si="26"/>
        <v>-28088.173999999992</v>
      </c>
      <c r="AD240" s="1302">
        <f t="shared" si="26"/>
        <v>-28088.173999999992</v>
      </c>
      <c r="AE240" s="1302">
        <f t="shared" si="26"/>
        <v>-28088.173999999992</v>
      </c>
      <c r="AF240" s="1302">
        <f t="shared" si="26"/>
        <v>-28088.173999999992</v>
      </c>
      <c r="AG240" s="1302">
        <f t="shared" si="26"/>
        <v>-28088.173999999992</v>
      </c>
      <c r="AH240" s="1207"/>
    </row>
    <row r="241" spans="1:34" ht="13.5" thickBot="1" x14ac:dyDescent="0.25">
      <c r="A241" s="1250"/>
      <c r="B241" s="1307"/>
      <c r="C241" s="1308"/>
      <c r="D241" s="1308"/>
      <c r="E241" s="1308"/>
      <c r="F241" s="1309"/>
      <c r="G241" s="1309"/>
      <c r="H241" s="1309"/>
      <c r="I241" s="1309"/>
      <c r="J241" s="1309"/>
      <c r="K241" s="1309"/>
      <c r="L241" s="1309"/>
      <c r="M241" s="1309"/>
      <c r="N241" s="1309"/>
      <c r="O241" s="1309"/>
      <c r="P241" s="1310"/>
      <c r="Q241" s="1309"/>
      <c r="R241" s="1309"/>
      <c r="S241" s="1309"/>
      <c r="T241" s="1309"/>
      <c r="U241" s="1309"/>
      <c r="V241" s="1309"/>
      <c r="W241" s="1309"/>
      <c r="X241" s="1309"/>
      <c r="Y241" s="1309"/>
      <c r="Z241" s="1309"/>
      <c r="AA241" s="1309"/>
      <c r="AB241" s="1309"/>
      <c r="AC241" s="1309"/>
      <c r="AD241" s="1309"/>
      <c r="AE241" s="1309"/>
      <c r="AF241" s="1309"/>
      <c r="AG241" s="1309"/>
      <c r="AH241" s="1207"/>
    </row>
    <row r="242" spans="1:34" x14ac:dyDescent="0.2">
      <c r="A242" s="1233"/>
      <c r="B242" s="1234"/>
      <c r="C242" s="1297"/>
      <c r="D242" s="1297"/>
      <c r="E242" s="1297"/>
      <c r="F242" s="1298"/>
      <c r="G242" s="1298"/>
      <c r="H242" s="1298"/>
      <c r="I242" s="1298"/>
      <c r="J242" s="1298"/>
      <c r="K242" s="1298"/>
      <c r="L242" s="1298"/>
      <c r="M242" s="1298"/>
      <c r="N242" s="1298"/>
      <c r="O242" s="1298"/>
      <c r="P242" s="1299"/>
      <c r="Q242" s="1298"/>
      <c r="R242" s="1298"/>
      <c r="S242" s="1298"/>
      <c r="T242" s="1298"/>
      <c r="U242" s="1298"/>
      <c r="V242" s="1298"/>
      <c r="W242" s="1298"/>
      <c r="X242" s="1298"/>
      <c r="Y242" s="1298"/>
      <c r="Z242" s="1298"/>
      <c r="AA242" s="1298"/>
      <c r="AB242" s="1298"/>
      <c r="AC242" s="1298"/>
      <c r="AD242" s="1298"/>
      <c r="AE242" s="1298"/>
      <c r="AF242" s="1298"/>
      <c r="AG242" s="1298"/>
      <c r="AH242" s="1207"/>
    </row>
    <row r="243" spans="1:34" x14ac:dyDescent="0.2">
      <c r="A243" s="1236" t="s">
        <v>82</v>
      </c>
      <c r="B243" s="1237"/>
      <c r="C243" s="1302">
        <f t="shared" ref="C243:AG244" si="27">C251</f>
        <v>0</v>
      </c>
      <c r="D243" s="1302">
        <f t="shared" si="27"/>
        <v>0</v>
      </c>
      <c r="E243" s="1302">
        <f t="shared" si="27"/>
        <v>0</v>
      </c>
      <c r="F243" s="1302">
        <f t="shared" si="27"/>
        <v>0</v>
      </c>
      <c r="G243" s="1302">
        <f t="shared" si="27"/>
        <v>0</v>
      </c>
      <c r="H243" s="1302">
        <f t="shared" si="27"/>
        <v>0</v>
      </c>
      <c r="I243" s="1302">
        <f t="shared" si="27"/>
        <v>0</v>
      </c>
      <c r="J243" s="1302">
        <f t="shared" si="27"/>
        <v>0</v>
      </c>
      <c r="K243" s="1302">
        <f t="shared" si="27"/>
        <v>0</v>
      </c>
      <c r="L243" s="1302">
        <f t="shared" si="27"/>
        <v>0</v>
      </c>
      <c r="M243" s="1302">
        <f t="shared" si="27"/>
        <v>0</v>
      </c>
      <c r="N243" s="1302">
        <f t="shared" si="27"/>
        <v>0</v>
      </c>
      <c r="O243" s="1302">
        <f t="shared" si="27"/>
        <v>0</v>
      </c>
      <c r="P243" s="1306">
        <f t="shared" si="27"/>
        <v>0</v>
      </c>
      <c r="Q243" s="1302">
        <f t="shared" si="27"/>
        <v>0</v>
      </c>
      <c r="R243" s="1302">
        <f t="shared" si="27"/>
        <v>0</v>
      </c>
      <c r="S243" s="1302">
        <f t="shared" si="27"/>
        <v>0</v>
      </c>
      <c r="T243" s="1302">
        <f t="shared" si="27"/>
        <v>0</v>
      </c>
      <c r="U243" s="1302">
        <f t="shared" si="27"/>
        <v>0</v>
      </c>
      <c r="V243" s="1302">
        <f t="shared" si="27"/>
        <v>0</v>
      </c>
      <c r="W243" s="1302">
        <f t="shared" si="27"/>
        <v>0</v>
      </c>
      <c r="X243" s="1302">
        <f t="shared" si="27"/>
        <v>0</v>
      </c>
      <c r="Y243" s="1302">
        <f t="shared" si="27"/>
        <v>0</v>
      </c>
      <c r="Z243" s="1302">
        <f t="shared" si="27"/>
        <v>0</v>
      </c>
      <c r="AA243" s="1302">
        <f t="shared" si="27"/>
        <v>0</v>
      </c>
      <c r="AB243" s="1302">
        <f t="shared" si="27"/>
        <v>0</v>
      </c>
      <c r="AC243" s="1302">
        <f t="shared" si="27"/>
        <v>0</v>
      </c>
      <c r="AD243" s="1302">
        <f t="shared" si="27"/>
        <v>0</v>
      </c>
      <c r="AE243" s="1302">
        <f t="shared" si="27"/>
        <v>0</v>
      </c>
      <c r="AF243" s="1302">
        <f t="shared" si="27"/>
        <v>0</v>
      </c>
      <c r="AG243" s="1302">
        <f t="shared" si="27"/>
        <v>0</v>
      </c>
      <c r="AH243" s="1207"/>
    </row>
    <row r="244" spans="1:34" x14ac:dyDescent="0.2">
      <c r="A244" s="1236" t="s">
        <v>83</v>
      </c>
      <c r="B244" s="1237"/>
      <c r="C244" s="1306">
        <f t="shared" si="27"/>
        <v>0</v>
      </c>
      <c r="D244" s="1306">
        <f t="shared" si="27"/>
        <v>0</v>
      </c>
      <c r="E244" s="1306">
        <f t="shared" si="27"/>
        <v>0</v>
      </c>
      <c r="F244" s="1306">
        <f t="shared" si="27"/>
        <v>0</v>
      </c>
      <c r="G244" s="1306">
        <f t="shared" si="27"/>
        <v>0</v>
      </c>
      <c r="H244" s="1306">
        <f t="shared" si="27"/>
        <v>0</v>
      </c>
      <c r="I244" s="1306">
        <f t="shared" si="27"/>
        <v>0</v>
      </c>
      <c r="J244" s="1306">
        <f t="shared" si="27"/>
        <v>0</v>
      </c>
      <c r="K244" s="1306">
        <f t="shared" si="27"/>
        <v>0</v>
      </c>
      <c r="L244" s="1306">
        <f t="shared" si="27"/>
        <v>0</v>
      </c>
      <c r="M244" s="1306">
        <f t="shared" si="27"/>
        <v>0</v>
      </c>
      <c r="N244" s="1306">
        <f t="shared" si="27"/>
        <v>0</v>
      </c>
      <c r="O244" s="1306">
        <f t="shared" si="27"/>
        <v>0</v>
      </c>
      <c r="P244" s="1306">
        <f t="shared" si="27"/>
        <v>0</v>
      </c>
      <c r="Q244" s="1306">
        <f t="shared" si="27"/>
        <v>0</v>
      </c>
      <c r="R244" s="1306">
        <f t="shared" si="27"/>
        <v>0</v>
      </c>
      <c r="S244" s="1306">
        <f t="shared" si="27"/>
        <v>0</v>
      </c>
      <c r="T244" s="1306">
        <f t="shared" si="27"/>
        <v>0</v>
      </c>
      <c r="U244" s="1306">
        <f t="shared" si="27"/>
        <v>0</v>
      </c>
      <c r="V244" s="1306">
        <f t="shared" si="27"/>
        <v>0</v>
      </c>
      <c r="W244" s="1306">
        <f t="shared" si="27"/>
        <v>0</v>
      </c>
      <c r="X244" s="1306">
        <f t="shared" si="27"/>
        <v>0</v>
      </c>
      <c r="Y244" s="1306">
        <f t="shared" si="27"/>
        <v>0</v>
      </c>
      <c r="Z244" s="1306">
        <f t="shared" si="27"/>
        <v>0</v>
      </c>
      <c r="AA244" s="1306">
        <f t="shared" si="27"/>
        <v>0</v>
      </c>
      <c r="AB244" s="1306">
        <f t="shared" si="27"/>
        <v>0</v>
      </c>
      <c r="AC244" s="1306">
        <f t="shared" si="27"/>
        <v>0</v>
      </c>
      <c r="AD244" s="1306">
        <f t="shared" si="27"/>
        <v>0</v>
      </c>
      <c r="AE244" s="1306">
        <f t="shared" si="27"/>
        <v>0</v>
      </c>
      <c r="AF244" s="1306">
        <f t="shared" si="27"/>
        <v>0</v>
      </c>
      <c r="AG244" s="1306">
        <f t="shared" si="27"/>
        <v>0</v>
      </c>
      <c r="AH244" s="1207"/>
    </row>
    <row r="245" spans="1:34" ht="13.5" thickBot="1" x14ac:dyDescent="0.25">
      <c r="A245" s="1250"/>
      <c r="B245" s="1307"/>
      <c r="C245" s="1308"/>
      <c r="D245" s="1308"/>
      <c r="E245" s="1308"/>
      <c r="F245" s="1309"/>
      <c r="G245" s="1309"/>
      <c r="H245" s="1309"/>
      <c r="I245" s="1309"/>
      <c r="J245" s="1309"/>
      <c r="K245" s="1309"/>
      <c r="L245" s="1309"/>
      <c r="M245" s="1309"/>
      <c r="N245" s="1309"/>
      <c r="O245" s="1309"/>
      <c r="P245" s="1310"/>
      <c r="Q245" s="1309"/>
      <c r="R245" s="1309"/>
      <c r="S245" s="1309"/>
      <c r="T245" s="1309"/>
      <c r="U245" s="1309"/>
      <c r="V245" s="1309"/>
      <c r="W245" s="1309"/>
      <c r="X245" s="1309"/>
      <c r="Y245" s="1309"/>
      <c r="Z245" s="1309"/>
      <c r="AA245" s="1309"/>
      <c r="AB245" s="1309"/>
      <c r="AC245" s="1309"/>
      <c r="AD245" s="1309"/>
      <c r="AE245" s="1309"/>
      <c r="AF245" s="1309"/>
      <c r="AG245" s="1309"/>
      <c r="AH245" s="1207"/>
    </row>
    <row r="246" spans="1:34" x14ac:dyDescent="0.2">
      <c r="A246" s="1236"/>
      <c r="B246" s="1237"/>
      <c r="C246" s="1302"/>
      <c r="D246" s="1302"/>
      <c r="E246" s="1302"/>
      <c r="F246" s="1303"/>
      <c r="G246" s="1303"/>
      <c r="H246" s="1303"/>
      <c r="I246" s="1303"/>
      <c r="J246" s="1303"/>
      <c r="K246" s="1303"/>
      <c r="L246" s="1303"/>
      <c r="M246" s="1303"/>
      <c r="N246" s="1303"/>
      <c r="O246" s="1303"/>
      <c r="P246" s="1304"/>
      <c r="Q246" s="1303"/>
      <c r="R246" s="1303"/>
      <c r="S246" s="1303"/>
      <c r="T246" s="1303"/>
      <c r="U246" s="1303"/>
      <c r="V246" s="1303"/>
      <c r="W246" s="1303"/>
      <c r="X246" s="1303"/>
      <c r="Y246" s="1303"/>
      <c r="Z246" s="1303"/>
      <c r="AA246" s="1303"/>
      <c r="AB246" s="1303"/>
      <c r="AC246" s="1303"/>
      <c r="AD246" s="1303"/>
      <c r="AE246" s="1303"/>
      <c r="AF246" s="1303"/>
      <c r="AG246" s="1303"/>
      <c r="AH246" s="1207"/>
    </row>
    <row r="247" spans="1:34" x14ac:dyDescent="0.2">
      <c r="A247" s="1236" t="s">
        <v>14</v>
      </c>
      <c r="B247" s="1237"/>
      <c r="C247" s="1302">
        <f t="shared" ref="C247:AG247" si="28">C240+C243+C244</f>
        <v>-28088.243999999999</v>
      </c>
      <c r="D247" s="1302">
        <f t="shared" si="28"/>
        <v>-28088.243999999999</v>
      </c>
      <c r="E247" s="1302">
        <f t="shared" si="28"/>
        <v>-28088.173999999992</v>
      </c>
      <c r="F247" s="1302">
        <f t="shared" si="28"/>
        <v>-28088.173999999992</v>
      </c>
      <c r="G247" s="1302">
        <f t="shared" si="28"/>
        <v>-28088.173999999992</v>
      </c>
      <c r="H247" s="1302">
        <f t="shared" si="28"/>
        <v>-28088.173999999992</v>
      </c>
      <c r="I247" s="1302">
        <f t="shared" si="28"/>
        <v>-28088.173999999992</v>
      </c>
      <c r="J247" s="1302">
        <f t="shared" si="28"/>
        <v>-28088.173999999992</v>
      </c>
      <c r="K247" s="1302">
        <f t="shared" si="28"/>
        <v>-28088.173999999992</v>
      </c>
      <c r="L247" s="1302">
        <f t="shared" si="28"/>
        <v>-28088.173999999992</v>
      </c>
      <c r="M247" s="1302">
        <f t="shared" si="28"/>
        <v>-28088.173999999992</v>
      </c>
      <c r="N247" s="1302">
        <f t="shared" si="28"/>
        <v>-28088.173999999992</v>
      </c>
      <c r="O247" s="1302">
        <f t="shared" si="28"/>
        <v>-28088.173999999992</v>
      </c>
      <c r="P247" s="1306">
        <f t="shared" si="28"/>
        <v>-28088.173999999992</v>
      </c>
      <c r="Q247" s="1302">
        <f t="shared" si="28"/>
        <v>-28088.173999999992</v>
      </c>
      <c r="R247" s="1302">
        <f t="shared" si="28"/>
        <v>-28088.173999999992</v>
      </c>
      <c r="S247" s="1302">
        <f t="shared" si="28"/>
        <v>-28088.173999999992</v>
      </c>
      <c r="T247" s="1302">
        <f t="shared" si="28"/>
        <v>-28088.173999999992</v>
      </c>
      <c r="U247" s="1302">
        <f t="shared" si="28"/>
        <v>-28088.173999999992</v>
      </c>
      <c r="V247" s="1302">
        <f t="shared" si="28"/>
        <v>-28088.173999999992</v>
      </c>
      <c r="W247" s="1302">
        <f t="shared" si="28"/>
        <v>-28088.173999999992</v>
      </c>
      <c r="X247" s="1302">
        <f t="shared" si="28"/>
        <v>-28088.173999999992</v>
      </c>
      <c r="Y247" s="1302">
        <f t="shared" si="28"/>
        <v>-28088.173999999992</v>
      </c>
      <c r="Z247" s="1302">
        <f t="shared" si="28"/>
        <v>-28088.173999999992</v>
      </c>
      <c r="AA247" s="1302">
        <f t="shared" si="28"/>
        <v>-28088.173999999992</v>
      </c>
      <c r="AB247" s="1302">
        <f t="shared" si="28"/>
        <v>-28088.173999999992</v>
      </c>
      <c r="AC247" s="1302">
        <f t="shared" si="28"/>
        <v>-28088.173999999992</v>
      </c>
      <c r="AD247" s="1302">
        <f t="shared" si="28"/>
        <v>-28088.173999999992</v>
      </c>
      <c r="AE247" s="1302">
        <f t="shared" si="28"/>
        <v>-28088.173999999992</v>
      </c>
      <c r="AF247" s="1302">
        <f t="shared" si="28"/>
        <v>-28088.173999999992</v>
      </c>
      <c r="AG247" s="1302">
        <f t="shared" si="28"/>
        <v>-28088.173999999992</v>
      </c>
      <c r="AH247" s="1207"/>
    </row>
    <row r="248" spans="1:34" x14ac:dyDescent="0.2">
      <c r="A248" s="1236"/>
      <c r="B248" s="1237"/>
      <c r="C248" s="1302"/>
      <c r="D248" s="1302"/>
      <c r="E248" s="1302"/>
      <c r="F248" s="1303"/>
      <c r="G248" s="1303"/>
      <c r="H248" s="1303"/>
      <c r="I248" s="1303"/>
      <c r="J248" s="1303"/>
      <c r="K248" s="1303"/>
      <c r="L248" s="1303"/>
      <c r="M248" s="1303"/>
      <c r="N248" s="1303"/>
      <c r="O248" s="1303"/>
      <c r="P248" s="1304"/>
      <c r="Q248" s="1303"/>
      <c r="R248" s="1303"/>
      <c r="S248" s="1303"/>
      <c r="T248" s="1303"/>
      <c r="U248" s="1303"/>
      <c r="V248" s="1303"/>
      <c r="W248" s="1303"/>
      <c r="X248" s="1303"/>
      <c r="Y248" s="1303"/>
      <c r="Z248" s="1303"/>
      <c r="AA248" s="1303"/>
      <c r="AB248" s="1303"/>
      <c r="AC248" s="1303"/>
      <c r="AD248" s="1303"/>
      <c r="AE248" s="1303"/>
      <c r="AF248" s="1303"/>
      <c r="AG248" s="1303"/>
      <c r="AH248" s="1207"/>
    </row>
    <row r="249" spans="1:34" ht="13.5" thickBot="1" x14ac:dyDescent="0.25">
      <c r="A249" s="1250"/>
      <c r="B249" s="1307"/>
      <c r="C249" s="1312"/>
      <c r="D249" s="1312"/>
      <c r="E249" s="1312"/>
      <c r="F249" s="1313"/>
      <c r="G249" s="1313"/>
      <c r="H249" s="1313"/>
      <c r="I249" s="1313"/>
      <c r="J249" s="1313"/>
      <c r="K249" s="1313"/>
      <c r="L249" s="1313"/>
      <c r="M249" s="1313"/>
      <c r="N249" s="1313"/>
      <c r="O249" s="1313"/>
      <c r="P249" s="1314"/>
      <c r="Q249" s="1313"/>
      <c r="R249" s="1313"/>
      <c r="S249" s="1313"/>
      <c r="T249" s="1313"/>
      <c r="U249" s="1313"/>
      <c r="V249" s="1313"/>
      <c r="W249" s="1313"/>
      <c r="X249" s="1313"/>
      <c r="Y249" s="1313"/>
      <c r="Z249" s="1313"/>
      <c r="AA249" s="1313"/>
      <c r="AB249" s="1313"/>
      <c r="AC249" s="1313"/>
      <c r="AD249" s="1313"/>
      <c r="AE249" s="1313"/>
      <c r="AF249" s="1313"/>
      <c r="AG249" s="1313"/>
      <c r="AH249" s="1207"/>
    </row>
    <row r="250" spans="1:34" x14ac:dyDescent="0.2">
      <c r="A250" s="1316"/>
      <c r="B250" s="1207"/>
      <c r="C250" s="1227"/>
      <c r="D250" s="1227"/>
      <c r="E250" s="1227"/>
      <c r="F250" s="1227"/>
      <c r="G250" s="1227"/>
      <c r="H250" s="1227"/>
      <c r="I250" s="1227"/>
      <c r="J250" s="1227"/>
      <c r="K250" s="1227"/>
      <c r="L250" s="1227"/>
      <c r="M250" s="1227"/>
      <c r="N250" s="1227"/>
      <c r="O250" s="1227"/>
      <c r="P250" s="1229"/>
      <c r="Q250" s="1227"/>
      <c r="R250" s="1227"/>
      <c r="S250" s="1227"/>
      <c r="T250" s="1227"/>
      <c r="U250" s="1227"/>
      <c r="V250" s="1227"/>
      <c r="W250" s="1227"/>
      <c r="X250" s="1227"/>
      <c r="Y250" s="1227"/>
      <c r="Z250" s="1227"/>
      <c r="AA250" s="1227"/>
      <c r="AB250" s="1227"/>
      <c r="AC250" s="1227"/>
      <c r="AD250" s="1227"/>
      <c r="AE250" s="1227"/>
      <c r="AF250" s="1227"/>
      <c r="AG250" s="1227"/>
      <c r="AH250" s="1227">
        <f>SUM(C250:AG250)</f>
        <v>0</v>
      </c>
    </row>
    <row r="251" spans="1:34" x14ac:dyDescent="0.2">
      <c r="A251" s="1316"/>
      <c r="B251" s="1207"/>
      <c r="C251" s="1219"/>
      <c r="D251" s="1219"/>
      <c r="E251" s="1219"/>
      <c r="F251" s="1219"/>
      <c r="G251" s="1220"/>
      <c r="H251" s="1219"/>
      <c r="I251" s="1219"/>
      <c r="J251" s="1219"/>
      <c r="K251" s="1219"/>
      <c r="L251" s="1220"/>
      <c r="M251" s="1220"/>
      <c r="N251" s="1221"/>
      <c r="O251" s="1220"/>
      <c r="P251" s="1221"/>
      <c r="Q251" s="1219"/>
      <c r="R251" s="1219"/>
      <c r="S251" s="1219"/>
      <c r="T251" s="1219"/>
      <c r="U251" s="1219"/>
      <c r="V251" s="1221"/>
      <c r="W251" s="1219"/>
      <c r="X251" s="1219"/>
      <c r="Y251" s="1219"/>
      <c r="Z251" s="1219"/>
      <c r="AA251" s="1384"/>
      <c r="AB251" s="1219"/>
      <c r="AC251" s="1219"/>
      <c r="AD251" s="1220"/>
      <c r="AE251" s="1219"/>
      <c r="AF251" s="1221"/>
      <c r="AG251" s="1219"/>
      <c r="AH251" s="1345"/>
    </row>
    <row r="252" spans="1:34" x14ac:dyDescent="0.2">
      <c r="A252" s="1207"/>
      <c r="B252" s="1207"/>
      <c r="C252" s="1207"/>
      <c r="D252" s="1219"/>
      <c r="E252" s="1347"/>
      <c r="F252" s="1207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8"/>
      <c r="Q252" s="1227"/>
      <c r="R252" s="1207"/>
      <c r="S252" s="1345"/>
      <c r="T252" s="1207"/>
      <c r="U252" s="1207"/>
      <c r="V252" s="1207"/>
      <c r="W252" s="1207"/>
      <c r="X252" s="1207"/>
      <c r="Y252" s="1345"/>
      <c r="Z252" s="1345"/>
      <c r="AA252" s="1345"/>
      <c r="AB252" s="1345"/>
      <c r="AC252" s="1345"/>
      <c r="AD252" s="1345"/>
      <c r="AE252" s="1345"/>
      <c r="AF252" s="1345"/>
      <c r="AG252" s="1345"/>
      <c r="AH252" s="1227">
        <f>SUM(C252:AG252)</f>
        <v>0</v>
      </c>
    </row>
    <row r="253" spans="1:34" x14ac:dyDescent="0.2">
      <c r="A253" s="1210" t="s">
        <v>415</v>
      </c>
      <c r="B253" s="1215">
        <f>B254+B255+B257</f>
        <v>425000</v>
      </c>
      <c r="C253" s="1207"/>
      <c r="D253" s="1207"/>
      <c r="E253" s="1207"/>
      <c r="F253" s="1207"/>
      <c r="G253" s="1207"/>
      <c r="H253" s="1207"/>
      <c r="I253" s="1207"/>
      <c r="J253" s="1207"/>
      <c r="K253" s="1392"/>
      <c r="L253" s="1207"/>
      <c r="M253" s="1207"/>
      <c r="N253" s="1207"/>
      <c r="O253" s="1207"/>
      <c r="P253" s="1208"/>
      <c r="Q253" s="1207"/>
      <c r="R253" s="1207"/>
      <c r="S253" s="1207"/>
      <c r="T253" s="1207"/>
      <c r="U253" s="1207"/>
      <c r="V253" s="1207"/>
      <c r="W253" s="1207"/>
      <c r="X253" s="1207"/>
      <c r="Y253" s="1207"/>
      <c r="Z253" s="1207"/>
      <c r="AA253" s="1384"/>
      <c r="AB253" s="1207"/>
      <c r="AC253" s="1207"/>
      <c r="AD253" s="1207"/>
      <c r="AE253" s="1207"/>
      <c r="AF253" s="1207"/>
      <c r="AG253" s="1207"/>
      <c r="AH253" s="1207"/>
    </row>
    <row r="254" spans="1:34" x14ac:dyDescent="0.2">
      <c r="A254" s="1365" t="s">
        <v>414</v>
      </c>
      <c r="B254" s="1219">
        <v>25000</v>
      </c>
      <c r="C254" s="1207"/>
      <c r="D254" s="1207"/>
      <c r="E254" s="1227"/>
      <c r="F254" s="1227"/>
      <c r="G254" s="1227"/>
      <c r="H254" s="1207"/>
      <c r="I254" s="1207"/>
      <c r="J254" s="1207"/>
      <c r="K254" s="1207"/>
      <c r="L254" s="1207"/>
      <c r="M254" s="1207"/>
      <c r="N254" s="1207"/>
      <c r="O254" s="1207"/>
      <c r="P254" s="1208"/>
      <c r="Q254" s="1207"/>
      <c r="R254" s="1207"/>
      <c r="S254" s="1207"/>
      <c r="T254" s="1207"/>
      <c r="U254" s="1227"/>
      <c r="V254" s="1207"/>
      <c r="W254" s="1207"/>
      <c r="X254" s="1207"/>
      <c r="Y254" s="1207"/>
      <c r="Z254" s="1207"/>
      <c r="AA254" s="1354"/>
      <c r="AB254" s="1207"/>
      <c r="AC254" s="1207"/>
      <c r="AD254" s="1207"/>
      <c r="AE254" s="1207"/>
      <c r="AF254" s="1207"/>
      <c r="AG254" s="1227"/>
      <c r="AH254" s="1207"/>
    </row>
    <row r="255" spans="1:34" x14ac:dyDescent="0.2">
      <c r="A255" s="1365" t="s">
        <v>287</v>
      </c>
      <c r="B255" s="1219">
        <v>300000</v>
      </c>
      <c r="C255" s="1207"/>
      <c r="D255" s="1207"/>
      <c r="E255" s="1207"/>
      <c r="F255" s="1207"/>
      <c r="G255" s="1207"/>
      <c r="H255" s="1207"/>
      <c r="I255" s="1207"/>
      <c r="J255" s="1207"/>
      <c r="K255" s="1207"/>
      <c r="L255" s="1207"/>
      <c r="M255" s="1207"/>
      <c r="N255" s="1207"/>
      <c r="O255" s="1207"/>
      <c r="P255" s="1208"/>
      <c r="Q255" s="1207"/>
      <c r="R255" s="1207"/>
      <c r="S255" s="1207"/>
      <c r="T255" s="1207"/>
      <c r="U255" s="1227"/>
      <c r="V255" s="1207"/>
      <c r="W255" s="1207"/>
      <c r="X255" s="1207"/>
      <c r="Y255" s="1207"/>
      <c r="Z255" s="1207"/>
      <c r="AA255" s="1207"/>
      <c r="AB255" s="1207"/>
      <c r="AC255" s="1207"/>
      <c r="AD255" s="1207"/>
      <c r="AE255" s="1207"/>
      <c r="AF255" s="1392"/>
      <c r="AG255" s="1207"/>
      <c r="AH255" s="1207"/>
    </row>
    <row r="256" spans="1:34" x14ac:dyDescent="0.2">
      <c r="A256" s="1316" t="s">
        <v>413</v>
      </c>
      <c r="B256" s="1219"/>
      <c r="C256" s="1207"/>
      <c r="D256" s="1207"/>
      <c r="E256" s="1207"/>
      <c r="F256" s="1207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8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07"/>
      <c r="AA256" s="1207"/>
      <c r="AB256" s="1207"/>
      <c r="AC256" s="1207"/>
      <c r="AD256" s="1207"/>
      <c r="AE256" s="1207"/>
      <c r="AF256" s="1207"/>
      <c r="AG256" s="1207"/>
      <c r="AH256" s="1207"/>
    </row>
    <row r="257" spans="1:34" x14ac:dyDescent="0.2">
      <c r="A257" s="1316" t="s">
        <v>441</v>
      </c>
      <c r="B257" s="1219">
        <v>100000</v>
      </c>
      <c r="C257" s="1207"/>
      <c r="D257" s="1207"/>
      <c r="E257" s="1207"/>
      <c r="F257" s="1207"/>
      <c r="G257" s="1207"/>
      <c r="H257" s="1207"/>
      <c r="I257" s="1207"/>
      <c r="J257" s="1207"/>
      <c r="K257" s="1207"/>
      <c r="L257" s="1207"/>
      <c r="M257" s="1207"/>
      <c r="N257" s="1207"/>
      <c r="O257" s="1207"/>
      <c r="P257" s="1208"/>
      <c r="Q257" s="1207"/>
      <c r="R257" s="1207"/>
      <c r="S257" s="1207"/>
      <c r="T257" s="1207"/>
      <c r="U257" s="1207"/>
      <c r="V257" s="1207"/>
      <c r="W257" s="1207"/>
      <c r="X257" s="1207"/>
      <c r="Y257" s="1207"/>
      <c r="Z257" s="1207"/>
      <c r="AA257" s="1207"/>
      <c r="AB257" s="1207"/>
      <c r="AC257" s="1207"/>
      <c r="AD257" s="1207"/>
      <c r="AE257" s="1207"/>
      <c r="AF257" s="1207"/>
      <c r="AG257" s="1207"/>
      <c r="AH257" s="1207"/>
    </row>
    <row r="258" spans="1:34" x14ac:dyDescent="0.2">
      <c r="A258" s="1207"/>
      <c r="B258" s="1207"/>
      <c r="C258" s="1207"/>
      <c r="D258" s="1207"/>
      <c r="E258" s="1207"/>
      <c r="F258" s="1207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8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07"/>
      <c r="AA258" s="1207"/>
      <c r="AB258" s="1207"/>
      <c r="AC258" s="1207"/>
      <c r="AD258" s="1207"/>
      <c r="AE258" s="1207"/>
      <c r="AF258" s="1207"/>
      <c r="AG258" s="1207"/>
      <c r="AH258" s="1207"/>
    </row>
    <row r="259" spans="1:34" x14ac:dyDescent="0.2">
      <c r="A259" s="1207"/>
      <c r="B259" s="1207"/>
      <c r="C259" s="1207"/>
      <c r="D259" s="1207"/>
      <c r="E259" s="1207"/>
      <c r="F259" s="1207"/>
      <c r="G259" s="1207"/>
      <c r="H259" s="1207"/>
      <c r="I259" s="1207"/>
      <c r="J259" s="1207"/>
      <c r="K259" s="1207"/>
      <c r="L259" s="1207"/>
      <c r="M259" s="1207"/>
      <c r="N259" s="1207"/>
      <c r="O259" s="1207"/>
      <c r="P259" s="1208"/>
      <c r="Q259" s="1207"/>
      <c r="R259" s="1207"/>
      <c r="S259" s="1207"/>
      <c r="T259" s="1207"/>
      <c r="U259" s="1207"/>
      <c r="V259" s="1207"/>
      <c r="W259" s="1207"/>
      <c r="X259" s="1207"/>
      <c r="Y259" s="1207"/>
      <c r="Z259" s="1207"/>
      <c r="AA259" s="1207"/>
      <c r="AB259" s="1207"/>
      <c r="AC259" s="1207"/>
      <c r="AD259" s="1207"/>
      <c r="AE259" s="1207"/>
      <c r="AF259" s="1207"/>
      <c r="AG259" s="1207"/>
      <c r="AH259" s="1207"/>
    </row>
    <row r="260" spans="1:34" ht="13.5" thickBot="1" x14ac:dyDescent="0.25">
      <c r="A260" s="1207"/>
      <c r="B260" s="1207"/>
      <c r="C260" s="1207"/>
      <c r="D260" s="1207"/>
      <c r="E260" s="1207"/>
      <c r="F260" s="1207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8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1207"/>
      <c r="AD260" s="1207"/>
      <c r="AE260" s="1207"/>
      <c r="AF260" s="1207"/>
      <c r="AG260" s="1207"/>
      <c r="AH260" s="1207"/>
    </row>
    <row r="261" spans="1:34" x14ac:dyDescent="0.2">
      <c r="A261" s="1233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34"/>
      <c r="O261" s="1234"/>
      <c r="P261" s="1235"/>
      <c r="Q261" s="1234"/>
      <c r="R261" s="1234"/>
      <c r="S261" s="1234"/>
      <c r="T261" s="1234"/>
      <c r="U261" s="1234"/>
      <c r="V261" s="1234"/>
      <c r="W261" s="1234"/>
      <c r="X261" s="1234"/>
      <c r="Y261" s="1234"/>
      <c r="Z261" s="1234"/>
      <c r="AA261" s="1234"/>
      <c r="AB261" s="1234"/>
      <c r="AC261" s="1234"/>
      <c r="AD261" s="1234"/>
      <c r="AE261" s="1234"/>
      <c r="AF261" s="1234"/>
      <c r="AG261" s="1234"/>
      <c r="AH261" s="1207"/>
    </row>
    <row r="262" spans="1:34" x14ac:dyDescent="0.2">
      <c r="A262" s="1236"/>
      <c r="B262" s="1237" t="s">
        <v>37</v>
      </c>
      <c r="C262" s="1237"/>
      <c r="D262" s="1237"/>
      <c r="E262" s="1238" t="s">
        <v>36</v>
      </c>
      <c r="F262" s="1239" t="s">
        <v>340</v>
      </c>
      <c r="G262" s="1211"/>
      <c r="H262" s="1239"/>
      <c r="I262" s="1239"/>
      <c r="J262" s="1239"/>
      <c r="K262" s="1239"/>
      <c r="L262" s="1239"/>
      <c r="M262" s="1239"/>
      <c r="N262" s="1239"/>
      <c r="O262" s="1239"/>
      <c r="P262" s="1240"/>
      <c r="Q262" s="1239"/>
      <c r="R262" s="1239"/>
      <c r="S262" s="1239"/>
      <c r="T262" s="1239"/>
      <c r="U262" s="1239"/>
      <c r="V262" s="1239"/>
      <c r="W262" s="1239"/>
      <c r="X262" s="1239"/>
      <c r="Y262" s="1239"/>
      <c r="Z262" s="1239"/>
      <c r="AA262" s="1239"/>
      <c r="AB262" s="1239"/>
      <c r="AC262" s="1239"/>
      <c r="AD262" s="1239"/>
      <c r="AE262" s="1239"/>
      <c r="AF262" s="1239"/>
      <c r="AG262" s="1239"/>
      <c r="AH262" s="1207"/>
    </row>
    <row r="263" spans="1:34" x14ac:dyDescent="0.2">
      <c r="A263" s="1236"/>
      <c r="B263" s="1237"/>
      <c r="C263" s="1237"/>
      <c r="D263" s="1237"/>
      <c r="E263" s="1237"/>
      <c r="F263" s="1237"/>
      <c r="G263" s="1237"/>
      <c r="H263" s="1237"/>
      <c r="I263" s="1237"/>
      <c r="J263" s="1237"/>
      <c r="K263" s="1237"/>
      <c r="L263" s="1237"/>
      <c r="M263" s="1237"/>
      <c r="N263" s="1237"/>
      <c r="O263" s="1237"/>
      <c r="P263" s="1241"/>
      <c r="Q263" s="1237"/>
      <c r="R263" s="1237"/>
      <c r="S263" s="1237"/>
      <c r="T263" s="1237"/>
      <c r="U263" s="1237"/>
      <c r="V263" s="1237"/>
      <c r="W263" s="1237"/>
      <c r="X263" s="1237"/>
      <c r="Y263" s="1237"/>
      <c r="Z263" s="1237"/>
      <c r="AA263" s="1237"/>
      <c r="AB263" s="1237"/>
      <c r="AC263" s="1237"/>
      <c r="AD263" s="1237"/>
      <c r="AE263" s="1237"/>
      <c r="AF263" s="1237"/>
      <c r="AG263" s="1237"/>
      <c r="AH263" s="1207"/>
    </row>
    <row r="264" spans="1:34" x14ac:dyDescent="0.2">
      <c r="A264" s="1236"/>
      <c r="B264" s="1237"/>
      <c r="C264" s="1239"/>
      <c r="D264" s="1239">
        <v>42461</v>
      </c>
      <c r="E264" s="1237"/>
      <c r="F264" s="1237"/>
      <c r="G264" s="1237"/>
      <c r="H264" s="1237"/>
      <c r="I264" s="1237"/>
      <c r="J264" s="1237"/>
      <c r="K264" s="1237"/>
      <c r="L264" s="1237"/>
      <c r="M264" s="1237"/>
      <c r="N264" s="1237"/>
      <c r="O264" s="1237"/>
      <c r="P264" s="1241"/>
      <c r="Q264" s="1237"/>
      <c r="R264" s="1237"/>
      <c r="S264" s="1237"/>
      <c r="T264" s="1237"/>
      <c r="U264" s="1237"/>
      <c r="V264" s="1237"/>
      <c r="W264" s="1237"/>
      <c r="X264" s="1237"/>
      <c r="Y264" s="1237"/>
      <c r="Z264" s="1237"/>
      <c r="AA264" s="1237"/>
      <c r="AB264" s="1237"/>
      <c r="AC264" s="1237"/>
      <c r="AD264" s="1237"/>
      <c r="AE264" s="1237"/>
      <c r="AF264" s="1237"/>
      <c r="AG264" s="1237"/>
      <c r="AH264" s="1207"/>
    </row>
    <row r="265" spans="1:34" x14ac:dyDescent="0.2">
      <c r="A265" s="1236"/>
      <c r="B265" s="1237"/>
      <c r="C265" s="1239"/>
      <c r="D265" s="1239"/>
      <c r="E265" s="1237"/>
      <c r="F265" s="1237"/>
      <c r="G265" s="1237"/>
      <c r="H265" s="1237"/>
      <c r="I265" s="1237"/>
      <c r="J265" s="1237"/>
      <c r="K265" s="1237"/>
      <c r="L265" s="1237"/>
      <c r="M265" s="1237"/>
      <c r="N265" s="1237"/>
      <c r="O265" s="1237"/>
      <c r="P265" s="1241"/>
      <c r="Q265" s="1237"/>
      <c r="R265" s="1237"/>
      <c r="S265" s="1237"/>
      <c r="T265" s="1237"/>
      <c r="U265" s="1237"/>
      <c r="V265" s="1237"/>
      <c r="W265" s="1237"/>
      <c r="X265" s="1237"/>
      <c r="Y265" s="1237"/>
      <c r="Z265" s="1237"/>
      <c r="AA265" s="1237"/>
      <c r="AB265" s="1237"/>
      <c r="AC265" s="1237"/>
      <c r="AD265" s="1237"/>
      <c r="AE265" s="1237"/>
      <c r="AF265" s="1237"/>
      <c r="AG265" s="1237"/>
      <c r="AH265" s="1207"/>
    </row>
    <row r="266" spans="1:34" ht="13.5" thickBot="1" x14ac:dyDescent="0.25">
      <c r="A266" s="1236"/>
      <c r="B266" s="1237"/>
      <c r="C266" s="1237"/>
      <c r="D266" s="1237"/>
      <c r="E266" s="1237"/>
      <c r="F266" s="1237"/>
      <c r="G266" s="1237"/>
      <c r="H266" s="1237"/>
      <c r="I266" s="1237"/>
      <c r="J266" s="1237"/>
      <c r="K266" s="1237"/>
      <c r="L266" s="1237"/>
      <c r="M266" s="1237"/>
      <c r="N266" s="1237"/>
      <c r="O266" s="1237"/>
      <c r="P266" s="1241"/>
      <c r="Q266" s="1237"/>
      <c r="R266" s="1237"/>
      <c r="S266" s="1237"/>
      <c r="T266" s="1237"/>
      <c r="U266" s="1237"/>
      <c r="V266" s="1237"/>
      <c r="W266" s="1237"/>
      <c r="X266" s="1237"/>
      <c r="Y266" s="1237"/>
      <c r="Z266" s="1237"/>
      <c r="AA266" s="1237"/>
      <c r="AB266" s="1237"/>
      <c r="AC266" s="1237"/>
      <c r="AD266" s="1237"/>
      <c r="AE266" s="1237"/>
      <c r="AF266" s="1237"/>
      <c r="AG266" s="1237"/>
      <c r="AH266" s="1207"/>
    </row>
    <row r="267" spans="1:34" ht="13.5" thickBot="1" x14ac:dyDescent="0.25">
      <c r="A267" s="1236"/>
      <c r="B267" s="1237"/>
      <c r="C267" s="1243"/>
      <c r="D267" s="1244" t="s">
        <v>16</v>
      </c>
      <c r="E267" s="1244"/>
      <c r="F267" s="1244"/>
      <c r="G267" s="1244"/>
      <c r="H267" s="1244"/>
      <c r="I267" s="1244"/>
      <c r="J267" s="1244"/>
      <c r="K267" s="1244"/>
      <c r="L267" s="1244"/>
      <c r="M267" s="1244"/>
      <c r="N267" s="1244"/>
      <c r="O267" s="1244"/>
      <c r="P267" s="1245"/>
      <c r="Q267" s="1244"/>
      <c r="R267" s="1244"/>
      <c r="S267" s="1244"/>
      <c r="T267" s="1244"/>
      <c r="U267" s="1244"/>
      <c r="V267" s="1244"/>
      <c r="W267" s="1244"/>
      <c r="X267" s="1244"/>
      <c r="Y267" s="1244"/>
      <c r="Z267" s="1244"/>
      <c r="AA267" s="1244"/>
      <c r="AB267" s="1244"/>
      <c r="AC267" s="1244"/>
      <c r="AD267" s="1244"/>
      <c r="AE267" s="1244"/>
      <c r="AF267" s="1244"/>
      <c r="AG267" s="1244"/>
      <c r="AH267" s="1207"/>
    </row>
    <row r="268" spans="1:34" ht="13.5" thickBot="1" x14ac:dyDescent="0.25">
      <c r="A268" s="1236"/>
      <c r="B268" s="1237"/>
      <c r="C268" s="1246" t="s">
        <v>452</v>
      </c>
      <c r="D268" s="1246" t="s">
        <v>453</v>
      </c>
      <c r="E268" s="1246" t="s">
        <v>434</v>
      </c>
      <c r="F268" s="1246" t="s">
        <v>390</v>
      </c>
      <c r="G268" s="1246" t="s">
        <v>454</v>
      </c>
      <c r="H268" s="1246" t="s">
        <v>455</v>
      </c>
      <c r="I268" s="1246" t="s">
        <v>456</v>
      </c>
      <c r="J268" s="1246" t="s">
        <v>457</v>
      </c>
      <c r="K268" s="1246" t="s">
        <v>458</v>
      </c>
      <c r="L268" s="1246" t="s">
        <v>216</v>
      </c>
      <c r="M268" s="1246" t="s">
        <v>459</v>
      </c>
      <c r="N268" s="1246" t="s">
        <v>297</v>
      </c>
      <c r="O268" s="1246" t="s">
        <v>211</v>
      </c>
      <c r="P268" s="1247" t="s">
        <v>270</v>
      </c>
      <c r="Q268" s="1246">
        <v>15</v>
      </c>
      <c r="R268" s="1246">
        <v>16</v>
      </c>
      <c r="S268" s="1246" t="s">
        <v>461</v>
      </c>
      <c r="T268" s="1246" t="s">
        <v>442</v>
      </c>
      <c r="U268" s="1246" t="s">
        <v>462</v>
      </c>
      <c r="V268" s="1246" t="s">
        <v>470</v>
      </c>
      <c r="W268" s="1246" t="s">
        <v>471</v>
      </c>
      <c r="X268" s="1246" t="s">
        <v>472</v>
      </c>
      <c r="Y268" s="1246" t="s">
        <v>463</v>
      </c>
      <c r="Z268" s="1246" t="s">
        <v>465</v>
      </c>
      <c r="AA268" s="1246" t="s">
        <v>466</v>
      </c>
      <c r="AB268" s="1246" t="s">
        <v>435</v>
      </c>
      <c r="AC268" s="1246" t="s">
        <v>467</v>
      </c>
      <c r="AD268" s="1246" t="s">
        <v>464</v>
      </c>
      <c r="AE268" s="1246" t="s">
        <v>429</v>
      </c>
      <c r="AF268" s="1246" t="s">
        <v>149</v>
      </c>
      <c r="AG268" s="1246" t="s">
        <v>210</v>
      </c>
      <c r="AH268" s="1207"/>
    </row>
    <row r="269" spans="1:34" x14ac:dyDescent="0.2">
      <c r="A269" s="1233"/>
      <c r="B269" s="1248"/>
      <c r="C269" s="1237"/>
      <c r="D269" s="1237"/>
      <c r="E269" s="1237"/>
      <c r="F269" s="1237"/>
      <c r="G269" s="1237"/>
      <c r="H269" s="1237"/>
      <c r="I269" s="1237"/>
      <c r="J269" s="1237"/>
      <c r="K269" s="1237"/>
      <c r="L269" s="1237"/>
      <c r="M269" s="1237"/>
      <c r="N269" s="1237"/>
      <c r="O269" s="1237"/>
      <c r="P269" s="1241"/>
      <c r="Q269" s="1237"/>
      <c r="R269" s="1237"/>
      <c r="S269" s="1237"/>
      <c r="T269" s="1237"/>
      <c r="U269" s="1237"/>
      <c r="V269" s="1237"/>
      <c r="W269" s="1237"/>
      <c r="X269" s="1237"/>
      <c r="Y269" s="1237"/>
      <c r="Z269" s="1237"/>
      <c r="AA269" s="1237"/>
      <c r="AB269" s="1237"/>
      <c r="AC269" s="1237"/>
      <c r="AD269" s="1237"/>
      <c r="AE269" s="1237"/>
      <c r="AF269" s="1237"/>
      <c r="AG269" s="1237"/>
      <c r="AH269" s="1207"/>
    </row>
    <row r="270" spans="1:34" x14ac:dyDescent="0.2">
      <c r="A270" s="1236" t="s">
        <v>0</v>
      </c>
      <c r="B270" s="1249">
        <v>22971.518</v>
      </c>
      <c r="C270" s="1237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41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07"/>
    </row>
    <row r="271" spans="1:34" ht="13.5" thickBot="1" x14ac:dyDescent="0.25">
      <c r="A271" s="1250"/>
      <c r="B271" s="1251"/>
      <c r="C271" s="1237"/>
      <c r="D271" s="1237"/>
      <c r="E271" s="1237"/>
      <c r="F271" s="1237"/>
      <c r="G271" s="1237"/>
      <c r="H271" s="1237"/>
      <c r="I271" s="1237"/>
      <c r="J271" s="1237"/>
      <c r="K271" s="1237"/>
      <c r="L271" s="1237"/>
      <c r="M271" s="1237"/>
      <c r="N271" s="1237"/>
      <c r="O271" s="1237"/>
      <c r="P271" s="1241"/>
      <c r="Q271" s="1237"/>
      <c r="R271" s="1237"/>
      <c r="S271" s="1237"/>
      <c r="T271" s="1237"/>
      <c r="U271" s="1237"/>
      <c r="V271" s="1237"/>
      <c r="W271" s="1237"/>
      <c r="X271" s="1237"/>
      <c r="Y271" s="1237"/>
      <c r="Z271" s="1237"/>
      <c r="AA271" s="1237"/>
      <c r="AB271" s="1237"/>
      <c r="AC271" s="1237"/>
      <c r="AD271" s="1237"/>
      <c r="AE271" s="1237"/>
      <c r="AF271" s="1237"/>
      <c r="AG271" s="1237"/>
      <c r="AH271" s="1207"/>
    </row>
    <row r="272" spans="1:34" x14ac:dyDescent="0.2">
      <c r="A272" s="1233"/>
      <c r="B272" s="1253"/>
      <c r="C272" s="1237"/>
      <c r="D272" s="1237"/>
      <c r="E272" s="1237"/>
      <c r="F272" s="1237"/>
      <c r="G272" s="1237"/>
      <c r="H272" s="1237"/>
      <c r="I272" s="1237"/>
      <c r="J272" s="1237"/>
      <c r="K272" s="1237"/>
      <c r="L272" s="1237"/>
      <c r="M272" s="1237"/>
      <c r="N272" s="1237"/>
      <c r="O272" s="1237"/>
      <c r="P272" s="1241"/>
      <c r="Q272" s="1237"/>
      <c r="R272" s="1237"/>
      <c r="S272" s="1237"/>
      <c r="T272" s="1237"/>
      <c r="U272" s="1237"/>
      <c r="V272" s="1237"/>
      <c r="W272" s="1237"/>
      <c r="X272" s="1237"/>
      <c r="Y272" s="1237"/>
      <c r="Z272" s="1237"/>
      <c r="AA272" s="1237"/>
      <c r="AB272" s="1237"/>
      <c r="AC272" s="1237"/>
      <c r="AD272" s="1237"/>
      <c r="AE272" s="1237"/>
      <c r="AF272" s="1237"/>
      <c r="AG272" s="1237"/>
      <c r="AH272" s="1207"/>
    </row>
    <row r="273" spans="1:34" x14ac:dyDescent="0.2">
      <c r="A273" s="1236" t="s">
        <v>1</v>
      </c>
      <c r="B273" s="1249">
        <f>B274+B275+B276</f>
        <v>0</v>
      </c>
      <c r="C273" s="1237"/>
      <c r="D273" s="1237"/>
      <c r="E273" s="1237"/>
      <c r="F273" s="1237"/>
      <c r="G273" s="1237"/>
      <c r="H273" s="1237"/>
      <c r="I273" s="1237"/>
      <c r="J273" s="1237"/>
      <c r="K273" s="1237"/>
      <c r="L273" s="1237"/>
      <c r="M273" s="1237"/>
      <c r="N273" s="1237"/>
      <c r="O273" s="1237"/>
      <c r="P273" s="1241"/>
      <c r="Q273" s="1237"/>
      <c r="R273" s="1237"/>
      <c r="S273" s="1237"/>
      <c r="T273" s="1237"/>
      <c r="U273" s="1237"/>
      <c r="V273" s="1237"/>
      <c r="W273" s="1237"/>
      <c r="X273" s="1237"/>
      <c r="Y273" s="1237"/>
      <c r="Z273" s="1237"/>
      <c r="AA273" s="1237"/>
      <c r="AB273" s="1237"/>
      <c r="AC273" s="1237"/>
      <c r="AD273" s="1237"/>
      <c r="AE273" s="1237"/>
      <c r="AF273" s="1237"/>
      <c r="AG273" s="1237"/>
      <c r="AH273" s="1207"/>
    </row>
    <row r="274" spans="1:34" x14ac:dyDescent="0.2">
      <c r="A274" s="1236" t="s">
        <v>38</v>
      </c>
      <c r="B274" s="1249">
        <f>C322</f>
        <v>0</v>
      </c>
      <c r="C274" s="1237"/>
      <c r="D274" s="1237"/>
      <c r="E274" s="1237"/>
      <c r="F274" s="1237"/>
      <c r="G274" s="1237"/>
      <c r="H274" s="1237"/>
      <c r="I274" s="1237"/>
      <c r="J274" s="1237"/>
      <c r="K274" s="1237"/>
      <c r="L274" s="1237"/>
      <c r="M274" s="1237"/>
      <c r="N274" s="1237"/>
      <c r="O274" s="1237"/>
      <c r="P274" s="1241"/>
      <c r="Q274" s="1237"/>
      <c r="R274" s="1237"/>
      <c r="S274" s="1237"/>
      <c r="T274" s="1237"/>
      <c r="U274" s="1237"/>
      <c r="V274" s="1237"/>
      <c r="W274" s="1237"/>
      <c r="X274" s="1237"/>
      <c r="Y274" s="1237"/>
      <c r="Z274" s="1237"/>
      <c r="AA274" s="1237"/>
      <c r="AB274" s="1237"/>
      <c r="AC274" s="1237"/>
      <c r="AD274" s="1237"/>
      <c r="AE274" s="1237"/>
      <c r="AF274" s="1237"/>
      <c r="AG274" s="1237"/>
      <c r="AH274" s="1207"/>
    </row>
    <row r="275" spans="1:34" x14ac:dyDescent="0.2">
      <c r="A275" s="1236" t="s">
        <v>39</v>
      </c>
      <c r="B275" s="1249">
        <f>C345</f>
        <v>0</v>
      </c>
      <c r="C275" s="1237"/>
      <c r="D275" s="1237"/>
      <c r="E275" s="1237"/>
      <c r="F275" s="1237"/>
      <c r="G275" s="1237"/>
      <c r="H275" s="1237"/>
      <c r="I275" s="1237"/>
      <c r="J275" s="1237"/>
      <c r="K275" s="1237"/>
      <c r="L275" s="1237"/>
      <c r="M275" s="1237"/>
      <c r="N275" s="1237"/>
      <c r="O275" s="1237"/>
      <c r="P275" s="1241"/>
      <c r="Q275" s="1237"/>
      <c r="R275" s="1237"/>
      <c r="S275" s="1237"/>
      <c r="T275" s="1237"/>
      <c r="U275" s="1237"/>
      <c r="V275" s="1237"/>
      <c r="W275" s="1237"/>
      <c r="X275" s="1237"/>
      <c r="Y275" s="1237"/>
      <c r="Z275" s="1237"/>
      <c r="AA275" s="1237"/>
      <c r="AB275" s="1237"/>
      <c r="AC275" s="1237"/>
      <c r="AD275" s="1237"/>
      <c r="AE275" s="1237"/>
      <c r="AF275" s="1237"/>
      <c r="AG275" s="1237"/>
      <c r="AH275" s="1207"/>
    </row>
    <row r="276" spans="1:34" x14ac:dyDescent="0.2">
      <c r="A276" s="1236" t="s">
        <v>3</v>
      </c>
      <c r="B276" s="1249"/>
      <c r="C276" s="1237"/>
      <c r="D276" s="1237"/>
      <c r="E276" s="1237"/>
      <c r="F276" s="1237"/>
      <c r="G276" s="1237"/>
      <c r="H276" s="1237"/>
      <c r="I276" s="1237"/>
      <c r="J276" s="1237"/>
      <c r="K276" s="1237"/>
      <c r="L276" s="1237"/>
      <c r="M276" s="1237"/>
      <c r="N276" s="1237"/>
      <c r="O276" s="1237"/>
      <c r="P276" s="1241"/>
      <c r="Q276" s="1237"/>
      <c r="R276" s="1237"/>
      <c r="S276" s="1237"/>
      <c r="T276" s="1237"/>
      <c r="U276" s="1237"/>
      <c r="V276" s="1237"/>
      <c r="W276" s="1237"/>
      <c r="X276" s="1237"/>
      <c r="Y276" s="1237"/>
      <c r="Z276" s="1237"/>
      <c r="AA276" s="1237"/>
      <c r="AB276" s="1237"/>
      <c r="AC276" s="1237"/>
      <c r="AD276" s="1237"/>
      <c r="AE276" s="1237"/>
      <c r="AF276" s="1237"/>
      <c r="AG276" s="1237"/>
      <c r="AH276" s="1207"/>
    </row>
    <row r="277" spans="1:34" ht="13.5" thickBot="1" x14ac:dyDescent="0.25">
      <c r="A277" s="1250"/>
      <c r="B277" s="1251"/>
      <c r="C277" s="1237"/>
      <c r="D277" s="1237"/>
      <c r="E277" s="1237"/>
      <c r="F277" s="1237"/>
      <c r="G277" s="1237"/>
      <c r="H277" s="1237"/>
      <c r="I277" s="1237"/>
      <c r="J277" s="1237"/>
      <c r="K277" s="1237"/>
      <c r="L277" s="1237"/>
      <c r="M277" s="1237"/>
      <c r="N277" s="1237"/>
      <c r="O277" s="1237"/>
      <c r="P277" s="1241"/>
      <c r="Q277" s="1237"/>
      <c r="R277" s="1237"/>
      <c r="S277" s="1237"/>
      <c r="T277" s="1237"/>
      <c r="U277" s="1237"/>
      <c r="V277" s="1237"/>
      <c r="W277" s="1237"/>
      <c r="X277" s="1237"/>
      <c r="Y277" s="1237"/>
      <c r="Z277" s="1237"/>
      <c r="AA277" s="1237"/>
      <c r="AB277" s="1237"/>
      <c r="AC277" s="1237"/>
      <c r="AD277" s="1237"/>
      <c r="AE277" s="1237"/>
      <c r="AF277" s="1237"/>
      <c r="AG277" s="1237"/>
      <c r="AH277" s="1207"/>
    </row>
    <row r="278" spans="1:34" x14ac:dyDescent="0.2">
      <c r="A278" s="1233"/>
      <c r="B278" s="1253"/>
      <c r="C278" s="1237"/>
      <c r="D278" s="1237"/>
      <c r="E278" s="1237"/>
      <c r="F278" s="1237"/>
      <c r="G278" s="1237"/>
      <c r="H278" s="1237"/>
      <c r="I278" s="1237"/>
      <c r="J278" s="1237"/>
      <c r="K278" s="1237"/>
      <c r="L278" s="1237"/>
      <c r="M278" s="1237"/>
      <c r="N278" s="1237"/>
      <c r="O278" s="1237"/>
      <c r="P278" s="1241"/>
      <c r="Q278" s="1237"/>
      <c r="R278" s="1237"/>
      <c r="S278" s="1237"/>
      <c r="T278" s="1237"/>
      <c r="U278" s="1237"/>
      <c r="V278" s="1237"/>
      <c r="W278" s="1237"/>
      <c r="X278" s="1237"/>
      <c r="Y278" s="1237"/>
      <c r="Z278" s="1237"/>
      <c r="AA278" s="1237"/>
      <c r="AB278" s="1237"/>
      <c r="AC278" s="1237"/>
      <c r="AD278" s="1237"/>
      <c r="AE278" s="1237"/>
      <c r="AF278" s="1237"/>
      <c r="AG278" s="1237"/>
      <c r="AH278" s="1207"/>
    </row>
    <row r="279" spans="1:34" x14ac:dyDescent="0.2">
      <c r="A279" s="1236" t="s">
        <v>4</v>
      </c>
      <c r="B279" s="1249">
        <f>B270-B273</f>
        <v>22971.518</v>
      </c>
      <c r="C279" s="1237"/>
      <c r="D279" s="1237"/>
      <c r="E279" s="1237"/>
      <c r="F279" s="1237"/>
      <c r="G279" s="1237"/>
      <c r="H279" s="1237"/>
      <c r="I279" s="1237"/>
      <c r="J279" s="1237"/>
      <c r="K279" s="1237"/>
      <c r="L279" s="1237"/>
      <c r="M279" s="1237"/>
      <c r="N279" s="1237"/>
      <c r="O279" s="1237"/>
      <c r="P279" s="1241"/>
      <c r="Q279" s="1237"/>
      <c r="R279" s="1237"/>
      <c r="S279" s="1237"/>
      <c r="T279" s="1237"/>
      <c r="U279" s="1237"/>
      <c r="V279" s="1237"/>
      <c r="W279" s="1237"/>
      <c r="X279" s="1237"/>
      <c r="Y279" s="1237"/>
      <c r="Z279" s="1237"/>
      <c r="AA279" s="1237"/>
      <c r="AB279" s="1237"/>
      <c r="AC279" s="1237"/>
      <c r="AD279" s="1237"/>
      <c r="AE279" s="1237"/>
      <c r="AF279" s="1237"/>
      <c r="AG279" s="1237"/>
      <c r="AH279" s="1207"/>
    </row>
    <row r="280" spans="1:34" ht="21" thickBot="1" x14ac:dyDescent="0.35">
      <c r="A280" s="1250"/>
      <c r="B280" s="1251"/>
      <c r="C280" s="1237"/>
      <c r="D280" s="1237"/>
      <c r="E280" s="1237"/>
      <c r="F280" s="1393"/>
      <c r="G280" s="1237"/>
      <c r="H280" s="1237"/>
      <c r="I280" s="1237"/>
      <c r="J280" s="1237"/>
      <c r="K280" s="1237"/>
      <c r="L280" s="1237"/>
      <c r="M280" s="1237"/>
      <c r="N280" s="1237"/>
      <c r="O280" s="1237"/>
      <c r="P280" s="1241"/>
      <c r="Q280" s="1237"/>
      <c r="R280" s="1237"/>
      <c r="S280" s="1237"/>
      <c r="T280" s="1237"/>
      <c r="U280" s="1237"/>
      <c r="V280" s="1237"/>
      <c r="W280" s="1237"/>
      <c r="X280" s="1237"/>
      <c r="Y280" s="1237"/>
      <c r="Z280" s="1237"/>
      <c r="AA280" s="1237"/>
      <c r="AB280" s="1237"/>
      <c r="AC280" s="1237"/>
      <c r="AD280" s="1237"/>
      <c r="AE280" s="1237"/>
      <c r="AF280" s="1237"/>
      <c r="AG280" s="1237"/>
      <c r="AH280" s="1207"/>
    </row>
    <row r="281" spans="1:34" x14ac:dyDescent="0.2">
      <c r="A281" s="1233"/>
      <c r="B281" s="1253"/>
      <c r="C281" s="1237"/>
      <c r="D281" s="1237"/>
      <c r="E281" s="1237"/>
      <c r="F281" s="1237"/>
      <c r="G281" s="1237"/>
      <c r="H281" s="1237"/>
      <c r="I281" s="1237"/>
      <c r="J281" s="1237"/>
      <c r="K281" s="1237"/>
      <c r="L281" s="1237"/>
      <c r="M281" s="1237"/>
      <c r="N281" s="1237"/>
      <c r="O281" s="1237"/>
      <c r="P281" s="1241"/>
      <c r="Q281" s="1237"/>
      <c r="R281" s="1237"/>
      <c r="S281" s="1237"/>
      <c r="T281" s="1237"/>
      <c r="U281" s="1237"/>
      <c r="V281" s="1237"/>
      <c r="W281" s="1237"/>
      <c r="X281" s="1237"/>
      <c r="Y281" s="1237"/>
      <c r="Z281" s="1237"/>
      <c r="AA281" s="1237"/>
      <c r="AB281" s="1237"/>
      <c r="AC281" s="1237"/>
      <c r="AD281" s="1237"/>
      <c r="AE281" s="1237"/>
      <c r="AF281" s="1237"/>
      <c r="AG281" s="1237"/>
      <c r="AH281" s="1207"/>
    </row>
    <row r="282" spans="1:34" x14ac:dyDescent="0.2">
      <c r="A282" s="1236" t="s">
        <v>17</v>
      </c>
      <c r="B282" s="1249"/>
      <c r="C282" s="1237"/>
      <c r="D282" s="1237"/>
      <c r="E282" s="1237"/>
      <c r="F282" s="1237"/>
      <c r="G282" s="1237"/>
      <c r="H282" s="1237"/>
      <c r="I282" s="1237"/>
      <c r="J282" s="1237"/>
      <c r="K282" s="1237"/>
      <c r="L282" s="1237"/>
      <c r="M282" s="1237"/>
      <c r="N282" s="1237"/>
      <c r="O282" s="1237"/>
      <c r="P282" s="1241"/>
      <c r="Q282" s="1237"/>
      <c r="R282" s="1237"/>
      <c r="S282" s="1237"/>
      <c r="T282" s="1237"/>
      <c r="U282" s="1237"/>
      <c r="V282" s="1237"/>
      <c r="W282" s="1237"/>
      <c r="X282" s="1237"/>
      <c r="Y282" s="1237"/>
      <c r="Z282" s="1237"/>
      <c r="AA282" s="1237"/>
      <c r="AB282" s="1237"/>
      <c r="AC282" s="1237"/>
      <c r="AD282" s="1237"/>
      <c r="AE282" s="1237"/>
      <c r="AF282" s="1237"/>
      <c r="AG282" s="1237"/>
      <c r="AH282" s="1207"/>
    </row>
    <row r="283" spans="1:34" ht="13.5" thickBot="1" x14ac:dyDescent="0.25">
      <c r="A283" s="1250"/>
      <c r="B283" s="1251"/>
      <c r="C283" s="1237"/>
      <c r="D283" s="1237"/>
      <c r="E283" s="1237"/>
      <c r="F283" s="1237"/>
      <c r="G283" s="1237"/>
      <c r="H283" s="1237"/>
      <c r="I283" s="1237"/>
      <c r="J283" s="1237"/>
      <c r="K283" s="1237"/>
      <c r="L283" s="1237"/>
      <c r="M283" s="1237"/>
      <c r="N283" s="1237"/>
      <c r="O283" s="1237"/>
      <c r="P283" s="1241"/>
      <c r="Q283" s="1237"/>
      <c r="R283" s="1237"/>
      <c r="S283" s="1237"/>
      <c r="T283" s="1237"/>
      <c r="U283" s="1237"/>
      <c r="V283" s="1237"/>
      <c r="W283" s="1237"/>
      <c r="X283" s="1258"/>
      <c r="Y283" s="1237"/>
      <c r="Z283" s="1237"/>
      <c r="AA283" s="1237"/>
      <c r="AB283" s="1237"/>
      <c r="AC283" s="1237"/>
      <c r="AD283" s="1237"/>
      <c r="AE283" s="1237"/>
      <c r="AF283" s="1211"/>
      <c r="AG283" s="1237"/>
      <c r="AH283" s="1207"/>
    </row>
    <row r="284" spans="1:34" ht="23.25" x14ac:dyDescent="0.35">
      <c r="A284" s="1233"/>
      <c r="B284" s="1253"/>
      <c r="D284" s="1237"/>
      <c r="E284" s="1211"/>
      <c r="F284" s="1750"/>
      <c r="G284" s="1750"/>
      <c r="H284" s="1237"/>
      <c r="I284" s="1370"/>
      <c r="J284" s="1237"/>
      <c r="K284" s="1394"/>
      <c r="L284" s="1237"/>
      <c r="M284" s="1237"/>
      <c r="N284" s="1237"/>
      <c r="O284" s="1237"/>
      <c r="P284" s="1241"/>
      <c r="R284" s="1237"/>
      <c r="S284" s="1748"/>
      <c r="T284" s="1748"/>
      <c r="U284" s="1748"/>
      <c r="V284" s="1748"/>
      <c r="W284" s="1748"/>
      <c r="X284" s="1748"/>
      <c r="Y284" s="1211"/>
      <c r="Z284" s="1211"/>
      <c r="AA284" s="1211"/>
      <c r="AB284" s="1237"/>
      <c r="AC284" s="1237"/>
      <c r="AD284" s="1237"/>
      <c r="AE284" s="1237"/>
      <c r="AF284" s="1211"/>
      <c r="AH284" s="1207"/>
    </row>
    <row r="285" spans="1:34" x14ac:dyDescent="0.2">
      <c r="A285" s="1236" t="s">
        <v>5</v>
      </c>
      <c r="B285" s="1249">
        <f>B279-B282</f>
        <v>22971.518</v>
      </c>
      <c r="C285" s="1392" t="s">
        <v>208</v>
      </c>
      <c r="D285" s="1211"/>
      <c r="E285" s="1371" t="s">
        <v>1296</v>
      </c>
      <c r="F285" s="1211"/>
      <c r="G285" s="1463"/>
      <c r="H285" s="1211"/>
      <c r="I285" s="1211" t="s">
        <v>171</v>
      </c>
      <c r="J285" s="1211"/>
      <c r="K285" s="1211"/>
      <c r="L285" s="1211"/>
      <c r="M285" s="1211"/>
      <c r="N285" s="1211" t="s">
        <v>187</v>
      </c>
      <c r="O285" s="1211"/>
      <c r="P285" s="1212" t="s">
        <v>379</v>
      </c>
      <c r="Q285" s="1467" t="s">
        <v>171</v>
      </c>
      <c r="R285" s="1211"/>
      <c r="S285" s="1212"/>
      <c r="T285" s="1211" t="s">
        <v>1294</v>
      </c>
      <c r="U285" s="1478" t="s">
        <v>1304</v>
      </c>
      <c r="V285" s="1211" t="s">
        <v>1289</v>
      </c>
      <c r="W285" s="1237"/>
      <c r="X285" s="1256"/>
      <c r="Y285" s="1211"/>
      <c r="Z285" s="1212"/>
      <c r="AA285" s="1212"/>
      <c r="AB285" s="1212"/>
      <c r="AC285" s="1395"/>
      <c r="AD285" s="1395"/>
      <c r="AE285" s="1479"/>
      <c r="AF285" s="1211" t="s">
        <v>969</v>
      </c>
      <c r="AG285" s="1370" t="s">
        <v>1046</v>
      </c>
      <c r="AH285" s="1207"/>
    </row>
    <row r="286" spans="1:34" ht="13.5" thickBot="1" x14ac:dyDescent="0.25">
      <c r="A286" s="1250"/>
      <c r="B286" s="1251"/>
      <c r="C286" s="1237"/>
      <c r="D286" s="1237"/>
      <c r="E286" s="1237"/>
      <c r="F286" s="1237"/>
      <c r="G286" s="1237"/>
      <c r="H286" s="1237"/>
      <c r="I286" s="1237"/>
      <c r="J286" s="1237"/>
      <c r="K286" s="1237"/>
      <c r="L286" s="1237"/>
      <c r="M286" s="1211"/>
      <c r="N286" s="1237"/>
      <c r="O286" s="1237"/>
      <c r="P286" s="1241"/>
      <c r="Q286" s="1237"/>
      <c r="R286" s="1237"/>
      <c r="S286" s="1237"/>
      <c r="T286" s="1237"/>
      <c r="U286" s="1237"/>
      <c r="V286" s="1237"/>
      <c r="W286" s="1237"/>
      <c r="X286" s="1237"/>
      <c r="Y286" s="1237"/>
      <c r="Z286" s="1237"/>
      <c r="AA286" s="1237"/>
      <c r="AB286" s="1237"/>
      <c r="AC286" s="1237"/>
      <c r="AD286" s="1237"/>
      <c r="AE286" s="1237"/>
      <c r="AF286" s="1237"/>
      <c r="AG286" s="1237"/>
      <c r="AH286" s="1207"/>
    </row>
    <row r="287" spans="1:34" x14ac:dyDescent="0.2">
      <c r="A287" s="1269"/>
      <c r="B287" s="1237"/>
      <c r="C287" s="1270"/>
      <c r="D287" s="1272"/>
      <c r="E287" s="1272"/>
      <c r="F287" s="1271"/>
      <c r="G287" s="1271"/>
      <c r="H287" s="1271"/>
      <c r="I287" s="1271"/>
      <c r="J287" s="1271"/>
      <c r="K287" s="1271"/>
      <c r="L287" s="1271"/>
      <c r="M287" s="1271"/>
      <c r="N287" s="1271"/>
      <c r="O287" s="1271"/>
      <c r="P287" s="1273"/>
      <c r="Q287" s="1271"/>
      <c r="R287" s="1271"/>
      <c r="S287" s="1271"/>
      <c r="T287" s="1271"/>
      <c r="U287" s="1271"/>
      <c r="V287" s="1271"/>
      <c r="W287" s="1271"/>
      <c r="X287" s="1271"/>
      <c r="Y287" s="1271"/>
      <c r="Z287" s="1271"/>
      <c r="AA287" s="1271"/>
      <c r="AB287" s="1271"/>
      <c r="AC287" s="1271"/>
      <c r="AD287" s="1271"/>
      <c r="AE287" s="1271"/>
      <c r="AF287" s="1271"/>
      <c r="AG287" s="1271"/>
      <c r="AH287" s="1207"/>
    </row>
    <row r="288" spans="1:34" ht="13.5" thickBot="1" x14ac:dyDescent="0.25">
      <c r="A288" s="1274" t="s">
        <v>7</v>
      </c>
      <c r="B288" s="1237"/>
      <c r="C288" s="1275">
        <f t="shared" ref="C288:AG288" si="29">C289+C290+C291+C293+C292</f>
        <v>0.27200000000084401</v>
      </c>
      <c r="D288" s="1275">
        <f t="shared" si="29"/>
        <v>0</v>
      </c>
      <c r="E288" s="1275">
        <f t="shared" si="29"/>
        <v>0</v>
      </c>
      <c r="F288" s="1275">
        <f t="shared" si="29"/>
        <v>0</v>
      </c>
      <c r="G288" s="1275">
        <f t="shared" si="29"/>
        <v>0</v>
      </c>
      <c r="H288" s="1275">
        <f t="shared" si="29"/>
        <v>0</v>
      </c>
      <c r="I288" s="1275">
        <f t="shared" si="29"/>
        <v>0</v>
      </c>
      <c r="J288" s="1275">
        <f t="shared" si="29"/>
        <v>0</v>
      </c>
      <c r="K288" s="1275">
        <f t="shared" si="29"/>
        <v>0</v>
      </c>
      <c r="L288" s="1275">
        <f t="shared" si="29"/>
        <v>0</v>
      </c>
      <c r="M288" s="1275">
        <f t="shared" si="29"/>
        <v>0</v>
      </c>
      <c r="N288" s="1275">
        <f t="shared" si="29"/>
        <v>0</v>
      </c>
      <c r="O288" s="1275">
        <f t="shared" si="29"/>
        <v>0</v>
      </c>
      <c r="P288" s="1276">
        <f t="shared" si="29"/>
        <v>0</v>
      </c>
      <c r="Q288" s="1275">
        <f t="shared" si="29"/>
        <v>0</v>
      </c>
      <c r="R288" s="1275">
        <f t="shared" si="29"/>
        <v>0</v>
      </c>
      <c r="S288" s="1275">
        <f t="shared" si="29"/>
        <v>0</v>
      </c>
      <c r="T288" s="1275">
        <f t="shared" si="29"/>
        <v>5700</v>
      </c>
      <c r="U288" s="1275">
        <f t="shared" si="29"/>
        <v>0</v>
      </c>
      <c r="V288" s="1275">
        <f>V289+V290+V291+V293+V292</f>
        <v>0</v>
      </c>
      <c r="W288" s="1275">
        <f t="shared" si="29"/>
        <v>0</v>
      </c>
      <c r="X288" s="1275">
        <f t="shared" si="29"/>
        <v>0</v>
      </c>
      <c r="Y288" s="1275">
        <f t="shared" si="29"/>
        <v>0</v>
      </c>
      <c r="Z288" s="1275">
        <f t="shared" si="29"/>
        <v>0</v>
      </c>
      <c r="AA288" s="1275">
        <f t="shared" si="29"/>
        <v>0</v>
      </c>
      <c r="AB288" s="1275">
        <f t="shared" si="29"/>
        <v>0</v>
      </c>
      <c r="AC288" s="1275">
        <f t="shared" si="29"/>
        <v>0</v>
      </c>
      <c r="AD288" s="1275">
        <f t="shared" si="29"/>
        <v>0</v>
      </c>
      <c r="AE288" s="1275">
        <f t="shared" si="29"/>
        <v>0</v>
      </c>
      <c r="AF288" s="1275">
        <f t="shared" si="29"/>
        <v>0</v>
      </c>
      <c r="AG288" s="1275">
        <f t="shared" si="29"/>
        <v>40490.739000000001</v>
      </c>
      <c r="AH288" s="1227">
        <f>SUM(C288:AG288)</f>
        <v>46191.010999999999</v>
      </c>
    </row>
    <row r="289" spans="1:34" x14ac:dyDescent="0.2">
      <c r="A289" s="1274" t="s">
        <v>8</v>
      </c>
      <c r="B289" s="1389"/>
      <c r="C289" s="1302"/>
      <c r="D289" s="1302"/>
      <c r="E289" s="1396"/>
      <c r="F289" s="1303"/>
      <c r="G289" s="1303"/>
      <c r="H289" s="1303"/>
      <c r="I289" s="1319"/>
      <c r="J289" s="1303"/>
      <c r="K289" s="1303"/>
      <c r="L289" s="1303"/>
      <c r="M289" s="1303"/>
      <c r="N289" s="1303"/>
      <c r="O289" s="1303"/>
      <c r="P289" s="1304"/>
      <c r="Q289" s="1303"/>
      <c r="R289" s="1303"/>
      <c r="S289" s="1303"/>
      <c r="T289" s="1303"/>
      <c r="U289" s="1303"/>
      <c r="V289" s="1303"/>
      <c r="W289" s="1303"/>
      <c r="X289" s="1303"/>
      <c r="Y289" s="1303"/>
      <c r="Z289" s="1303"/>
      <c r="AA289" s="1303"/>
      <c r="AB289" s="1303"/>
      <c r="AC289" s="1303"/>
      <c r="AD289" s="1303"/>
      <c r="AE289" s="1303"/>
      <c r="AF289" s="1303"/>
      <c r="AG289" s="1397"/>
      <c r="AH289" s="1227">
        <f>SUM(C289:AG289)</f>
        <v>0</v>
      </c>
    </row>
    <row r="290" spans="1:34" x14ac:dyDescent="0.2">
      <c r="A290" s="1274" t="s">
        <v>9</v>
      </c>
      <c r="B290" s="1389"/>
      <c r="C290" s="1282"/>
      <c r="D290" s="1282"/>
      <c r="E290" s="1282"/>
      <c r="F290" s="1282"/>
      <c r="G290" s="1282"/>
      <c r="H290" s="1282"/>
      <c r="I290" s="1282"/>
      <c r="J290" s="1282"/>
      <c r="K290" s="1282"/>
      <c r="L290" s="1282"/>
      <c r="M290" s="1282"/>
      <c r="N290" s="1282"/>
      <c r="O290" s="1282"/>
      <c r="P290" s="1282"/>
      <c r="Q290" s="1282"/>
      <c r="R290" s="1282"/>
      <c r="S290" s="1282"/>
      <c r="T290" s="1282"/>
      <c r="U290" s="1282"/>
      <c r="V290" s="1282"/>
      <c r="W290" s="1282"/>
      <c r="X290" s="1282"/>
      <c r="Y290" s="1282"/>
      <c r="Z290" s="1282"/>
      <c r="AA290" s="1282"/>
      <c r="AB290" s="1282"/>
      <c r="AC290" s="1282"/>
      <c r="AD290" s="1282"/>
      <c r="AE290" s="1282"/>
      <c r="AF290" s="1282"/>
      <c r="AG290" s="1282">
        <v>40490.739000000001</v>
      </c>
      <c r="AH290" s="1227">
        <f>SUM(C290:AG290)</f>
        <v>40490.739000000001</v>
      </c>
    </row>
    <row r="291" spans="1:34" s="1289" customFormat="1" x14ac:dyDescent="0.2">
      <c r="A291" s="1285" t="s">
        <v>10</v>
      </c>
      <c r="B291" s="1372"/>
      <c r="C291" s="1398"/>
      <c r="D291" s="1374"/>
      <c r="E291" s="1374"/>
      <c r="F291" s="1375"/>
      <c r="G291" s="1375"/>
      <c r="H291" s="1375"/>
      <c r="I291" s="1375"/>
      <c r="J291" s="1375"/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>
        <v>5700</v>
      </c>
      <c r="U291" s="1375"/>
      <c r="V291" s="1375"/>
      <c r="W291" s="1375"/>
      <c r="X291" s="1376"/>
      <c r="Y291" s="1375"/>
      <c r="Z291" s="1390"/>
      <c r="AA291" s="1399"/>
      <c r="AB291" s="1375"/>
      <c r="AC291" s="1375"/>
      <c r="AD291" s="1377"/>
      <c r="AE291" s="1375"/>
      <c r="AF291" s="1375"/>
      <c r="AG291" s="1375"/>
      <c r="AH291" s="1231">
        <f>SUM(C291:AG291)</f>
        <v>5700</v>
      </c>
    </row>
    <row r="292" spans="1:34" s="1289" customFormat="1" x14ac:dyDescent="0.2">
      <c r="A292" s="1285" t="s">
        <v>356</v>
      </c>
      <c r="B292" s="1372"/>
      <c r="C292" s="1292">
        <v>23955.272000000001</v>
      </c>
      <c r="D292" s="1292"/>
      <c r="E292" s="1292"/>
      <c r="F292" s="1292"/>
      <c r="G292" s="1466"/>
      <c r="H292" s="1292"/>
      <c r="I292" s="1292">
        <v>50017</v>
      </c>
      <c r="J292" s="1292"/>
      <c r="K292" s="1292"/>
      <c r="L292" s="1292"/>
      <c r="M292" s="1292"/>
      <c r="N292" s="1292"/>
      <c r="O292" s="1292"/>
      <c r="P292" s="1292"/>
      <c r="Q292" s="1466"/>
      <c r="R292" s="1292"/>
      <c r="S292" s="1292"/>
      <c r="T292" s="1292"/>
      <c r="U292" s="1292"/>
      <c r="V292" s="1292"/>
      <c r="W292" s="1292"/>
      <c r="X292" s="1292"/>
      <c r="Y292" s="1292"/>
      <c r="Z292" s="1292"/>
      <c r="AA292" s="1292"/>
      <c r="AB292" s="1292"/>
      <c r="AC292" s="1292"/>
      <c r="AD292" s="1292"/>
      <c r="AE292" s="1292"/>
      <c r="AF292" s="1292"/>
      <c r="AG292" s="1292"/>
      <c r="AH292" s="1456">
        <f>SUM(C292:AG292)</f>
        <v>73972.271999999997</v>
      </c>
    </row>
    <row r="293" spans="1:34" x14ac:dyDescent="0.2">
      <c r="A293" s="1274" t="s">
        <v>11</v>
      </c>
      <c r="B293" s="1237"/>
      <c r="C293" s="1302">
        <v>-23955</v>
      </c>
      <c r="D293" s="1306"/>
      <c r="E293" s="1400"/>
      <c r="F293" s="1304"/>
      <c r="G293" s="1304"/>
      <c r="H293" s="1304"/>
      <c r="I293" s="1304">
        <v>-50017</v>
      </c>
      <c r="J293" s="1319"/>
      <c r="K293" s="1304"/>
      <c r="L293" s="1304"/>
      <c r="M293" s="1304"/>
      <c r="N293" s="1304"/>
      <c r="O293" s="1304"/>
      <c r="P293" s="1318"/>
      <c r="Q293" s="1318"/>
      <c r="R293" s="1304"/>
      <c r="S293" s="1318"/>
      <c r="T293" s="1304"/>
      <c r="U293" s="1304"/>
      <c r="V293" s="1319"/>
      <c r="W293" s="1319"/>
      <c r="X293" s="1317"/>
      <c r="Y293" s="1318"/>
      <c r="Z293" s="1319"/>
      <c r="AA293" s="1317"/>
      <c r="AB293" s="1319"/>
      <c r="AC293" s="1304"/>
      <c r="AD293" s="1319"/>
      <c r="AE293" s="1304"/>
      <c r="AF293" s="1304"/>
      <c r="AG293" s="1454"/>
      <c r="AH293" s="1207"/>
    </row>
    <row r="294" spans="1:34" ht="13.5" thickBot="1" x14ac:dyDescent="0.25">
      <c r="A294" s="1294"/>
      <c r="B294" s="1237"/>
      <c r="C294" s="1302"/>
      <c r="D294" s="1302"/>
      <c r="E294" s="1302"/>
      <c r="F294" s="1303"/>
      <c r="G294" s="1303"/>
      <c r="H294" s="1303"/>
      <c r="I294" s="1303"/>
      <c r="J294" s="1303"/>
      <c r="K294" s="1303"/>
      <c r="L294" s="1303"/>
      <c r="M294" s="1303"/>
      <c r="N294" s="1303"/>
      <c r="O294" s="1303"/>
      <c r="P294" s="1304"/>
      <c r="Q294" s="1303"/>
      <c r="R294" s="1303"/>
      <c r="S294" s="1303"/>
      <c r="T294" s="1303"/>
      <c r="U294" s="1303"/>
      <c r="V294" s="1303"/>
      <c r="W294" s="1303"/>
      <c r="X294" s="1303"/>
      <c r="Y294" s="1303"/>
      <c r="Z294" s="1303"/>
      <c r="AA294" s="1303"/>
      <c r="AB294" s="1303"/>
      <c r="AC294" s="1303"/>
      <c r="AD294" s="1303"/>
      <c r="AE294" s="1303"/>
      <c r="AF294" s="1303"/>
      <c r="AG294" s="1303"/>
      <c r="AH294" s="1207"/>
    </row>
    <row r="295" spans="1:34" x14ac:dyDescent="0.2">
      <c r="A295" s="1269"/>
      <c r="B295" s="1237"/>
      <c r="C295" s="1296"/>
      <c r="D295" s="1297"/>
      <c r="E295" s="1297"/>
      <c r="F295" s="1298"/>
      <c r="G295" s="1298"/>
      <c r="H295" s="1298"/>
      <c r="I295" s="1298"/>
      <c r="J295" s="1298"/>
      <c r="K295" s="1298"/>
      <c r="L295" s="1298"/>
      <c r="M295" s="1298"/>
      <c r="N295" s="1298"/>
      <c r="O295" s="1298"/>
      <c r="P295" s="1299"/>
      <c r="Q295" s="1298"/>
      <c r="R295" s="1298"/>
      <c r="S295" s="1298"/>
      <c r="T295" s="1298"/>
      <c r="U295" s="1298"/>
      <c r="V295" s="1298"/>
      <c r="W295" s="1298"/>
      <c r="X295" s="1298"/>
      <c r="Y295" s="1298"/>
      <c r="Z295" s="1298"/>
      <c r="AA295" s="1298"/>
      <c r="AB295" s="1298"/>
      <c r="AC295" s="1298"/>
      <c r="AD295" s="1298"/>
      <c r="AE295" s="1298"/>
      <c r="AF295" s="1298"/>
      <c r="AG295" s="1298"/>
      <c r="AH295" s="1207"/>
    </row>
    <row r="296" spans="1:34" ht="13.5" thickBot="1" x14ac:dyDescent="0.25">
      <c r="A296" s="1274" t="s">
        <v>12</v>
      </c>
      <c r="B296" s="1237"/>
      <c r="C296" s="1275">
        <f t="shared" ref="C296:AG296" si="30">C297</f>
        <v>0</v>
      </c>
      <c r="D296" s="1275">
        <f t="shared" si="30"/>
        <v>0</v>
      </c>
      <c r="E296" s="1275">
        <f t="shared" si="30"/>
        <v>0</v>
      </c>
      <c r="F296" s="1275">
        <f t="shared" si="30"/>
        <v>0</v>
      </c>
      <c r="G296" s="1275">
        <f t="shared" si="30"/>
        <v>0</v>
      </c>
      <c r="H296" s="1275">
        <f t="shared" si="30"/>
        <v>0</v>
      </c>
      <c r="I296" s="1275">
        <f t="shared" si="30"/>
        <v>0</v>
      </c>
      <c r="J296" s="1275">
        <f t="shared" si="30"/>
        <v>0</v>
      </c>
      <c r="K296" s="1275">
        <f t="shared" si="30"/>
        <v>0</v>
      </c>
      <c r="L296" s="1275">
        <f t="shared" si="30"/>
        <v>0</v>
      </c>
      <c r="M296" s="1275">
        <f t="shared" si="30"/>
        <v>0</v>
      </c>
      <c r="N296" s="1275">
        <f t="shared" si="30"/>
        <v>0</v>
      </c>
      <c r="O296" s="1275">
        <f t="shared" si="30"/>
        <v>0</v>
      </c>
      <c r="P296" s="1276">
        <f t="shared" si="30"/>
        <v>0</v>
      </c>
      <c r="Q296" s="1275">
        <f t="shared" si="30"/>
        <v>0</v>
      </c>
      <c r="R296" s="1275">
        <f t="shared" si="30"/>
        <v>0</v>
      </c>
      <c r="S296" s="1275">
        <f t="shared" si="30"/>
        <v>0</v>
      </c>
      <c r="T296" s="1275">
        <f t="shared" si="30"/>
        <v>0</v>
      </c>
      <c r="U296" s="1275">
        <f t="shared" si="30"/>
        <v>0</v>
      </c>
      <c r="V296" s="1275">
        <f t="shared" si="30"/>
        <v>0</v>
      </c>
      <c r="W296" s="1275">
        <f t="shared" si="30"/>
        <v>0</v>
      </c>
      <c r="X296" s="1275">
        <f t="shared" si="30"/>
        <v>0</v>
      </c>
      <c r="Y296" s="1275">
        <f t="shared" si="30"/>
        <v>0</v>
      </c>
      <c r="Z296" s="1275">
        <f t="shared" si="30"/>
        <v>0</v>
      </c>
      <c r="AA296" s="1275">
        <f t="shared" si="30"/>
        <v>0</v>
      </c>
      <c r="AB296" s="1275">
        <f t="shared" si="30"/>
        <v>0</v>
      </c>
      <c r="AC296" s="1275">
        <f t="shared" si="30"/>
        <v>0</v>
      </c>
      <c r="AD296" s="1275">
        <f t="shared" si="30"/>
        <v>0</v>
      </c>
      <c r="AE296" s="1275">
        <f t="shared" si="30"/>
        <v>0</v>
      </c>
      <c r="AF296" s="1275">
        <f t="shared" si="30"/>
        <v>0</v>
      </c>
      <c r="AG296" s="1275">
        <f t="shared" si="30"/>
        <v>0</v>
      </c>
      <c r="AH296" s="1207"/>
    </row>
    <row r="297" spans="1:34" x14ac:dyDescent="0.2">
      <c r="A297" s="1274" t="s">
        <v>8</v>
      </c>
      <c r="B297" s="1237"/>
      <c r="C297" s="1302"/>
      <c r="D297" s="1302"/>
      <c r="E297" s="1302"/>
      <c r="F297" s="1303"/>
      <c r="G297" s="1303"/>
      <c r="H297" s="1303"/>
      <c r="I297" s="1303"/>
      <c r="J297" s="1303"/>
      <c r="K297" s="1303"/>
      <c r="L297" s="1303"/>
      <c r="M297" s="1303"/>
      <c r="N297" s="1303"/>
      <c r="O297" s="1303"/>
      <c r="P297" s="1304"/>
      <c r="Q297" s="1303"/>
      <c r="R297" s="1303"/>
      <c r="S297" s="1303"/>
      <c r="T297" s="1303"/>
      <c r="U297" s="1303"/>
      <c r="V297" s="1303"/>
      <c r="W297" s="1303"/>
      <c r="X297" s="1303"/>
      <c r="Y297" s="1303"/>
      <c r="Z297" s="1303"/>
      <c r="AA297" s="1303"/>
      <c r="AB297" s="1303"/>
      <c r="AC297" s="1303"/>
      <c r="AD297" s="1303"/>
      <c r="AE297" s="1303"/>
      <c r="AF297" s="1303"/>
      <c r="AG297" s="1303"/>
      <c r="AH297" s="1207"/>
    </row>
    <row r="298" spans="1:34" x14ac:dyDescent="0.2">
      <c r="A298" s="1274" t="s">
        <v>775</v>
      </c>
      <c r="B298" s="1237"/>
      <c r="C298" s="1282">
        <v>2091.2429999999999</v>
      </c>
      <c r="D298" s="1282"/>
      <c r="E298" s="1282">
        <v>1325.9649999999999</v>
      </c>
      <c r="F298" s="1282">
        <v>1591.268</v>
      </c>
      <c r="G298" s="1282">
        <v>3154.4810000000002</v>
      </c>
      <c r="H298" s="1282"/>
      <c r="I298" s="1282">
        <v>1591.268</v>
      </c>
      <c r="J298" s="1282">
        <v>1003.638</v>
      </c>
      <c r="K298" s="1282"/>
      <c r="L298" s="1282">
        <v>5747.7390000000005</v>
      </c>
      <c r="M298" s="1282"/>
      <c r="N298" s="1282">
        <v>4786.268</v>
      </c>
      <c r="O298" s="1282">
        <v>1591.268</v>
      </c>
      <c r="P298" s="1282"/>
      <c r="Q298" s="1282">
        <v>14248.945</v>
      </c>
      <c r="R298" s="1282">
        <v>4163.7880000000005</v>
      </c>
      <c r="S298" s="1282">
        <v>886</v>
      </c>
      <c r="T298" s="1282">
        <v>1653.479</v>
      </c>
      <c r="U298" s="1282">
        <v>1591.268</v>
      </c>
      <c r="V298" s="1282">
        <v>9395.6209999999992</v>
      </c>
      <c r="W298" s="1282">
        <v>888</v>
      </c>
      <c r="X298" s="1282">
        <v>3623.884</v>
      </c>
      <c r="Y298" s="1282">
        <v>2936.3139999999999</v>
      </c>
      <c r="Z298" s="1282">
        <v>1564</v>
      </c>
      <c r="AA298" s="1282">
        <v>11733.810000000001</v>
      </c>
      <c r="AB298" s="1282">
        <v>1193.586</v>
      </c>
      <c r="AC298" s="1282">
        <v>878.822</v>
      </c>
      <c r="AD298" s="1282">
        <v>5362.5509999999995</v>
      </c>
      <c r="AE298" s="1282">
        <v>1369.326</v>
      </c>
      <c r="AF298" s="1282">
        <v>8952.7890000000007</v>
      </c>
      <c r="AG298" s="1282">
        <v>12662.26</v>
      </c>
      <c r="AH298" s="1455">
        <f>SUM(C298:AG298)</f>
        <v>105987.58100000001</v>
      </c>
    </row>
    <row r="299" spans="1:34" ht="13.5" thickBot="1" x14ac:dyDescent="0.25">
      <c r="A299" s="1294"/>
      <c r="B299" s="1237"/>
      <c r="C299" s="1302"/>
      <c r="D299" s="1302"/>
      <c r="E299" s="1302"/>
      <c r="F299" s="1303"/>
      <c r="G299" s="1303"/>
      <c r="H299" s="1303"/>
      <c r="I299" s="1303"/>
      <c r="J299" s="1303"/>
      <c r="K299" s="1303"/>
      <c r="L299" s="1303"/>
      <c r="M299" s="1303"/>
      <c r="N299" s="1303"/>
      <c r="O299" s="1303"/>
      <c r="P299" s="1304"/>
      <c r="Q299" s="1303"/>
      <c r="R299" s="1303"/>
      <c r="S299" s="1303"/>
      <c r="T299" s="1303"/>
      <c r="U299" s="1303"/>
      <c r="V299" s="1303"/>
      <c r="W299" s="1303"/>
      <c r="X299" s="1303"/>
      <c r="Y299" s="1303"/>
      <c r="Z299" s="1303"/>
      <c r="AA299" s="1303"/>
      <c r="AB299" s="1303"/>
      <c r="AC299" s="1303"/>
      <c r="AD299" s="1303"/>
      <c r="AE299" s="1303"/>
      <c r="AF299" s="1303"/>
      <c r="AG299" s="1303"/>
      <c r="AH299" s="1207"/>
    </row>
    <row r="300" spans="1:34" x14ac:dyDescent="0.2">
      <c r="A300" s="1269"/>
      <c r="B300" s="1237"/>
      <c r="C300" s="1296"/>
      <c r="D300" s="1297"/>
      <c r="E300" s="1297"/>
      <c r="F300" s="1298"/>
      <c r="G300" s="1298"/>
      <c r="H300" s="1298"/>
      <c r="I300" s="1298"/>
      <c r="J300" s="1298"/>
      <c r="K300" s="1298"/>
      <c r="L300" s="1298"/>
      <c r="M300" s="1298"/>
      <c r="N300" s="1298"/>
      <c r="O300" s="1298"/>
      <c r="P300" s="1299"/>
      <c r="Q300" s="1298"/>
      <c r="R300" s="1298"/>
      <c r="S300" s="1298"/>
      <c r="T300" s="1298"/>
      <c r="U300" s="1298"/>
      <c r="V300" s="1298"/>
      <c r="W300" s="1298"/>
      <c r="X300" s="1298"/>
      <c r="Y300" s="1298"/>
      <c r="Z300" s="1298"/>
      <c r="AA300" s="1298"/>
      <c r="AB300" s="1298"/>
      <c r="AC300" s="1298"/>
      <c r="AD300" s="1298"/>
      <c r="AE300" s="1298"/>
      <c r="AF300" s="1298"/>
      <c r="AG300" s="1298"/>
      <c r="AH300" s="1207"/>
    </row>
    <row r="301" spans="1:34" x14ac:dyDescent="0.2">
      <c r="A301" s="1274" t="s">
        <v>13</v>
      </c>
      <c r="B301" s="1237"/>
      <c r="C301" s="1300">
        <f t="shared" ref="C301:AG301" si="31">C296-C288</f>
        <v>-0.27200000000084401</v>
      </c>
      <c r="D301" s="1300">
        <f t="shared" si="31"/>
        <v>0</v>
      </c>
      <c r="E301" s="1300">
        <f t="shared" si="31"/>
        <v>0</v>
      </c>
      <c r="F301" s="1300">
        <f t="shared" si="31"/>
        <v>0</v>
      </c>
      <c r="G301" s="1300">
        <f t="shared" si="31"/>
        <v>0</v>
      </c>
      <c r="H301" s="1300">
        <f t="shared" si="31"/>
        <v>0</v>
      </c>
      <c r="I301" s="1300">
        <f t="shared" si="31"/>
        <v>0</v>
      </c>
      <c r="J301" s="1300">
        <f t="shared" si="31"/>
        <v>0</v>
      </c>
      <c r="K301" s="1300">
        <f t="shared" si="31"/>
        <v>0</v>
      </c>
      <c r="L301" s="1300">
        <f t="shared" si="31"/>
        <v>0</v>
      </c>
      <c r="M301" s="1300">
        <f t="shared" si="31"/>
        <v>0</v>
      </c>
      <c r="N301" s="1300">
        <f t="shared" si="31"/>
        <v>0</v>
      </c>
      <c r="O301" s="1300">
        <f t="shared" si="31"/>
        <v>0</v>
      </c>
      <c r="P301" s="1301">
        <f t="shared" si="31"/>
        <v>0</v>
      </c>
      <c r="Q301" s="1300">
        <f t="shared" si="31"/>
        <v>0</v>
      </c>
      <c r="R301" s="1300">
        <f t="shared" si="31"/>
        <v>0</v>
      </c>
      <c r="S301" s="1300">
        <f t="shared" si="31"/>
        <v>0</v>
      </c>
      <c r="T301" s="1300">
        <f t="shared" si="31"/>
        <v>-5700</v>
      </c>
      <c r="U301" s="1300">
        <f t="shared" si="31"/>
        <v>0</v>
      </c>
      <c r="V301" s="1300">
        <f t="shared" si="31"/>
        <v>0</v>
      </c>
      <c r="W301" s="1300">
        <f t="shared" si="31"/>
        <v>0</v>
      </c>
      <c r="X301" s="1300">
        <f t="shared" si="31"/>
        <v>0</v>
      </c>
      <c r="Y301" s="1300">
        <f t="shared" si="31"/>
        <v>0</v>
      </c>
      <c r="Z301" s="1300">
        <f t="shared" si="31"/>
        <v>0</v>
      </c>
      <c r="AA301" s="1300">
        <f t="shared" si="31"/>
        <v>0</v>
      </c>
      <c r="AB301" s="1300">
        <f t="shared" si="31"/>
        <v>0</v>
      </c>
      <c r="AC301" s="1300">
        <f t="shared" si="31"/>
        <v>0</v>
      </c>
      <c r="AD301" s="1300">
        <f t="shared" si="31"/>
        <v>0</v>
      </c>
      <c r="AE301" s="1300">
        <f t="shared" si="31"/>
        <v>0</v>
      </c>
      <c r="AF301" s="1300">
        <f t="shared" si="31"/>
        <v>0</v>
      </c>
      <c r="AG301" s="1300">
        <f t="shared" si="31"/>
        <v>-40490.739000000001</v>
      </c>
      <c r="AH301" s="1207"/>
    </row>
    <row r="302" spans="1:34" ht="13.5" thickBot="1" x14ac:dyDescent="0.25">
      <c r="A302" s="1274"/>
      <c r="B302" s="1237"/>
      <c r="C302" s="1300"/>
      <c r="D302" s="1302"/>
      <c r="E302" s="1302"/>
      <c r="F302" s="1303"/>
      <c r="G302" s="1303"/>
      <c r="H302" s="1303"/>
      <c r="I302" s="1303"/>
      <c r="J302" s="1303"/>
      <c r="K302" s="1303"/>
      <c r="L302" s="1303"/>
      <c r="M302" s="1303"/>
      <c r="N302" s="1303"/>
      <c r="O302" s="1303"/>
      <c r="P302" s="1304"/>
      <c r="Q302" s="1303"/>
      <c r="R302" s="1303"/>
      <c r="S302" s="1303"/>
      <c r="T302" s="1303"/>
      <c r="U302" s="1303"/>
      <c r="V302" s="1303"/>
      <c r="W302" s="1303"/>
      <c r="X302" s="1303"/>
      <c r="Y302" s="1303"/>
      <c r="Z302" s="1303"/>
      <c r="AA302" s="1303"/>
      <c r="AB302" s="1303"/>
      <c r="AC302" s="1303"/>
      <c r="AD302" s="1303"/>
      <c r="AE302" s="1303"/>
      <c r="AF302" s="1303"/>
      <c r="AG302" s="1303"/>
      <c r="AH302" s="1207"/>
    </row>
    <row r="303" spans="1:34" x14ac:dyDescent="0.2">
      <c r="A303" s="1233"/>
      <c r="B303" s="1234"/>
      <c r="C303" s="1305"/>
      <c r="D303" s="1297"/>
      <c r="E303" s="1297"/>
      <c r="F303" s="1298"/>
      <c r="G303" s="1298"/>
      <c r="H303" s="1298"/>
      <c r="I303" s="1298"/>
      <c r="J303" s="1298"/>
      <c r="K303" s="1298"/>
      <c r="L303" s="1298"/>
      <c r="M303" s="1298"/>
      <c r="N303" s="1298"/>
      <c r="O303" s="1298"/>
      <c r="P303" s="1299"/>
      <c r="Q303" s="1298"/>
      <c r="R303" s="1298"/>
      <c r="S303" s="1298"/>
      <c r="T303" s="1298"/>
      <c r="U303" s="1298"/>
      <c r="V303" s="1298"/>
      <c r="W303" s="1298"/>
      <c r="X303" s="1298"/>
      <c r="Y303" s="1298"/>
      <c r="Z303" s="1298"/>
      <c r="AA303" s="1298"/>
      <c r="AB303" s="1298"/>
      <c r="AC303" s="1298"/>
      <c r="AD303" s="1298"/>
      <c r="AE303" s="1298"/>
      <c r="AF303" s="1298"/>
      <c r="AG303" s="1298"/>
      <c r="AH303" s="1207"/>
    </row>
    <row r="304" spans="1:34" x14ac:dyDescent="0.2">
      <c r="A304" s="1236" t="s">
        <v>15</v>
      </c>
      <c r="B304" s="1237"/>
      <c r="C304" s="1302">
        <f>B285+C301</f>
        <v>22971.245999999999</v>
      </c>
      <c r="D304" s="1302">
        <f t="shared" ref="D304:AG304" si="32">C311+D301</f>
        <v>22971.245999999999</v>
      </c>
      <c r="E304" s="1302">
        <f t="shared" si="32"/>
        <v>22971.245999999999</v>
      </c>
      <c r="F304" s="1302">
        <f t="shared" si="32"/>
        <v>22971.245999999999</v>
      </c>
      <c r="G304" s="1302">
        <f t="shared" si="32"/>
        <v>22971.245999999999</v>
      </c>
      <c r="H304" s="1302">
        <f t="shared" si="32"/>
        <v>22971.245999999999</v>
      </c>
      <c r="I304" s="1302">
        <f t="shared" si="32"/>
        <v>22971.245999999999</v>
      </c>
      <c r="J304" s="1302">
        <f t="shared" si="32"/>
        <v>22971.245999999999</v>
      </c>
      <c r="K304" s="1302">
        <f t="shared" si="32"/>
        <v>22971.245999999999</v>
      </c>
      <c r="L304" s="1302">
        <f t="shared" si="32"/>
        <v>22971.245999999999</v>
      </c>
      <c r="M304" s="1302">
        <f t="shared" si="32"/>
        <v>22971.245999999999</v>
      </c>
      <c r="N304" s="1302">
        <f t="shared" si="32"/>
        <v>22971.245999999999</v>
      </c>
      <c r="O304" s="1302">
        <f t="shared" si="32"/>
        <v>22971.245999999999</v>
      </c>
      <c r="P304" s="1306">
        <f t="shared" si="32"/>
        <v>22971.245999999999</v>
      </c>
      <c r="Q304" s="1302">
        <f t="shared" si="32"/>
        <v>22971.245999999999</v>
      </c>
      <c r="R304" s="1302">
        <f t="shared" si="32"/>
        <v>22971.245999999999</v>
      </c>
      <c r="S304" s="1302">
        <f t="shared" si="32"/>
        <v>22971.245999999999</v>
      </c>
      <c r="T304" s="1302">
        <f t="shared" si="32"/>
        <v>17271.245999999999</v>
      </c>
      <c r="U304" s="1302">
        <f t="shared" si="32"/>
        <v>17271.245999999999</v>
      </c>
      <c r="V304" s="1302">
        <f t="shared" si="32"/>
        <v>17271.245999999999</v>
      </c>
      <c r="W304" s="1302">
        <f t="shared" si="32"/>
        <v>17271.245999999999</v>
      </c>
      <c r="X304" s="1302">
        <f t="shared" si="32"/>
        <v>17271.245999999999</v>
      </c>
      <c r="Y304" s="1302">
        <f t="shared" si="32"/>
        <v>17271.245999999999</v>
      </c>
      <c r="Z304" s="1302">
        <f t="shared" si="32"/>
        <v>17271.245999999999</v>
      </c>
      <c r="AA304" s="1302">
        <f t="shared" si="32"/>
        <v>17271.245999999999</v>
      </c>
      <c r="AB304" s="1302">
        <f t="shared" si="32"/>
        <v>17271.245999999999</v>
      </c>
      <c r="AC304" s="1302">
        <f t="shared" si="32"/>
        <v>17271.245999999999</v>
      </c>
      <c r="AD304" s="1302">
        <f t="shared" si="32"/>
        <v>17271.245999999999</v>
      </c>
      <c r="AE304" s="1302">
        <f t="shared" si="32"/>
        <v>17271.245999999999</v>
      </c>
      <c r="AF304" s="1302">
        <f t="shared" si="32"/>
        <v>17271.245999999999</v>
      </c>
      <c r="AG304" s="1302">
        <f t="shared" si="32"/>
        <v>-23219.493000000002</v>
      </c>
      <c r="AH304" s="1207"/>
    </row>
    <row r="305" spans="1:34" ht="13.5" thickBot="1" x14ac:dyDescent="0.25">
      <c r="A305" s="1250"/>
      <c r="B305" s="1307"/>
      <c r="C305" s="1308"/>
      <c r="D305" s="1308"/>
      <c r="E305" s="1308"/>
      <c r="F305" s="1309"/>
      <c r="G305" s="1309"/>
      <c r="H305" s="1309"/>
      <c r="I305" s="1309"/>
      <c r="J305" s="1309"/>
      <c r="K305" s="1309"/>
      <c r="L305" s="1309"/>
      <c r="M305" s="1309"/>
      <c r="N305" s="1309"/>
      <c r="O305" s="1309"/>
      <c r="P305" s="1310"/>
      <c r="Q305" s="1309"/>
      <c r="R305" s="1309"/>
      <c r="S305" s="1309"/>
      <c r="T305" s="1309"/>
      <c r="U305" s="1309"/>
      <c r="V305" s="1309"/>
      <c r="W305" s="1309"/>
      <c r="X305" s="1309"/>
      <c r="Y305" s="1309"/>
      <c r="Z305" s="1309"/>
      <c r="AA305" s="1309"/>
      <c r="AB305" s="1309"/>
      <c r="AC305" s="1309"/>
      <c r="AD305" s="1309"/>
      <c r="AE305" s="1309"/>
      <c r="AF305" s="1309"/>
      <c r="AG305" s="1309"/>
      <c r="AH305" s="1207"/>
    </row>
    <row r="306" spans="1:34" x14ac:dyDescent="0.2">
      <c r="A306" s="1233"/>
      <c r="B306" s="1234"/>
      <c r="C306" s="1297"/>
      <c r="D306" s="1297"/>
      <c r="E306" s="1297"/>
      <c r="F306" s="1298"/>
      <c r="G306" s="1298"/>
      <c r="H306" s="1298"/>
      <c r="I306" s="1298"/>
      <c r="J306" s="1298"/>
      <c r="K306" s="1298"/>
      <c r="L306" s="1298"/>
      <c r="M306" s="1298"/>
      <c r="N306" s="1298"/>
      <c r="O306" s="1298"/>
      <c r="P306" s="1299"/>
      <c r="Q306" s="1298"/>
      <c r="R306" s="1298"/>
      <c r="S306" s="1298"/>
      <c r="T306" s="1298"/>
      <c r="U306" s="1298"/>
      <c r="V306" s="1298"/>
      <c r="W306" s="1298"/>
      <c r="X306" s="1298"/>
      <c r="Y306" s="1298"/>
      <c r="Z306" s="1298"/>
      <c r="AA306" s="1298"/>
      <c r="AB306" s="1298"/>
      <c r="AC306" s="1298"/>
      <c r="AD306" s="1298"/>
      <c r="AE306" s="1298"/>
      <c r="AF306" s="1298"/>
      <c r="AG306" s="1298"/>
      <c r="AH306" s="1207"/>
    </row>
    <row r="307" spans="1:34" x14ac:dyDescent="0.2">
      <c r="A307" s="1236" t="s">
        <v>82</v>
      </c>
      <c r="B307" s="1237"/>
      <c r="C307" s="1302">
        <f t="shared" ref="C307:AG308" si="33">C315</f>
        <v>0</v>
      </c>
      <c r="D307" s="1302">
        <f t="shared" si="33"/>
        <v>0</v>
      </c>
      <c r="E307" s="1302">
        <f t="shared" si="33"/>
        <v>0</v>
      </c>
      <c r="F307" s="1302">
        <f t="shared" si="33"/>
        <v>0</v>
      </c>
      <c r="G307" s="1302">
        <f t="shared" si="33"/>
        <v>0</v>
      </c>
      <c r="H307" s="1302">
        <f t="shared" si="33"/>
        <v>0</v>
      </c>
      <c r="I307" s="1302">
        <f t="shared" si="33"/>
        <v>0</v>
      </c>
      <c r="J307" s="1302">
        <f t="shared" si="33"/>
        <v>0</v>
      </c>
      <c r="K307" s="1302">
        <f t="shared" si="33"/>
        <v>0</v>
      </c>
      <c r="L307" s="1302">
        <f t="shared" si="33"/>
        <v>0</v>
      </c>
      <c r="M307" s="1302">
        <f t="shared" si="33"/>
        <v>0</v>
      </c>
      <c r="N307" s="1302">
        <f t="shared" si="33"/>
        <v>0</v>
      </c>
      <c r="O307" s="1302">
        <f t="shared" si="33"/>
        <v>0</v>
      </c>
      <c r="P307" s="1306">
        <f t="shared" si="33"/>
        <v>0</v>
      </c>
      <c r="Q307" s="1302">
        <f t="shared" si="33"/>
        <v>0</v>
      </c>
      <c r="R307" s="1302">
        <f t="shared" si="33"/>
        <v>0</v>
      </c>
      <c r="S307" s="1302">
        <f t="shared" si="33"/>
        <v>0</v>
      </c>
      <c r="T307" s="1302">
        <f t="shared" si="33"/>
        <v>0</v>
      </c>
      <c r="U307" s="1302">
        <f t="shared" si="33"/>
        <v>0</v>
      </c>
      <c r="V307" s="1302">
        <f t="shared" si="33"/>
        <v>0</v>
      </c>
      <c r="W307" s="1302">
        <f t="shared" si="33"/>
        <v>0</v>
      </c>
      <c r="X307" s="1302">
        <f t="shared" si="33"/>
        <v>0</v>
      </c>
      <c r="Y307" s="1302">
        <f t="shared" si="33"/>
        <v>0</v>
      </c>
      <c r="Z307" s="1302">
        <f t="shared" si="33"/>
        <v>0</v>
      </c>
      <c r="AA307" s="1302">
        <f t="shared" si="33"/>
        <v>0</v>
      </c>
      <c r="AB307" s="1302">
        <f t="shared" si="33"/>
        <v>0</v>
      </c>
      <c r="AC307" s="1302">
        <f t="shared" si="33"/>
        <v>0</v>
      </c>
      <c r="AD307" s="1302">
        <f t="shared" si="33"/>
        <v>0</v>
      </c>
      <c r="AE307" s="1302">
        <f t="shared" si="33"/>
        <v>0</v>
      </c>
      <c r="AF307" s="1302">
        <f t="shared" si="33"/>
        <v>0</v>
      </c>
      <c r="AG307" s="1302">
        <f t="shared" si="33"/>
        <v>0</v>
      </c>
      <c r="AH307" s="1207"/>
    </row>
    <row r="308" spans="1:34" x14ac:dyDescent="0.2">
      <c r="A308" s="1236" t="s">
        <v>83</v>
      </c>
      <c r="B308" s="1237"/>
      <c r="C308" s="1306">
        <f t="shared" si="33"/>
        <v>0</v>
      </c>
      <c r="D308" s="1306">
        <f t="shared" si="33"/>
        <v>0</v>
      </c>
      <c r="E308" s="1306">
        <f t="shared" si="33"/>
        <v>0</v>
      </c>
      <c r="F308" s="1306">
        <f t="shared" si="33"/>
        <v>0</v>
      </c>
      <c r="G308" s="1306">
        <f t="shared" si="33"/>
        <v>0</v>
      </c>
      <c r="H308" s="1306">
        <f t="shared" si="33"/>
        <v>0</v>
      </c>
      <c r="I308" s="1306">
        <f t="shared" si="33"/>
        <v>0</v>
      </c>
      <c r="J308" s="1306">
        <f t="shared" si="33"/>
        <v>0</v>
      </c>
      <c r="K308" s="1306">
        <f t="shared" si="33"/>
        <v>0</v>
      </c>
      <c r="L308" s="1306">
        <f t="shared" si="33"/>
        <v>0</v>
      </c>
      <c r="M308" s="1306">
        <f t="shared" si="33"/>
        <v>0</v>
      </c>
      <c r="N308" s="1306">
        <f t="shared" si="33"/>
        <v>0</v>
      </c>
      <c r="O308" s="1306">
        <f t="shared" si="33"/>
        <v>0</v>
      </c>
      <c r="P308" s="1306">
        <f t="shared" si="33"/>
        <v>0</v>
      </c>
      <c r="Q308" s="1306">
        <f t="shared" si="33"/>
        <v>0</v>
      </c>
      <c r="R308" s="1306">
        <f t="shared" si="33"/>
        <v>0</v>
      </c>
      <c r="S308" s="1306">
        <f t="shared" si="33"/>
        <v>0</v>
      </c>
      <c r="T308" s="1306">
        <f t="shared" si="33"/>
        <v>0</v>
      </c>
      <c r="U308" s="1306">
        <f t="shared" si="33"/>
        <v>0</v>
      </c>
      <c r="V308" s="1306">
        <f t="shared" si="33"/>
        <v>0</v>
      </c>
      <c r="W308" s="1306">
        <f t="shared" si="33"/>
        <v>0</v>
      </c>
      <c r="X308" s="1306">
        <f t="shared" si="33"/>
        <v>0</v>
      </c>
      <c r="Y308" s="1306">
        <f t="shared" si="33"/>
        <v>0</v>
      </c>
      <c r="Z308" s="1306">
        <f t="shared" si="33"/>
        <v>0</v>
      </c>
      <c r="AA308" s="1306">
        <f t="shared" si="33"/>
        <v>0</v>
      </c>
      <c r="AB308" s="1306">
        <f t="shared" si="33"/>
        <v>0</v>
      </c>
      <c r="AC308" s="1306">
        <f t="shared" si="33"/>
        <v>0</v>
      </c>
      <c r="AD308" s="1306">
        <f t="shared" si="33"/>
        <v>0</v>
      </c>
      <c r="AE308" s="1306">
        <f t="shared" si="33"/>
        <v>0</v>
      </c>
      <c r="AF308" s="1306">
        <f t="shared" si="33"/>
        <v>0</v>
      </c>
      <c r="AG308" s="1306">
        <f t="shared" si="33"/>
        <v>0</v>
      </c>
      <c r="AH308" s="1207"/>
    </row>
    <row r="309" spans="1:34" ht="13.5" thickBot="1" x14ac:dyDescent="0.25">
      <c r="A309" s="1250"/>
      <c r="B309" s="1307"/>
      <c r="C309" s="1308"/>
      <c r="D309" s="1308"/>
      <c r="E309" s="1308"/>
      <c r="F309" s="1309"/>
      <c r="G309" s="1309"/>
      <c r="H309" s="1309"/>
      <c r="I309" s="1309"/>
      <c r="J309" s="1309"/>
      <c r="K309" s="1309"/>
      <c r="L309" s="1309"/>
      <c r="M309" s="1309"/>
      <c r="N309" s="1309"/>
      <c r="O309" s="1309"/>
      <c r="P309" s="1310"/>
      <c r="Q309" s="1309"/>
      <c r="R309" s="1309"/>
      <c r="S309" s="1309"/>
      <c r="T309" s="1309"/>
      <c r="U309" s="1309"/>
      <c r="V309" s="1309"/>
      <c r="W309" s="1309"/>
      <c r="X309" s="1309"/>
      <c r="Y309" s="1309"/>
      <c r="Z309" s="1309"/>
      <c r="AA309" s="1309"/>
      <c r="AB309" s="1309"/>
      <c r="AC309" s="1309"/>
      <c r="AD309" s="1309"/>
      <c r="AE309" s="1309"/>
      <c r="AF309" s="1309"/>
      <c r="AG309" s="1309"/>
      <c r="AH309" s="1207"/>
    </row>
    <row r="310" spans="1:34" x14ac:dyDescent="0.2">
      <c r="A310" s="1236"/>
      <c r="B310" s="1237"/>
      <c r="C310" s="1302"/>
      <c r="D310" s="1302"/>
      <c r="E310" s="1302"/>
      <c r="F310" s="1303"/>
      <c r="G310" s="1303"/>
      <c r="H310" s="1303"/>
      <c r="I310" s="1303"/>
      <c r="J310" s="1303"/>
      <c r="K310" s="1303"/>
      <c r="L310" s="1303"/>
      <c r="M310" s="1303"/>
      <c r="N310" s="1303"/>
      <c r="O310" s="1303"/>
      <c r="P310" s="1304"/>
      <c r="Q310" s="1303"/>
      <c r="R310" s="1303"/>
      <c r="S310" s="1303"/>
      <c r="T310" s="1303"/>
      <c r="U310" s="1303"/>
      <c r="V310" s="1303"/>
      <c r="W310" s="1303"/>
      <c r="X310" s="1303"/>
      <c r="Y310" s="1303"/>
      <c r="Z310" s="1303"/>
      <c r="AA310" s="1303"/>
      <c r="AB310" s="1303"/>
      <c r="AC310" s="1303"/>
      <c r="AD310" s="1303"/>
      <c r="AE310" s="1303"/>
      <c r="AF310" s="1303"/>
      <c r="AG310" s="1303"/>
      <c r="AH310" s="1207"/>
    </row>
    <row r="311" spans="1:34" x14ac:dyDescent="0.2">
      <c r="A311" s="1236" t="s">
        <v>14</v>
      </c>
      <c r="B311" s="1237"/>
      <c r="C311" s="1302">
        <f t="shared" ref="C311:AG311" si="34">C304+C307+C308</f>
        <v>22971.245999999999</v>
      </c>
      <c r="D311" s="1302">
        <f t="shared" si="34"/>
        <v>22971.245999999999</v>
      </c>
      <c r="E311" s="1302">
        <f t="shared" si="34"/>
        <v>22971.245999999999</v>
      </c>
      <c r="F311" s="1302">
        <f t="shared" si="34"/>
        <v>22971.245999999999</v>
      </c>
      <c r="G311" s="1302">
        <f t="shared" si="34"/>
        <v>22971.245999999999</v>
      </c>
      <c r="H311" s="1302">
        <f t="shared" si="34"/>
        <v>22971.245999999999</v>
      </c>
      <c r="I311" s="1302">
        <f t="shared" si="34"/>
        <v>22971.245999999999</v>
      </c>
      <c r="J311" s="1302">
        <f t="shared" si="34"/>
        <v>22971.245999999999</v>
      </c>
      <c r="K311" s="1302">
        <f t="shared" si="34"/>
        <v>22971.245999999999</v>
      </c>
      <c r="L311" s="1302">
        <f t="shared" si="34"/>
        <v>22971.245999999999</v>
      </c>
      <c r="M311" s="1302">
        <f t="shared" si="34"/>
        <v>22971.245999999999</v>
      </c>
      <c r="N311" s="1302">
        <f t="shared" si="34"/>
        <v>22971.245999999999</v>
      </c>
      <c r="O311" s="1302">
        <f t="shared" si="34"/>
        <v>22971.245999999999</v>
      </c>
      <c r="P311" s="1306">
        <f t="shared" si="34"/>
        <v>22971.245999999999</v>
      </c>
      <c r="Q311" s="1302">
        <f t="shared" si="34"/>
        <v>22971.245999999999</v>
      </c>
      <c r="R311" s="1302">
        <f t="shared" si="34"/>
        <v>22971.245999999999</v>
      </c>
      <c r="S311" s="1302">
        <f t="shared" si="34"/>
        <v>22971.245999999999</v>
      </c>
      <c r="T311" s="1302">
        <f t="shared" si="34"/>
        <v>17271.245999999999</v>
      </c>
      <c r="U311" s="1302">
        <f t="shared" si="34"/>
        <v>17271.245999999999</v>
      </c>
      <c r="V311" s="1302">
        <f t="shared" si="34"/>
        <v>17271.245999999999</v>
      </c>
      <c r="W311" s="1302">
        <f t="shared" si="34"/>
        <v>17271.245999999999</v>
      </c>
      <c r="X311" s="1302">
        <f t="shared" si="34"/>
        <v>17271.245999999999</v>
      </c>
      <c r="Y311" s="1302">
        <f t="shared" si="34"/>
        <v>17271.245999999999</v>
      </c>
      <c r="Z311" s="1302">
        <f t="shared" si="34"/>
        <v>17271.245999999999</v>
      </c>
      <c r="AA311" s="1302">
        <f t="shared" si="34"/>
        <v>17271.245999999999</v>
      </c>
      <c r="AB311" s="1302">
        <f t="shared" si="34"/>
        <v>17271.245999999999</v>
      </c>
      <c r="AC311" s="1302">
        <f t="shared" si="34"/>
        <v>17271.245999999999</v>
      </c>
      <c r="AD311" s="1302">
        <f t="shared" si="34"/>
        <v>17271.245999999999</v>
      </c>
      <c r="AE311" s="1302">
        <f t="shared" si="34"/>
        <v>17271.245999999999</v>
      </c>
      <c r="AF311" s="1302">
        <f t="shared" si="34"/>
        <v>17271.245999999999</v>
      </c>
      <c r="AG311" s="1302">
        <f t="shared" si="34"/>
        <v>-23219.493000000002</v>
      </c>
      <c r="AH311" s="1207"/>
    </row>
    <row r="312" spans="1:34" x14ac:dyDescent="0.2">
      <c r="A312" s="1236"/>
      <c r="B312" s="1237"/>
      <c r="C312" s="1302"/>
      <c r="D312" s="1302"/>
      <c r="E312" s="1302"/>
      <c r="F312" s="1303"/>
      <c r="G312" s="1303"/>
      <c r="H312" s="1303"/>
      <c r="I312" s="1303"/>
      <c r="J312" s="1303"/>
      <c r="K312" s="1303"/>
      <c r="L312" s="1303"/>
      <c r="M312" s="1303"/>
      <c r="N312" s="1303"/>
      <c r="O312" s="1303"/>
      <c r="P312" s="1304"/>
      <c r="Q312" s="1303"/>
      <c r="R312" s="1303"/>
      <c r="S312" s="1303"/>
      <c r="T312" s="1303"/>
      <c r="U312" s="1303"/>
      <c r="V312" s="1303"/>
      <c r="W312" s="1303"/>
      <c r="X312" s="1303"/>
      <c r="Y312" s="1303"/>
      <c r="Z312" s="1303"/>
      <c r="AA312" s="1303"/>
      <c r="AB312" s="1303"/>
      <c r="AC312" s="1303"/>
      <c r="AD312" s="1303"/>
      <c r="AE312" s="1303"/>
      <c r="AF312" s="1303"/>
      <c r="AG312" s="1303"/>
      <c r="AH312" s="1207"/>
    </row>
    <row r="313" spans="1:34" ht="13.5" thickBot="1" x14ac:dyDescent="0.25">
      <c r="A313" s="1250"/>
      <c r="B313" s="1307"/>
      <c r="C313" s="1312"/>
      <c r="D313" s="1312"/>
      <c r="E313" s="1312"/>
      <c r="F313" s="1313"/>
      <c r="G313" s="1313"/>
      <c r="H313" s="1313"/>
      <c r="I313" s="1313"/>
      <c r="J313" s="1313"/>
      <c r="K313" s="1313"/>
      <c r="L313" s="1313"/>
      <c r="M313" s="1313"/>
      <c r="N313" s="1313"/>
      <c r="O313" s="1313"/>
      <c r="P313" s="1314"/>
      <c r="Q313" s="1313"/>
      <c r="R313" s="1313"/>
      <c r="S313" s="1313"/>
      <c r="T313" s="1313"/>
      <c r="U313" s="1313"/>
      <c r="V313" s="1313"/>
      <c r="W313" s="1313"/>
      <c r="X313" s="1313"/>
      <c r="Y313" s="1313"/>
      <c r="Z313" s="1313"/>
      <c r="AA313" s="1313"/>
      <c r="AB313" s="1313"/>
      <c r="AC313" s="1313"/>
      <c r="AD313" s="1313"/>
      <c r="AE313" s="1313"/>
      <c r="AF313" s="1313"/>
      <c r="AG313" s="1313"/>
      <c r="AH313" s="1207"/>
    </row>
    <row r="314" spans="1:34" x14ac:dyDescent="0.2">
      <c r="A314" s="1316"/>
      <c r="B314" s="1207"/>
      <c r="C314" s="1227"/>
      <c r="D314" s="1227"/>
      <c r="E314" s="1227"/>
      <c r="F314" s="1227"/>
      <c r="G314" s="1227"/>
      <c r="H314" s="1227"/>
      <c r="I314" s="1227"/>
      <c r="J314" s="1227"/>
      <c r="K314" s="1227"/>
      <c r="L314" s="1227"/>
      <c r="M314" s="1227"/>
      <c r="N314" s="1227"/>
      <c r="O314" s="1227"/>
      <c r="P314" s="1229"/>
      <c r="Q314" s="1227"/>
      <c r="R314" s="1227"/>
      <c r="S314" s="1227"/>
      <c r="T314" s="1227"/>
      <c r="U314" s="1227"/>
      <c r="V314" s="1227"/>
      <c r="W314" s="1227"/>
      <c r="X314" s="1227"/>
      <c r="Y314" s="1227"/>
      <c r="Z314" s="1227"/>
      <c r="AA314" s="1227"/>
      <c r="AB314" s="1227"/>
      <c r="AC314" s="1227"/>
      <c r="AD314" s="1227"/>
      <c r="AE314" s="1227"/>
      <c r="AF314" s="1227"/>
      <c r="AG314" s="1227"/>
      <c r="AH314" s="1227">
        <f>SUM(C314:AG314)</f>
        <v>0</v>
      </c>
    </row>
    <row r="315" spans="1:34" x14ac:dyDescent="0.2">
      <c r="A315" s="1344"/>
      <c r="B315" s="1383"/>
      <c r="C315" s="1219"/>
      <c r="D315" s="1221"/>
      <c r="E315" s="1356">
        <f>29174.193-13238.078-15936.115</f>
        <v>0</v>
      </c>
      <c r="F315" s="1219"/>
      <c r="G315" s="1219"/>
      <c r="H315" s="1220"/>
      <c r="I315" s="1219"/>
      <c r="J315" s="1219"/>
      <c r="K315" s="1219"/>
      <c r="L315" s="1219"/>
      <c r="M315" s="1220"/>
      <c r="N315" s="1220"/>
      <c r="O315" s="1220"/>
      <c r="P315" s="1221"/>
      <c r="Q315" s="1219"/>
      <c r="R315" s="1219"/>
      <c r="S315" s="1219"/>
      <c r="T315" s="1219"/>
      <c r="U315" s="1219"/>
      <c r="V315" s="1219"/>
      <c r="W315" s="1220"/>
      <c r="X315" s="1220"/>
      <c r="Y315" s="1220"/>
      <c r="Z315" s="1220"/>
      <c r="AA315" s="1220"/>
      <c r="AB315" s="1220"/>
      <c r="AC315" s="1220"/>
      <c r="AD315" s="1221"/>
      <c r="AE315" s="1219"/>
      <c r="AF315" s="1219"/>
      <c r="AG315" s="1219">
        <f>27635.599-12360.858-15274.741</f>
        <v>0</v>
      </c>
      <c r="AH315" s="1227"/>
    </row>
    <row r="316" spans="1:34" x14ac:dyDescent="0.2">
      <c r="A316" s="1207"/>
      <c r="B316" s="1207"/>
      <c r="C316" s="1207"/>
      <c r="D316" s="1207"/>
      <c r="E316" s="134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1208"/>
      <c r="Q316" s="1207"/>
      <c r="R316" s="1207"/>
      <c r="S316" s="1207"/>
      <c r="T316" s="1207"/>
      <c r="U316" s="1207"/>
      <c r="V316" s="1207"/>
      <c r="W316" s="1207"/>
      <c r="X316" s="1207"/>
      <c r="Y316" s="1207"/>
      <c r="Z316" s="1207"/>
      <c r="AA316" s="1207"/>
      <c r="AB316" s="1207"/>
      <c r="AC316" s="1207"/>
      <c r="AD316" s="1207"/>
      <c r="AE316" s="1207"/>
      <c r="AF316" s="1207"/>
      <c r="AG316" s="1207"/>
      <c r="AH316" s="1227"/>
    </row>
    <row r="317" spans="1:34" x14ac:dyDescent="0.2">
      <c r="A317" s="1210" t="s">
        <v>415</v>
      </c>
      <c r="B317" s="1215">
        <f>B318+B319+B321+B320</f>
        <v>1020000</v>
      </c>
      <c r="C317" s="1367"/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1208"/>
      <c r="Q317" s="1207"/>
      <c r="R317" s="1207"/>
      <c r="S317" s="1207"/>
      <c r="T317" s="1207"/>
      <c r="U317" s="1401"/>
      <c r="V317" s="1220"/>
      <c r="W317" s="1227"/>
      <c r="X317" s="1207"/>
      <c r="Y317" s="1207"/>
      <c r="Z317" s="1207"/>
      <c r="AA317" s="1384"/>
      <c r="AB317" s="1207"/>
      <c r="AC317" s="1207"/>
      <c r="AD317" s="1207"/>
      <c r="AE317" s="1207"/>
      <c r="AF317" s="1207"/>
      <c r="AG317" s="1207"/>
      <c r="AH317" s="1207"/>
    </row>
    <row r="318" spans="1:34" x14ac:dyDescent="0.2">
      <c r="A318" s="1365" t="s">
        <v>414</v>
      </c>
      <c r="B318" s="1219">
        <v>20000</v>
      </c>
      <c r="C318" s="1207"/>
      <c r="D318" s="1207"/>
      <c r="E318" s="122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8"/>
      <c r="Q318" s="1207"/>
      <c r="R318" s="1207"/>
      <c r="S318" s="1207"/>
      <c r="T318" s="1207"/>
      <c r="U318" s="1230"/>
      <c r="V318" s="1230"/>
      <c r="W318" s="1207"/>
      <c r="X318" s="1207"/>
      <c r="Y318" s="1207"/>
      <c r="Z318" s="1207"/>
      <c r="AA318" s="1207"/>
      <c r="AB318" s="1207"/>
      <c r="AC318" s="1227"/>
      <c r="AD318" s="1227"/>
      <c r="AE318" s="1207"/>
      <c r="AF318" s="1207"/>
      <c r="AG318" s="1207"/>
      <c r="AH318" s="1207"/>
    </row>
    <row r="319" spans="1:34" x14ac:dyDescent="0.2">
      <c r="A319" s="1365" t="s">
        <v>287</v>
      </c>
      <c r="B319" s="1219">
        <v>600000</v>
      </c>
      <c r="C319" s="1207"/>
      <c r="D319" s="1207"/>
      <c r="E319" s="1207"/>
      <c r="F319" s="1207"/>
      <c r="G319" s="1207"/>
      <c r="H319" s="1207"/>
      <c r="I319" s="1207"/>
      <c r="J319" s="1207"/>
      <c r="K319" s="1227"/>
      <c r="L319" s="1207"/>
      <c r="M319" s="1207"/>
      <c r="N319" s="1207"/>
      <c r="O319" s="1207"/>
      <c r="P319" s="1208"/>
      <c r="Q319" s="1207"/>
      <c r="R319" s="1207"/>
      <c r="S319" s="1207"/>
      <c r="T319" s="1207"/>
      <c r="U319" s="1402"/>
      <c r="V319" s="1230"/>
      <c r="W319" s="1207"/>
      <c r="X319" s="1227"/>
      <c r="Y319" s="1207"/>
      <c r="Z319" s="1207"/>
      <c r="AA319" s="1207"/>
      <c r="AB319" s="1207"/>
      <c r="AC319" s="1207"/>
      <c r="AD319" s="1207"/>
      <c r="AE319" s="1207"/>
      <c r="AF319" s="1207"/>
      <c r="AG319" s="1207"/>
    </row>
    <row r="320" spans="1:34" x14ac:dyDescent="0.2">
      <c r="A320" s="1316" t="s">
        <v>413</v>
      </c>
      <c r="B320" s="1219">
        <v>200000</v>
      </c>
      <c r="C320" s="1207"/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8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07"/>
      <c r="AA320" s="1207"/>
      <c r="AB320" s="1207"/>
      <c r="AC320" s="1207"/>
      <c r="AD320" s="1207"/>
      <c r="AE320" s="1207"/>
      <c r="AF320" s="1207"/>
      <c r="AG320" s="1207"/>
    </row>
    <row r="321" spans="1:33" x14ac:dyDescent="0.2">
      <c r="A321" s="1316" t="s">
        <v>441</v>
      </c>
      <c r="B321" s="1219">
        <v>200000</v>
      </c>
      <c r="C321" s="1207"/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1208"/>
      <c r="Q321" s="1207"/>
      <c r="R321" s="1207"/>
      <c r="S321" s="1207"/>
      <c r="T321" s="1207"/>
      <c r="U321" s="1207"/>
      <c r="V321" s="1207"/>
      <c r="W321" s="1207"/>
      <c r="X321" s="1207"/>
      <c r="Y321" s="1207"/>
      <c r="Z321" s="1207"/>
      <c r="AA321" s="1207"/>
      <c r="AB321" s="1207"/>
      <c r="AC321" s="1207"/>
      <c r="AD321" s="1207"/>
      <c r="AE321" s="1207"/>
      <c r="AF321" s="1207"/>
      <c r="AG321" s="1207"/>
    </row>
    <row r="322" spans="1:33" x14ac:dyDescent="0.2">
      <c r="A322" s="1207"/>
      <c r="B322" s="1207"/>
      <c r="C322" s="1207"/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8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07"/>
      <c r="AA322" s="1207"/>
      <c r="AB322" s="1207"/>
      <c r="AC322" s="1207"/>
      <c r="AD322" s="1207"/>
      <c r="AE322" s="1207"/>
      <c r="AF322" s="1207"/>
      <c r="AG322" s="1207"/>
    </row>
    <row r="323" spans="1:33" x14ac:dyDescent="0.2">
      <c r="A323" s="1223" t="s">
        <v>449</v>
      </c>
      <c r="B323" s="1280"/>
      <c r="L323" s="1283"/>
    </row>
    <row r="324" spans="1:33" x14ac:dyDescent="0.2">
      <c r="AB324" s="1283"/>
      <c r="AC324" s="1283"/>
      <c r="AD324" s="1283"/>
      <c r="AE324" s="1283"/>
    </row>
    <row r="331" spans="1:33" ht="15" x14ac:dyDescent="0.2">
      <c r="A331" s="1403"/>
      <c r="B331" s="1404"/>
    </row>
    <row r="332" spans="1:33" ht="15" x14ac:dyDescent="0.2">
      <c r="A332" s="1403"/>
      <c r="B332" s="1404"/>
    </row>
    <row r="333" spans="1:33" ht="15" x14ac:dyDescent="0.2">
      <c r="A333" s="1403"/>
      <c r="B333" s="1404"/>
    </row>
    <row r="338" spans="1:2" s="1209" customFormat="1" ht="18" x14ac:dyDescent="0.25">
      <c r="A338" s="1751"/>
      <c r="B338" s="1751"/>
    </row>
    <row r="339" spans="1:2" s="1209" customFormat="1" x14ac:dyDescent="0.2">
      <c r="A339" s="1206"/>
      <c r="B339" s="1206"/>
    </row>
    <row r="341" spans="1:2" s="1209" customFormat="1" x14ac:dyDescent="0.2">
      <c r="A341" s="1223"/>
      <c r="B341" s="1280"/>
    </row>
    <row r="342" spans="1:2" s="1209" customFormat="1" x14ac:dyDescent="0.2">
      <c r="A342" s="1223"/>
      <c r="B342" s="1280"/>
    </row>
    <row r="343" spans="1:2" s="1209" customFormat="1" x14ac:dyDescent="0.2">
      <c r="A343" s="1223"/>
      <c r="B343" s="1280"/>
    </row>
    <row r="344" spans="1:2" s="1209" customFormat="1" x14ac:dyDescent="0.2">
      <c r="A344" s="1223"/>
      <c r="B344" s="1280"/>
    </row>
    <row r="345" spans="1:2" s="1209" customFormat="1" x14ac:dyDescent="0.2">
      <c r="A345" s="1223"/>
      <c r="B345" s="1280"/>
    </row>
    <row r="346" spans="1:2" s="1209" customFormat="1" x14ac:dyDescent="0.2">
      <c r="A346" s="1223"/>
      <c r="B346" s="1280"/>
    </row>
    <row r="347" spans="1:2" s="1209" customFormat="1" x14ac:dyDescent="0.2">
      <c r="A347" s="1223"/>
      <c r="B347" s="1280"/>
    </row>
    <row r="348" spans="1:2" s="1209" customFormat="1" x14ac:dyDescent="0.2">
      <c r="A348" s="1223"/>
      <c r="B348" s="1280"/>
    </row>
    <row r="349" spans="1:2" s="1209" customFormat="1" x14ac:dyDescent="0.2">
      <c r="A349" s="1223"/>
      <c r="B349" s="1280"/>
    </row>
    <row r="350" spans="1:2" s="1209" customFormat="1" x14ac:dyDescent="0.2">
      <c r="A350" s="1223"/>
      <c r="B350" s="1280"/>
    </row>
    <row r="351" spans="1:2" s="1209" customFormat="1" x14ac:dyDescent="0.2">
      <c r="A351" s="1223"/>
      <c r="B351" s="1280"/>
    </row>
    <row r="354" spans="2:2" s="1209" customFormat="1" x14ac:dyDescent="0.2">
      <c r="B354" s="1280"/>
    </row>
    <row r="355" spans="2:2" s="1209" customFormat="1" x14ac:dyDescent="0.2">
      <c r="B355" s="1280"/>
    </row>
    <row r="356" spans="2:2" s="1209" customFormat="1" x14ac:dyDescent="0.2">
      <c r="B356" s="1280"/>
    </row>
    <row r="358" spans="2:2" s="1209" customFormat="1" x14ac:dyDescent="0.2">
      <c r="B358" s="1405"/>
    </row>
  </sheetData>
  <mergeCells count="8">
    <mergeCell ref="A338:B338"/>
    <mergeCell ref="AC37:AD37"/>
    <mergeCell ref="I153:L153"/>
    <mergeCell ref="M153:U153"/>
    <mergeCell ref="F284:G284"/>
    <mergeCell ref="S284:X284"/>
    <mergeCell ref="V153:X153"/>
    <mergeCell ref="L220:M220"/>
  </mergeCells>
  <pageMargins left="0.78740157480314965" right="0.78740157480314965" top="0.98425196850393704" bottom="0.98425196850393704" header="0.51181102362204722" footer="0.51181102362204722"/>
  <pageSetup paperSize="9" scale="34" fitToHeight="2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"/>
  <sheetViews>
    <sheetView workbookViewId="0"/>
  </sheetViews>
  <sheetFormatPr defaultColWidth="11.42578125" defaultRowHeight="12.75" x14ac:dyDescent="0.2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358"/>
  <sheetViews>
    <sheetView topLeftCell="L19" workbookViewId="0">
      <pane ySplit="2025" topLeftCell="A34" activePane="bottomLeft"/>
      <selection activeCell="N20" sqref="N20"/>
      <selection pane="bottomLeft" activeCell="AD45" sqref="AD45"/>
    </sheetView>
  </sheetViews>
  <sheetFormatPr defaultColWidth="11.42578125" defaultRowHeight="12.75" x14ac:dyDescent="0.2"/>
  <cols>
    <col min="1" max="1" width="37.42578125" style="1209" customWidth="1"/>
    <col min="2" max="2" width="13.7109375" style="1209" customWidth="1"/>
    <col min="3" max="3" width="14" style="1209" customWidth="1"/>
    <col min="4" max="4" width="14.28515625" style="1209" customWidth="1"/>
    <col min="5" max="5" width="14.42578125" style="1209" bestFit="1" customWidth="1"/>
    <col min="6" max="6" width="12.7109375" style="1209" customWidth="1"/>
    <col min="7" max="7" width="13.85546875" style="1209" customWidth="1"/>
    <col min="8" max="8" width="13" style="1209" customWidth="1"/>
    <col min="9" max="9" width="11.7109375" style="1209" customWidth="1"/>
    <col min="10" max="11" width="10.85546875" style="1209" customWidth="1"/>
    <col min="12" max="12" width="11.85546875" style="1209" customWidth="1"/>
    <col min="13" max="13" width="10.85546875" style="1209" customWidth="1"/>
    <col min="14" max="14" width="10.28515625" style="1209" customWidth="1"/>
    <col min="15" max="15" width="10.85546875" style="1209" customWidth="1"/>
    <col min="16" max="16" width="10.85546875" style="1320" customWidth="1"/>
    <col min="17" max="17" width="12.28515625" style="1209" customWidth="1"/>
    <col min="18" max="18" width="11.85546875" style="1209" customWidth="1"/>
    <col min="19" max="19" width="11.42578125" style="1209"/>
    <col min="20" max="20" width="14" style="1209" customWidth="1"/>
    <col min="21" max="21" width="14.140625" style="1209" customWidth="1"/>
    <col min="22" max="22" width="11.85546875" style="1209" bestFit="1" customWidth="1"/>
    <col min="23" max="26" width="11.85546875" style="1209" customWidth="1"/>
    <col min="27" max="27" width="13.7109375" style="1209" customWidth="1"/>
    <col min="28" max="31" width="12.42578125" style="1209" customWidth="1"/>
    <col min="32" max="32" width="12" style="1209" customWidth="1"/>
    <col min="33" max="33" width="13.5703125" style="1209" customWidth="1"/>
    <col min="34" max="34" width="13.85546875" style="1209" bestFit="1" customWidth="1"/>
    <col min="35" max="35" width="11.85546875" style="1209" bestFit="1" customWidth="1"/>
    <col min="36" max="39" width="11.42578125" style="1209"/>
    <col min="40" max="40" width="13.85546875" style="1209" bestFit="1" customWidth="1"/>
    <col min="41" max="41" width="11.42578125" style="1209"/>
    <col min="42" max="42" width="13.85546875" style="1209" bestFit="1" customWidth="1"/>
    <col min="43" max="16384" width="11.42578125" style="1209"/>
  </cols>
  <sheetData>
    <row r="1" spans="1:36" x14ac:dyDescent="0.2">
      <c r="A1" s="1206" t="s">
        <v>693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8"/>
      <c r="Q1" s="1207"/>
      <c r="R1" s="1207"/>
      <c r="S1" s="1207"/>
      <c r="T1" s="1207"/>
      <c r="U1" s="1207"/>
      <c r="V1" s="1207"/>
      <c r="W1" s="1207"/>
      <c r="X1" s="1207"/>
      <c r="Y1" s="1207"/>
      <c r="Z1" s="1207"/>
      <c r="AA1" s="1207"/>
      <c r="AB1" s="1207"/>
      <c r="AC1" s="1207"/>
      <c r="AD1" s="1207"/>
      <c r="AE1" s="1207"/>
      <c r="AF1" s="1207"/>
      <c r="AG1" s="1207"/>
      <c r="AH1" s="1207"/>
    </row>
    <row r="2" spans="1:36" x14ac:dyDescent="0.2">
      <c r="A2" s="1210" t="s">
        <v>694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8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</row>
    <row r="3" spans="1:36" x14ac:dyDescent="0.2">
      <c r="A3" s="1210" t="s">
        <v>680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</row>
    <row r="4" spans="1:36" x14ac:dyDescent="0.2">
      <c r="A4" s="1207"/>
      <c r="B4" s="1207"/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2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07"/>
    </row>
    <row r="5" spans="1:36" x14ac:dyDescent="0.2">
      <c r="A5" s="1213" t="s">
        <v>689</v>
      </c>
      <c r="B5" s="1214" t="s">
        <v>132</v>
      </c>
      <c r="C5" s="1215">
        <f t="shared" ref="C5:AG5" si="0">C6+C7+C8+C9</f>
        <v>-504022.26999999996</v>
      </c>
      <c r="D5" s="1215">
        <f t="shared" si="0"/>
        <v>-504022.26999999996</v>
      </c>
      <c r="E5" s="1215">
        <f t="shared" si="0"/>
        <v>-504022.26999999996</v>
      </c>
      <c r="F5" s="1215">
        <f t="shared" si="0"/>
        <v>-504022.26999999996</v>
      </c>
      <c r="G5" s="1215">
        <f t="shared" si="0"/>
        <v>-504022.26999999996</v>
      </c>
      <c r="H5" s="1215">
        <f t="shared" si="0"/>
        <v>-504022.26999999996</v>
      </c>
      <c r="I5" s="1215">
        <f t="shared" si="0"/>
        <v>-504022.26999999996</v>
      </c>
      <c r="J5" s="1216">
        <f t="shared" si="0"/>
        <v>-504022.26999999996</v>
      </c>
      <c r="K5" s="1216">
        <f t="shared" si="0"/>
        <v>-504022.26999999996</v>
      </c>
      <c r="L5" s="1215">
        <f t="shared" si="0"/>
        <v>-504022.26999999996</v>
      </c>
      <c r="M5" s="1215">
        <f t="shared" si="0"/>
        <v>-504022.26999999996</v>
      </c>
      <c r="N5" s="1215">
        <f t="shared" si="0"/>
        <v>-504022.26999999996</v>
      </c>
      <c r="O5" s="1215">
        <f t="shared" si="0"/>
        <v>-504022.26999999996</v>
      </c>
      <c r="P5" s="1217">
        <f t="shared" si="0"/>
        <v>-504022.26999999996</v>
      </c>
      <c r="Q5" s="1215">
        <f t="shared" si="0"/>
        <v>-504022.26999999996</v>
      </c>
      <c r="R5" s="1215">
        <f t="shared" si="0"/>
        <v>-504022.26999999996</v>
      </c>
      <c r="S5" s="1215">
        <f t="shared" si="0"/>
        <v>-504022.26999999996</v>
      </c>
      <c r="T5" s="1215">
        <f t="shared" si="0"/>
        <v>-504022.26999999996</v>
      </c>
      <c r="U5" s="1215">
        <f t="shared" si="0"/>
        <v>-504022.26999999996</v>
      </c>
      <c r="V5" s="1215">
        <f t="shared" si="0"/>
        <v>-504022.26999999996</v>
      </c>
      <c r="W5" s="1215">
        <f t="shared" si="0"/>
        <v>-504022.26999999996</v>
      </c>
      <c r="X5" s="1215">
        <f t="shared" si="0"/>
        <v>-504022.26999999996</v>
      </c>
      <c r="Y5" s="1215">
        <f t="shared" si="0"/>
        <v>-504022.26999999996</v>
      </c>
      <c r="Z5" s="1215">
        <f t="shared" si="0"/>
        <v>-504022.26999999996</v>
      </c>
      <c r="AA5" s="1215">
        <f t="shared" si="0"/>
        <v>-504022.26999999996</v>
      </c>
      <c r="AB5" s="1215">
        <f t="shared" si="0"/>
        <v>-504022.26999999984</v>
      </c>
      <c r="AC5" s="1215">
        <f t="shared" si="0"/>
        <v>-504022.26999999984</v>
      </c>
      <c r="AD5" s="1215">
        <f t="shared" si="0"/>
        <v>-504022.26999999984</v>
      </c>
      <c r="AE5" s="1215">
        <f t="shared" si="0"/>
        <v>-504022.26999999984</v>
      </c>
      <c r="AF5" s="1215">
        <f t="shared" si="0"/>
        <v>-504022.26999999984</v>
      </c>
      <c r="AG5" s="1215">
        <f t="shared" si="0"/>
        <v>-504022.26999999984</v>
      </c>
      <c r="AH5" s="1207"/>
    </row>
    <row r="6" spans="1:36" x14ac:dyDescent="0.2">
      <c r="A6" s="1218">
        <v>100000</v>
      </c>
      <c r="B6" s="1207" t="s">
        <v>690</v>
      </c>
      <c r="C6" s="1219">
        <f t="shared" ref="C6:AF6" si="1">C70</f>
        <v>-490749.951</v>
      </c>
      <c r="D6" s="1219">
        <f t="shared" si="1"/>
        <v>-490749.951</v>
      </c>
      <c r="E6" s="1219">
        <f t="shared" si="1"/>
        <v>-490749.951</v>
      </c>
      <c r="F6" s="1219">
        <f t="shared" si="1"/>
        <v>-490749.951</v>
      </c>
      <c r="G6" s="1219">
        <f t="shared" si="1"/>
        <v>-490749.951</v>
      </c>
      <c r="H6" s="1219">
        <f t="shared" si="1"/>
        <v>-490749.951</v>
      </c>
      <c r="I6" s="1219">
        <f t="shared" si="1"/>
        <v>-490749.951</v>
      </c>
      <c r="J6" s="1220">
        <f t="shared" si="1"/>
        <v>-490749.951</v>
      </c>
      <c r="K6" s="1220">
        <f t="shared" si="1"/>
        <v>-490749.951</v>
      </c>
      <c r="L6" s="1219">
        <f t="shared" si="1"/>
        <v>-490749.951</v>
      </c>
      <c r="M6" s="1219">
        <f t="shared" si="1"/>
        <v>-490749.951</v>
      </c>
      <c r="N6" s="1219">
        <f t="shared" si="1"/>
        <v>-490749.951</v>
      </c>
      <c r="O6" s="1219">
        <f t="shared" si="1"/>
        <v>-490749.951</v>
      </c>
      <c r="P6" s="1221">
        <f t="shared" si="1"/>
        <v>-490749.951</v>
      </c>
      <c r="Q6" s="1219">
        <f t="shared" si="1"/>
        <v>-490749.951</v>
      </c>
      <c r="R6" s="1219">
        <f t="shared" si="1"/>
        <v>-490749.951</v>
      </c>
      <c r="S6" s="1219">
        <f t="shared" si="1"/>
        <v>-490749.951</v>
      </c>
      <c r="T6" s="1219">
        <f t="shared" si="1"/>
        <v>-490749.951</v>
      </c>
      <c r="U6" s="1219">
        <f t="shared" si="1"/>
        <v>-490749.951</v>
      </c>
      <c r="V6" s="1219">
        <f t="shared" si="1"/>
        <v>-490749.951</v>
      </c>
      <c r="W6" s="1219">
        <f t="shared" si="1"/>
        <v>-490749.951</v>
      </c>
      <c r="X6" s="1219">
        <f t="shared" si="1"/>
        <v>-490749.951</v>
      </c>
      <c r="Y6" s="1219">
        <f t="shared" si="1"/>
        <v>-490749.951</v>
      </c>
      <c r="Z6" s="1219">
        <f t="shared" si="1"/>
        <v>-490749.951</v>
      </c>
      <c r="AA6" s="1219">
        <f t="shared" si="1"/>
        <v>-490749.951</v>
      </c>
      <c r="AB6" s="1219">
        <f t="shared" si="1"/>
        <v>-490749.95099999988</v>
      </c>
      <c r="AC6" s="1219">
        <f t="shared" si="1"/>
        <v>-490749.95099999988</v>
      </c>
      <c r="AD6" s="1219">
        <f t="shared" si="1"/>
        <v>-490749.95099999988</v>
      </c>
      <c r="AE6" s="1219">
        <f t="shared" si="1"/>
        <v>-490749.95099999988</v>
      </c>
      <c r="AF6" s="1219">
        <f t="shared" si="1"/>
        <v>-490749.95099999988</v>
      </c>
      <c r="AG6" s="1219">
        <f>AG70</f>
        <v>-490749.95099999988</v>
      </c>
      <c r="AH6" s="1207"/>
    </row>
    <row r="7" spans="1:36" x14ac:dyDescent="0.2">
      <c r="A7" s="1218">
        <v>25000</v>
      </c>
      <c r="B7" s="1207" t="s">
        <v>666</v>
      </c>
      <c r="C7" s="1219">
        <f t="shared" ref="C7:AG7" si="2">C184</f>
        <v>-919.20799999999997</v>
      </c>
      <c r="D7" s="1219">
        <f t="shared" si="2"/>
        <v>-919.20799999999997</v>
      </c>
      <c r="E7" s="1219">
        <f t="shared" si="2"/>
        <v>-919.20799999999997</v>
      </c>
      <c r="F7" s="1219">
        <f t="shared" si="2"/>
        <v>-919.20799999999997</v>
      </c>
      <c r="G7" s="1219">
        <f t="shared" si="2"/>
        <v>-919.20799999999997</v>
      </c>
      <c r="H7" s="1219">
        <f t="shared" si="2"/>
        <v>-919.20799999999997</v>
      </c>
      <c r="I7" s="1219">
        <f t="shared" si="2"/>
        <v>-919.20799999999997</v>
      </c>
      <c r="J7" s="1220">
        <f t="shared" si="2"/>
        <v>-919.20799999999997</v>
      </c>
      <c r="K7" s="1220">
        <f t="shared" si="2"/>
        <v>-919.20799999999997</v>
      </c>
      <c r="L7" s="1219">
        <f t="shared" si="2"/>
        <v>-919.20799999999997</v>
      </c>
      <c r="M7" s="1219">
        <f t="shared" si="2"/>
        <v>-919.20799999999997</v>
      </c>
      <c r="N7" s="1219">
        <f t="shared" si="2"/>
        <v>-919.20799999999997</v>
      </c>
      <c r="O7" s="1219">
        <f t="shared" si="2"/>
        <v>-919.20799999999997</v>
      </c>
      <c r="P7" s="1221">
        <f t="shared" si="2"/>
        <v>-919.20799999999997</v>
      </c>
      <c r="Q7" s="1219">
        <f t="shared" si="2"/>
        <v>-919.20799999999997</v>
      </c>
      <c r="R7" s="1219">
        <f t="shared" si="2"/>
        <v>-919.20799999999997</v>
      </c>
      <c r="S7" s="1222">
        <f t="shared" si="2"/>
        <v>-919.20799999999997</v>
      </c>
      <c r="T7" s="1219">
        <f t="shared" si="2"/>
        <v>-919.20799999999997</v>
      </c>
      <c r="U7" s="1219">
        <f t="shared" si="2"/>
        <v>-919.20799999999997</v>
      </c>
      <c r="V7" s="1219">
        <f t="shared" si="2"/>
        <v>-919.20799999999997</v>
      </c>
      <c r="W7" s="1219">
        <f t="shared" si="2"/>
        <v>-919.20799999999997</v>
      </c>
      <c r="X7" s="1219">
        <f t="shared" si="2"/>
        <v>-919.20799999999997</v>
      </c>
      <c r="Y7" s="1219">
        <f t="shared" si="2"/>
        <v>-919.20799999999997</v>
      </c>
      <c r="Z7" s="1219">
        <f t="shared" si="2"/>
        <v>-919.20799999999997</v>
      </c>
      <c r="AA7" s="1219">
        <f t="shared" si="2"/>
        <v>-919.20799999999997</v>
      </c>
      <c r="AB7" s="1219">
        <f t="shared" si="2"/>
        <v>-919.20799999999997</v>
      </c>
      <c r="AC7" s="1219">
        <f t="shared" si="2"/>
        <v>-919.20799999999997</v>
      </c>
      <c r="AD7" s="1219">
        <f t="shared" si="2"/>
        <v>-919.20799999999997</v>
      </c>
      <c r="AE7" s="1219">
        <f t="shared" si="2"/>
        <v>-919.20799999999997</v>
      </c>
      <c r="AF7" s="1219">
        <f t="shared" si="2"/>
        <v>-919.20799999999997</v>
      </c>
      <c r="AG7" s="1219">
        <f t="shared" si="2"/>
        <v>-919.20799999999997</v>
      </c>
      <c r="AH7" s="1207"/>
    </row>
    <row r="8" spans="1:36" x14ac:dyDescent="0.2">
      <c r="A8" s="1218">
        <v>25000</v>
      </c>
      <c r="B8" s="1207" t="s">
        <v>667</v>
      </c>
      <c r="C8" s="1219">
        <f t="shared" ref="C8:AG8" si="3">C247</f>
        <v>8845.4609999999993</v>
      </c>
      <c r="D8" s="1219">
        <f t="shared" si="3"/>
        <v>8845.4609999999993</v>
      </c>
      <c r="E8" s="1219">
        <f t="shared" si="3"/>
        <v>8845.4609999999993</v>
      </c>
      <c r="F8" s="1219">
        <f t="shared" si="3"/>
        <v>8845.4609999999993</v>
      </c>
      <c r="G8" s="1219">
        <f t="shared" si="3"/>
        <v>8845.4609999999993</v>
      </c>
      <c r="H8" s="1219">
        <f t="shared" si="3"/>
        <v>8845.4609999999993</v>
      </c>
      <c r="I8" s="1222">
        <f t="shared" si="3"/>
        <v>8845.4609999999993</v>
      </c>
      <c r="J8" s="1220">
        <f t="shared" si="3"/>
        <v>8845.4609999999993</v>
      </c>
      <c r="K8" s="1220">
        <f t="shared" si="3"/>
        <v>8845.4609999999993</v>
      </c>
      <c r="L8" s="1219">
        <f t="shared" si="3"/>
        <v>8845.4609999999993</v>
      </c>
      <c r="M8" s="1219">
        <f t="shared" si="3"/>
        <v>8845.4609999999993</v>
      </c>
      <c r="N8" s="1219">
        <f t="shared" si="3"/>
        <v>8845.4609999999993</v>
      </c>
      <c r="O8" s="1219">
        <f t="shared" si="3"/>
        <v>8845.4609999999993</v>
      </c>
      <c r="P8" s="1221">
        <f t="shared" si="3"/>
        <v>8845.4609999999993</v>
      </c>
      <c r="Q8" s="1219">
        <f t="shared" si="3"/>
        <v>8845.4609999999993</v>
      </c>
      <c r="R8" s="1219">
        <f t="shared" si="3"/>
        <v>8845.4609999999993</v>
      </c>
      <c r="S8" s="1219">
        <f t="shared" si="3"/>
        <v>8845.4609999999993</v>
      </c>
      <c r="T8" s="1219">
        <f t="shared" si="3"/>
        <v>8845.4609999999993</v>
      </c>
      <c r="U8" s="1219">
        <f t="shared" si="3"/>
        <v>8845.4609999999993</v>
      </c>
      <c r="V8" s="1219">
        <f t="shared" si="3"/>
        <v>8845.4609999999993</v>
      </c>
      <c r="W8" s="1219">
        <f t="shared" si="3"/>
        <v>8845.4609999999993</v>
      </c>
      <c r="X8" s="1219">
        <f t="shared" si="3"/>
        <v>8845.4609999999993</v>
      </c>
      <c r="Y8" s="1219">
        <f t="shared" si="3"/>
        <v>8845.4609999999993</v>
      </c>
      <c r="Z8" s="1219">
        <f t="shared" si="3"/>
        <v>8845.4609999999993</v>
      </c>
      <c r="AA8" s="1219">
        <f t="shared" si="3"/>
        <v>8845.4609999999993</v>
      </c>
      <c r="AB8" s="1219">
        <f t="shared" si="3"/>
        <v>8845.4609999999993</v>
      </c>
      <c r="AC8" s="1219">
        <f t="shared" si="3"/>
        <v>8845.4609999999993</v>
      </c>
      <c r="AD8" s="1219">
        <f t="shared" si="3"/>
        <v>8845.4609999999993</v>
      </c>
      <c r="AE8" s="1219">
        <f t="shared" si="3"/>
        <v>8845.4609999999993</v>
      </c>
      <c r="AF8" s="1219">
        <f t="shared" si="3"/>
        <v>8845.4609999999993</v>
      </c>
      <c r="AG8" s="1219">
        <f t="shared" si="3"/>
        <v>8845.4609999999993</v>
      </c>
      <c r="AH8" s="1207"/>
      <c r="AJ8" s="1223"/>
    </row>
    <row r="9" spans="1:36" x14ac:dyDescent="0.2">
      <c r="A9" s="1218">
        <v>20000</v>
      </c>
      <c r="B9" s="1207" t="s">
        <v>691</v>
      </c>
      <c r="C9" s="1219">
        <f t="shared" ref="C9:AG9" si="4">C311</f>
        <v>-21198.572</v>
      </c>
      <c r="D9" s="1219">
        <f t="shared" si="4"/>
        <v>-21198.572</v>
      </c>
      <c r="E9" s="1219">
        <f t="shared" si="4"/>
        <v>-21198.572</v>
      </c>
      <c r="F9" s="1219">
        <f t="shared" si="4"/>
        <v>-21198.572</v>
      </c>
      <c r="G9" s="1222">
        <f t="shared" si="4"/>
        <v>-21198.572</v>
      </c>
      <c r="H9" s="1219">
        <f t="shared" si="4"/>
        <v>-21198.572</v>
      </c>
      <c r="I9" s="1219">
        <f t="shared" si="4"/>
        <v>-21198.572</v>
      </c>
      <c r="J9" s="1220">
        <f t="shared" si="4"/>
        <v>-21198.572</v>
      </c>
      <c r="K9" s="1220">
        <f t="shared" si="4"/>
        <v>-21198.572</v>
      </c>
      <c r="L9" s="1219">
        <f t="shared" si="4"/>
        <v>-21198.572</v>
      </c>
      <c r="M9" s="1219">
        <f t="shared" si="4"/>
        <v>-21198.572</v>
      </c>
      <c r="N9" s="1219">
        <f t="shared" si="4"/>
        <v>-21198.572</v>
      </c>
      <c r="O9" s="1219">
        <f t="shared" si="4"/>
        <v>-21198.572</v>
      </c>
      <c r="P9" s="1221">
        <f t="shared" si="4"/>
        <v>-21198.572</v>
      </c>
      <c r="Q9" s="1219">
        <f t="shared" si="4"/>
        <v>-21198.572</v>
      </c>
      <c r="R9" s="1219">
        <f t="shared" si="4"/>
        <v>-21198.572</v>
      </c>
      <c r="S9" s="1219">
        <f t="shared" si="4"/>
        <v>-21198.572</v>
      </c>
      <c r="T9" s="1219">
        <f t="shared" si="4"/>
        <v>-21198.572</v>
      </c>
      <c r="U9" s="1219">
        <f t="shared" si="4"/>
        <v>-21198.572</v>
      </c>
      <c r="V9" s="1219">
        <f t="shared" si="4"/>
        <v>-21198.572</v>
      </c>
      <c r="W9" s="1219">
        <f t="shared" si="4"/>
        <v>-21198.572</v>
      </c>
      <c r="X9" s="1219">
        <f t="shared" si="4"/>
        <v>-21198.572</v>
      </c>
      <c r="Y9" s="1219">
        <f t="shared" si="4"/>
        <v>-21198.572</v>
      </c>
      <c r="Z9" s="1219">
        <f t="shared" si="4"/>
        <v>-21198.572</v>
      </c>
      <c r="AA9" s="1219">
        <f t="shared" si="4"/>
        <v>-21198.572</v>
      </c>
      <c r="AB9" s="1219">
        <f t="shared" si="4"/>
        <v>-21198.572</v>
      </c>
      <c r="AC9" s="1219">
        <f t="shared" si="4"/>
        <v>-21198.572</v>
      </c>
      <c r="AD9" s="1219">
        <f t="shared" si="4"/>
        <v>-21198.572</v>
      </c>
      <c r="AE9" s="1219">
        <f t="shared" si="4"/>
        <v>-21198.572</v>
      </c>
      <c r="AF9" s="1219">
        <f t="shared" si="4"/>
        <v>-21198.572</v>
      </c>
      <c r="AG9" s="1219">
        <f t="shared" si="4"/>
        <v>-21198.572</v>
      </c>
      <c r="AH9" s="1207"/>
    </row>
    <row r="10" spans="1:36" x14ac:dyDescent="0.2">
      <c r="A10" s="1213" t="s">
        <v>692</v>
      </c>
      <c r="B10" s="1214" t="s">
        <v>132</v>
      </c>
      <c r="C10" s="1224">
        <f t="shared" ref="C10:AG10" si="5">C11+C12+C13</f>
        <v>0</v>
      </c>
      <c r="D10" s="1224">
        <f t="shared" si="5"/>
        <v>184.99299999999999</v>
      </c>
      <c r="E10" s="1224">
        <f t="shared" si="5"/>
        <v>3128.2420000000002</v>
      </c>
      <c r="F10" s="1224">
        <f t="shared" si="5"/>
        <v>1061.5530000000001</v>
      </c>
      <c r="G10" s="1224">
        <f t="shared" si="5"/>
        <v>10263.805</v>
      </c>
      <c r="H10" s="1224">
        <f t="shared" si="5"/>
        <v>2393.8020000000001</v>
      </c>
      <c r="I10" s="1224">
        <f t="shared" si="5"/>
        <v>1325.9649999999999</v>
      </c>
      <c r="J10" s="1225">
        <f t="shared" si="5"/>
        <v>2140</v>
      </c>
      <c r="K10" s="1225">
        <f t="shared" si="5"/>
        <v>4623.9400000000005</v>
      </c>
      <c r="L10" s="1224">
        <f t="shared" si="5"/>
        <v>26598.312000000002</v>
      </c>
      <c r="M10" s="1224">
        <f t="shared" si="5"/>
        <v>0</v>
      </c>
      <c r="N10" s="1224">
        <f t="shared" si="5"/>
        <v>14958.545000000002</v>
      </c>
      <c r="O10" s="1224">
        <f t="shared" si="5"/>
        <v>1845.806</v>
      </c>
      <c r="P10" s="1226">
        <f t="shared" si="5"/>
        <v>0</v>
      </c>
      <c r="Q10" s="1224">
        <f t="shared" si="5"/>
        <v>24346.143</v>
      </c>
      <c r="R10" s="1224">
        <f t="shared" si="5"/>
        <v>1852.0540000000001</v>
      </c>
      <c r="S10" s="1224">
        <f t="shared" si="5"/>
        <v>1813.8420000000001</v>
      </c>
      <c r="T10" s="1224">
        <f t="shared" si="5"/>
        <v>1516.2850000000001</v>
      </c>
      <c r="U10" s="1224">
        <f t="shared" si="5"/>
        <v>2142.0209999999997</v>
      </c>
      <c r="V10" s="1224">
        <f t="shared" si="5"/>
        <v>10077.187000000002</v>
      </c>
      <c r="W10" s="1224">
        <f t="shared" si="5"/>
        <v>2104.21</v>
      </c>
      <c r="X10" s="1224">
        <f t="shared" si="5"/>
        <v>2279.3679999999999</v>
      </c>
      <c r="Y10" s="1224">
        <f t="shared" si="5"/>
        <v>0</v>
      </c>
      <c r="Z10" s="1224">
        <f t="shared" si="5"/>
        <v>4496.0249999999996</v>
      </c>
      <c r="AA10" s="1224">
        <f t="shared" si="5"/>
        <v>6882.7610000000004</v>
      </c>
      <c r="AB10" s="1224">
        <f t="shared" si="5"/>
        <v>2778.2159999999999</v>
      </c>
      <c r="AC10" s="1224">
        <f t="shared" si="5"/>
        <v>0</v>
      </c>
      <c r="AD10" s="1224">
        <f t="shared" si="5"/>
        <v>62162.161000000007</v>
      </c>
      <c r="AE10" s="1224">
        <f t="shared" si="5"/>
        <v>7378.299</v>
      </c>
      <c r="AF10" s="1224">
        <f t="shared" si="5"/>
        <v>0</v>
      </c>
      <c r="AG10" s="1224">
        <f t="shared" si="5"/>
        <v>0</v>
      </c>
      <c r="AH10" s="1227">
        <f>SUM(C10:AG10)</f>
        <v>198353.53500000003</v>
      </c>
    </row>
    <row r="11" spans="1:36" x14ac:dyDescent="0.2">
      <c r="A11" s="1213"/>
      <c r="B11" s="1207" t="s">
        <v>666</v>
      </c>
      <c r="C11" s="1227">
        <f t="shared" ref="C11:AG11" si="6">C171</f>
        <v>0</v>
      </c>
      <c r="D11" s="1227">
        <f t="shared" si="6"/>
        <v>0</v>
      </c>
      <c r="E11" s="1227">
        <f t="shared" si="6"/>
        <v>1000</v>
      </c>
      <c r="F11" s="1227">
        <f t="shared" si="6"/>
        <v>0</v>
      </c>
      <c r="G11" s="1227">
        <f t="shared" si="6"/>
        <v>1683.982</v>
      </c>
      <c r="H11" s="1227">
        <f t="shared" si="6"/>
        <v>877.51700000000005</v>
      </c>
      <c r="I11" s="1227">
        <f t="shared" si="6"/>
        <v>0</v>
      </c>
      <c r="J11" s="1228">
        <f t="shared" si="6"/>
        <v>0</v>
      </c>
      <c r="K11" s="1228">
        <f t="shared" si="6"/>
        <v>3107.6550000000002</v>
      </c>
      <c r="L11" s="1227">
        <f t="shared" si="6"/>
        <v>3979.0740000000001</v>
      </c>
      <c r="M11" s="1227">
        <f t="shared" si="6"/>
        <v>0</v>
      </c>
      <c r="N11" s="1227">
        <f t="shared" si="6"/>
        <v>847.08299999999997</v>
      </c>
      <c r="O11" s="1227">
        <f t="shared" si="6"/>
        <v>1055.806</v>
      </c>
      <c r="P11" s="1229">
        <f t="shared" si="6"/>
        <v>0</v>
      </c>
      <c r="Q11" s="1227">
        <f t="shared" si="6"/>
        <v>4196.5990000000002</v>
      </c>
      <c r="R11" s="1227">
        <f t="shared" si="6"/>
        <v>0</v>
      </c>
      <c r="S11" s="1227">
        <f t="shared" si="6"/>
        <v>0</v>
      </c>
      <c r="T11" s="1227">
        <f t="shared" si="6"/>
        <v>0</v>
      </c>
      <c r="U11" s="1227">
        <f t="shared" si="6"/>
        <v>0</v>
      </c>
      <c r="V11" s="1227">
        <f t="shared" si="6"/>
        <v>3885.808</v>
      </c>
      <c r="W11" s="1227">
        <f t="shared" si="6"/>
        <v>587.29999999999995</v>
      </c>
      <c r="X11" s="1227">
        <f t="shared" si="6"/>
        <v>809.36800000000005</v>
      </c>
      <c r="Y11" s="1227">
        <f t="shared" si="6"/>
        <v>0</v>
      </c>
      <c r="Z11" s="1227">
        <f t="shared" si="6"/>
        <v>0</v>
      </c>
      <c r="AA11" s="1227">
        <f t="shared" si="6"/>
        <v>0</v>
      </c>
      <c r="AB11" s="1227">
        <f t="shared" si="6"/>
        <v>445.90600000000001</v>
      </c>
      <c r="AC11" s="1227">
        <f t="shared" si="6"/>
        <v>0</v>
      </c>
      <c r="AD11" s="1227">
        <f t="shared" si="6"/>
        <v>9103.0570000000007</v>
      </c>
      <c r="AE11" s="1227">
        <f t="shared" si="6"/>
        <v>2683.8670000000002</v>
      </c>
      <c r="AF11" s="1227">
        <f t="shared" si="6"/>
        <v>0</v>
      </c>
      <c r="AG11" s="1227">
        <f t="shared" si="6"/>
        <v>0</v>
      </c>
      <c r="AH11" s="1207"/>
    </row>
    <row r="12" spans="1:36" x14ac:dyDescent="0.2">
      <c r="A12" s="1213"/>
      <c r="B12" s="1207" t="s">
        <v>667</v>
      </c>
      <c r="C12" s="1227">
        <f t="shared" ref="C12:AG12" si="7">C234</f>
        <v>0</v>
      </c>
      <c r="D12" s="1227">
        <f t="shared" si="7"/>
        <v>0</v>
      </c>
      <c r="E12" s="1227">
        <f t="shared" si="7"/>
        <v>0</v>
      </c>
      <c r="F12" s="1227">
        <f t="shared" si="7"/>
        <v>1061.5530000000001</v>
      </c>
      <c r="G12" s="1227">
        <f t="shared" si="7"/>
        <v>0</v>
      </c>
      <c r="H12" s="1227">
        <f t="shared" si="7"/>
        <v>1516.2850000000001</v>
      </c>
      <c r="I12" s="1227">
        <f t="shared" si="7"/>
        <v>0</v>
      </c>
      <c r="J12" s="1228">
        <f t="shared" si="7"/>
        <v>0</v>
      </c>
      <c r="K12" s="1228">
        <f t="shared" si="7"/>
        <v>1516.2850000000001</v>
      </c>
      <c r="L12" s="1227">
        <f t="shared" si="7"/>
        <v>7200.0720000000001</v>
      </c>
      <c r="M12" s="1227">
        <f t="shared" si="7"/>
        <v>0</v>
      </c>
      <c r="N12" s="1227">
        <f t="shared" si="7"/>
        <v>1516.2850000000001</v>
      </c>
      <c r="O12" s="1227">
        <f t="shared" si="7"/>
        <v>0</v>
      </c>
      <c r="P12" s="1229">
        <f t="shared" si="7"/>
        <v>0</v>
      </c>
      <c r="Q12" s="1227">
        <f t="shared" si="7"/>
        <v>3593.1140000000005</v>
      </c>
      <c r="R12" s="1227">
        <f t="shared" si="7"/>
        <v>0</v>
      </c>
      <c r="S12" s="1227">
        <f t="shared" si="7"/>
        <v>0</v>
      </c>
      <c r="T12" s="1227">
        <f t="shared" si="7"/>
        <v>1516.2850000000001</v>
      </c>
      <c r="U12" s="1227">
        <f t="shared" si="7"/>
        <v>0</v>
      </c>
      <c r="V12" s="1227">
        <f t="shared" si="7"/>
        <v>0</v>
      </c>
      <c r="W12" s="1227">
        <f t="shared" si="7"/>
        <v>1516.91</v>
      </c>
      <c r="X12" s="1227">
        <f t="shared" si="7"/>
        <v>0</v>
      </c>
      <c r="Y12" s="1227">
        <f t="shared" si="7"/>
        <v>0</v>
      </c>
      <c r="Z12" s="1227">
        <f t="shared" si="7"/>
        <v>0</v>
      </c>
      <c r="AA12" s="1227">
        <f t="shared" si="7"/>
        <v>0</v>
      </c>
      <c r="AB12" s="1227">
        <f t="shared" si="7"/>
        <v>0</v>
      </c>
      <c r="AC12" s="1227">
        <f t="shared" si="7"/>
        <v>0</v>
      </c>
      <c r="AD12" s="1227">
        <f t="shared" si="7"/>
        <v>1462.3440000000001</v>
      </c>
      <c r="AE12" s="1227">
        <f t="shared" si="7"/>
        <v>0</v>
      </c>
      <c r="AF12" s="1227">
        <f t="shared" si="7"/>
        <v>0</v>
      </c>
      <c r="AG12" s="1227">
        <f t="shared" si="7"/>
        <v>0</v>
      </c>
      <c r="AH12" s="1207"/>
    </row>
    <row r="13" spans="1:36" x14ac:dyDescent="0.2">
      <c r="A13" s="1213"/>
      <c r="B13" s="1207" t="s">
        <v>691</v>
      </c>
      <c r="C13" s="1227">
        <f t="shared" ref="C13:AG13" si="8">C298</f>
        <v>0</v>
      </c>
      <c r="D13" s="1227">
        <f t="shared" si="8"/>
        <v>184.99299999999999</v>
      </c>
      <c r="E13" s="1227">
        <f t="shared" si="8"/>
        <v>2128.2420000000002</v>
      </c>
      <c r="F13" s="1227">
        <f t="shared" si="8"/>
        <v>0</v>
      </c>
      <c r="G13" s="1227">
        <f t="shared" si="8"/>
        <v>8579.8230000000003</v>
      </c>
      <c r="H13" s="1227">
        <f t="shared" si="8"/>
        <v>0</v>
      </c>
      <c r="I13" s="1227">
        <f t="shared" si="8"/>
        <v>1325.9649999999999</v>
      </c>
      <c r="J13" s="1228">
        <f t="shared" si="8"/>
        <v>2140</v>
      </c>
      <c r="K13" s="1228">
        <f t="shared" si="8"/>
        <v>0</v>
      </c>
      <c r="L13" s="1227">
        <f t="shared" si="8"/>
        <v>15419.166000000001</v>
      </c>
      <c r="M13" s="1227">
        <f t="shared" si="8"/>
        <v>0</v>
      </c>
      <c r="N13" s="1227">
        <f t="shared" si="8"/>
        <v>12595.177000000001</v>
      </c>
      <c r="O13" s="1227">
        <f t="shared" si="8"/>
        <v>790</v>
      </c>
      <c r="P13" s="1229">
        <f t="shared" si="8"/>
        <v>0</v>
      </c>
      <c r="Q13" s="1227">
        <f t="shared" si="8"/>
        <v>16556.43</v>
      </c>
      <c r="R13" s="1227">
        <f t="shared" si="8"/>
        <v>1852.0540000000001</v>
      </c>
      <c r="S13" s="1227">
        <f t="shared" si="8"/>
        <v>1813.8420000000001</v>
      </c>
      <c r="T13" s="1227">
        <f t="shared" si="8"/>
        <v>0</v>
      </c>
      <c r="U13" s="1227">
        <f t="shared" si="8"/>
        <v>2142.0209999999997</v>
      </c>
      <c r="V13" s="1227">
        <f t="shared" si="8"/>
        <v>6191.3790000000008</v>
      </c>
      <c r="W13" s="1227">
        <f t="shared" si="8"/>
        <v>0</v>
      </c>
      <c r="X13" s="1227">
        <f t="shared" si="8"/>
        <v>1470</v>
      </c>
      <c r="Y13" s="1227">
        <f t="shared" si="8"/>
        <v>0</v>
      </c>
      <c r="Z13" s="1227">
        <f t="shared" si="8"/>
        <v>4496.0249999999996</v>
      </c>
      <c r="AA13" s="1227">
        <f t="shared" si="8"/>
        <v>6882.7610000000004</v>
      </c>
      <c r="AB13" s="1227">
        <f t="shared" si="8"/>
        <v>2332.31</v>
      </c>
      <c r="AC13" s="1227">
        <f t="shared" si="8"/>
        <v>0</v>
      </c>
      <c r="AD13" s="1227">
        <f t="shared" si="8"/>
        <v>51596.76</v>
      </c>
      <c r="AE13" s="1227">
        <f t="shared" si="8"/>
        <v>4694.4319999999998</v>
      </c>
      <c r="AF13" s="1227">
        <f t="shared" si="8"/>
        <v>0</v>
      </c>
      <c r="AG13" s="1227">
        <f t="shared" si="8"/>
        <v>0</v>
      </c>
      <c r="AH13" s="1207"/>
    </row>
    <row r="14" spans="1:36" x14ac:dyDescent="0.2">
      <c r="A14" s="1207"/>
      <c r="B14" s="1207"/>
      <c r="C14" s="1207"/>
      <c r="D14" s="1207"/>
      <c r="E14" s="1207"/>
      <c r="F14" s="1207"/>
      <c r="G14" s="1207"/>
      <c r="H14" s="1207"/>
      <c r="I14" s="1207"/>
      <c r="J14" s="1230"/>
      <c r="K14" s="1230"/>
      <c r="L14" s="1207"/>
      <c r="M14" s="1207"/>
      <c r="N14" s="1216"/>
      <c r="O14" s="1207"/>
      <c r="P14" s="1208"/>
      <c r="Q14" s="1207"/>
      <c r="R14" s="1207"/>
      <c r="S14" s="1207"/>
      <c r="T14" s="1207"/>
      <c r="U14" s="1216"/>
      <c r="V14" s="1207"/>
      <c r="W14" s="1207"/>
      <c r="X14" s="1207"/>
      <c r="Y14" s="1207"/>
      <c r="Z14" s="1207"/>
      <c r="AA14" s="1216"/>
      <c r="AB14" s="1207"/>
      <c r="AC14" s="1207"/>
      <c r="AD14" s="1207"/>
      <c r="AE14" s="1207"/>
      <c r="AF14" s="1207"/>
      <c r="AG14" s="1216"/>
      <c r="AH14" s="1231">
        <f>AG5+AH10</f>
        <v>-305668.73499999981</v>
      </c>
    </row>
    <row r="15" spans="1:36" ht="13.5" thickBot="1" x14ac:dyDescent="0.25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8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7"/>
      <c r="AF15" s="1207"/>
      <c r="AG15" s="1207"/>
      <c r="AH15" s="1232"/>
      <c r="AI15" s="1223"/>
    </row>
    <row r="16" spans="1:36" x14ac:dyDescent="0.2">
      <c r="A16" s="1233"/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5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2"/>
      <c r="AI16" s="1223"/>
    </row>
    <row r="17" spans="1:35" x14ac:dyDescent="0.2">
      <c r="A17" s="1236"/>
      <c r="B17" s="1237" t="s">
        <v>37</v>
      </c>
      <c r="C17" s="1237"/>
      <c r="D17" s="1237"/>
      <c r="E17" s="1238" t="s">
        <v>912</v>
      </c>
      <c r="F17" s="1239" t="s">
        <v>140</v>
      </c>
      <c r="G17" s="1239"/>
      <c r="H17" s="1211" t="s">
        <v>6</v>
      </c>
      <c r="I17" s="1239"/>
      <c r="J17" s="1239"/>
      <c r="K17" s="1239"/>
      <c r="L17" s="1239"/>
      <c r="M17" s="1239"/>
      <c r="N17" s="1239"/>
      <c r="O17" s="1239"/>
      <c r="P17" s="1240"/>
      <c r="Q17" s="1239"/>
      <c r="R17" s="1239"/>
      <c r="S17" s="1239"/>
      <c r="T17" s="1239"/>
      <c r="U17" s="1239"/>
      <c r="V17" s="1239"/>
      <c r="W17" s="1239"/>
      <c r="X17" s="1239"/>
      <c r="Y17" s="1239"/>
      <c r="AA17" s="1239"/>
      <c r="AB17" s="1239"/>
      <c r="AC17" s="1239"/>
      <c r="AD17" s="1239"/>
      <c r="AE17" s="1239"/>
      <c r="AF17" s="1239"/>
      <c r="AG17" s="1239"/>
      <c r="AH17" s="1232"/>
      <c r="AI17" s="1223"/>
    </row>
    <row r="18" spans="1:35" x14ac:dyDescent="0.2">
      <c r="A18" s="1236"/>
      <c r="B18" s="1237"/>
      <c r="C18" s="1237"/>
      <c r="D18" s="1239"/>
      <c r="E18" s="1237"/>
      <c r="F18" s="1237"/>
      <c r="G18" s="1237"/>
      <c r="H18" s="1237"/>
      <c r="I18" s="1237"/>
      <c r="J18" s="1237"/>
      <c r="K18" s="1237"/>
      <c r="L18" s="1237"/>
      <c r="M18" s="1237"/>
      <c r="N18" s="1237"/>
      <c r="O18" s="1237"/>
      <c r="P18" s="1241"/>
      <c r="Q18" s="1237"/>
      <c r="R18" s="1237"/>
      <c r="S18" s="1237"/>
      <c r="T18" s="1237"/>
      <c r="U18" s="1237"/>
      <c r="V18" s="1237"/>
      <c r="W18" s="1237"/>
      <c r="X18" s="1237"/>
      <c r="Y18" s="1237"/>
      <c r="Z18" s="1237"/>
      <c r="AA18" s="1237"/>
      <c r="AB18" s="1237"/>
      <c r="AC18" s="1237"/>
      <c r="AD18" s="1237"/>
      <c r="AE18" s="1237"/>
      <c r="AF18" s="1237"/>
      <c r="AG18" s="1237"/>
      <c r="AH18" s="1229"/>
    </row>
    <row r="19" spans="1:35" x14ac:dyDescent="0.2">
      <c r="A19" s="1242"/>
      <c r="B19" s="1239"/>
      <c r="C19" s="1239"/>
      <c r="D19" s="1238">
        <v>42439</v>
      </c>
      <c r="E19" s="1237"/>
      <c r="F19" s="1237"/>
      <c r="G19" s="1237"/>
      <c r="H19" s="1237"/>
      <c r="I19" s="1237"/>
      <c r="J19" s="1237"/>
      <c r="K19" s="1237"/>
      <c r="L19" s="1237"/>
      <c r="M19" s="1237"/>
      <c r="N19" s="1237"/>
      <c r="O19" s="1237"/>
      <c r="P19" s="1241"/>
      <c r="Q19" s="1237"/>
      <c r="R19" s="1237"/>
      <c r="S19" s="1237"/>
      <c r="T19" s="1237"/>
      <c r="U19" s="1237"/>
      <c r="V19" s="1237"/>
      <c r="W19" s="1237"/>
      <c r="X19" s="1237"/>
      <c r="Y19" s="1237"/>
      <c r="Z19" s="1237"/>
      <c r="AA19" s="1237"/>
      <c r="AB19" s="1237"/>
      <c r="AC19" s="1237"/>
      <c r="AD19" s="1237"/>
      <c r="AE19" s="1237"/>
      <c r="AF19" s="1237"/>
      <c r="AG19" s="1237"/>
      <c r="AH19" s="1207"/>
    </row>
    <row r="20" spans="1:35" x14ac:dyDescent="0.2">
      <c r="A20" s="1242"/>
      <c r="B20" s="1237"/>
      <c r="C20" s="1237"/>
      <c r="D20" s="1239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41"/>
      <c r="Q20" s="1237"/>
      <c r="R20" s="1237"/>
      <c r="S20" s="1237"/>
      <c r="T20" s="1237"/>
      <c r="U20" s="1237"/>
      <c r="V20" s="1237"/>
      <c r="W20" s="1237"/>
      <c r="X20" s="1237"/>
      <c r="Y20" s="1237"/>
      <c r="Z20" s="1237"/>
      <c r="AA20" s="1237"/>
      <c r="AB20" s="1237"/>
      <c r="AC20" s="1237"/>
      <c r="AD20" s="1237"/>
      <c r="AE20" s="1237"/>
      <c r="AF20" s="1237"/>
      <c r="AG20" s="1237"/>
      <c r="AH20" s="1207"/>
    </row>
    <row r="21" spans="1:35" ht="13.5" thickBot="1" x14ac:dyDescent="0.25">
      <c r="A21" s="1236"/>
      <c r="B21" s="1237"/>
      <c r="C21" s="1237"/>
      <c r="D21" s="1237"/>
      <c r="E21" s="1237"/>
      <c r="F21" s="1237"/>
      <c r="G21" s="1237"/>
      <c r="H21" s="1237"/>
      <c r="I21" s="1237"/>
      <c r="J21" s="1237"/>
      <c r="K21" s="1237"/>
      <c r="L21" s="1237"/>
      <c r="M21" s="1237"/>
      <c r="N21" s="1237"/>
      <c r="O21" s="1237"/>
      <c r="P21" s="1241"/>
      <c r="Q21" s="1237"/>
      <c r="R21" s="1237"/>
      <c r="S21" s="1237"/>
      <c r="T21" s="1237"/>
      <c r="U21" s="1237"/>
      <c r="V21" s="1237"/>
      <c r="W21" s="1237"/>
      <c r="X21" s="1237"/>
      <c r="Y21" s="1237"/>
      <c r="Z21" s="1237"/>
      <c r="AA21" s="1237"/>
      <c r="AB21" s="1237"/>
      <c r="AC21" s="1237"/>
      <c r="AD21" s="1237"/>
      <c r="AE21" s="1237"/>
      <c r="AF21" s="1237"/>
      <c r="AG21" s="1237"/>
      <c r="AH21" s="1207"/>
    </row>
    <row r="22" spans="1:35" ht="13.5" thickBot="1" x14ac:dyDescent="0.25">
      <c r="A22" s="1236"/>
      <c r="B22" s="1237"/>
      <c r="C22" s="1243"/>
      <c r="D22" s="1244" t="s">
        <v>16</v>
      </c>
      <c r="E22" s="1244"/>
      <c r="F22" s="1244"/>
      <c r="G22" s="1244"/>
      <c r="H22" s="1244"/>
      <c r="I22" s="1244"/>
      <c r="J22" s="1244"/>
      <c r="K22" s="1244"/>
      <c r="L22" s="1244"/>
      <c r="M22" s="1244"/>
      <c r="N22" s="1244"/>
      <c r="O22" s="1244"/>
      <c r="P22" s="1245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244"/>
      <c r="AE22" s="1244"/>
      <c r="AF22" s="1244"/>
      <c r="AG22" s="1244"/>
      <c r="AH22" s="1207"/>
    </row>
    <row r="23" spans="1:35" ht="13.5" thickBot="1" x14ac:dyDescent="0.25">
      <c r="A23" s="1236"/>
      <c r="B23" s="1237"/>
      <c r="C23" s="1246" t="s">
        <v>452</v>
      </c>
      <c r="D23" s="1246" t="s">
        <v>453</v>
      </c>
      <c r="E23" s="1246" t="s">
        <v>434</v>
      </c>
      <c r="F23" s="1246" t="s">
        <v>390</v>
      </c>
      <c r="G23" s="1246" t="s">
        <v>454</v>
      </c>
      <c r="H23" s="1246" t="s">
        <v>455</v>
      </c>
      <c r="I23" s="1246" t="s">
        <v>456</v>
      </c>
      <c r="J23" s="1246" t="s">
        <v>457</v>
      </c>
      <c r="K23" s="1246" t="s">
        <v>458</v>
      </c>
      <c r="L23" s="1246" t="s">
        <v>216</v>
      </c>
      <c r="M23" s="1246" t="s">
        <v>459</v>
      </c>
      <c r="N23" s="1246" t="s">
        <v>297</v>
      </c>
      <c r="O23" s="1246" t="s">
        <v>211</v>
      </c>
      <c r="P23" s="1247" t="s">
        <v>270</v>
      </c>
      <c r="Q23" s="1246" t="s">
        <v>490</v>
      </c>
      <c r="R23" s="1246" t="s">
        <v>460</v>
      </c>
      <c r="S23" s="1246" t="s">
        <v>461</v>
      </c>
      <c r="T23" s="1246" t="s">
        <v>442</v>
      </c>
      <c r="U23" s="1246" t="s">
        <v>462</v>
      </c>
      <c r="V23" s="1246" t="s">
        <v>470</v>
      </c>
      <c r="W23" s="1246" t="s">
        <v>471</v>
      </c>
      <c r="X23" s="1246" t="s">
        <v>472</v>
      </c>
      <c r="Y23" s="1246" t="s">
        <v>463</v>
      </c>
      <c r="Z23" s="1246" t="s">
        <v>465</v>
      </c>
      <c r="AA23" s="1246" t="s">
        <v>466</v>
      </c>
      <c r="AB23" s="1246" t="s">
        <v>435</v>
      </c>
      <c r="AC23" s="1246" t="s">
        <v>467</v>
      </c>
      <c r="AD23" s="1246" t="s">
        <v>464</v>
      </c>
      <c r="AE23" s="1246" t="s">
        <v>429</v>
      </c>
      <c r="AF23" s="1246" t="s">
        <v>149</v>
      </c>
      <c r="AG23" s="1246" t="s">
        <v>210</v>
      </c>
      <c r="AH23" s="1207"/>
    </row>
    <row r="24" spans="1:35" x14ac:dyDescent="0.2">
      <c r="A24" s="1233"/>
      <c r="B24" s="1248"/>
      <c r="C24" s="1237"/>
      <c r="D24" s="1237"/>
      <c r="E24" s="1237"/>
      <c r="F24" s="1237"/>
      <c r="G24" s="1237"/>
      <c r="H24" s="1237"/>
      <c r="I24" s="1237"/>
      <c r="J24" s="1237"/>
      <c r="K24" s="1237"/>
      <c r="L24" s="1237"/>
      <c r="M24" s="1237"/>
      <c r="N24" s="1237"/>
      <c r="O24" s="1237"/>
      <c r="P24" s="1241"/>
      <c r="Q24" s="1237"/>
      <c r="R24" s="1237"/>
      <c r="S24" s="1237"/>
      <c r="T24" s="1237"/>
      <c r="U24" s="1237"/>
      <c r="V24" s="1237"/>
      <c r="W24" s="1237"/>
      <c r="X24" s="1237"/>
      <c r="Y24" s="1237"/>
      <c r="Z24" s="1237"/>
      <c r="AA24" s="1237"/>
      <c r="AB24" s="1237"/>
      <c r="AC24" s="1237"/>
      <c r="AD24" s="1237"/>
      <c r="AE24" s="1237"/>
      <c r="AF24" s="1237"/>
      <c r="AG24" s="1237"/>
      <c r="AH24" s="1207"/>
    </row>
    <row r="25" spans="1:35" x14ac:dyDescent="0.2">
      <c r="A25" s="1236" t="s">
        <v>0</v>
      </c>
      <c r="B25" s="1249">
        <v>-484697.66499999998</v>
      </c>
      <c r="C25" s="1237"/>
      <c r="D25" s="1237"/>
      <c r="E25" s="1237"/>
      <c r="F25" s="1237"/>
      <c r="G25" s="1237"/>
      <c r="H25" s="1237"/>
      <c r="I25" s="1237"/>
      <c r="J25" s="1237"/>
      <c r="K25" s="1237"/>
      <c r="L25" s="1237"/>
      <c r="M25" s="1237"/>
      <c r="N25" s="1237"/>
      <c r="O25" s="1237"/>
      <c r="P25" s="1241"/>
      <c r="Q25" s="1237"/>
      <c r="R25" s="1237"/>
      <c r="S25" s="1237"/>
      <c r="T25" s="1237"/>
      <c r="U25" s="1237"/>
      <c r="V25" s="1237"/>
      <c r="W25" s="1237"/>
      <c r="X25" s="1237"/>
      <c r="Y25" s="1237"/>
      <c r="Z25" s="1237"/>
      <c r="AA25" s="1237"/>
      <c r="AB25" s="1237"/>
      <c r="AC25" s="1237"/>
      <c r="AD25" s="1237"/>
      <c r="AE25" s="1237"/>
      <c r="AF25" s="1237"/>
      <c r="AG25" s="1237"/>
      <c r="AH25" s="1207"/>
    </row>
    <row r="26" spans="1:35" ht="13.5" thickBot="1" x14ac:dyDescent="0.25">
      <c r="A26" s="1250"/>
      <c r="B26" s="1251"/>
      <c r="C26" s="1237"/>
      <c r="D26" s="1237"/>
      <c r="E26" s="1237"/>
      <c r="F26" s="1237"/>
      <c r="G26" s="1252"/>
      <c r="H26" s="1237"/>
      <c r="I26" s="1237"/>
      <c r="J26" s="1237"/>
      <c r="K26" s="1237"/>
      <c r="L26" s="1237"/>
      <c r="M26" s="1237"/>
      <c r="N26" s="1237"/>
      <c r="O26" s="1237"/>
      <c r="P26" s="1241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07"/>
    </row>
    <row r="27" spans="1:35" x14ac:dyDescent="0.2">
      <c r="A27" s="1233"/>
      <c r="B27" s="1253"/>
      <c r="C27" s="1237"/>
      <c r="D27" s="1237"/>
      <c r="E27" s="1237"/>
      <c r="F27" s="1237"/>
      <c r="G27" s="1237"/>
      <c r="H27" s="1237"/>
      <c r="I27" s="1237"/>
      <c r="J27" s="1237"/>
      <c r="K27" s="1237"/>
      <c r="L27" s="1237"/>
      <c r="M27" s="1237"/>
      <c r="N27" s="1237"/>
      <c r="O27" s="1237"/>
      <c r="P27" s="1241"/>
      <c r="Q27" s="1237"/>
      <c r="R27" s="1237"/>
      <c r="S27" s="1237"/>
      <c r="T27" s="1237"/>
      <c r="U27" s="1237"/>
      <c r="V27" s="1237"/>
      <c r="W27" s="1237"/>
      <c r="X27" s="1237"/>
      <c r="Y27" s="1237"/>
      <c r="Z27" s="1237"/>
      <c r="AA27" s="1237"/>
      <c r="AB27" s="1237"/>
      <c r="AC27" s="1237"/>
      <c r="AD27" s="1237"/>
      <c r="AE27" s="1237"/>
      <c r="AF27" s="1237"/>
      <c r="AG27" s="1237"/>
      <c r="AH27" s="1207"/>
    </row>
    <row r="28" spans="1:35" x14ac:dyDescent="0.2">
      <c r="A28" s="1236" t="s">
        <v>1</v>
      </c>
      <c r="B28" s="1249">
        <f>B29+B30+B31</f>
        <v>0</v>
      </c>
      <c r="C28" s="1237"/>
      <c r="D28" s="1237"/>
      <c r="E28" s="1237"/>
      <c r="F28" s="1237"/>
      <c r="G28" s="1237"/>
      <c r="H28" s="1237"/>
      <c r="I28" s="1237"/>
      <c r="J28" s="1237"/>
      <c r="K28" s="1237"/>
      <c r="L28" s="1237"/>
      <c r="M28" s="1237"/>
      <c r="N28" s="1237"/>
      <c r="O28" s="1237"/>
      <c r="P28" s="1241"/>
      <c r="Q28" s="1237"/>
      <c r="R28" s="1237"/>
      <c r="S28" s="1237"/>
      <c r="T28" s="1237"/>
      <c r="U28" s="1237"/>
      <c r="V28" s="1237"/>
      <c r="W28" s="1237"/>
      <c r="X28" s="1237"/>
      <c r="Y28" s="1237"/>
      <c r="Z28" s="1237"/>
      <c r="AA28" s="1237"/>
      <c r="AB28" s="1237"/>
      <c r="AC28" s="1237"/>
      <c r="AD28" s="1237"/>
      <c r="AE28" s="1237"/>
      <c r="AF28" s="1237"/>
      <c r="AG28" s="1237"/>
      <c r="AH28" s="1207"/>
    </row>
    <row r="29" spans="1:35" x14ac:dyDescent="0.2">
      <c r="A29" s="1236" t="s">
        <v>38</v>
      </c>
      <c r="B29" s="1249">
        <f>C82</f>
        <v>0</v>
      </c>
      <c r="C29" s="1237"/>
      <c r="D29" s="1237"/>
      <c r="E29" s="1237"/>
      <c r="F29" s="1237"/>
      <c r="G29" s="1237"/>
      <c r="H29" s="1237"/>
      <c r="I29" s="1237"/>
      <c r="J29" s="1237"/>
      <c r="K29" s="1237"/>
      <c r="L29" s="1237"/>
      <c r="M29" s="1237"/>
      <c r="N29" s="1237"/>
      <c r="O29" s="1237"/>
      <c r="P29" s="1241"/>
      <c r="Q29" s="1237"/>
      <c r="R29" s="1237"/>
      <c r="S29" s="1237"/>
      <c r="T29" s="1237"/>
      <c r="U29" s="1237"/>
      <c r="V29" s="1237"/>
      <c r="W29" s="1237"/>
      <c r="X29" s="1237"/>
      <c r="Y29" s="1237"/>
      <c r="Z29" s="1237"/>
      <c r="AA29" s="1237"/>
      <c r="AB29" s="1237"/>
      <c r="AC29" s="1237"/>
      <c r="AD29" s="1237"/>
      <c r="AE29" s="1237"/>
      <c r="AF29" s="1237"/>
      <c r="AG29" s="1237"/>
      <c r="AH29" s="1207"/>
    </row>
    <row r="30" spans="1:35" x14ac:dyDescent="0.2">
      <c r="A30" s="1236" t="s">
        <v>39</v>
      </c>
      <c r="B30" s="1249"/>
      <c r="C30" s="1237"/>
      <c r="D30" s="1237"/>
      <c r="E30" s="1237"/>
      <c r="F30" s="1237"/>
      <c r="G30" s="1237"/>
      <c r="H30" s="1237"/>
      <c r="I30" s="1237"/>
      <c r="J30" s="1237"/>
      <c r="K30" s="1237"/>
      <c r="L30" s="1237"/>
      <c r="M30" s="1237"/>
      <c r="N30" s="1237"/>
      <c r="O30" s="1237"/>
      <c r="P30" s="1241"/>
      <c r="Q30" s="1237"/>
      <c r="R30" s="1237"/>
      <c r="S30" s="1237"/>
      <c r="T30" s="1237"/>
      <c r="U30" s="1237"/>
      <c r="V30" s="1237"/>
      <c r="W30" s="1237"/>
      <c r="X30" s="1237"/>
      <c r="Y30" s="1237"/>
      <c r="Z30" s="1237"/>
      <c r="AA30" s="1237"/>
      <c r="AB30" s="1237"/>
      <c r="AC30" s="1237"/>
      <c r="AD30" s="1237"/>
      <c r="AE30" s="1237"/>
      <c r="AF30" s="1237"/>
      <c r="AG30" s="1237"/>
      <c r="AH30" s="1207"/>
    </row>
    <row r="31" spans="1:35" x14ac:dyDescent="0.2">
      <c r="A31" s="1236" t="s">
        <v>3</v>
      </c>
      <c r="B31" s="1249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41"/>
      <c r="Q31" s="1237"/>
      <c r="R31" s="1237"/>
      <c r="S31" s="1237"/>
      <c r="T31" s="1237"/>
      <c r="U31" s="1237"/>
      <c r="V31" s="1237"/>
      <c r="W31" s="1237"/>
      <c r="X31" s="1237"/>
      <c r="Y31" s="1237"/>
      <c r="Z31" s="1237"/>
      <c r="AA31" s="1237"/>
      <c r="AB31" s="1237"/>
      <c r="AC31" s="1237"/>
      <c r="AD31" s="1237"/>
      <c r="AE31" s="1237"/>
      <c r="AF31" s="1237"/>
      <c r="AG31" s="1237"/>
      <c r="AH31" s="1207"/>
    </row>
    <row r="32" spans="1:35" ht="13.5" thickBot="1" x14ac:dyDescent="0.25">
      <c r="A32" s="1250"/>
      <c r="B32" s="1251"/>
      <c r="C32" s="1237"/>
      <c r="D32" s="1237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41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37"/>
      <c r="AE32" s="1237"/>
      <c r="AF32" s="1237"/>
      <c r="AG32" s="1237"/>
      <c r="AH32" s="1207"/>
    </row>
    <row r="33" spans="1:40" ht="18" x14ac:dyDescent="0.25">
      <c r="A33" s="1233"/>
      <c r="B33" s="1253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  <c r="M33" s="1237"/>
      <c r="N33" s="1237"/>
      <c r="O33" s="1254"/>
      <c r="P33" s="1241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37"/>
      <c r="AE33" s="1237"/>
      <c r="AF33" s="1237"/>
      <c r="AG33" s="1237"/>
      <c r="AH33" s="1207"/>
    </row>
    <row r="34" spans="1:40" ht="18" x14ac:dyDescent="0.25">
      <c r="A34" s="1236" t="s">
        <v>4</v>
      </c>
      <c r="B34" s="1249">
        <f>B25+B28</f>
        <v>-484697.66499999998</v>
      </c>
      <c r="C34" s="1237"/>
      <c r="D34" s="1237"/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54"/>
      <c r="P34" s="1241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37"/>
      <c r="AE34" s="1237"/>
      <c r="AF34" s="1237"/>
      <c r="AG34" s="1237"/>
      <c r="AH34" s="1207"/>
    </row>
    <row r="35" spans="1:40" ht="18.75" thickBot="1" x14ac:dyDescent="0.3">
      <c r="A35" s="1250"/>
      <c r="B35" s="1251"/>
      <c r="C35" s="1237"/>
      <c r="D35" s="1237"/>
      <c r="E35" s="1237"/>
      <c r="F35" s="1237"/>
      <c r="G35" s="1237"/>
      <c r="H35" s="1237"/>
      <c r="I35" s="1237"/>
      <c r="K35" s="1237"/>
      <c r="L35" s="1237"/>
      <c r="M35" s="1237"/>
      <c r="N35" s="1237"/>
      <c r="O35" s="1254"/>
      <c r="P35" s="1241"/>
      <c r="Q35" s="1237"/>
      <c r="R35" s="1237"/>
      <c r="S35" s="1237"/>
      <c r="T35" s="1237"/>
      <c r="U35" s="1237"/>
      <c r="V35" s="1237"/>
      <c r="W35" s="1237"/>
      <c r="X35" s="1237"/>
      <c r="Y35" s="1237"/>
      <c r="Z35" s="1237"/>
      <c r="AA35" s="1237"/>
      <c r="AB35" s="1237"/>
      <c r="AC35" s="1237"/>
      <c r="AD35" s="1237"/>
      <c r="AE35" s="1237"/>
      <c r="AF35" s="1237"/>
      <c r="AG35" s="1237"/>
      <c r="AH35" s="1207"/>
    </row>
    <row r="36" spans="1:40" x14ac:dyDescent="0.2">
      <c r="A36" s="1233"/>
      <c r="B36" s="1253"/>
      <c r="C36" s="1237"/>
      <c r="D36" s="1237"/>
      <c r="E36" s="1237"/>
      <c r="F36" s="1237"/>
      <c r="G36" s="1237"/>
      <c r="H36" s="1237"/>
      <c r="I36" s="1237"/>
      <c r="J36" s="1237"/>
      <c r="K36" s="1237"/>
      <c r="L36" s="1237"/>
      <c r="M36" s="1237"/>
      <c r="N36" s="1237"/>
      <c r="O36" s="1237"/>
      <c r="P36" s="1241"/>
      <c r="Q36" s="1237"/>
      <c r="R36" s="1237"/>
      <c r="S36" s="1237"/>
      <c r="T36" s="1237"/>
      <c r="U36" s="1237"/>
      <c r="V36" s="1237"/>
      <c r="W36" s="1237"/>
      <c r="X36" s="1237"/>
      <c r="Y36" s="1237"/>
      <c r="Z36" s="1237"/>
      <c r="AA36" s="1237"/>
      <c r="AB36" s="1237"/>
      <c r="AC36" s="1237"/>
      <c r="AD36" s="1237"/>
      <c r="AE36" s="1237"/>
      <c r="AF36" s="1237"/>
      <c r="AG36" s="1237"/>
      <c r="AH36" s="1207"/>
    </row>
    <row r="37" spans="1:40" ht="18" x14ac:dyDescent="0.25">
      <c r="A37" s="1236" t="s">
        <v>913</v>
      </c>
      <c r="B37" s="1249"/>
      <c r="C37" s="1237"/>
      <c r="D37" s="1237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12"/>
      <c r="Q37" s="1211"/>
      <c r="R37" s="1237"/>
      <c r="S37" s="1255"/>
      <c r="T37" s="1237"/>
      <c r="U37" s="1237"/>
      <c r="V37" s="1237"/>
      <c r="W37" s="1237"/>
      <c r="X37" s="1237"/>
      <c r="Y37" s="1237"/>
      <c r="Z37" s="1237"/>
      <c r="AA37" s="1237"/>
      <c r="AB37" s="1237"/>
      <c r="AC37" s="1748"/>
      <c r="AD37" s="1748"/>
      <c r="AE37" s="1237"/>
      <c r="AF37" s="1237"/>
      <c r="AG37" s="1237"/>
      <c r="AH37" s="1207"/>
    </row>
    <row r="38" spans="1:40" ht="13.5" thickBot="1" x14ac:dyDescent="0.25">
      <c r="A38" s="1250"/>
      <c r="B38" s="1251"/>
      <c r="C38" s="1237"/>
      <c r="D38" s="1237"/>
      <c r="E38" s="1211"/>
      <c r="F38" s="1237"/>
      <c r="G38" s="1237"/>
      <c r="H38" s="1211"/>
      <c r="I38" s="1237"/>
      <c r="J38" s="1237"/>
      <c r="K38" s="1241"/>
      <c r="L38" s="1237"/>
      <c r="M38" s="1237"/>
      <c r="N38" s="1237"/>
      <c r="O38" s="1237"/>
      <c r="P38" s="1241"/>
      <c r="Q38" s="1237"/>
      <c r="R38" s="1237"/>
      <c r="S38" s="1237"/>
      <c r="T38" s="1237"/>
      <c r="U38" s="1237"/>
      <c r="V38" s="1237"/>
      <c r="W38" s="1237"/>
      <c r="X38" s="1237"/>
      <c r="Y38" s="1237"/>
      <c r="Z38" s="1237"/>
      <c r="AA38" s="1237"/>
      <c r="AB38" s="1237"/>
      <c r="AC38" s="1237"/>
      <c r="AD38" s="1237"/>
      <c r="AE38" s="1237"/>
      <c r="AF38" s="1237"/>
      <c r="AG38" s="1237"/>
      <c r="AH38" s="1207"/>
    </row>
    <row r="39" spans="1:40" x14ac:dyDescent="0.2">
      <c r="A39" s="1233"/>
      <c r="B39" s="1253"/>
      <c r="C39" s="1256"/>
      <c r="D39" s="1442"/>
      <c r="E39" s="1442"/>
      <c r="F39" s="1237"/>
      <c r="G39" s="1237" t="s">
        <v>1284</v>
      </c>
      <c r="H39" s="1442"/>
      <c r="I39" s="1237"/>
      <c r="J39" s="1237"/>
      <c r="K39" s="1237"/>
      <c r="L39" s="1237"/>
      <c r="M39" s="1237"/>
      <c r="N39" s="1237"/>
      <c r="O39" s="1258"/>
      <c r="P39" s="1212"/>
      <c r="Q39" s="1212"/>
      <c r="R39" s="1237"/>
      <c r="S39" s="1211"/>
      <c r="T39" s="1237"/>
      <c r="U39" s="1259"/>
      <c r="V39" s="1259"/>
      <c r="W39" s="1259"/>
      <c r="X39" s="1259"/>
      <c r="Y39" s="1260"/>
      <c r="Z39" s="1259"/>
      <c r="AA39" s="1261"/>
      <c r="AB39" s="1259"/>
      <c r="AC39" s="1260"/>
      <c r="AD39" s="1259"/>
      <c r="AE39" s="1259"/>
      <c r="AF39" s="1259"/>
      <c r="AG39" s="1259"/>
      <c r="AH39" s="1207"/>
    </row>
    <row r="40" spans="1:40" ht="22.5" x14ac:dyDescent="0.2">
      <c r="A40" s="1236" t="s">
        <v>5</v>
      </c>
      <c r="B40" s="1249">
        <f>B34-B37</f>
        <v>-484697.66499999998</v>
      </c>
      <c r="C40" s="1256"/>
      <c r="D40" s="1211"/>
      <c r="E40" s="1256"/>
      <c r="F40" s="1211" t="s">
        <v>172</v>
      </c>
      <c r="G40" s="1211"/>
      <c r="H40" s="1211"/>
      <c r="I40" s="1211"/>
      <c r="J40" s="1211"/>
      <c r="K40" s="1211"/>
      <c r="L40" s="1262"/>
      <c r="M40" s="1212" t="s">
        <v>166</v>
      </c>
      <c r="N40" s="1212"/>
      <c r="O40" s="1211"/>
      <c r="P40" s="1212"/>
      <c r="Q40" s="1263" t="s">
        <v>1295</v>
      </c>
      <c r="R40" s="1211"/>
      <c r="S40" s="1212"/>
      <c r="T40" s="1212"/>
      <c r="U40" s="1212"/>
      <c r="V40" s="1263"/>
      <c r="W40" s="1212"/>
      <c r="X40" s="1211"/>
      <c r="Y40" s="1212"/>
      <c r="Z40" s="1212"/>
      <c r="AA40" s="1264"/>
      <c r="AB40" s="1212"/>
      <c r="AC40" s="1265"/>
      <c r="AD40" s="1266"/>
      <c r="AE40" s="1468" t="s">
        <v>1297</v>
      </c>
      <c r="AF40" s="1268"/>
      <c r="AG40" s="1267"/>
      <c r="AH40" s="1207"/>
    </row>
    <row r="41" spans="1:40" ht="13.5" thickBot="1" x14ac:dyDescent="0.25">
      <c r="A41" s="1250"/>
      <c r="B41" s="1251"/>
      <c r="C41" s="1237"/>
      <c r="D41" s="1237"/>
      <c r="E41" s="1237"/>
      <c r="F41" s="1237"/>
      <c r="G41" s="1237"/>
      <c r="H41" s="1237"/>
      <c r="I41" s="1237"/>
      <c r="J41" s="1237"/>
      <c r="K41" s="1237"/>
      <c r="L41" s="1211"/>
      <c r="M41" s="1237"/>
      <c r="N41" s="1237"/>
      <c r="O41" s="1237"/>
      <c r="P41" s="1241"/>
      <c r="Q41" s="1237"/>
      <c r="R41" s="1237"/>
      <c r="S41" s="1237"/>
      <c r="T41" s="1237"/>
      <c r="U41" s="1237"/>
      <c r="V41" s="1237"/>
      <c r="W41" s="1237"/>
      <c r="X41" s="1237"/>
      <c r="Y41" s="1237"/>
      <c r="Z41" s="1237"/>
      <c r="AA41" s="1237"/>
      <c r="AB41" s="1237"/>
      <c r="AC41" s="1237"/>
      <c r="AD41" s="1237"/>
      <c r="AE41" s="1237"/>
      <c r="AF41" s="1237"/>
      <c r="AG41" s="1237"/>
      <c r="AH41" s="1207"/>
    </row>
    <row r="42" spans="1:40" x14ac:dyDescent="0.2">
      <c r="A42" s="1269"/>
      <c r="B42" s="1237"/>
      <c r="C42" s="1270"/>
      <c r="D42" s="1271"/>
      <c r="E42" s="1272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3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  <c r="AB42" s="1271"/>
      <c r="AC42" s="1271"/>
      <c r="AD42" s="1271"/>
      <c r="AE42" s="1271"/>
      <c r="AF42" s="1271"/>
      <c r="AG42" s="1271"/>
      <c r="AH42" s="1227">
        <f t="shared" ref="AH42:AH58" si="9">SUM(C42:AG42)</f>
        <v>0</v>
      </c>
    </row>
    <row r="43" spans="1:40" ht="13.5" thickBot="1" x14ac:dyDescent="0.25">
      <c r="A43" s="1274" t="s">
        <v>914</v>
      </c>
      <c r="B43" s="1237"/>
      <c r="C43" s="1275">
        <f t="shared" ref="C43:AG43" si="10">C44+C45+C48+C52+C51+C49+C50+C46+C47</f>
        <v>6052.2859999999982</v>
      </c>
      <c r="D43" s="1275">
        <f t="shared" si="10"/>
        <v>0</v>
      </c>
      <c r="E43" s="1275">
        <f t="shared" si="10"/>
        <v>0</v>
      </c>
      <c r="F43" s="1275">
        <f t="shared" si="10"/>
        <v>0</v>
      </c>
      <c r="G43" s="1275">
        <f t="shared" si="10"/>
        <v>0</v>
      </c>
      <c r="H43" s="1275">
        <f t="shared" si="10"/>
        <v>0</v>
      </c>
      <c r="I43" s="1275">
        <f t="shared" si="10"/>
        <v>0</v>
      </c>
      <c r="J43" s="1275">
        <f t="shared" si="10"/>
        <v>0</v>
      </c>
      <c r="K43" s="1275">
        <f t="shared" si="10"/>
        <v>0</v>
      </c>
      <c r="L43" s="1275">
        <f t="shared" si="10"/>
        <v>0</v>
      </c>
      <c r="M43" s="1275">
        <f t="shared" si="10"/>
        <v>0</v>
      </c>
      <c r="N43" s="1275">
        <f t="shared" si="10"/>
        <v>0</v>
      </c>
      <c r="O43" s="1275">
        <f t="shared" si="10"/>
        <v>0</v>
      </c>
      <c r="P43" s="1276">
        <f t="shared" si="10"/>
        <v>0</v>
      </c>
      <c r="Q43" s="1275">
        <f t="shared" si="10"/>
        <v>0</v>
      </c>
      <c r="R43" s="1275">
        <f t="shared" si="10"/>
        <v>0</v>
      </c>
      <c r="S43" s="1275">
        <f t="shared" si="10"/>
        <v>0</v>
      </c>
      <c r="T43" s="1275">
        <f t="shared" si="10"/>
        <v>0</v>
      </c>
      <c r="U43" s="1275">
        <f t="shared" si="10"/>
        <v>0</v>
      </c>
      <c r="V43" s="1275">
        <f t="shared" si="10"/>
        <v>0</v>
      </c>
      <c r="W43" s="1275">
        <f t="shared" si="10"/>
        <v>0</v>
      </c>
      <c r="X43" s="1275">
        <f t="shared" si="10"/>
        <v>4.5474735088646412E-12</v>
      </c>
      <c r="Y43" s="1275">
        <f t="shared" si="10"/>
        <v>0</v>
      </c>
      <c r="Z43" s="1275">
        <f t="shared" si="10"/>
        <v>0</v>
      </c>
      <c r="AA43" s="1275">
        <f t="shared" si="10"/>
        <v>0</v>
      </c>
      <c r="AB43" s="1275">
        <f t="shared" si="10"/>
        <v>-9.822542779147625E-11</v>
      </c>
      <c r="AC43" s="1275">
        <f t="shared" si="10"/>
        <v>0</v>
      </c>
      <c r="AD43" s="1275">
        <f t="shared" si="10"/>
        <v>9.0949470177292824E-12</v>
      </c>
      <c r="AE43" s="1275">
        <f t="shared" si="10"/>
        <v>3.5527136788005009E-12</v>
      </c>
      <c r="AF43" s="1275">
        <f t="shared" si="10"/>
        <v>0</v>
      </c>
      <c r="AG43" s="1275">
        <f t="shared" si="10"/>
        <v>0</v>
      </c>
      <c r="AH43" s="1227">
        <f t="shared" si="9"/>
        <v>6052.2859999999173</v>
      </c>
    </row>
    <row r="44" spans="1:40" x14ac:dyDescent="0.2">
      <c r="A44" s="1274" t="s">
        <v>8</v>
      </c>
      <c r="B44" s="1237"/>
      <c r="C44" s="1282">
        <f>2339.771+14266.234-2339.771-4485.923-5294.388-4485.923</f>
        <v>0</v>
      </c>
      <c r="D44" s="1282"/>
      <c r="E44" s="1282"/>
      <c r="F44" s="1282"/>
      <c r="G44" s="1282">
        <f>18900-9800-9100</f>
        <v>0</v>
      </c>
      <c r="H44" s="1282"/>
      <c r="I44" s="1282"/>
      <c r="J44" s="1282">
        <f>7100-7100</f>
        <v>0</v>
      </c>
      <c r="K44" s="1282">
        <f>489.02-489.02</f>
        <v>0</v>
      </c>
      <c r="L44" s="1282">
        <f>48228.443-7904.46-9500-21623.983-9200</f>
        <v>0</v>
      </c>
      <c r="M44" s="1282">
        <f>1585.598-1585.598</f>
        <v>0</v>
      </c>
      <c r="N44" s="1282">
        <f>4641.179-912.227-3728.952</f>
        <v>0</v>
      </c>
      <c r="O44" s="1282">
        <f>20550-20550</f>
        <v>0</v>
      </c>
      <c r="P44" s="1282"/>
      <c r="Q44" s="1282">
        <f>17786.153-3548.441-5043.701-4350.059-4843.952</f>
        <v>0</v>
      </c>
      <c r="R44" s="1282">
        <f>20500-20500</f>
        <v>0</v>
      </c>
      <c r="S44" s="1282"/>
      <c r="T44" s="1282">
        <f>11400-4200-7200</f>
        <v>0</v>
      </c>
      <c r="U44" s="1282">
        <f>20450-20450</f>
        <v>0</v>
      </c>
      <c r="V44" s="1282">
        <f>29450-21500-7950</f>
        <v>0</v>
      </c>
      <c r="W44" s="1282">
        <f>9350-9350</f>
        <v>0</v>
      </c>
      <c r="X44" s="1282">
        <f>27200+6534.978+1412.141+1814.596-6534.978-20400-6800-1412.141-1814.596</f>
        <v>4.5474735088646412E-12</v>
      </c>
      <c r="Y44" s="1282">
        <f>21600-21600</f>
        <v>0</v>
      </c>
      <c r="Z44" s="1282"/>
      <c r="AA44" s="1282">
        <f>48734.665-6804.665-21580-20350</f>
        <v>0</v>
      </c>
      <c r="AB44" s="1282"/>
      <c r="AC44" s="1282">
        <f>14136.644-6856.225-7280.419</f>
        <v>0</v>
      </c>
      <c r="AD44" s="1282">
        <f>89478.849-4479.154-4708.881-5679.236-9352.954-7039.158-20300-5212.03-21550-6157.436-5000</f>
        <v>9.0949470177292824E-12</v>
      </c>
      <c r="AE44" s="1282">
        <f>36875.566+6534.978-2516.166-1339.697-5152.618-6534.978-20000-7867.085</f>
        <v>0</v>
      </c>
      <c r="AF44" s="1279"/>
      <c r="AG44" s="1279"/>
      <c r="AH44" s="1227">
        <f t="shared" si="9"/>
        <v>1.3642420526593924E-11</v>
      </c>
      <c r="AN44" s="1280">
        <v>9918.1650000000009</v>
      </c>
    </row>
    <row r="45" spans="1:40" x14ac:dyDescent="0.2">
      <c r="A45" s="1274" t="s">
        <v>703</v>
      </c>
      <c r="B45" s="1237"/>
      <c r="C45" s="1282"/>
      <c r="D45" s="1282">
        <f>9350-9350</f>
        <v>0</v>
      </c>
      <c r="E45" s="1282">
        <f>5000-5000</f>
        <v>0</v>
      </c>
      <c r="F45" s="1282">
        <f>34149.732-255.863-25250-8643.869</f>
        <v>0</v>
      </c>
      <c r="G45" s="1282">
        <f>14750-5000-9750</f>
        <v>0</v>
      </c>
      <c r="H45" s="1282">
        <f>6732.777-496.666-6236.111</f>
        <v>0</v>
      </c>
      <c r="I45" s="1282">
        <f>3389.848-3389.848</f>
        <v>0</v>
      </c>
      <c r="J45" s="1282">
        <f>36004.243-1741.831-8912.412-25350</f>
        <v>0</v>
      </c>
      <c r="K45" s="1282">
        <f>10665.74-965.74-9700</f>
        <v>0</v>
      </c>
      <c r="L45" s="1282">
        <f>16267.431-569.252-667.908-1156.245-3029.741-5271.283-5573.002</f>
        <v>0</v>
      </c>
      <c r="M45" s="1282"/>
      <c r="N45" s="1282">
        <f>24800-24800</f>
        <v>0</v>
      </c>
      <c r="O45" s="1282">
        <f>10923.48-1183.48-9740</f>
        <v>0</v>
      </c>
      <c r="P45" s="1282">
        <f>11421.808-840.719-3010.195-6950-620.894</f>
        <v>0</v>
      </c>
      <c r="Q45" s="1282">
        <f>27040.208-483.036-734.745-1095.852-1339.494-23387.081</f>
        <v>0</v>
      </c>
      <c r="R45" s="1282">
        <f>1123.945-1123.945</f>
        <v>0</v>
      </c>
      <c r="S45" s="1282">
        <f>27107.138-842.442-1106.916-1157.78-24000</f>
        <v>0</v>
      </c>
      <c r="T45" s="1282">
        <f>6322.952-301.4-989.53-2219.232-2812.79</f>
        <v>0</v>
      </c>
      <c r="U45" s="1282">
        <f>12824.38-588.185-944.5-1282.424-4809.271-5200</f>
        <v>0</v>
      </c>
      <c r="V45" s="1282">
        <f>63700.617-602.3-1092.248-1196.772-1265.547-3500-3876.542-4568.051-5000-5816.426-21000-7500-7574.231-708.5</f>
        <v>0</v>
      </c>
      <c r="W45" s="1282"/>
      <c r="X45" s="1282">
        <f>11900-6650-5250</f>
        <v>0</v>
      </c>
      <c r="Y45" s="1282"/>
      <c r="Z45" s="1282">
        <f>50868.77-4200-6100-9500-22000-1068.77-8000</f>
        <v>0</v>
      </c>
      <c r="AA45" s="1282">
        <f>23476.893-2534.364-629.77-3625.562-3967.197-5300-7420</f>
        <v>0</v>
      </c>
      <c r="AB45" s="1282">
        <f>32330.5979999999-694.34-2053.5-2765.039-3000-6959.347-9742.954-7115.418</f>
        <v>-9.822542779147625E-11</v>
      </c>
      <c r="AC45" s="1282">
        <f>39454.895-977.822-1169.239-3438.583-4204.035-4432.875-7332.341-9400-8500</f>
        <v>0</v>
      </c>
      <c r="AD45" s="1282">
        <f>96087.64-1936.05-2285.803-2571.391-3023.988-3447.431-4111.634-4122.739-4233.462-4500-5000-5150-5194.763-6217.051-6404.923-6683.622-6786.515-7150-7350-9918.268</f>
        <v>0</v>
      </c>
      <c r="AE45" s="1282">
        <f>35219.259-435.984-2053.066-3931.372-4869.783-6448.559-8854.21-7450-1057.993-118.292</f>
        <v>3.5527136788005009E-12</v>
      </c>
      <c r="AF45" s="1282"/>
      <c r="AG45" s="1282"/>
      <c r="AH45" s="1227">
        <f t="shared" si="9"/>
        <v>-9.4672714112675749E-11</v>
      </c>
      <c r="AI45" s="1283">
        <f>+AH45+AH44</f>
        <v>-8.1030293586081825E-11</v>
      </c>
      <c r="AJ45" s="1283"/>
      <c r="AN45" s="1280">
        <v>788.89499999999998</v>
      </c>
    </row>
    <row r="46" spans="1:40" x14ac:dyDescent="0.2">
      <c r="A46" s="1274" t="s">
        <v>704</v>
      </c>
      <c r="B46" s="1237"/>
      <c r="C46" s="1282">
        <f>5411.082-946.353-976.579-3488.15</f>
        <v>0</v>
      </c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  <c r="O46" s="1282"/>
      <c r="P46" s="1282"/>
      <c r="Q46" s="1282"/>
      <c r="R46" s="1282"/>
      <c r="S46" s="1282"/>
      <c r="T46" s="1282"/>
      <c r="U46" s="1282"/>
      <c r="V46" s="1282"/>
      <c r="W46" s="1282"/>
      <c r="X46" s="1282"/>
      <c r="Y46" s="1282"/>
      <c r="Z46" s="1282"/>
      <c r="AA46" s="1282"/>
      <c r="AB46" s="1282"/>
      <c r="AC46" s="1282"/>
      <c r="AD46" s="1282"/>
      <c r="AE46" s="1282"/>
      <c r="AF46" s="1282"/>
      <c r="AG46" s="1282"/>
      <c r="AH46" s="1227">
        <f t="shared" si="9"/>
        <v>0</v>
      </c>
      <c r="AN46" s="1280"/>
    </row>
    <row r="47" spans="1:40" x14ac:dyDescent="0.2">
      <c r="A47" s="1274" t="s">
        <v>705</v>
      </c>
      <c r="B47" s="1237"/>
      <c r="C47" s="1284"/>
      <c r="D47" s="1284"/>
      <c r="E47" s="1284"/>
      <c r="F47" s="1284"/>
      <c r="G47" s="1284"/>
      <c r="H47" s="1284"/>
      <c r="I47" s="1284"/>
      <c r="J47" s="1284"/>
      <c r="K47" s="1284"/>
      <c r="L47" s="1284"/>
      <c r="M47" s="1284"/>
      <c r="N47" s="1284"/>
      <c r="O47" s="1284"/>
      <c r="P47" s="1284"/>
      <c r="Q47" s="1284"/>
      <c r="R47" s="1284"/>
      <c r="S47" s="1284"/>
      <c r="T47" s="1284"/>
      <c r="U47" s="1284"/>
      <c r="V47" s="1282">
        <f>24442.09-24442.09</f>
        <v>0</v>
      </c>
      <c r="W47" s="1284"/>
      <c r="X47" s="1284"/>
      <c r="Y47" s="1284"/>
      <c r="Z47" s="1284"/>
      <c r="AA47" s="1284"/>
      <c r="AB47" s="1284"/>
      <c r="AC47" s="1284"/>
      <c r="AD47" s="1284"/>
      <c r="AE47" s="1284"/>
      <c r="AF47" s="1284"/>
      <c r="AG47" s="1284"/>
      <c r="AH47" s="1227">
        <f t="shared" si="9"/>
        <v>0</v>
      </c>
      <c r="AI47" s="1283"/>
      <c r="AJ47" s="1283"/>
      <c r="AN47" s="1280"/>
    </row>
    <row r="48" spans="1:40" s="1289" customFormat="1" x14ac:dyDescent="0.2">
      <c r="A48" s="1285" t="s">
        <v>10</v>
      </c>
      <c r="B48" s="1286"/>
      <c r="C48" s="1287"/>
      <c r="D48" s="1287"/>
      <c r="E48" s="1287"/>
      <c r="F48" s="1287"/>
      <c r="G48" s="1287"/>
      <c r="H48" s="1287"/>
      <c r="I48" s="1287"/>
      <c r="J48" s="1287"/>
      <c r="K48" s="1287"/>
      <c r="L48" s="1287"/>
      <c r="M48" s="1287">
        <v>-85000</v>
      </c>
      <c r="N48" s="1287"/>
      <c r="O48" s="1287"/>
      <c r="P48" s="1287"/>
      <c r="Q48" s="1287"/>
      <c r="R48" s="1287"/>
      <c r="S48" s="1287"/>
      <c r="T48" s="1287"/>
      <c r="U48" s="1287"/>
      <c r="V48" s="1287"/>
      <c r="W48" s="1287"/>
      <c r="X48" s="1287"/>
      <c r="Y48" s="1287"/>
      <c r="Z48" s="1287"/>
      <c r="AA48" s="1287"/>
      <c r="AB48" s="1287"/>
      <c r="AC48" s="1287"/>
      <c r="AD48" s="1287"/>
      <c r="AE48" s="1287"/>
      <c r="AF48" s="1287"/>
      <c r="AG48" s="1287"/>
      <c r="AH48" s="1231">
        <f t="shared" si="9"/>
        <v>-85000</v>
      </c>
      <c r="AI48" s="1288"/>
      <c r="AN48" s="1290">
        <v>6347.85</v>
      </c>
    </row>
    <row r="49" spans="1:40" s="1289" customFormat="1" x14ac:dyDescent="0.2">
      <c r="A49" s="1285" t="s">
        <v>356</v>
      </c>
      <c r="B49" s="1291"/>
      <c r="C49" s="1292"/>
      <c r="D49" s="1292"/>
      <c r="E49" s="1292"/>
      <c r="F49" s="1292"/>
      <c r="G49" s="1292"/>
      <c r="H49" s="1292"/>
      <c r="I49" s="1292"/>
      <c r="J49" s="1292"/>
      <c r="K49" s="1292"/>
      <c r="L49" s="1292"/>
      <c r="M49" s="1292">
        <v>85000</v>
      </c>
      <c r="N49" s="1292"/>
      <c r="O49" s="1292"/>
      <c r="P49" s="1292"/>
      <c r="Q49" s="1292"/>
      <c r="R49" s="1292"/>
      <c r="S49" s="1292"/>
      <c r="T49" s="1292"/>
      <c r="U49" s="1292"/>
      <c r="V49" s="1292"/>
      <c r="W49" s="1292"/>
      <c r="X49" s="1292"/>
      <c r="Y49" s="1292"/>
      <c r="Z49" s="1292"/>
      <c r="AA49" s="1292"/>
      <c r="AB49" s="1292"/>
      <c r="AC49" s="1292"/>
      <c r="AD49" s="1292"/>
      <c r="AE49" s="1292"/>
      <c r="AF49" s="1292"/>
      <c r="AG49" s="1292"/>
      <c r="AH49" s="1231">
        <f t="shared" si="9"/>
        <v>85000</v>
      </c>
      <c r="AN49" s="1290">
        <v>6249.5020000000004</v>
      </c>
    </row>
    <row r="50" spans="1:40" x14ac:dyDescent="0.2">
      <c r="A50" s="1274" t="s">
        <v>357</v>
      </c>
      <c r="B50" s="1237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  <c r="O50" s="1282"/>
      <c r="P50" s="1282"/>
      <c r="Q50" s="1282"/>
      <c r="R50" s="1282"/>
      <c r="S50" s="1282">
        <f>4055.098-4055.098</f>
        <v>0</v>
      </c>
      <c r="T50" s="1282"/>
      <c r="U50" s="1282"/>
      <c r="V50" s="1282"/>
      <c r="W50" s="1282"/>
      <c r="X50" s="1282"/>
      <c r="Y50" s="1282"/>
      <c r="Z50" s="1282"/>
      <c r="AA50" s="1282">
        <f>7515.513-7515.513</f>
        <v>0</v>
      </c>
      <c r="AB50" s="1282"/>
      <c r="AC50" s="1282"/>
      <c r="AD50" s="1282"/>
      <c r="AE50" s="1282"/>
      <c r="AF50" s="1282"/>
      <c r="AG50" s="1282"/>
      <c r="AH50" s="1227">
        <f t="shared" si="9"/>
        <v>0</v>
      </c>
      <c r="AN50" s="1280">
        <v>2246.556</v>
      </c>
    </row>
    <row r="51" spans="1:40" x14ac:dyDescent="0.2">
      <c r="A51" s="1274" t="s">
        <v>41</v>
      </c>
      <c r="B51" s="1237"/>
      <c r="C51" s="1282"/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  <c r="O51" s="1282"/>
      <c r="P51" s="1282"/>
      <c r="Q51" s="1282"/>
      <c r="R51" s="1282"/>
      <c r="S51" s="1282"/>
      <c r="T51" s="1282"/>
      <c r="U51" s="1282"/>
      <c r="V51" s="1282"/>
      <c r="W51" s="1282"/>
      <c r="X51" s="1282"/>
      <c r="Y51" s="1282"/>
      <c r="Z51" s="1282"/>
      <c r="AA51" s="1282"/>
      <c r="AB51" s="1282"/>
      <c r="AC51" s="1282"/>
      <c r="AD51" s="1282"/>
      <c r="AE51" s="1282"/>
      <c r="AF51" s="1282"/>
      <c r="AG51" s="1282"/>
      <c r="AH51" s="1227">
        <f t="shared" si="9"/>
        <v>0</v>
      </c>
      <c r="AN51" s="1280"/>
    </row>
    <row r="52" spans="1:40" x14ac:dyDescent="0.2">
      <c r="A52" s="1274" t="s">
        <v>11</v>
      </c>
      <c r="B52" s="1237"/>
      <c r="C52" s="1293">
        <f>40987.016-8479.397-3544.367-5401.222-8246.34-9263.404</f>
        <v>6052.2859999999982</v>
      </c>
      <c r="D52" s="1293"/>
      <c r="E52" s="1293"/>
      <c r="F52" s="1293"/>
      <c r="G52" s="1293"/>
      <c r="H52" s="1293"/>
      <c r="I52" s="1293"/>
      <c r="J52" s="1293"/>
      <c r="K52" s="1293"/>
      <c r="L52" s="1293"/>
      <c r="M52" s="1293"/>
      <c r="N52" s="1293"/>
      <c r="O52" s="1293"/>
      <c r="P52" s="1293"/>
      <c r="Q52" s="1293"/>
      <c r="R52" s="1293"/>
      <c r="S52" s="1293"/>
      <c r="T52" s="1293"/>
      <c r="U52" s="1293"/>
      <c r="V52" s="1293"/>
      <c r="W52" s="1293"/>
      <c r="X52" s="1293"/>
      <c r="Y52" s="1293"/>
      <c r="Z52" s="1293"/>
      <c r="AA52" s="1293"/>
      <c r="AB52" s="1293"/>
      <c r="AC52" s="1293"/>
      <c r="AD52" s="1293"/>
      <c r="AE52" s="1293"/>
      <c r="AF52" s="1293"/>
      <c r="AG52" s="1293"/>
      <c r="AH52" s="1227">
        <f t="shared" si="9"/>
        <v>6052.2859999999982</v>
      </c>
      <c r="AN52" s="1280">
        <v>4028.1610000000001</v>
      </c>
    </row>
    <row r="53" spans="1:40" ht="13.5" thickBot="1" x14ac:dyDescent="0.25">
      <c r="A53" s="1294"/>
      <c r="B53" s="1237"/>
      <c r="C53" s="1295"/>
      <c r="D53" s="1295"/>
      <c r="E53" s="1295"/>
      <c r="F53" s="1295"/>
      <c r="G53" s="1295"/>
      <c r="H53" s="1295"/>
      <c r="I53" s="1295"/>
      <c r="J53" s="1295"/>
      <c r="K53" s="1295"/>
      <c r="L53" s="1295"/>
      <c r="M53" s="1295"/>
      <c r="N53" s="1295"/>
      <c r="O53" s="1295"/>
      <c r="P53" s="1295"/>
      <c r="Q53" s="1295"/>
      <c r="R53" s="1295"/>
      <c r="S53" s="1295"/>
      <c r="T53" s="1295"/>
      <c r="U53" s="1295"/>
      <c r="V53" s="1295"/>
      <c r="W53" s="1295"/>
      <c r="X53" s="1295"/>
      <c r="Y53" s="1295"/>
      <c r="Z53" s="1295"/>
      <c r="AA53" s="1295"/>
      <c r="AB53" s="1295"/>
      <c r="AC53" s="1295"/>
      <c r="AD53" s="1295"/>
      <c r="AE53" s="1295"/>
      <c r="AF53" s="1295"/>
      <c r="AG53" s="1295"/>
      <c r="AH53" s="1227">
        <f t="shared" si="9"/>
        <v>0</v>
      </c>
      <c r="AI53" s="1283"/>
      <c r="AJ53" s="1289"/>
      <c r="AN53" s="1280">
        <v>5501.3969999999999</v>
      </c>
    </row>
    <row r="54" spans="1:40" x14ac:dyDescent="0.2">
      <c r="A54" s="1269"/>
      <c r="B54" s="1237"/>
      <c r="C54" s="1296"/>
      <c r="D54" s="1297"/>
      <c r="E54" s="1297"/>
      <c r="F54" s="1298"/>
      <c r="G54" s="1298"/>
      <c r="H54" s="1298"/>
      <c r="I54" s="1298"/>
      <c r="J54" s="1298"/>
      <c r="K54" s="1298"/>
      <c r="L54" s="1298"/>
      <c r="M54" s="1298"/>
      <c r="N54" s="1298"/>
      <c r="O54" s="1298"/>
      <c r="P54" s="1299"/>
      <c r="Q54" s="1298"/>
      <c r="R54" s="1298"/>
      <c r="S54" s="1298"/>
      <c r="T54" s="1298"/>
      <c r="U54" s="1298"/>
      <c r="V54" s="1298"/>
      <c r="W54" s="1298"/>
      <c r="X54" s="1298"/>
      <c r="Y54" s="1298"/>
      <c r="Z54" s="1298"/>
      <c r="AA54" s="1298"/>
      <c r="AB54" s="1298"/>
      <c r="AC54" s="1298"/>
      <c r="AD54" s="1298"/>
      <c r="AE54" s="1298"/>
      <c r="AF54" s="1298"/>
      <c r="AG54" s="1298"/>
      <c r="AH54" s="1227">
        <f t="shared" si="9"/>
        <v>0</v>
      </c>
      <c r="AJ54" s="1289"/>
      <c r="AN54" s="1280">
        <v>3325.74</v>
      </c>
    </row>
    <row r="55" spans="1:40" ht="13.5" thickBot="1" x14ac:dyDescent="0.25">
      <c r="A55" s="1274" t="s">
        <v>12</v>
      </c>
      <c r="B55" s="1237"/>
      <c r="C55" s="1275">
        <f t="shared" ref="C55:AG55" si="11">C56</f>
        <v>0</v>
      </c>
      <c r="D55" s="1275">
        <f t="shared" si="11"/>
        <v>0</v>
      </c>
      <c r="E55" s="1275">
        <f t="shared" si="11"/>
        <v>0</v>
      </c>
      <c r="F55" s="1275">
        <f t="shared" si="11"/>
        <v>0</v>
      </c>
      <c r="G55" s="1275">
        <f t="shared" si="11"/>
        <v>0</v>
      </c>
      <c r="H55" s="1275">
        <f t="shared" si="11"/>
        <v>0</v>
      </c>
      <c r="I55" s="1275">
        <f t="shared" si="11"/>
        <v>0</v>
      </c>
      <c r="J55" s="1275">
        <f t="shared" si="11"/>
        <v>0</v>
      </c>
      <c r="K55" s="1275">
        <f t="shared" si="11"/>
        <v>0</v>
      </c>
      <c r="L55" s="1275">
        <f t="shared" si="11"/>
        <v>0</v>
      </c>
      <c r="M55" s="1276">
        <f t="shared" si="11"/>
        <v>0</v>
      </c>
      <c r="N55" s="1276">
        <f t="shared" si="11"/>
        <v>0</v>
      </c>
      <c r="O55" s="1276">
        <f t="shared" si="11"/>
        <v>0</v>
      </c>
      <c r="P55" s="1276">
        <f t="shared" si="11"/>
        <v>0</v>
      </c>
      <c r="Q55" s="1275">
        <f t="shared" si="11"/>
        <v>0</v>
      </c>
      <c r="R55" s="1275">
        <f t="shared" si="11"/>
        <v>0</v>
      </c>
      <c r="S55" s="1275">
        <f t="shared" si="11"/>
        <v>0</v>
      </c>
      <c r="T55" s="1275">
        <f t="shared" si="11"/>
        <v>0</v>
      </c>
      <c r="U55" s="1275">
        <f t="shared" si="11"/>
        <v>0</v>
      </c>
      <c r="V55" s="1275">
        <f t="shared" si="11"/>
        <v>0</v>
      </c>
      <c r="W55" s="1275">
        <f t="shared" si="11"/>
        <v>0</v>
      </c>
      <c r="X55" s="1275">
        <f t="shared" si="11"/>
        <v>0</v>
      </c>
      <c r="Y55" s="1275">
        <f t="shared" si="11"/>
        <v>0</v>
      </c>
      <c r="Z55" s="1275">
        <f t="shared" si="11"/>
        <v>0</v>
      </c>
      <c r="AA55" s="1275">
        <f t="shared" si="11"/>
        <v>0</v>
      </c>
      <c r="AB55" s="1275">
        <f t="shared" si="11"/>
        <v>0</v>
      </c>
      <c r="AC55" s="1275">
        <f t="shared" si="11"/>
        <v>0</v>
      </c>
      <c r="AD55" s="1275">
        <f t="shared" si="11"/>
        <v>0</v>
      </c>
      <c r="AE55" s="1275">
        <f t="shared" si="11"/>
        <v>0</v>
      </c>
      <c r="AF55" s="1275">
        <f t="shared" si="11"/>
        <v>0</v>
      </c>
      <c r="AG55" s="1275">
        <f t="shared" si="11"/>
        <v>0</v>
      </c>
      <c r="AH55" s="1227">
        <f t="shared" si="9"/>
        <v>0</v>
      </c>
      <c r="AN55" s="1280">
        <v>9717.5709999999999</v>
      </c>
    </row>
    <row r="56" spans="1:40" x14ac:dyDescent="0.2">
      <c r="A56" s="1274" t="s">
        <v>8</v>
      </c>
      <c r="B56" s="1237"/>
      <c r="C56" s="1282"/>
      <c r="D56" s="1282"/>
      <c r="E56" s="1282"/>
      <c r="F56" s="1282"/>
      <c r="G56" s="1282"/>
      <c r="H56" s="1282"/>
      <c r="I56" s="1282"/>
      <c r="J56" s="1282"/>
      <c r="K56" s="1282"/>
      <c r="L56" s="1282"/>
      <c r="M56" s="1282"/>
      <c r="N56" s="1282"/>
      <c r="O56" s="1282"/>
      <c r="P56" s="1282"/>
      <c r="Q56" s="1282"/>
      <c r="R56" s="1282"/>
      <c r="S56" s="1282"/>
      <c r="T56" s="1282"/>
      <c r="U56" s="1282"/>
      <c r="V56" s="1282"/>
      <c r="W56" s="1282"/>
      <c r="X56" s="1282"/>
      <c r="Y56" s="1282"/>
      <c r="Z56" s="1282"/>
      <c r="AA56" s="1282"/>
      <c r="AB56" s="1282"/>
      <c r="AC56" s="1282"/>
      <c r="AD56" s="1282"/>
      <c r="AE56" s="1282"/>
      <c r="AF56" s="1282"/>
      <c r="AG56" s="1282"/>
      <c r="AH56" s="1227">
        <f t="shared" si="9"/>
        <v>0</v>
      </c>
      <c r="AN56" s="1280">
        <v>673.17700000000002</v>
      </c>
    </row>
    <row r="57" spans="1:40" x14ac:dyDescent="0.2">
      <c r="A57" s="1274" t="s">
        <v>215</v>
      </c>
      <c r="B57" s="1237"/>
      <c r="C57" s="1282">
        <v>12013.709000000001</v>
      </c>
      <c r="D57" s="1282">
        <v>3004.4180000000001</v>
      </c>
      <c r="E57" s="1282">
        <v>1100</v>
      </c>
      <c r="F57" s="1282">
        <v>4821.6550000000007</v>
      </c>
      <c r="G57" s="1282">
        <v>12650.950999999999</v>
      </c>
      <c r="H57" s="1282"/>
      <c r="I57" s="1282">
        <v>8071.7479999999996</v>
      </c>
      <c r="J57" s="1282">
        <v>3716.6729999999998</v>
      </c>
      <c r="K57" s="1282">
        <v>3256.8050000000003</v>
      </c>
      <c r="L57" s="1282">
        <v>14381.669000000002</v>
      </c>
      <c r="M57" s="1282">
        <v>800</v>
      </c>
      <c r="N57" s="1282">
        <v>3573.5550000000003</v>
      </c>
      <c r="O57" s="1282">
        <v>4092.7039999999997</v>
      </c>
      <c r="P57" s="1282"/>
      <c r="Q57" s="1282">
        <v>28867.668999999998</v>
      </c>
      <c r="R57" s="1282">
        <v>1569.258</v>
      </c>
      <c r="S57" s="1282">
        <v>4885.674</v>
      </c>
      <c r="T57" s="1282">
        <v>9665.6759999999995</v>
      </c>
      <c r="U57" s="1282">
        <v>2000</v>
      </c>
      <c r="V57" s="1282">
        <v>23658.929</v>
      </c>
      <c r="W57" s="1282">
        <v>2864.674</v>
      </c>
      <c r="X57" s="1282">
        <v>3370</v>
      </c>
      <c r="Y57" s="1282">
        <v>3000</v>
      </c>
      <c r="Z57" s="1282">
        <v>3610.1350000000002</v>
      </c>
      <c r="AA57" s="1282">
        <v>12339.130000000001</v>
      </c>
      <c r="AB57" s="1282">
        <v>2970</v>
      </c>
      <c r="AC57" s="1282">
        <v>3739.9369999999999</v>
      </c>
      <c r="AD57" s="1282">
        <v>75358.332000000009</v>
      </c>
      <c r="AE57" s="1282">
        <v>23615.922999999999</v>
      </c>
      <c r="AF57" s="1282"/>
      <c r="AG57" s="1282"/>
      <c r="AH57" s="1227">
        <f>SUM(C57:AG57)</f>
        <v>272999.22400000005</v>
      </c>
      <c r="AI57" s="1283"/>
      <c r="AN57" s="1280">
        <v>4534.4949999999999</v>
      </c>
    </row>
    <row r="58" spans="1:40" ht="13.5" thickBot="1" x14ac:dyDescent="0.25">
      <c r="A58" s="1294"/>
      <c r="B58" s="1237"/>
      <c r="C58" s="1295"/>
      <c r="D58" s="1295"/>
      <c r="E58" s="1295"/>
      <c r="F58" s="1295"/>
      <c r="G58" s="1295"/>
      <c r="H58" s="1295"/>
      <c r="I58" s="1295"/>
      <c r="J58" s="1295"/>
      <c r="K58" s="1295"/>
      <c r="L58" s="1295"/>
      <c r="M58" s="1295"/>
      <c r="N58" s="1295"/>
      <c r="O58" s="1295"/>
      <c r="P58" s="1295"/>
      <c r="Q58" s="1295"/>
      <c r="R58" s="1295"/>
      <c r="S58" s="1295"/>
      <c r="T58" s="1295"/>
      <c r="U58" s="1295"/>
      <c r="V58" s="1295"/>
      <c r="W58" s="1295"/>
      <c r="X58" s="1295"/>
      <c r="Y58" s="1295"/>
      <c r="Z58" s="1295"/>
      <c r="AA58" s="1295"/>
      <c r="AB58" s="1295"/>
      <c r="AC58" s="1295"/>
      <c r="AD58" s="1295"/>
      <c r="AE58" s="1295"/>
      <c r="AF58" s="1295"/>
      <c r="AG58" s="1295"/>
      <c r="AH58" s="1227">
        <f t="shared" si="9"/>
        <v>0</v>
      </c>
      <c r="AN58" s="1280">
        <v>2827.3519999999999</v>
      </c>
    </row>
    <row r="59" spans="1:40" x14ac:dyDescent="0.2">
      <c r="A59" s="1269"/>
      <c r="B59" s="1237"/>
      <c r="C59" s="1296"/>
      <c r="D59" s="1297"/>
      <c r="E59" s="1297"/>
      <c r="F59" s="1298"/>
      <c r="G59" s="1298"/>
      <c r="H59" s="1298"/>
      <c r="I59" s="1298"/>
      <c r="J59" s="1298"/>
      <c r="K59" s="1298"/>
      <c r="L59" s="1298"/>
      <c r="M59" s="1298"/>
      <c r="N59" s="1298"/>
      <c r="O59" s="1298"/>
      <c r="P59" s="1299"/>
      <c r="Q59" s="1298"/>
      <c r="R59" s="1298"/>
      <c r="S59" s="1298"/>
      <c r="T59" s="1298"/>
      <c r="U59" s="1298"/>
      <c r="V59" s="1298"/>
      <c r="W59" s="1298"/>
      <c r="X59" s="1298"/>
      <c r="Y59" s="1298"/>
      <c r="Z59" s="1298"/>
      <c r="AA59" s="1298"/>
      <c r="AB59" s="1298"/>
      <c r="AC59" s="1298"/>
      <c r="AD59" s="1298"/>
      <c r="AE59" s="1298"/>
      <c r="AF59" s="1298"/>
      <c r="AG59" s="1298"/>
      <c r="AH59" s="1207"/>
      <c r="AJ59" s="1209">
        <f>18755+17890+17700+17800</f>
        <v>72145</v>
      </c>
      <c r="AN59" s="1280">
        <v>1850.7819999999999</v>
      </c>
    </row>
    <row r="60" spans="1:40" x14ac:dyDescent="0.2">
      <c r="A60" s="1274" t="s">
        <v>915</v>
      </c>
      <c r="B60" s="1237"/>
      <c r="C60" s="1300">
        <f t="shared" ref="C60:AG60" si="12">C55-C43</f>
        <v>-6052.2859999999982</v>
      </c>
      <c r="D60" s="1300">
        <f t="shared" si="12"/>
        <v>0</v>
      </c>
      <c r="E60" s="1300">
        <f t="shared" si="12"/>
        <v>0</v>
      </c>
      <c r="F60" s="1300">
        <f t="shared" si="12"/>
        <v>0</v>
      </c>
      <c r="G60" s="1300">
        <f t="shared" si="12"/>
        <v>0</v>
      </c>
      <c r="H60" s="1300">
        <f t="shared" si="12"/>
        <v>0</v>
      </c>
      <c r="I60" s="1300">
        <f t="shared" si="12"/>
        <v>0</v>
      </c>
      <c r="J60" s="1300">
        <f t="shared" si="12"/>
        <v>0</v>
      </c>
      <c r="K60" s="1300">
        <f t="shared" si="12"/>
        <v>0</v>
      </c>
      <c r="L60" s="1300">
        <f t="shared" si="12"/>
        <v>0</v>
      </c>
      <c r="M60" s="1300">
        <f t="shared" si="12"/>
        <v>0</v>
      </c>
      <c r="N60" s="1300">
        <f t="shared" si="12"/>
        <v>0</v>
      </c>
      <c r="O60" s="1300">
        <f t="shared" si="12"/>
        <v>0</v>
      </c>
      <c r="P60" s="1301">
        <f t="shared" si="12"/>
        <v>0</v>
      </c>
      <c r="Q60" s="1300">
        <f t="shared" si="12"/>
        <v>0</v>
      </c>
      <c r="R60" s="1300">
        <f t="shared" si="12"/>
        <v>0</v>
      </c>
      <c r="S60" s="1300">
        <f t="shared" si="12"/>
        <v>0</v>
      </c>
      <c r="T60" s="1300">
        <f t="shared" si="12"/>
        <v>0</v>
      </c>
      <c r="U60" s="1300">
        <f t="shared" si="12"/>
        <v>0</v>
      </c>
      <c r="V60" s="1300">
        <f t="shared" si="12"/>
        <v>0</v>
      </c>
      <c r="W60" s="1300">
        <f t="shared" si="12"/>
        <v>0</v>
      </c>
      <c r="X60" s="1300">
        <f t="shared" si="12"/>
        <v>-4.5474735088646412E-12</v>
      </c>
      <c r="Y60" s="1300">
        <f t="shared" si="12"/>
        <v>0</v>
      </c>
      <c r="Z60" s="1300">
        <f t="shared" si="12"/>
        <v>0</v>
      </c>
      <c r="AA60" s="1300">
        <f t="shared" si="12"/>
        <v>0</v>
      </c>
      <c r="AB60" s="1300">
        <f t="shared" si="12"/>
        <v>9.822542779147625E-11</v>
      </c>
      <c r="AC60" s="1300">
        <f t="shared" si="12"/>
        <v>0</v>
      </c>
      <c r="AD60" s="1300">
        <f t="shared" si="12"/>
        <v>-9.0949470177292824E-12</v>
      </c>
      <c r="AE60" s="1300">
        <f t="shared" si="12"/>
        <v>-3.5527136788005009E-12</v>
      </c>
      <c r="AF60" s="1300">
        <f t="shared" si="12"/>
        <v>0</v>
      </c>
      <c r="AG60" s="1300">
        <f t="shared" si="12"/>
        <v>0</v>
      </c>
      <c r="AH60" s="1207"/>
      <c r="AJ60" s="1209">
        <f>AJ59+67000</f>
        <v>139145</v>
      </c>
      <c r="AL60" s="1283"/>
      <c r="AN60" s="1280">
        <v>915.26599999999996</v>
      </c>
    </row>
    <row r="61" spans="1:40" ht="13.5" thickBot="1" x14ac:dyDescent="0.25">
      <c r="A61" s="1274"/>
      <c r="B61" s="1237"/>
      <c r="C61" s="1300"/>
      <c r="D61" s="1302"/>
      <c r="E61" s="1302"/>
      <c r="F61" s="1303"/>
      <c r="G61" s="1303"/>
      <c r="H61" s="1303"/>
      <c r="I61" s="1303"/>
      <c r="J61" s="1303"/>
      <c r="K61" s="1303"/>
      <c r="L61" s="1303"/>
      <c r="M61" s="1303"/>
      <c r="N61" s="1303"/>
      <c r="O61" s="1303"/>
      <c r="P61" s="1304"/>
      <c r="Q61" s="1303"/>
      <c r="R61" s="1303"/>
      <c r="S61" s="1303"/>
      <c r="T61" s="1303"/>
      <c r="U61" s="1303"/>
      <c r="V61" s="1303"/>
      <c r="W61" s="1303"/>
      <c r="X61" s="1303"/>
      <c r="Y61" s="1303"/>
      <c r="Z61" s="1303"/>
      <c r="AA61" s="1303"/>
      <c r="AB61" s="1303"/>
      <c r="AC61" s="1303"/>
      <c r="AD61" s="1303"/>
      <c r="AE61" s="1303"/>
      <c r="AF61" s="1303"/>
      <c r="AG61" s="1303"/>
      <c r="AH61" s="1207"/>
      <c r="AN61" s="1280">
        <v>15000</v>
      </c>
    </row>
    <row r="62" spans="1:40" x14ac:dyDescent="0.2">
      <c r="A62" s="1233"/>
      <c r="B62" s="1234"/>
      <c r="C62" s="1305"/>
      <c r="D62" s="1297"/>
      <c r="E62" s="1297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9"/>
      <c r="Q62" s="1298"/>
      <c r="R62" s="1298"/>
      <c r="S62" s="1298"/>
      <c r="T62" s="1298"/>
      <c r="U62" s="1298"/>
      <c r="V62" s="1298"/>
      <c r="W62" s="1298"/>
      <c r="X62" s="1298"/>
      <c r="Y62" s="1298"/>
      <c r="Z62" s="1298"/>
      <c r="AA62" s="1298"/>
      <c r="AB62" s="1298"/>
      <c r="AC62" s="1298"/>
      <c r="AD62" s="1298"/>
      <c r="AE62" s="1298"/>
      <c r="AF62" s="1298"/>
      <c r="AG62" s="1298"/>
      <c r="AH62" s="1207"/>
      <c r="AN62" s="1280">
        <v>14101.822</v>
      </c>
    </row>
    <row r="63" spans="1:40" x14ac:dyDescent="0.2">
      <c r="A63" s="1236" t="s">
        <v>15</v>
      </c>
      <c r="B63" s="1237"/>
      <c r="C63" s="1302">
        <f>B40+C60</f>
        <v>-490749.951</v>
      </c>
      <c r="D63" s="1302">
        <f t="shared" ref="D63:AG63" si="13">C70+D60</f>
        <v>-490749.951</v>
      </c>
      <c r="E63" s="1302">
        <f t="shared" si="13"/>
        <v>-490749.951</v>
      </c>
      <c r="F63" s="1302">
        <f t="shared" si="13"/>
        <v>-490749.951</v>
      </c>
      <c r="G63" s="1302">
        <f t="shared" si="13"/>
        <v>-490749.951</v>
      </c>
      <c r="H63" s="1302">
        <f t="shared" si="13"/>
        <v>-490749.951</v>
      </c>
      <c r="I63" s="1302">
        <f t="shared" si="13"/>
        <v>-490749.951</v>
      </c>
      <c r="J63" s="1302">
        <f t="shared" si="13"/>
        <v>-490749.951</v>
      </c>
      <c r="K63" s="1302">
        <f t="shared" si="13"/>
        <v>-490749.951</v>
      </c>
      <c r="L63" s="1302">
        <f t="shared" si="13"/>
        <v>-490749.951</v>
      </c>
      <c r="M63" s="1302">
        <f t="shared" si="13"/>
        <v>-490749.951</v>
      </c>
      <c r="N63" s="1302">
        <f t="shared" si="13"/>
        <v>-490749.951</v>
      </c>
      <c r="O63" s="1302">
        <f t="shared" si="13"/>
        <v>-490749.951</v>
      </c>
      <c r="P63" s="1306">
        <f t="shared" si="13"/>
        <v>-490749.951</v>
      </c>
      <c r="Q63" s="1302">
        <f t="shared" si="13"/>
        <v>-490749.951</v>
      </c>
      <c r="R63" s="1302">
        <f t="shared" si="13"/>
        <v>-490749.951</v>
      </c>
      <c r="S63" s="1302">
        <f t="shared" si="13"/>
        <v>-490749.951</v>
      </c>
      <c r="T63" s="1302">
        <f t="shared" si="13"/>
        <v>-490749.951</v>
      </c>
      <c r="U63" s="1302">
        <f t="shared" si="13"/>
        <v>-490749.951</v>
      </c>
      <c r="V63" s="1302">
        <f t="shared" si="13"/>
        <v>-490749.951</v>
      </c>
      <c r="W63" s="1302">
        <f t="shared" si="13"/>
        <v>-490749.951</v>
      </c>
      <c r="X63" s="1302">
        <f t="shared" si="13"/>
        <v>-490749.951</v>
      </c>
      <c r="Y63" s="1302">
        <f t="shared" si="13"/>
        <v>-490749.951</v>
      </c>
      <c r="Z63" s="1302">
        <f t="shared" si="13"/>
        <v>-490749.951</v>
      </c>
      <c r="AA63" s="1302">
        <f t="shared" si="13"/>
        <v>-490749.951</v>
      </c>
      <c r="AB63" s="1302">
        <f t="shared" si="13"/>
        <v>-490749.95099999988</v>
      </c>
      <c r="AC63" s="1302">
        <f t="shared" si="13"/>
        <v>-490749.95099999988</v>
      </c>
      <c r="AD63" s="1302">
        <f t="shared" si="13"/>
        <v>-490749.95099999988</v>
      </c>
      <c r="AE63" s="1302">
        <f t="shared" si="13"/>
        <v>-490749.95099999988</v>
      </c>
      <c r="AF63" s="1302">
        <f t="shared" si="13"/>
        <v>-490749.95099999988</v>
      </c>
      <c r="AG63" s="1302">
        <f t="shared" si="13"/>
        <v>-490749.95099999988</v>
      </c>
      <c r="AH63" s="1207"/>
      <c r="AN63" s="1280">
        <v>1397.2449999999999</v>
      </c>
    </row>
    <row r="64" spans="1:40" ht="13.5" thickBot="1" x14ac:dyDescent="0.25">
      <c r="A64" s="1250"/>
      <c r="B64" s="1307"/>
      <c r="C64" s="1308"/>
      <c r="D64" s="1308"/>
      <c r="E64" s="1308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10"/>
      <c r="Q64" s="1309"/>
      <c r="R64" s="1309"/>
      <c r="S64" s="1309"/>
      <c r="T64" s="1309"/>
      <c r="U64" s="1309"/>
      <c r="V64" s="1309"/>
      <c r="W64" s="1309"/>
      <c r="X64" s="1309"/>
      <c r="Y64" s="1309"/>
      <c r="Z64" s="1309"/>
      <c r="AA64" s="1309"/>
      <c r="AB64" s="1309"/>
      <c r="AC64" s="1309"/>
      <c r="AD64" s="1309"/>
      <c r="AE64" s="1309"/>
      <c r="AF64" s="1309"/>
      <c r="AG64" s="1309"/>
      <c r="AH64" s="1207"/>
      <c r="AN64" s="1280">
        <v>1322.63</v>
      </c>
    </row>
    <row r="65" spans="1:40" x14ac:dyDescent="0.2">
      <c r="A65" s="1233"/>
      <c r="B65" s="1234"/>
      <c r="C65" s="1297"/>
      <c r="D65" s="1297"/>
      <c r="E65" s="1297"/>
      <c r="F65" s="1298"/>
      <c r="G65" s="1298"/>
      <c r="H65" s="1298"/>
      <c r="I65" s="1298"/>
      <c r="J65" s="1298"/>
      <c r="K65" s="1298"/>
      <c r="L65" s="1298"/>
      <c r="M65" s="1298"/>
      <c r="N65" s="1298"/>
      <c r="O65" s="1298"/>
      <c r="P65" s="1299"/>
      <c r="Q65" s="1298"/>
      <c r="R65" s="1298"/>
      <c r="S65" s="1298"/>
      <c r="T65" s="1298"/>
      <c r="U65" s="1298"/>
      <c r="V65" s="1298"/>
      <c r="W65" s="1298"/>
      <c r="X65" s="1298"/>
      <c r="Y65" s="1298"/>
      <c r="Z65" s="1298"/>
      <c r="AA65" s="1298"/>
      <c r="AB65" s="1298"/>
      <c r="AC65" s="1298"/>
      <c r="AD65" s="1298"/>
      <c r="AE65" s="1298"/>
      <c r="AF65" s="1298"/>
      <c r="AG65" s="1298"/>
      <c r="AH65" s="1227">
        <f>SUM(C65:AG65)</f>
        <v>0</v>
      </c>
      <c r="AN65" s="1280">
        <v>1747.816</v>
      </c>
    </row>
    <row r="66" spans="1:40" x14ac:dyDescent="0.2">
      <c r="A66" s="1236" t="s">
        <v>82</v>
      </c>
      <c r="B66" s="1237"/>
      <c r="C66" s="1302">
        <f t="shared" ref="C66:AG67" si="14">C74</f>
        <v>0</v>
      </c>
      <c r="D66" s="1302">
        <f t="shared" si="14"/>
        <v>0</v>
      </c>
      <c r="E66" s="1302">
        <f t="shared" si="14"/>
        <v>0</v>
      </c>
      <c r="F66" s="1302">
        <f t="shared" si="14"/>
        <v>0</v>
      </c>
      <c r="G66" s="1302">
        <f t="shared" si="14"/>
        <v>0</v>
      </c>
      <c r="H66" s="1302">
        <f t="shared" si="14"/>
        <v>0</v>
      </c>
      <c r="I66" s="1302">
        <f t="shared" si="14"/>
        <v>0</v>
      </c>
      <c r="J66" s="1302">
        <f t="shared" si="14"/>
        <v>0</v>
      </c>
      <c r="K66" s="1302">
        <f t="shared" si="14"/>
        <v>0</v>
      </c>
      <c r="L66" s="1302">
        <f t="shared" si="14"/>
        <v>0</v>
      </c>
      <c r="M66" s="1302">
        <f t="shared" si="14"/>
        <v>0</v>
      </c>
      <c r="N66" s="1302">
        <f t="shared" si="14"/>
        <v>0</v>
      </c>
      <c r="O66" s="1302">
        <f t="shared" si="14"/>
        <v>0</v>
      </c>
      <c r="P66" s="1306">
        <f t="shared" si="14"/>
        <v>0</v>
      </c>
      <c r="Q66" s="1302">
        <f t="shared" si="14"/>
        <v>0</v>
      </c>
      <c r="R66" s="1302">
        <f t="shared" si="14"/>
        <v>0</v>
      </c>
      <c r="S66" s="1302">
        <f t="shared" si="14"/>
        <v>0</v>
      </c>
      <c r="T66" s="1302">
        <f t="shared" si="14"/>
        <v>0</v>
      </c>
      <c r="U66" s="1302">
        <f t="shared" si="14"/>
        <v>0</v>
      </c>
      <c r="V66" s="1302">
        <f t="shared" si="14"/>
        <v>0</v>
      </c>
      <c r="W66" s="1302">
        <f t="shared" si="14"/>
        <v>0</v>
      </c>
      <c r="X66" s="1302">
        <f t="shared" si="14"/>
        <v>0</v>
      </c>
      <c r="Y66" s="1302">
        <f t="shared" si="14"/>
        <v>0</v>
      </c>
      <c r="Z66" s="1302">
        <f t="shared" si="14"/>
        <v>0</v>
      </c>
      <c r="AA66" s="1302">
        <f t="shared" si="14"/>
        <v>0</v>
      </c>
      <c r="AB66" s="1302">
        <f t="shared" si="14"/>
        <v>0</v>
      </c>
      <c r="AC66" s="1302">
        <f t="shared" si="14"/>
        <v>0</v>
      </c>
      <c r="AD66" s="1302">
        <f t="shared" si="14"/>
        <v>0</v>
      </c>
      <c r="AE66" s="1302">
        <f t="shared" si="14"/>
        <v>0</v>
      </c>
      <c r="AF66" s="1302">
        <f t="shared" si="14"/>
        <v>0</v>
      </c>
      <c r="AG66" s="1302">
        <f t="shared" si="14"/>
        <v>0</v>
      </c>
      <c r="AH66" s="1207"/>
      <c r="AN66" s="1280">
        <v>1021.722</v>
      </c>
    </row>
    <row r="67" spans="1:40" x14ac:dyDescent="0.2">
      <c r="A67" s="1236" t="s">
        <v>83</v>
      </c>
      <c r="B67" s="1237"/>
      <c r="C67" s="1306">
        <f t="shared" si="14"/>
        <v>0</v>
      </c>
      <c r="D67" s="1306">
        <f t="shared" si="14"/>
        <v>0</v>
      </c>
      <c r="E67" s="1306">
        <f t="shared" si="14"/>
        <v>0</v>
      </c>
      <c r="F67" s="1306">
        <f t="shared" si="14"/>
        <v>0</v>
      </c>
      <c r="G67" s="1306">
        <f t="shared" si="14"/>
        <v>0</v>
      </c>
      <c r="H67" s="1306">
        <f t="shared" si="14"/>
        <v>0</v>
      </c>
      <c r="I67" s="1306">
        <f t="shared" si="14"/>
        <v>0</v>
      </c>
      <c r="J67" s="1306">
        <f t="shared" si="14"/>
        <v>0</v>
      </c>
      <c r="K67" s="1306">
        <f t="shared" si="14"/>
        <v>0</v>
      </c>
      <c r="L67" s="1306">
        <f t="shared" si="14"/>
        <v>0</v>
      </c>
      <c r="M67" s="1306">
        <f t="shared" si="14"/>
        <v>0</v>
      </c>
      <c r="N67" s="1306">
        <f t="shared" si="14"/>
        <v>0</v>
      </c>
      <c r="O67" s="1306">
        <f t="shared" si="14"/>
        <v>0</v>
      </c>
      <c r="P67" s="1306">
        <f t="shared" si="14"/>
        <v>0</v>
      </c>
      <c r="Q67" s="1306">
        <f t="shared" si="14"/>
        <v>0</v>
      </c>
      <c r="R67" s="1306">
        <f t="shared" si="14"/>
        <v>0</v>
      </c>
      <c r="S67" s="1306">
        <f t="shared" si="14"/>
        <v>0</v>
      </c>
      <c r="T67" s="1306">
        <f t="shared" si="14"/>
        <v>0</v>
      </c>
      <c r="U67" s="1306">
        <f t="shared" si="14"/>
        <v>0</v>
      </c>
      <c r="V67" s="1306">
        <f t="shared" si="14"/>
        <v>0</v>
      </c>
      <c r="W67" s="1306">
        <f t="shared" si="14"/>
        <v>0</v>
      </c>
      <c r="X67" s="1306">
        <f t="shared" si="14"/>
        <v>0</v>
      </c>
      <c r="Y67" s="1306">
        <f t="shared" si="14"/>
        <v>0</v>
      </c>
      <c r="Z67" s="1306">
        <f t="shared" si="14"/>
        <v>0</v>
      </c>
      <c r="AA67" s="1306">
        <f t="shared" si="14"/>
        <v>0</v>
      </c>
      <c r="AB67" s="1306">
        <f t="shared" si="14"/>
        <v>0</v>
      </c>
      <c r="AC67" s="1306">
        <f t="shared" si="14"/>
        <v>0</v>
      </c>
      <c r="AD67" s="1306">
        <f t="shared" si="14"/>
        <v>0</v>
      </c>
      <c r="AE67" s="1306">
        <f t="shared" si="14"/>
        <v>0</v>
      </c>
      <c r="AF67" s="1306">
        <f t="shared" si="14"/>
        <v>0</v>
      </c>
      <c r="AG67" s="1306">
        <f t="shared" si="14"/>
        <v>0</v>
      </c>
      <c r="AH67" s="1207"/>
      <c r="AN67" s="1280">
        <v>4000</v>
      </c>
    </row>
    <row r="68" spans="1:40" ht="13.5" thickBot="1" x14ac:dyDescent="0.25">
      <c r="A68" s="1250"/>
      <c r="B68" s="1307"/>
      <c r="C68" s="1308"/>
      <c r="D68" s="1308"/>
      <c r="E68" s="1308"/>
      <c r="F68" s="1309"/>
      <c r="G68" s="1309"/>
      <c r="H68" s="1309"/>
      <c r="I68" s="1309"/>
      <c r="J68" s="1309"/>
      <c r="K68" s="1309"/>
      <c r="L68" s="1309"/>
      <c r="M68" s="1309"/>
      <c r="N68" s="1309"/>
      <c r="O68" s="1309"/>
      <c r="P68" s="1310"/>
      <c r="Q68" s="1309"/>
      <c r="R68" s="1309"/>
      <c r="S68" s="1309"/>
      <c r="T68" s="1309"/>
      <c r="U68" s="1309"/>
      <c r="V68" s="1309"/>
      <c r="W68" s="1309"/>
      <c r="X68" s="1309"/>
      <c r="Y68" s="1309"/>
      <c r="Z68" s="1309"/>
      <c r="AA68" s="1309"/>
      <c r="AB68" s="1309"/>
      <c r="AC68" s="1309"/>
      <c r="AD68" s="1309"/>
      <c r="AE68" s="1309"/>
      <c r="AF68" s="1309"/>
      <c r="AG68" s="1309"/>
      <c r="AH68" s="1207"/>
      <c r="AN68" s="1280"/>
    </row>
    <row r="69" spans="1:40" x14ac:dyDescent="0.2">
      <c r="A69" s="1236"/>
      <c r="B69" s="1237"/>
      <c r="C69" s="1302"/>
      <c r="D69" s="1302"/>
      <c r="E69" s="1302"/>
      <c r="F69" s="1303"/>
      <c r="G69" s="1303"/>
      <c r="H69" s="1303"/>
      <c r="I69" s="1303"/>
      <c r="J69" s="1303"/>
      <c r="K69" s="1303"/>
      <c r="L69" s="1303"/>
      <c r="M69" s="1303"/>
      <c r="N69" s="1303"/>
      <c r="O69" s="1303"/>
      <c r="P69" s="1304"/>
      <c r="Q69" s="1303"/>
      <c r="R69" s="1303"/>
      <c r="S69" s="1303"/>
      <c r="T69" s="1303"/>
      <c r="U69" s="1303"/>
      <c r="V69" s="1303"/>
      <c r="W69" s="1303"/>
      <c r="X69" s="1303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207"/>
      <c r="AN69" s="1280">
        <v>1616.846</v>
      </c>
    </row>
    <row r="70" spans="1:40" x14ac:dyDescent="0.2">
      <c r="A70" s="1236" t="s">
        <v>14</v>
      </c>
      <c r="B70" s="1237"/>
      <c r="C70" s="1302">
        <f t="shared" ref="C70:AG70" si="15">C63+C66+C67</f>
        <v>-490749.951</v>
      </c>
      <c r="D70" s="1302">
        <f t="shared" si="15"/>
        <v>-490749.951</v>
      </c>
      <c r="E70" s="1302">
        <f t="shared" si="15"/>
        <v>-490749.951</v>
      </c>
      <c r="F70" s="1302">
        <f t="shared" si="15"/>
        <v>-490749.951</v>
      </c>
      <c r="G70" s="1302">
        <f t="shared" si="15"/>
        <v>-490749.951</v>
      </c>
      <c r="H70" s="1302">
        <f t="shared" si="15"/>
        <v>-490749.951</v>
      </c>
      <c r="I70" s="1302">
        <f t="shared" si="15"/>
        <v>-490749.951</v>
      </c>
      <c r="J70" s="1302">
        <f t="shared" si="15"/>
        <v>-490749.951</v>
      </c>
      <c r="K70" s="1302">
        <f t="shared" si="15"/>
        <v>-490749.951</v>
      </c>
      <c r="L70" s="1302">
        <f t="shared" si="15"/>
        <v>-490749.951</v>
      </c>
      <c r="M70" s="1302">
        <f t="shared" si="15"/>
        <v>-490749.951</v>
      </c>
      <c r="N70" s="1302">
        <f t="shared" si="15"/>
        <v>-490749.951</v>
      </c>
      <c r="O70" s="1302">
        <f t="shared" si="15"/>
        <v>-490749.951</v>
      </c>
      <c r="P70" s="1306">
        <f t="shared" si="15"/>
        <v>-490749.951</v>
      </c>
      <c r="Q70" s="1302">
        <f t="shared" si="15"/>
        <v>-490749.951</v>
      </c>
      <c r="R70" s="1302">
        <f t="shared" si="15"/>
        <v>-490749.951</v>
      </c>
      <c r="S70" s="1302">
        <f t="shared" si="15"/>
        <v>-490749.951</v>
      </c>
      <c r="T70" s="1302">
        <f t="shared" si="15"/>
        <v>-490749.951</v>
      </c>
      <c r="U70" s="1302">
        <f t="shared" si="15"/>
        <v>-490749.951</v>
      </c>
      <c r="V70" s="1302">
        <f t="shared" si="15"/>
        <v>-490749.951</v>
      </c>
      <c r="W70" s="1302">
        <f t="shared" si="15"/>
        <v>-490749.951</v>
      </c>
      <c r="X70" s="1302">
        <f t="shared" si="15"/>
        <v>-490749.951</v>
      </c>
      <c r="Y70" s="1302">
        <f t="shared" si="15"/>
        <v>-490749.951</v>
      </c>
      <c r="Z70" s="1302">
        <f t="shared" si="15"/>
        <v>-490749.951</v>
      </c>
      <c r="AA70" s="1302">
        <f t="shared" si="15"/>
        <v>-490749.951</v>
      </c>
      <c r="AB70" s="1302">
        <f t="shared" si="15"/>
        <v>-490749.95099999988</v>
      </c>
      <c r="AC70" s="1302">
        <f t="shared" si="15"/>
        <v>-490749.95099999988</v>
      </c>
      <c r="AD70" s="1302">
        <f t="shared" si="15"/>
        <v>-490749.95099999988</v>
      </c>
      <c r="AE70" s="1302">
        <f t="shared" si="15"/>
        <v>-490749.95099999988</v>
      </c>
      <c r="AF70" s="1302">
        <f t="shared" si="15"/>
        <v>-490749.95099999988</v>
      </c>
      <c r="AG70" s="1302">
        <f t="shared" si="15"/>
        <v>-490749.95099999988</v>
      </c>
      <c r="AH70" s="1311"/>
      <c r="AN70" s="1280">
        <v>7523.0129999999999</v>
      </c>
    </row>
    <row r="71" spans="1:40" x14ac:dyDescent="0.2">
      <c r="A71" s="1236"/>
      <c r="B71" s="1237"/>
      <c r="C71" s="1302"/>
      <c r="D71" s="1302"/>
      <c r="E71" s="1302"/>
      <c r="F71" s="1303"/>
      <c r="G71" s="1303"/>
      <c r="H71" s="1303"/>
      <c r="I71" s="1303"/>
      <c r="J71" s="1303"/>
      <c r="K71" s="1303"/>
      <c r="L71" s="1303"/>
      <c r="M71" s="1303"/>
      <c r="N71" s="1303"/>
      <c r="O71" s="1303"/>
      <c r="P71" s="1304"/>
      <c r="Q71" s="1303"/>
      <c r="R71" s="1303"/>
      <c r="S71" s="1303"/>
      <c r="T71" s="1303"/>
      <c r="U71" s="1303"/>
      <c r="V71" s="1303"/>
      <c r="W71" s="1303"/>
      <c r="X71" s="1303"/>
      <c r="Y71" s="1303"/>
      <c r="Z71" s="1303"/>
      <c r="AA71" s="1303"/>
      <c r="AB71" s="1303"/>
      <c r="AC71" s="1303"/>
      <c r="AD71" s="1303"/>
      <c r="AE71" s="1303"/>
      <c r="AF71" s="1303"/>
      <c r="AG71" s="1303"/>
      <c r="AH71" s="1207"/>
      <c r="AN71" s="1280">
        <v>716.57600000000002</v>
      </c>
    </row>
    <row r="72" spans="1:40" ht="13.5" thickBot="1" x14ac:dyDescent="0.25">
      <c r="A72" s="1250"/>
      <c r="B72" s="1307"/>
      <c r="C72" s="1312"/>
      <c r="D72" s="1312"/>
      <c r="E72" s="1312"/>
      <c r="F72" s="1313"/>
      <c r="G72" s="1313"/>
      <c r="H72" s="1313"/>
      <c r="I72" s="1313"/>
      <c r="J72" s="1313"/>
      <c r="K72" s="1313"/>
      <c r="L72" s="1313"/>
      <c r="M72" s="1313"/>
      <c r="N72" s="1313"/>
      <c r="O72" s="1313"/>
      <c r="P72" s="1314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207"/>
      <c r="AN72" s="1315">
        <v>1326.8</v>
      </c>
    </row>
    <row r="73" spans="1:40" x14ac:dyDescent="0.2">
      <c r="A73" s="1316"/>
      <c r="B73" s="1207"/>
      <c r="C73" s="1227"/>
      <c r="D73" s="1227"/>
      <c r="E73" s="1227"/>
      <c r="F73" s="1227"/>
      <c r="G73" s="1227"/>
      <c r="H73" s="1317"/>
      <c r="I73" s="1317"/>
      <c r="J73" s="1317"/>
      <c r="K73" s="1317"/>
      <c r="L73" s="1317"/>
      <c r="M73" s="1317"/>
      <c r="N73" s="1317"/>
      <c r="O73" s="1317"/>
      <c r="P73" s="1318"/>
      <c r="Q73" s="1317"/>
      <c r="R73" s="1317"/>
      <c r="S73" s="1317"/>
      <c r="T73" s="1317"/>
      <c r="U73" s="1317"/>
      <c r="V73" s="1317"/>
      <c r="W73" s="1317"/>
      <c r="X73" s="1317"/>
      <c r="Y73" s="1317"/>
      <c r="Z73" s="1317"/>
      <c r="AA73" s="1317"/>
      <c r="AB73" s="1317"/>
      <c r="AC73" s="1317"/>
      <c r="AD73" s="1317"/>
      <c r="AE73" s="1317"/>
      <c r="AF73" s="1317"/>
      <c r="AG73" s="1317"/>
      <c r="AH73" s="1207"/>
      <c r="AN73" s="1315">
        <v>4180.9530000000004</v>
      </c>
    </row>
    <row r="74" spans="1:40" x14ac:dyDescent="0.2">
      <c r="A74" s="1316" t="s">
        <v>40</v>
      </c>
      <c r="B74" s="1207"/>
      <c r="C74" s="1303"/>
      <c r="D74" s="1303"/>
      <c r="E74" s="1303"/>
      <c r="F74" s="1319"/>
      <c r="G74" s="1319"/>
      <c r="H74" s="1319"/>
      <c r="I74" s="1319"/>
      <c r="J74" s="1319"/>
      <c r="K74" s="1319"/>
      <c r="L74" s="1319"/>
      <c r="M74" s="1319"/>
      <c r="N74" s="1319"/>
      <c r="O74" s="1319"/>
      <c r="P74" s="1319"/>
      <c r="Q74" s="1319"/>
      <c r="R74" s="1319"/>
      <c r="S74" s="1319"/>
      <c r="T74" s="1319"/>
      <c r="U74" s="1319"/>
      <c r="V74" s="1319"/>
      <c r="W74" s="1319"/>
      <c r="X74" s="1319"/>
      <c r="Y74" s="1319"/>
      <c r="Z74" s="1319"/>
      <c r="AA74" s="1319"/>
      <c r="AB74" s="1319"/>
      <c r="AC74" s="1319"/>
      <c r="AD74" s="1319"/>
      <c r="AE74" s="1319"/>
      <c r="AF74" s="1319"/>
      <c r="AG74" s="1319"/>
      <c r="AH74" s="1227">
        <f>SUM(C74:AG74)</f>
        <v>0</v>
      </c>
      <c r="AI74" s="1320"/>
      <c r="AJ74" s="1320"/>
      <c r="AK74" s="1321"/>
      <c r="AN74" s="1315">
        <v>2761.194</v>
      </c>
    </row>
    <row r="75" spans="1:40" x14ac:dyDescent="0.2">
      <c r="A75" s="1316" t="s">
        <v>42</v>
      </c>
      <c r="B75" s="1207"/>
      <c r="C75" s="1303"/>
      <c r="D75" s="1303"/>
      <c r="E75" s="1303"/>
      <c r="F75" s="1319"/>
      <c r="G75" s="1319"/>
      <c r="H75" s="1319"/>
      <c r="I75" s="1319"/>
      <c r="J75" s="1319"/>
      <c r="K75" s="1319"/>
      <c r="L75" s="1319"/>
      <c r="M75" s="1319"/>
      <c r="N75" s="1319"/>
      <c r="O75" s="1319"/>
      <c r="P75" s="1319"/>
      <c r="Q75" s="1319"/>
      <c r="R75" s="1319"/>
      <c r="S75" s="1319"/>
      <c r="T75" s="1319"/>
      <c r="U75" s="1319"/>
      <c r="V75" s="1319"/>
      <c r="W75" s="1319"/>
      <c r="X75" s="1319"/>
      <c r="Y75" s="1319"/>
      <c r="Z75" s="1319"/>
      <c r="AA75" s="1319"/>
      <c r="AB75" s="1319"/>
      <c r="AC75" s="1319"/>
      <c r="AD75" s="1319"/>
      <c r="AE75" s="1319"/>
      <c r="AF75" s="1319"/>
      <c r="AG75" s="1319"/>
      <c r="AH75" s="1227">
        <f>SUM(C75:AG75)</f>
        <v>0</v>
      </c>
      <c r="AI75" s="1320"/>
      <c r="AJ75" s="1320"/>
      <c r="AK75" s="1321"/>
      <c r="AN75" s="1315">
        <v>6804.6840000000002</v>
      </c>
    </row>
    <row r="76" spans="1:40" ht="13.5" thickBot="1" x14ac:dyDescent="0.25">
      <c r="A76" s="1316"/>
      <c r="B76" s="1207"/>
      <c r="C76" s="1219"/>
      <c r="D76" s="1219"/>
      <c r="E76" s="1219"/>
      <c r="F76" s="1219"/>
      <c r="G76" s="1220"/>
      <c r="H76" s="1322"/>
      <c r="I76" s="1219"/>
      <c r="J76" s="1219"/>
      <c r="K76" s="1219"/>
      <c r="L76" s="1219"/>
      <c r="M76" s="1219"/>
      <c r="N76" s="1219"/>
      <c r="O76" s="1219"/>
      <c r="P76" s="1221"/>
      <c r="Q76" s="1219"/>
      <c r="R76" s="1219"/>
      <c r="S76" s="1219"/>
      <c r="T76" s="1219"/>
      <c r="U76" s="1219"/>
      <c r="V76" s="1322"/>
      <c r="W76" s="1322"/>
      <c r="X76" s="1219"/>
      <c r="Y76" s="1219"/>
      <c r="Z76" s="1219"/>
      <c r="AA76" s="1219"/>
      <c r="AB76" s="1219"/>
      <c r="AC76" s="1219"/>
      <c r="AD76" s="1219"/>
      <c r="AE76" s="1219"/>
      <c r="AF76" s="1219"/>
      <c r="AG76" s="1219"/>
      <c r="AH76" s="1207"/>
      <c r="AI76" s="1320"/>
      <c r="AJ76" s="1320"/>
      <c r="AK76" s="1321"/>
      <c r="AN76" s="1315">
        <v>14590.134</v>
      </c>
    </row>
    <row r="77" spans="1:40" x14ac:dyDescent="0.2">
      <c r="A77" s="1323" t="s">
        <v>495</v>
      </c>
      <c r="B77" s="1324" t="s">
        <v>509</v>
      </c>
      <c r="C77" s="1325"/>
      <c r="D77" s="1326"/>
      <c r="E77" s="1326"/>
      <c r="F77" s="1326"/>
      <c r="G77" s="1327"/>
      <c r="H77" s="1328"/>
      <c r="I77" s="1326"/>
      <c r="J77" s="1326"/>
      <c r="K77" s="1326"/>
      <c r="L77" s="1326"/>
      <c r="M77" s="1326"/>
      <c r="N77" s="1326"/>
      <c r="O77" s="1326"/>
      <c r="P77" s="1329"/>
      <c r="Q77" s="1326"/>
      <c r="R77" s="1326"/>
      <c r="S77" s="1326"/>
      <c r="T77" s="1326"/>
      <c r="U77" s="1326"/>
      <c r="V77" s="1328"/>
      <c r="W77" s="1328"/>
      <c r="X77" s="1326"/>
      <c r="Y77" s="1326"/>
      <c r="Z77" s="1326"/>
      <c r="AA77" s="1326"/>
      <c r="AB77" s="1326"/>
      <c r="AC77" s="1326"/>
      <c r="AD77" s="1326"/>
      <c r="AE77" s="1326"/>
      <c r="AF77" s="1326"/>
      <c r="AG77" s="1326"/>
      <c r="AH77" s="1330">
        <f>SUM(C77:AG77)</f>
        <v>0</v>
      </c>
      <c r="AI77" s="1320"/>
      <c r="AJ77" s="1320"/>
      <c r="AK77" s="1321"/>
      <c r="AN77" s="1280">
        <v>1034.9559999999999</v>
      </c>
    </row>
    <row r="78" spans="1:40" ht="13.5" thickBot="1" x14ac:dyDescent="0.25">
      <c r="A78" s="1331" t="s">
        <v>697</v>
      </c>
      <c r="B78" s="1332" t="s">
        <v>510</v>
      </c>
      <c r="C78" s="1333"/>
      <c r="D78" s="1334"/>
      <c r="E78" s="1334"/>
      <c r="F78" s="1334"/>
      <c r="G78" s="1334"/>
      <c r="H78" s="1335"/>
      <c r="I78" s="1336"/>
      <c r="J78" s="1334"/>
      <c r="K78" s="1334"/>
      <c r="L78" s="1335"/>
      <c r="M78" s="1334"/>
      <c r="N78" s="1334"/>
      <c r="O78" s="1334"/>
      <c r="P78" s="1337"/>
      <c r="Q78" s="1335"/>
      <c r="R78" s="1334"/>
      <c r="S78" s="1334"/>
      <c r="T78" s="1334"/>
      <c r="U78" s="1334"/>
      <c r="V78" s="1335"/>
      <c r="W78" s="1334"/>
      <c r="X78" s="1334"/>
      <c r="Y78" s="1334"/>
      <c r="Z78" s="1334"/>
      <c r="AA78" s="1335"/>
      <c r="AB78" s="1334"/>
      <c r="AC78" s="1334"/>
      <c r="AD78" s="1334"/>
      <c r="AE78" s="1334"/>
      <c r="AF78" s="1334"/>
      <c r="AG78" s="1334"/>
      <c r="AH78" s="1338">
        <f>SUM(C78:AG78)</f>
        <v>0</v>
      </c>
      <c r="AI78" s="1320"/>
      <c r="AJ78" s="1320"/>
      <c r="AK78" s="1321"/>
      <c r="AN78" s="1280"/>
    </row>
    <row r="79" spans="1:40" x14ac:dyDescent="0.2">
      <c r="A79" s="1323" t="s">
        <v>495</v>
      </c>
      <c r="B79" s="1324" t="s">
        <v>509</v>
      </c>
      <c r="C79" s="1339"/>
      <c r="D79" s="1339"/>
      <c r="E79" s="1339"/>
      <c r="F79" s="1339"/>
      <c r="G79" s="1339"/>
      <c r="H79" s="1340"/>
      <c r="I79" s="1341"/>
      <c r="J79" s="1339"/>
      <c r="K79" s="1339"/>
      <c r="L79" s="1340"/>
      <c r="M79" s="1339"/>
      <c r="N79" s="1339"/>
      <c r="O79" s="1339"/>
      <c r="P79" s="1342"/>
      <c r="Q79" s="1340"/>
      <c r="R79" s="1339"/>
      <c r="S79" s="1339"/>
      <c r="T79" s="1339"/>
      <c r="U79" s="1339"/>
      <c r="V79" s="1340"/>
      <c r="W79" s="1339"/>
      <c r="X79" s="1339"/>
      <c r="Y79" s="1339"/>
      <c r="Z79" s="1339"/>
      <c r="AA79" s="1340"/>
      <c r="AB79" s="1339"/>
      <c r="AC79" s="1339"/>
      <c r="AD79" s="1339"/>
      <c r="AE79" s="1339"/>
      <c r="AF79" s="1339"/>
      <c r="AG79" s="1339"/>
      <c r="AH79" s="1330">
        <f>SUM(C79:AG79)</f>
        <v>0</v>
      </c>
      <c r="AI79" s="1320"/>
      <c r="AJ79" s="1320"/>
      <c r="AK79" s="1321"/>
      <c r="AN79" s="1280"/>
    </row>
    <row r="80" spans="1:40" ht="13.5" thickBot="1" x14ac:dyDescent="0.25">
      <c r="A80" s="1331" t="s">
        <v>696</v>
      </c>
      <c r="B80" s="1332" t="s">
        <v>510</v>
      </c>
      <c r="C80" s="1339"/>
      <c r="D80" s="1339"/>
      <c r="E80" s="1339"/>
      <c r="F80" s="1339"/>
      <c r="G80" s="1339"/>
      <c r="H80" s="1340"/>
      <c r="I80" s="1341"/>
      <c r="J80" s="1339"/>
      <c r="K80" s="1339"/>
      <c r="L80" s="1340"/>
      <c r="M80" s="1339"/>
      <c r="N80" s="1339"/>
      <c r="O80" s="1339"/>
      <c r="P80" s="1342"/>
      <c r="Q80" s="1340"/>
      <c r="R80" s="1339"/>
      <c r="S80" s="1339"/>
      <c r="T80" s="1339"/>
      <c r="U80" s="1339"/>
      <c r="V80" s="1340"/>
      <c r="W80" s="1339"/>
      <c r="X80" s="1339"/>
      <c r="Y80" s="1339"/>
      <c r="Z80" s="1339"/>
      <c r="AA80" s="1340"/>
      <c r="AB80" s="1339"/>
      <c r="AC80" s="1339"/>
      <c r="AD80" s="1339"/>
      <c r="AE80" s="1339"/>
      <c r="AF80" s="1339"/>
      <c r="AG80" s="1339"/>
      <c r="AH80" s="1343"/>
      <c r="AI80" s="1320"/>
      <c r="AJ80" s="1320"/>
      <c r="AK80" s="1321"/>
      <c r="AN80" s="1280"/>
    </row>
    <row r="81" spans="1:43" x14ac:dyDescent="0.2">
      <c r="A81" s="1344"/>
      <c r="B81" s="1230"/>
      <c r="C81" s="1228"/>
      <c r="D81" s="1228"/>
      <c r="E81" s="1228"/>
      <c r="F81" s="1228"/>
      <c r="G81" s="1228"/>
      <c r="H81" s="1228"/>
      <c r="I81" s="1228"/>
      <c r="J81" s="1228"/>
      <c r="K81" s="1228"/>
      <c r="L81" s="1228"/>
      <c r="M81" s="1228"/>
      <c r="N81" s="1228"/>
      <c r="O81" s="1228"/>
      <c r="P81" s="1229"/>
      <c r="Q81" s="1228"/>
      <c r="R81" s="1228"/>
      <c r="S81" s="1228"/>
      <c r="T81" s="1228"/>
      <c r="U81" s="1228"/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320"/>
      <c r="AJ81" s="1320"/>
      <c r="AK81" s="1321"/>
      <c r="AN81" s="1280">
        <v>2000</v>
      </c>
    </row>
    <row r="82" spans="1:43" s="1321" customFormat="1" x14ac:dyDescent="0.2">
      <c r="A82" s="1236" t="s">
        <v>2</v>
      </c>
      <c r="B82" s="1207"/>
      <c r="C82" s="1345">
        <f>SUM(C84:C121)</f>
        <v>0</v>
      </c>
      <c r="D82" s="1227"/>
      <c r="E82" s="1346"/>
      <c r="F82" s="1227"/>
      <c r="G82" s="1347"/>
      <c r="H82" s="1228"/>
      <c r="I82" s="1227"/>
      <c r="J82" s="1227"/>
      <c r="K82" s="1227"/>
      <c r="L82" s="1227"/>
      <c r="M82" s="1228"/>
      <c r="N82" s="1228"/>
      <c r="O82" s="1228"/>
      <c r="P82" s="1229"/>
      <c r="Q82" s="1228"/>
      <c r="R82" s="1228"/>
      <c r="S82" s="1228"/>
      <c r="T82" s="1227"/>
      <c r="U82" s="1227"/>
      <c r="V82" s="1227"/>
      <c r="W82" s="1227"/>
      <c r="X82" s="1227"/>
      <c r="Y82" s="1227"/>
      <c r="Z82" s="1227"/>
      <c r="AA82" s="1227"/>
      <c r="AB82" s="1227"/>
      <c r="AC82" s="1227"/>
      <c r="AD82" s="1227"/>
      <c r="AE82" s="1228"/>
      <c r="AF82" s="1227"/>
      <c r="AG82" s="1227"/>
      <c r="AH82" s="1207"/>
      <c r="AN82" s="1348">
        <v>2358.498</v>
      </c>
    </row>
    <row r="83" spans="1:43" s="1321" customFormat="1" x14ac:dyDescent="0.2">
      <c r="A83" s="1237"/>
      <c r="B83" s="1207"/>
      <c r="C83" s="1345"/>
      <c r="D83" s="1207"/>
      <c r="E83" s="1207"/>
      <c r="F83" s="1207"/>
      <c r="G83" s="1349"/>
      <c r="H83" s="1207"/>
      <c r="I83" s="1207"/>
      <c r="J83" s="1207"/>
      <c r="K83" s="1207"/>
      <c r="L83" s="1207"/>
      <c r="M83" s="1207"/>
      <c r="N83" s="1207"/>
      <c r="O83" s="1207"/>
      <c r="P83" s="1208"/>
      <c r="Q83" s="1207"/>
      <c r="R83" s="1207"/>
      <c r="S83" s="1207"/>
      <c r="T83" s="1207"/>
      <c r="U83" s="1207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N83" s="1348">
        <v>1458.3630000000001</v>
      </c>
    </row>
    <row r="84" spans="1:43" s="1321" customFormat="1" x14ac:dyDescent="0.2">
      <c r="A84" s="1207" t="s">
        <v>30</v>
      </c>
      <c r="B84" s="1350">
        <v>42426</v>
      </c>
      <c r="C84" s="1351"/>
      <c r="D84" s="1208"/>
      <c r="E84" s="1207"/>
      <c r="F84" s="1207"/>
      <c r="G84" s="1349"/>
      <c r="H84" s="1207"/>
      <c r="I84" s="1207"/>
      <c r="J84" s="1207"/>
      <c r="K84" s="1352"/>
      <c r="L84" s="1208"/>
      <c r="M84" s="1229"/>
      <c r="N84" s="1207"/>
      <c r="O84" s="1207"/>
      <c r="P84" s="1208"/>
      <c r="Q84" s="1207"/>
      <c r="R84" s="1207"/>
      <c r="S84" s="1207"/>
      <c r="T84" s="1207"/>
      <c r="U84" s="1207"/>
      <c r="V84" s="1207"/>
      <c r="W84" s="1207"/>
      <c r="X84" s="1207"/>
      <c r="Y84" s="1207"/>
      <c r="Z84" s="1207"/>
      <c r="AA84" s="1207"/>
      <c r="AB84" s="1207"/>
      <c r="AC84" s="1207"/>
      <c r="AD84" s="1207"/>
      <c r="AE84" s="1207"/>
      <c r="AF84" s="1207"/>
      <c r="AG84" s="1207"/>
      <c r="AH84" s="1207"/>
      <c r="AN84" s="1315">
        <v>718.548</v>
      </c>
    </row>
    <row r="85" spans="1:43" s="1321" customFormat="1" x14ac:dyDescent="0.2">
      <c r="A85" s="1207"/>
      <c r="B85" s="1350">
        <v>42255</v>
      </c>
      <c r="C85" s="1351"/>
      <c r="D85" s="1208"/>
      <c r="F85" s="1207"/>
      <c r="G85" s="1353"/>
      <c r="H85" s="1207"/>
      <c r="I85" s="1207"/>
      <c r="J85" s="1207"/>
      <c r="K85" s="1208"/>
      <c r="L85" s="1208"/>
      <c r="M85" s="1208"/>
      <c r="N85" s="1207"/>
      <c r="O85" s="1207"/>
      <c r="P85" s="1208"/>
      <c r="Q85" s="1207"/>
      <c r="R85" s="1207"/>
      <c r="S85" s="1207"/>
      <c r="T85" s="1207"/>
      <c r="U85" s="1207"/>
      <c r="V85" s="1207"/>
      <c r="W85" s="1207"/>
      <c r="X85" s="1207"/>
      <c r="Y85" s="1207"/>
      <c r="Z85" s="1207"/>
      <c r="AA85" s="1207"/>
      <c r="AB85" s="1207"/>
      <c r="AC85" s="1207"/>
      <c r="AD85" s="1207"/>
      <c r="AE85" s="1207"/>
      <c r="AF85" s="1207"/>
      <c r="AG85" s="1207"/>
      <c r="AH85" s="1207"/>
      <c r="AN85" s="1315">
        <v>1820.952</v>
      </c>
    </row>
    <row r="86" spans="1:43" x14ac:dyDescent="0.2">
      <c r="A86" s="1207"/>
      <c r="B86" s="1350">
        <v>42248</v>
      </c>
      <c r="C86" s="1345"/>
      <c r="D86" s="1354"/>
      <c r="E86" s="1207"/>
      <c r="F86" s="1207"/>
      <c r="G86" s="1353"/>
      <c r="H86" s="1207"/>
      <c r="I86" s="1207"/>
      <c r="J86" s="1207"/>
      <c r="K86" s="1352"/>
      <c r="L86" s="1208"/>
      <c r="M86" s="1208"/>
      <c r="N86" s="1207"/>
      <c r="O86" s="1207"/>
      <c r="P86" s="1208"/>
      <c r="Q86" s="1207"/>
      <c r="R86" s="1207"/>
      <c r="S86" s="1207"/>
      <c r="T86" s="1207"/>
      <c r="U86" s="1207"/>
      <c r="V86" s="1207"/>
      <c r="W86" s="1207"/>
      <c r="X86" s="1207"/>
      <c r="Y86" s="1207"/>
      <c r="Z86" s="1207"/>
      <c r="AA86" s="1207"/>
      <c r="AB86" s="1207"/>
      <c r="AC86" s="1207"/>
      <c r="AD86" s="1207"/>
      <c r="AE86" s="1207"/>
      <c r="AF86" s="1207"/>
      <c r="AG86" s="1207"/>
      <c r="AH86" s="1207"/>
      <c r="AI86" s="1355"/>
      <c r="AJ86" s="1320"/>
      <c r="AN86" s="1315">
        <v>2110.3739999999998</v>
      </c>
      <c r="AP86" s="1209">
        <v>1701.6279999999999</v>
      </c>
      <c r="AQ86" s="1209" t="s">
        <v>491</v>
      </c>
    </row>
    <row r="87" spans="1:43" x14ac:dyDescent="0.2">
      <c r="A87" s="1207"/>
      <c r="B87" s="1350">
        <v>42248</v>
      </c>
      <c r="C87" s="1356"/>
      <c r="D87" s="1345"/>
      <c r="E87" s="1357"/>
      <c r="F87" s="1207"/>
      <c r="G87" s="1349"/>
      <c r="H87" s="1207"/>
      <c r="I87" s="1207"/>
      <c r="J87" s="1207"/>
      <c r="K87" s="1207"/>
      <c r="L87" s="1207"/>
      <c r="M87" s="1207"/>
      <c r="N87" s="1207"/>
      <c r="O87" s="1207"/>
      <c r="P87" s="1208"/>
      <c r="Q87" s="1207"/>
      <c r="R87" s="1207"/>
      <c r="S87" s="1207"/>
      <c r="T87" s="1207"/>
      <c r="U87" s="1207"/>
      <c r="V87" s="1207"/>
      <c r="W87" s="1207"/>
      <c r="X87" s="1207"/>
      <c r="Y87" s="1207"/>
      <c r="Z87" s="1207"/>
      <c r="AA87" s="1207"/>
      <c r="AB87" s="1207"/>
      <c r="AC87" s="1207"/>
      <c r="AD87" s="1207"/>
      <c r="AE87" s="1207"/>
      <c r="AF87" s="1207"/>
      <c r="AG87" s="1207"/>
      <c r="AH87" s="1207"/>
      <c r="AI87" s="1280"/>
      <c r="AN87" s="1315">
        <v>2000</v>
      </c>
      <c r="AP87" s="1209">
        <v>5818.643</v>
      </c>
      <c r="AQ87" s="1209" t="s">
        <v>492</v>
      </c>
    </row>
    <row r="88" spans="1:43" x14ac:dyDescent="0.2">
      <c r="A88" s="1207" t="s">
        <v>31</v>
      </c>
      <c r="B88" s="1350">
        <v>42425</v>
      </c>
      <c r="C88" s="1358">
        <f>14302.436-6523.852-4838.584-2940</f>
        <v>0</v>
      </c>
      <c r="D88" s="1354"/>
      <c r="E88" s="1354"/>
      <c r="F88" s="1354"/>
      <c r="G88" s="1349"/>
      <c r="H88" s="1207"/>
      <c r="I88" s="1207"/>
      <c r="J88" s="1207"/>
      <c r="K88" s="1207"/>
      <c r="L88" s="1207"/>
      <c r="M88" s="1207"/>
      <c r="N88" s="1207"/>
      <c r="O88" s="1207"/>
      <c r="P88" s="1208"/>
      <c r="Q88" s="1207"/>
      <c r="R88" s="1207"/>
      <c r="S88" s="1207"/>
      <c r="T88" s="1207"/>
      <c r="U88" s="1207"/>
      <c r="V88" s="1207"/>
      <c r="W88" s="1207"/>
      <c r="X88" s="1207"/>
      <c r="Y88" s="1207"/>
      <c r="Z88" s="1207"/>
      <c r="AA88" s="1207"/>
      <c r="AB88" s="1207"/>
      <c r="AC88" s="1207"/>
      <c r="AD88" s="1207"/>
      <c r="AE88" s="1207"/>
      <c r="AF88" s="1207"/>
      <c r="AG88" s="1207"/>
      <c r="AH88" s="1207"/>
      <c r="AI88" s="1280"/>
      <c r="AN88" s="1315">
        <v>1841.7439999999999</v>
      </c>
    </row>
    <row r="89" spans="1:43" x14ac:dyDescent="0.2">
      <c r="A89" s="1207"/>
      <c r="B89" s="1350">
        <v>42426</v>
      </c>
      <c r="C89" s="1354"/>
      <c r="D89" s="1354"/>
      <c r="E89" s="1354"/>
      <c r="F89" s="1207"/>
      <c r="G89" s="1353"/>
      <c r="H89" s="1207"/>
      <c r="I89" s="1207"/>
      <c r="J89" s="1207"/>
      <c r="K89" s="1207"/>
      <c r="L89" s="1207"/>
      <c r="M89" s="1207"/>
      <c r="N89" s="1207"/>
      <c r="O89" s="1207"/>
      <c r="P89" s="1208"/>
      <c r="Q89" s="1207"/>
      <c r="R89" s="1207"/>
      <c r="S89" s="1207"/>
      <c r="T89" s="1207"/>
      <c r="U89" s="1207"/>
      <c r="V89" s="1207"/>
      <c r="W89" s="1207"/>
      <c r="X89" s="1207"/>
      <c r="Y89" s="1207"/>
      <c r="Z89" s="1207"/>
      <c r="AA89" s="1207"/>
      <c r="AB89" s="1207"/>
      <c r="AC89" s="1207"/>
      <c r="AD89" s="1207"/>
      <c r="AE89" s="1207"/>
      <c r="AF89" s="1207"/>
      <c r="AG89" s="1207"/>
      <c r="AH89" s="1207"/>
      <c r="AI89" s="1280"/>
      <c r="AN89" s="1315">
        <v>747.24800000000005</v>
      </c>
    </row>
    <row r="90" spans="1:43" x14ac:dyDescent="0.2">
      <c r="A90" s="1207"/>
      <c r="B90" s="1350">
        <v>42429</v>
      </c>
      <c r="C90" s="1359"/>
      <c r="D90" s="1354"/>
      <c r="E90" s="1357"/>
      <c r="F90" s="1207"/>
      <c r="G90" s="1360"/>
      <c r="H90" s="1207"/>
      <c r="I90" s="1207"/>
      <c r="J90" s="1207"/>
      <c r="K90" s="1207"/>
      <c r="L90" s="1207"/>
      <c r="M90" s="1207"/>
      <c r="N90" s="1207"/>
      <c r="O90" s="1207"/>
      <c r="P90" s="1208"/>
      <c r="Q90" s="1207"/>
      <c r="R90" s="1207"/>
      <c r="S90" s="1207"/>
      <c r="T90" s="1207"/>
      <c r="U90" s="1207"/>
      <c r="V90" s="1207"/>
      <c r="W90" s="1207"/>
      <c r="X90" s="1207"/>
      <c r="Y90" s="1207"/>
      <c r="Z90" s="1207"/>
      <c r="AA90" s="1207"/>
      <c r="AB90" s="1207"/>
      <c r="AC90" s="1207"/>
      <c r="AD90" s="1207"/>
      <c r="AE90" s="1207"/>
      <c r="AF90" s="1207"/>
      <c r="AG90" s="1207"/>
      <c r="AH90" s="1207"/>
      <c r="AI90" s="1280"/>
      <c r="AN90" s="1315">
        <v>4413.4639999999999</v>
      </c>
    </row>
    <row r="91" spans="1:43" x14ac:dyDescent="0.2">
      <c r="A91" s="1207"/>
      <c r="B91" s="1350">
        <v>42418</v>
      </c>
      <c r="C91" s="1358"/>
      <c r="D91" s="1354"/>
      <c r="E91" s="1354"/>
      <c r="F91" s="1207"/>
      <c r="G91" s="1360"/>
      <c r="H91" s="1207"/>
      <c r="I91" s="1207"/>
      <c r="J91" s="1207"/>
      <c r="K91" s="1207"/>
      <c r="L91" s="1207"/>
      <c r="M91" s="1207"/>
      <c r="N91" s="1207"/>
      <c r="O91" s="1207"/>
      <c r="P91" s="1208"/>
      <c r="Q91" s="1207"/>
      <c r="R91" s="1207"/>
      <c r="S91" s="1207"/>
      <c r="T91" s="1207"/>
      <c r="U91" s="1207"/>
      <c r="V91" s="1207"/>
      <c r="W91" s="1207"/>
      <c r="X91" s="1207"/>
      <c r="Y91" s="1207"/>
      <c r="Z91" s="1207"/>
      <c r="AA91" s="1207"/>
      <c r="AB91" s="1207"/>
      <c r="AC91" s="1207"/>
      <c r="AD91" s="1207"/>
      <c r="AE91" s="1207"/>
      <c r="AF91" s="1207"/>
      <c r="AG91" s="1207"/>
      <c r="AH91" s="1207"/>
      <c r="AN91" s="1315">
        <v>1836.3130000000001</v>
      </c>
    </row>
    <row r="92" spans="1:43" x14ac:dyDescent="0.2">
      <c r="A92" s="1207"/>
      <c r="B92" s="1350">
        <v>42429</v>
      </c>
      <c r="C92" s="1358"/>
      <c r="D92" s="1354"/>
      <c r="E92" s="1354"/>
      <c r="F92" s="1207"/>
      <c r="G92" s="1207"/>
      <c r="H92" s="1207"/>
      <c r="I92" s="1207"/>
      <c r="J92" s="1207"/>
      <c r="K92" s="1207"/>
      <c r="L92" s="1207"/>
      <c r="M92" s="1207"/>
      <c r="N92" s="1207"/>
      <c r="O92" s="1207"/>
      <c r="P92" s="1208"/>
      <c r="Q92" s="1207"/>
      <c r="R92" s="1207"/>
      <c r="S92" s="1207"/>
      <c r="T92" s="1207"/>
      <c r="U92" s="1207"/>
      <c r="V92" s="1207"/>
      <c r="W92" s="1207"/>
      <c r="X92" s="1207"/>
      <c r="Y92" s="1207"/>
      <c r="Z92" s="1207"/>
      <c r="AA92" s="1207"/>
      <c r="AB92" s="1207"/>
      <c r="AC92" s="1207"/>
      <c r="AD92" s="1207"/>
      <c r="AE92" s="1207"/>
      <c r="AF92" s="1207"/>
      <c r="AG92" s="1207"/>
      <c r="AH92" s="1207"/>
      <c r="AN92" s="1315">
        <v>8000</v>
      </c>
    </row>
    <row r="93" spans="1:43" x14ac:dyDescent="0.2">
      <c r="A93" s="1207"/>
      <c r="B93" s="1350">
        <v>42424</v>
      </c>
      <c r="C93" s="1358">
        <f>17533.955-8306.146-5657.489-3570.32</f>
        <v>0</v>
      </c>
      <c r="D93" s="1354"/>
      <c r="E93" s="1354"/>
      <c r="F93" s="1207"/>
      <c r="G93" s="1207"/>
      <c r="H93" s="1207"/>
      <c r="I93" s="1207"/>
      <c r="J93" s="1207"/>
      <c r="K93" s="1207"/>
      <c r="L93" s="1207"/>
      <c r="M93" s="1207"/>
      <c r="N93" s="1207"/>
      <c r="O93" s="1207"/>
      <c r="P93" s="1208"/>
      <c r="Q93" s="1207"/>
      <c r="R93" s="1207"/>
      <c r="S93" s="1207"/>
      <c r="T93" s="1207"/>
      <c r="U93" s="1207"/>
      <c r="V93" s="1207"/>
      <c r="W93" s="1207"/>
      <c r="X93" s="1207"/>
      <c r="Y93" s="1207"/>
      <c r="Z93" s="1207"/>
      <c r="AA93" s="1207"/>
      <c r="AB93" s="1207"/>
      <c r="AC93" s="1207"/>
      <c r="AD93" s="1207"/>
      <c r="AE93" s="1207"/>
      <c r="AF93" s="1207"/>
      <c r="AG93" s="1207"/>
      <c r="AH93" s="1207"/>
      <c r="AN93" s="1280">
        <f>SUM(AN44:AN92)</f>
        <v>167376.80400000003</v>
      </c>
      <c r="AP93" s="1361">
        <f>AN93+AP86+AP87</f>
        <v>174897.07500000004</v>
      </c>
    </row>
    <row r="94" spans="1:43" x14ac:dyDescent="0.2">
      <c r="A94" s="1207"/>
      <c r="B94" s="1350">
        <v>42423</v>
      </c>
      <c r="C94" s="1358"/>
      <c r="D94" s="1354"/>
      <c r="E94" s="1354"/>
      <c r="F94" s="1207"/>
      <c r="G94" s="1207"/>
      <c r="H94" s="1207"/>
      <c r="I94" s="1207"/>
      <c r="J94" s="1207"/>
      <c r="K94" s="1207"/>
      <c r="L94" s="1207"/>
      <c r="M94" s="1207"/>
      <c r="N94" s="1207"/>
      <c r="O94" s="1207"/>
      <c r="P94" s="1208"/>
      <c r="Q94" s="1207"/>
      <c r="R94" s="1207"/>
      <c r="S94" s="1207"/>
      <c r="T94" s="1207"/>
      <c r="U94" s="1207"/>
      <c r="V94" s="1207"/>
      <c r="W94" s="1207"/>
      <c r="X94" s="1207"/>
      <c r="Y94" s="1207"/>
      <c r="Z94" s="1207"/>
      <c r="AA94" s="1207"/>
      <c r="AB94" s="1207"/>
      <c r="AC94" s="1207"/>
      <c r="AD94" s="1207"/>
      <c r="AE94" s="1207"/>
      <c r="AF94" s="1207"/>
      <c r="AG94" s="1207"/>
      <c r="AH94" s="1207"/>
      <c r="AN94" s="1280"/>
      <c r="AP94" s="1361"/>
    </row>
    <row r="95" spans="1:43" x14ac:dyDescent="0.2">
      <c r="A95" s="1207"/>
      <c r="B95" s="1350">
        <v>42413</v>
      </c>
      <c r="C95" s="1363"/>
      <c r="D95" s="1354"/>
      <c r="E95" s="1354"/>
      <c r="F95" s="1207"/>
      <c r="G95" s="1207"/>
      <c r="H95" s="1207"/>
      <c r="I95" s="1207"/>
      <c r="J95" s="1207"/>
      <c r="K95" s="1207"/>
      <c r="L95" s="1207"/>
      <c r="M95" s="1207"/>
      <c r="N95" s="1207"/>
      <c r="O95" s="1207"/>
      <c r="P95" s="1208"/>
      <c r="Q95" s="1207"/>
      <c r="R95" s="1207"/>
      <c r="S95" s="1207"/>
      <c r="T95" s="1207"/>
      <c r="U95" s="1207"/>
      <c r="V95" s="1207"/>
      <c r="W95" s="1207"/>
      <c r="X95" s="1207"/>
      <c r="Y95" s="1207"/>
      <c r="Z95" s="1207"/>
      <c r="AA95" s="1207"/>
      <c r="AB95" s="1207"/>
      <c r="AC95" s="1207"/>
      <c r="AD95" s="1207"/>
      <c r="AE95" s="1207"/>
      <c r="AF95" s="1207"/>
      <c r="AG95" s="1207"/>
      <c r="AH95" s="1207"/>
      <c r="AN95" s="1280"/>
      <c r="AP95" s="1361"/>
    </row>
    <row r="96" spans="1:43" x14ac:dyDescent="0.2">
      <c r="A96" s="1207"/>
      <c r="B96" s="1350">
        <v>42414</v>
      </c>
      <c r="C96" s="1363"/>
      <c r="D96" s="1354"/>
      <c r="E96" s="1354"/>
      <c r="F96" s="1207"/>
      <c r="G96" s="1207"/>
      <c r="H96" s="1207"/>
      <c r="I96" s="1207"/>
      <c r="J96" s="1207"/>
      <c r="K96" s="1207"/>
      <c r="L96" s="1207"/>
      <c r="M96" s="1207"/>
      <c r="N96" s="1207"/>
      <c r="O96" s="1207"/>
      <c r="P96" s="1208"/>
      <c r="Q96" s="1207"/>
      <c r="R96" s="1207"/>
      <c r="S96" s="1207"/>
      <c r="T96" s="1207"/>
      <c r="U96" s="1207"/>
      <c r="V96" s="1207"/>
      <c r="W96" s="1207"/>
      <c r="X96" s="1207"/>
      <c r="Y96" s="1207"/>
      <c r="Z96" s="1207"/>
      <c r="AA96" s="1207"/>
      <c r="AB96" s="1207"/>
      <c r="AC96" s="1207"/>
      <c r="AD96" s="1207"/>
      <c r="AE96" s="1207"/>
      <c r="AF96" s="1207"/>
      <c r="AG96" s="1207"/>
      <c r="AH96" s="1207"/>
      <c r="AN96" s="1280"/>
      <c r="AP96" s="1361"/>
    </row>
    <row r="97" spans="1:42" x14ac:dyDescent="0.2">
      <c r="A97" s="1207"/>
      <c r="B97" s="1350">
        <v>42415</v>
      </c>
      <c r="C97" s="1363"/>
      <c r="D97" s="1354"/>
      <c r="E97" s="1354"/>
      <c r="F97" s="1207"/>
      <c r="G97" s="1207"/>
      <c r="H97" s="1207"/>
      <c r="I97" s="1207"/>
      <c r="J97" s="1207"/>
      <c r="K97" s="1207"/>
      <c r="L97" s="1207"/>
      <c r="M97" s="1207"/>
      <c r="N97" s="1207"/>
      <c r="O97" s="1207"/>
      <c r="P97" s="1208"/>
      <c r="Q97" s="1207"/>
      <c r="R97" s="1207"/>
      <c r="S97" s="1207"/>
      <c r="T97" s="1207"/>
      <c r="U97" s="1207"/>
      <c r="V97" s="1207"/>
      <c r="W97" s="1207"/>
      <c r="X97" s="1207"/>
      <c r="Y97" s="1207"/>
      <c r="Z97" s="1207"/>
      <c r="AA97" s="1207"/>
      <c r="AB97" s="1207"/>
      <c r="AC97" s="1207"/>
      <c r="AD97" s="1207"/>
      <c r="AE97" s="1207"/>
      <c r="AF97" s="1207"/>
      <c r="AG97" s="1207"/>
      <c r="AH97" s="1207"/>
      <c r="AN97" s="1280"/>
      <c r="AP97" s="1361"/>
    </row>
    <row r="98" spans="1:42" x14ac:dyDescent="0.2">
      <c r="A98" s="1207"/>
      <c r="B98" s="1350">
        <v>42427</v>
      </c>
      <c r="C98" s="1363"/>
      <c r="D98" s="1354"/>
      <c r="E98" s="1354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8"/>
      <c r="Q98" s="1207"/>
      <c r="R98" s="1207"/>
      <c r="S98" s="1207"/>
      <c r="T98" s="1207"/>
      <c r="U98" s="1207"/>
      <c r="V98" s="1207"/>
      <c r="W98" s="1207"/>
      <c r="X98" s="1207"/>
      <c r="Y98" s="1207"/>
      <c r="Z98" s="1207"/>
      <c r="AA98" s="1207"/>
      <c r="AB98" s="1207"/>
      <c r="AC98" s="1207"/>
      <c r="AD98" s="1207"/>
      <c r="AE98" s="1207"/>
      <c r="AF98" s="1207"/>
      <c r="AG98" s="1207"/>
      <c r="AH98" s="1207"/>
      <c r="AN98" s="1280"/>
      <c r="AP98" s="1361"/>
    </row>
    <row r="99" spans="1:42" x14ac:dyDescent="0.2">
      <c r="A99" s="1207"/>
      <c r="B99" s="1350">
        <v>42428</v>
      </c>
      <c r="C99" s="1363"/>
      <c r="D99" s="1354"/>
      <c r="E99" s="1354"/>
      <c r="F99" s="1207"/>
      <c r="G99" s="1207"/>
      <c r="H99" s="1207"/>
      <c r="I99" s="1207"/>
      <c r="J99" s="1207"/>
      <c r="K99" s="1207"/>
      <c r="L99" s="1207"/>
      <c r="M99" s="1207"/>
      <c r="N99" s="1207"/>
      <c r="O99" s="1207"/>
      <c r="P99" s="1208"/>
      <c r="Q99" s="1207"/>
      <c r="R99" s="1207"/>
      <c r="S99" s="1207"/>
      <c r="T99" s="1207"/>
      <c r="U99" s="1207"/>
      <c r="V99" s="1207"/>
      <c r="W99" s="1207"/>
      <c r="X99" s="1207"/>
      <c r="Y99" s="1207"/>
      <c r="Z99" s="1207"/>
      <c r="AA99" s="1207"/>
      <c r="AB99" s="1207"/>
      <c r="AC99" s="1207"/>
      <c r="AD99" s="1207"/>
      <c r="AE99" s="1207"/>
      <c r="AF99" s="1207"/>
      <c r="AG99" s="1207"/>
      <c r="AH99" s="1207"/>
      <c r="AN99" s="1280"/>
      <c r="AP99" s="1361"/>
    </row>
    <row r="100" spans="1:42" x14ac:dyDescent="0.2">
      <c r="A100" s="1207"/>
      <c r="B100" s="1350">
        <v>42429</v>
      </c>
      <c r="C100" s="1363"/>
      <c r="D100" s="1354"/>
      <c r="E100" s="1354"/>
      <c r="F100" s="1207"/>
      <c r="G100" s="1207"/>
      <c r="H100" s="1207"/>
      <c r="I100" s="1207"/>
      <c r="J100" s="1207"/>
      <c r="K100" s="1207"/>
      <c r="L100" s="1207"/>
      <c r="M100" s="1207"/>
      <c r="N100" s="1207"/>
      <c r="O100" s="1207"/>
      <c r="P100" s="1208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07"/>
      <c r="AA100" s="1207"/>
      <c r="AB100" s="1207"/>
      <c r="AC100" s="1207"/>
      <c r="AD100" s="1207"/>
      <c r="AE100" s="1207"/>
      <c r="AF100" s="1207"/>
      <c r="AG100" s="1207"/>
      <c r="AH100" s="1207"/>
      <c r="AN100" s="1280"/>
      <c r="AP100" s="1361"/>
    </row>
    <row r="101" spans="1:42" x14ac:dyDescent="0.2">
      <c r="A101" s="1207"/>
      <c r="B101" s="1350">
        <v>42426</v>
      </c>
      <c r="C101" s="1363"/>
      <c r="D101" s="1354"/>
      <c r="E101" s="1354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8"/>
      <c r="Q101" s="1207"/>
      <c r="R101" s="1207"/>
      <c r="S101" s="1207"/>
      <c r="T101" s="1207"/>
      <c r="U101" s="1207"/>
      <c r="V101" s="1207"/>
      <c r="W101" s="1207"/>
      <c r="X101" s="1207"/>
      <c r="Y101" s="1207"/>
      <c r="Z101" s="1207"/>
      <c r="AA101" s="1207"/>
      <c r="AB101" s="1207"/>
      <c r="AC101" s="1207"/>
      <c r="AD101" s="1207"/>
      <c r="AE101" s="1207"/>
      <c r="AF101" s="1207"/>
      <c r="AG101" s="1207"/>
      <c r="AH101" s="1207"/>
      <c r="AN101" s="1280"/>
      <c r="AP101" s="1361"/>
    </row>
    <row r="102" spans="1:42" x14ac:dyDescent="0.2">
      <c r="A102" s="1207"/>
      <c r="B102" s="1350">
        <v>42425</v>
      </c>
      <c r="C102" s="1363"/>
      <c r="D102" s="1354"/>
      <c r="E102" s="1354"/>
      <c r="F102" s="1207"/>
      <c r="G102" s="1366"/>
      <c r="H102" s="1207"/>
      <c r="I102" s="1207"/>
      <c r="J102" s="1207"/>
      <c r="K102" s="1207"/>
      <c r="L102" s="1207"/>
      <c r="M102" s="1207"/>
      <c r="N102" s="1207"/>
      <c r="O102" s="1207"/>
      <c r="P102" s="1208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07"/>
      <c r="AA102" s="1207"/>
      <c r="AB102" s="1207"/>
      <c r="AC102" s="1207"/>
      <c r="AD102" s="1207"/>
      <c r="AE102" s="1207"/>
      <c r="AF102" s="1207"/>
      <c r="AG102" s="1207"/>
      <c r="AH102" s="1207"/>
      <c r="AN102" s="1280"/>
      <c r="AP102" s="1361"/>
    </row>
    <row r="103" spans="1:42" x14ac:dyDescent="0.2">
      <c r="A103" s="1207"/>
      <c r="B103" s="1350">
        <v>42424</v>
      </c>
      <c r="C103" s="1363"/>
      <c r="D103" s="1354"/>
      <c r="E103" s="1354"/>
      <c r="F103" s="1207"/>
      <c r="G103" s="1207"/>
      <c r="H103" s="1207"/>
      <c r="I103" s="1207"/>
      <c r="J103" s="1207"/>
      <c r="K103" s="1207"/>
      <c r="L103" s="1207"/>
      <c r="M103" s="1207"/>
      <c r="N103" s="1207"/>
      <c r="O103" s="1207"/>
      <c r="P103" s="1208"/>
      <c r="Q103" s="1207"/>
      <c r="R103" s="1207"/>
      <c r="S103" s="1207"/>
      <c r="T103" s="1207"/>
      <c r="U103" s="1207"/>
      <c r="V103" s="1207"/>
      <c r="W103" s="1207"/>
      <c r="X103" s="1207"/>
      <c r="Y103" s="1207"/>
      <c r="Z103" s="1207"/>
      <c r="AA103" s="1207"/>
      <c r="AB103" s="1207"/>
      <c r="AC103" s="1207"/>
      <c r="AD103" s="1207"/>
      <c r="AE103" s="1207"/>
      <c r="AF103" s="1207"/>
      <c r="AG103" s="1207"/>
      <c r="AH103" s="1207"/>
      <c r="AN103" s="1280"/>
      <c r="AP103" s="1361"/>
    </row>
    <row r="104" spans="1:42" x14ac:dyDescent="0.2">
      <c r="A104" s="1207"/>
      <c r="B104" s="1350">
        <v>42423</v>
      </c>
      <c r="C104" s="1363"/>
      <c r="D104" s="1354"/>
      <c r="E104" s="1354"/>
      <c r="F104" s="1207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8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07"/>
      <c r="AA104" s="1207"/>
      <c r="AB104" s="1207"/>
      <c r="AC104" s="1207"/>
      <c r="AD104" s="1207"/>
      <c r="AE104" s="1207"/>
      <c r="AF104" s="1207"/>
      <c r="AG104" s="1207"/>
      <c r="AH104" s="1207"/>
      <c r="AN104" s="1280"/>
      <c r="AP104" s="1361"/>
    </row>
    <row r="105" spans="1:42" x14ac:dyDescent="0.2">
      <c r="A105" s="1207"/>
      <c r="B105" s="1350">
        <v>42421</v>
      </c>
      <c r="C105" s="1363"/>
      <c r="D105" s="1354"/>
      <c r="E105" s="1354"/>
      <c r="F105" s="1207"/>
      <c r="G105" s="1207"/>
      <c r="H105" s="1207"/>
      <c r="I105" s="1207"/>
      <c r="J105" s="1207"/>
      <c r="K105" s="1207"/>
      <c r="L105" s="1207"/>
      <c r="M105" s="1207"/>
      <c r="N105" s="1207"/>
      <c r="O105" s="1207"/>
      <c r="P105" s="1208"/>
      <c r="Q105" s="1207"/>
      <c r="R105" s="1207"/>
      <c r="S105" s="1207"/>
      <c r="T105" s="1207"/>
      <c r="U105" s="1207"/>
      <c r="V105" s="1207"/>
      <c r="W105" s="1207"/>
      <c r="X105" s="1207"/>
      <c r="Y105" s="1207"/>
      <c r="Z105" s="1207"/>
      <c r="AA105" s="1207"/>
      <c r="AB105" s="1207"/>
      <c r="AC105" s="1207"/>
      <c r="AD105" s="1207"/>
      <c r="AE105" s="1207"/>
      <c r="AF105" s="1207"/>
      <c r="AG105" s="1207"/>
      <c r="AH105" s="1207"/>
      <c r="AN105" s="1280"/>
      <c r="AP105" s="1361"/>
    </row>
    <row r="106" spans="1:42" x14ac:dyDescent="0.2">
      <c r="A106" s="1207"/>
      <c r="B106" s="1350">
        <v>42422</v>
      </c>
      <c r="C106" s="1363"/>
      <c r="D106" s="1354"/>
      <c r="E106" s="1354"/>
      <c r="F106" s="1207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8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07"/>
      <c r="AA106" s="1207"/>
      <c r="AB106" s="1207"/>
      <c r="AC106" s="1207"/>
      <c r="AD106" s="1207"/>
      <c r="AE106" s="1207"/>
      <c r="AF106" s="1207"/>
      <c r="AG106" s="1207"/>
      <c r="AH106" s="1207"/>
      <c r="AN106" s="1280"/>
      <c r="AP106" s="1361"/>
    </row>
    <row r="107" spans="1:42" x14ac:dyDescent="0.2">
      <c r="A107" s="1207"/>
      <c r="B107" s="1350">
        <v>42422</v>
      </c>
      <c r="C107" s="1362"/>
      <c r="D107" s="1354" t="s">
        <v>813</v>
      </c>
      <c r="E107" s="1354"/>
      <c r="F107" s="1207"/>
      <c r="G107" s="1207"/>
      <c r="H107" s="1207"/>
      <c r="I107" s="1207"/>
      <c r="J107" s="1207"/>
      <c r="K107" s="1207"/>
      <c r="L107" s="1207"/>
      <c r="M107" s="1207"/>
      <c r="N107" s="1207"/>
      <c r="O107" s="1207"/>
      <c r="P107" s="1208"/>
      <c r="Q107" s="1207"/>
      <c r="R107" s="1207"/>
      <c r="S107" s="1207"/>
      <c r="T107" s="1207"/>
      <c r="U107" s="1207"/>
      <c r="V107" s="1207"/>
      <c r="W107" s="1207"/>
      <c r="X107" s="1207"/>
      <c r="Y107" s="1207"/>
      <c r="Z107" s="1207"/>
      <c r="AA107" s="1207"/>
      <c r="AB107" s="1207"/>
      <c r="AC107" s="1207"/>
      <c r="AD107" s="1207"/>
      <c r="AE107" s="1207"/>
      <c r="AF107" s="1207"/>
      <c r="AG107" s="1207"/>
      <c r="AH107" s="1207"/>
      <c r="AN107" s="1280"/>
      <c r="AP107" s="1361"/>
    </row>
    <row r="108" spans="1:42" x14ac:dyDescent="0.2">
      <c r="A108" s="1207" t="s">
        <v>436</v>
      </c>
      <c r="B108" s="1350">
        <v>42349</v>
      </c>
      <c r="C108" s="1358"/>
      <c r="D108" s="1354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8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N108" s="1280"/>
    </row>
    <row r="109" spans="1:42" x14ac:dyDescent="0.2">
      <c r="A109" s="1365" t="s">
        <v>32</v>
      </c>
      <c r="B109" s="1350">
        <v>42429</v>
      </c>
      <c r="C109" s="1351"/>
      <c r="D109" s="1354"/>
      <c r="E109" s="1207"/>
      <c r="F109" s="1207"/>
      <c r="G109" s="1346"/>
      <c r="H109" s="1354"/>
      <c r="I109" s="1207"/>
      <c r="J109" s="1207"/>
      <c r="K109" s="1207"/>
      <c r="L109" s="1207"/>
      <c r="M109" s="1207"/>
      <c r="N109" s="1207"/>
      <c r="O109" s="1207"/>
      <c r="P109" s="1208"/>
      <c r="Q109" s="1207"/>
      <c r="R109" s="1207"/>
      <c r="S109" s="1207"/>
      <c r="T109" s="1207"/>
      <c r="U109" s="1207"/>
      <c r="V109" s="1207"/>
      <c r="W109" s="1207"/>
      <c r="X109" s="1207"/>
      <c r="Y109" s="1207"/>
      <c r="Z109" s="1207"/>
      <c r="AA109" s="1207"/>
      <c r="AB109" s="1207"/>
      <c r="AC109" s="1207"/>
      <c r="AD109" s="1207"/>
      <c r="AE109" s="1207"/>
      <c r="AF109" s="1207"/>
      <c r="AG109" s="1207"/>
      <c r="AH109" s="1207"/>
      <c r="AN109" s="1280">
        <v>222914.55799999999</v>
      </c>
    </row>
    <row r="110" spans="1:42" x14ac:dyDescent="0.2">
      <c r="A110" s="1365" t="s">
        <v>33</v>
      </c>
      <c r="B110" s="1350">
        <v>42429</v>
      </c>
      <c r="C110" s="1351"/>
      <c r="D110" s="1354"/>
      <c r="E110" s="1351"/>
      <c r="F110" s="121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8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07"/>
      <c r="AA110" s="1207"/>
      <c r="AB110" s="1207"/>
      <c r="AC110" s="1207"/>
      <c r="AD110" s="1207"/>
      <c r="AE110" s="1207"/>
      <c r="AF110" s="1207"/>
      <c r="AG110" s="1207"/>
      <c r="AH110" s="1207"/>
    </row>
    <row r="111" spans="1:42" x14ac:dyDescent="0.2">
      <c r="A111" s="1365" t="s">
        <v>33</v>
      </c>
      <c r="B111" s="1350">
        <v>42425</v>
      </c>
      <c r="C111" s="1351"/>
      <c r="D111" s="1207"/>
      <c r="E111" s="1350"/>
      <c r="F111" s="1219"/>
      <c r="G111" s="1207"/>
      <c r="H111" s="1207"/>
      <c r="I111" s="1207"/>
      <c r="J111" s="1207"/>
      <c r="K111" s="1207"/>
      <c r="L111" s="1207"/>
      <c r="M111" s="1207"/>
      <c r="N111" s="1207"/>
      <c r="O111" s="1207"/>
      <c r="P111" s="1208"/>
      <c r="Q111" s="1207"/>
      <c r="R111" s="1207"/>
      <c r="S111" s="1207"/>
      <c r="T111" s="1207"/>
      <c r="U111" s="1207"/>
      <c r="V111" s="1207"/>
      <c r="W111" s="1207"/>
      <c r="X111" s="1207"/>
      <c r="Y111" s="1207"/>
      <c r="Z111" s="1207"/>
      <c r="AA111" s="1207"/>
      <c r="AB111" s="1207"/>
      <c r="AC111" s="1207"/>
      <c r="AD111" s="1207"/>
      <c r="AE111" s="1207"/>
      <c r="AF111" s="1207"/>
      <c r="AG111" s="1207"/>
      <c r="AH111" s="1207"/>
      <c r="AN111" s="1361">
        <f>AN109-AN93</f>
        <v>55537.753999999957</v>
      </c>
    </row>
    <row r="112" spans="1:42" x14ac:dyDescent="0.2">
      <c r="A112" s="1365" t="s">
        <v>32</v>
      </c>
      <c r="B112" s="1350">
        <v>42376</v>
      </c>
      <c r="C112" s="1351"/>
      <c r="D112" s="1207"/>
      <c r="E112" s="1350"/>
      <c r="F112" s="121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8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07"/>
      <c r="AA112" s="1207"/>
      <c r="AB112" s="1207"/>
      <c r="AC112" s="1207"/>
      <c r="AD112" s="1207"/>
      <c r="AE112" s="1207"/>
      <c r="AF112" s="1207"/>
      <c r="AG112" s="1207"/>
      <c r="AH112" s="1207"/>
    </row>
    <row r="113" spans="1:34" x14ac:dyDescent="0.2">
      <c r="A113" s="1365" t="s">
        <v>33</v>
      </c>
      <c r="B113" s="1350">
        <v>42376</v>
      </c>
      <c r="C113" s="1351"/>
      <c r="D113" s="1207"/>
      <c r="E113" s="1207"/>
      <c r="F113" s="1207"/>
      <c r="G113" s="1207"/>
      <c r="H113" s="1207"/>
      <c r="I113" s="1207"/>
      <c r="J113" s="1207"/>
      <c r="K113" s="1207"/>
      <c r="L113" s="1207"/>
      <c r="M113" s="1207"/>
      <c r="N113" s="1207"/>
      <c r="O113" s="1207"/>
      <c r="P113" s="1208"/>
      <c r="Q113" s="1207"/>
      <c r="R113" s="1207"/>
      <c r="S113" s="1207"/>
      <c r="T113" s="1207"/>
      <c r="U113" s="1207"/>
      <c r="V113" s="1207"/>
      <c r="W113" s="1207"/>
      <c r="X113" s="1207"/>
      <c r="Y113" s="1207"/>
      <c r="Z113" s="1207"/>
      <c r="AA113" s="1207"/>
      <c r="AB113" s="1207"/>
      <c r="AC113" s="1207"/>
      <c r="AD113" s="1207"/>
      <c r="AE113" s="1207"/>
      <c r="AF113" s="1207"/>
      <c r="AG113" s="1207"/>
      <c r="AH113" s="1207"/>
    </row>
    <row r="114" spans="1:34" x14ac:dyDescent="0.2">
      <c r="A114" s="1365" t="s">
        <v>33</v>
      </c>
      <c r="B114" s="1350">
        <v>42377</v>
      </c>
      <c r="C114" s="1351"/>
      <c r="D114" s="1207"/>
      <c r="E114" s="1354"/>
      <c r="F114" s="1207"/>
      <c r="G114" s="1207"/>
      <c r="H114" s="1207"/>
      <c r="I114" s="1207"/>
      <c r="J114" s="1207"/>
      <c r="K114" s="1207"/>
      <c r="L114" s="1207"/>
      <c r="M114" s="1207"/>
      <c r="N114" s="1207"/>
      <c r="O114" s="1207"/>
      <c r="P114" s="1208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07"/>
      <c r="AA114" s="1207"/>
      <c r="AB114" s="1207"/>
      <c r="AC114" s="1207"/>
      <c r="AD114" s="1207"/>
      <c r="AE114" s="1207"/>
      <c r="AF114" s="1207"/>
      <c r="AG114" s="1207"/>
      <c r="AH114" s="1207"/>
    </row>
    <row r="115" spans="1:34" x14ac:dyDescent="0.2">
      <c r="A115" s="1365" t="s">
        <v>33</v>
      </c>
      <c r="B115" s="1350">
        <v>42380</v>
      </c>
      <c r="C115" s="1351"/>
      <c r="D115" s="1354"/>
      <c r="E115" s="1354"/>
      <c r="F115" s="1207"/>
      <c r="G115" s="1207"/>
      <c r="H115" s="1207"/>
      <c r="I115" s="1207"/>
      <c r="J115" s="1207"/>
      <c r="K115" s="1207"/>
      <c r="L115" s="1207"/>
      <c r="M115" s="1207"/>
      <c r="N115" s="1207"/>
      <c r="O115" s="1207"/>
      <c r="P115" s="1208"/>
      <c r="Q115" s="1207"/>
      <c r="R115" s="1207"/>
      <c r="S115" s="1207"/>
      <c r="T115" s="1207"/>
      <c r="U115" s="1207"/>
      <c r="V115" s="1207"/>
      <c r="W115" s="1207"/>
      <c r="X115" s="1207"/>
      <c r="Y115" s="1207"/>
      <c r="Z115" s="1207"/>
      <c r="AA115" s="1207"/>
      <c r="AB115" s="1207"/>
      <c r="AC115" s="1207"/>
      <c r="AD115" s="1207"/>
      <c r="AE115" s="1207"/>
      <c r="AF115" s="1207"/>
      <c r="AG115" s="1207"/>
      <c r="AH115" s="1207"/>
    </row>
    <row r="116" spans="1:34" x14ac:dyDescent="0.2">
      <c r="A116" s="1365" t="s">
        <v>33</v>
      </c>
      <c r="B116" s="1350">
        <v>42248</v>
      </c>
      <c r="C116" s="1351"/>
      <c r="D116" s="1207"/>
      <c r="E116" s="1207"/>
      <c r="F116" s="1207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8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07"/>
      <c r="AA116" s="1207"/>
      <c r="AB116" s="1207"/>
      <c r="AC116" s="1207"/>
      <c r="AD116" s="1207"/>
      <c r="AE116" s="1207"/>
      <c r="AF116" s="1207"/>
      <c r="AG116" s="1207"/>
      <c r="AH116" s="1207"/>
    </row>
    <row r="117" spans="1:34" x14ac:dyDescent="0.2">
      <c r="A117" s="1365" t="s">
        <v>33</v>
      </c>
      <c r="B117" s="1350">
        <v>42248</v>
      </c>
      <c r="C117" s="1351"/>
      <c r="D117" s="1207"/>
      <c r="E117" s="1354"/>
      <c r="F117" s="1207"/>
      <c r="G117" s="1207"/>
      <c r="H117" s="1207"/>
      <c r="I117" s="1207"/>
      <c r="J117" s="1207"/>
      <c r="K117" s="1207"/>
      <c r="L117" s="1207"/>
      <c r="M117" s="1207"/>
      <c r="N117" s="1207"/>
      <c r="O117" s="1207"/>
      <c r="P117" s="1208"/>
      <c r="Q117" s="1207"/>
      <c r="R117" s="1207"/>
      <c r="S117" s="1207"/>
      <c r="T117" s="1207"/>
      <c r="U117" s="1207"/>
      <c r="V117" s="1207"/>
      <c r="W117" s="1207"/>
      <c r="X117" s="1207"/>
      <c r="Y117" s="1207"/>
      <c r="Z117" s="1207"/>
      <c r="AA117" s="1207"/>
      <c r="AB117" s="1207"/>
      <c r="AC117" s="1207"/>
      <c r="AD117" s="1207"/>
      <c r="AE117" s="1207"/>
      <c r="AF117" s="1207"/>
      <c r="AG117" s="1207"/>
      <c r="AH117" s="1207"/>
    </row>
    <row r="118" spans="1:34" x14ac:dyDescent="0.2">
      <c r="A118" s="1365" t="s">
        <v>33</v>
      </c>
      <c r="B118" s="1350">
        <v>42248</v>
      </c>
      <c r="C118" s="1351"/>
      <c r="D118" s="1207"/>
      <c r="E118" s="1207"/>
      <c r="F118" s="1207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8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07"/>
      <c r="AA118" s="1207"/>
      <c r="AB118" s="1207"/>
      <c r="AC118" s="1207"/>
      <c r="AD118" s="1207"/>
      <c r="AE118" s="1207"/>
      <c r="AF118" s="1207"/>
      <c r="AG118" s="1207"/>
      <c r="AH118" s="1207"/>
    </row>
    <row r="119" spans="1:34" x14ac:dyDescent="0.2">
      <c r="A119" s="1365" t="s">
        <v>33</v>
      </c>
      <c r="B119" s="1350">
        <v>42248</v>
      </c>
      <c r="C119" s="1351"/>
      <c r="D119" s="1207"/>
      <c r="E119" s="1366"/>
      <c r="F119" s="1207"/>
      <c r="G119" s="1207"/>
      <c r="H119" s="1207"/>
      <c r="I119" s="1207"/>
      <c r="J119" s="1207"/>
      <c r="K119" s="1207"/>
      <c r="L119" s="1207"/>
      <c r="M119" s="1207"/>
      <c r="N119" s="1207"/>
      <c r="O119" s="1207"/>
      <c r="P119" s="1208"/>
      <c r="Q119" s="1207"/>
      <c r="R119" s="1207"/>
      <c r="S119" s="1207"/>
      <c r="T119" s="1207"/>
      <c r="U119" s="1207"/>
      <c r="V119" s="1207"/>
      <c r="W119" s="1207"/>
      <c r="X119" s="1207"/>
      <c r="Y119" s="1207"/>
      <c r="Z119" s="1207"/>
      <c r="AA119" s="1207"/>
      <c r="AB119" s="1207"/>
      <c r="AC119" s="1207"/>
      <c r="AD119" s="1207"/>
      <c r="AE119" s="1207"/>
      <c r="AF119" s="1207"/>
      <c r="AG119" s="1207"/>
      <c r="AH119" s="1207"/>
    </row>
    <row r="120" spans="1:34" x14ac:dyDescent="0.2">
      <c r="A120" s="1365" t="s">
        <v>32</v>
      </c>
      <c r="B120" s="1350">
        <v>42251</v>
      </c>
      <c r="C120" s="1367"/>
      <c r="D120" s="1207"/>
      <c r="E120" s="1354"/>
      <c r="F120" s="1207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8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</row>
    <row r="121" spans="1:34" x14ac:dyDescent="0.2">
      <c r="A121" s="1316" t="s">
        <v>1283</v>
      </c>
      <c r="B121" s="1350">
        <v>42408</v>
      </c>
      <c r="C121" s="1351"/>
      <c r="D121" s="1207"/>
      <c r="E121" s="1207"/>
      <c r="F121" s="1207"/>
      <c r="G121" s="1354"/>
      <c r="H121" s="1354"/>
      <c r="I121" s="1207"/>
      <c r="J121" s="1207"/>
      <c r="K121" s="1207"/>
      <c r="L121" s="1207"/>
      <c r="M121" s="1207"/>
      <c r="N121" s="1207"/>
      <c r="O121" s="1207"/>
      <c r="P121" s="1208"/>
      <c r="Q121" s="1207"/>
      <c r="R121" s="1207"/>
      <c r="S121" s="1207"/>
      <c r="T121" s="1207"/>
      <c r="U121" s="1207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</row>
    <row r="122" spans="1:34" x14ac:dyDescent="0.2">
      <c r="A122" s="1207"/>
      <c r="B122" s="1350"/>
      <c r="C122" s="1345"/>
      <c r="D122" s="1207"/>
      <c r="E122" s="1207"/>
      <c r="F122" s="1207"/>
      <c r="G122" s="1354"/>
      <c r="H122" s="1207"/>
      <c r="I122" s="1207"/>
      <c r="J122" s="1207"/>
      <c r="K122" s="1207"/>
      <c r="L122" s="1207"/>
      <c r="M122" s="1207"/>
      <c r="N122" s="1207"/>
      <c r="O122" s="1207"/>
      <c r="P122" s="1208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07"/>
      <c r="AA122" s="1207"/>
      <c r="AB122" s="1207"/>
      <c r="AC122" s="1207"/>
      <c r="AD122" s="1207"/>
      <c r="AE122" s="1207"/>
      <c r="AF122" s="1207"/>
      <c r="AG122" s="1207"/>
      <c r="AH122" s="1207"/>
    </row>
    <row r="123" spans="1:34" x14ac:dyDescent="0.2">
      <c r="A123" s="1207"/>
      <c r="B123" s="1350"/>
      <c r="C123" s="1207"/>
      <c r="D123" s="1207"/>
      <c r="E123" s="1207"/>
      <c r="F123" s="1207"/>
      <c r="G123" s="1207"/>
      <c r="H123" s="1367"/>
      <c r="I123" s="1207"/>
      <c r="J123" s="1207"/>
      <c r="K123" s="1207"/>
      <c r="L123" s="1207"/>
      <c r="M123" s="1207"/>
      <c r="N123" s="1207"/>
      <c r="O123" s="1207"/>
      <c r="P123" s="1208"/>
      <c r="Q123" s="1207"/>
      <c r="R123" s="1207"/>
      <c r="S123" s="1207"/>
      <c r="T123" s="1207"/>
      <c r="U123" s="1207"/>
      <c r="V123" s="1207"/>
      <c r="W123" s="1207"/>
      <c r="X123" s="1207"/>
      <c r="Y123" s="1207"/>
      <c r="Z123" s="1207"/>
      <c r="AA123" s="1207"/>
      <c r="AB123" s="1207"/>
      <c r="AC123" s="1207"/>
      <c r="AD123" s="1207"/>
      <c r="AE123" s="1207"/>
      <c r="AF123" s="1207"/>
      <c r="AG123" s="1207"/>
      <c r="AH123" s="1207"/>
    </row>
    <row r="124" spans="1:34" x14ac:dyDescent="0.2">
      <c r="A124" s="1207"/>
      <c r="B124" s="1350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8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07"/>
      <c r="AA124" s="1207"/>
      <c r="AB124" s="1207"/>
      <c r="AC124" s="1207"/>
      <c r="AD124" s="1207"/>
      <c r="AE124" s="1207"/>
      <c r="AF124" s="1207"/>
      <c r="AG124" s="1207"/>
      <c r="AH124" s="1207"/>
    </row>
    <row r="125" spans="1:34" x14ac:dyDescent="0.2">
      <c r="A125" s="1316"/>
      <c r="B125" s="1350"/>
      <c r="C125" s="1345"/>
      <c r="D125" s="1207"/>
      <c r="E125" s="1207"/>
      <c r="F125" s="1207"/>
      <c r="G125" s="1207"/>
      <c r="H125" s="1207"/>
      <c r="I125" s="1207"/>
      <c r="J125" s="1207"/>
      <c r="K125" s="1207"/>
      <c r="L125" s="1207"/>
      <c r="M125" s="1207"/>
      <c r="N125" s="1207"/>
      <c r="O125" s="1207"/>
      <c r="P125" s="1208"/>
      <c r="Q125" s="1207"/>
      <c r="R125" s="1207"/>
      <c r="S125" s="1207"/>
      <c r="T125" s="1207"/>
      <c r="U125" s="1207"/>
      <c r="V125" s="1207"/>
      <c r="W125" s="1207"/>
      <c r="X125" s="1207"/>
      <c r="Y125" s="1207"/>
      <c r="Z125" s="1207"/>
      <c r="AA125" s="1207"/>
      <c r="AB125" s="1207"/>
      <c r="AC125" s="1207"/>
      <c r="AD125" s="1207"/>
      <c r="AE125" s="1207"/>
      <c r="AF125" s="1207"/>
      <c r="AG125" s="1207"/>
      <c r="AH125" s="1207"/>
    </row>
    <row r="126" spans="1:34" x14ac:dyDescent="0.2">
      <c r="A126" s="1316"/>
      <c r="B126" s="1350"/>
      <c r="C126" s="1345"/>
      <c r="D126" s="1207"/>
      <c r="E126" s="1207"/>
      <c r="F126" s="1207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8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07"/>
      <c r="AA126" s="1207"/>
      <c r="AB126" s="1207"/>
      <c r="AC126" s="1207"/>
      <c r="AD126" s="1207"/>
      <c r="AE126" s="1207"/>
      <c r="AF126" s="1207"/>
      <c r="AG126" s="1207"/>
      <c r="AH126" s="1207"/>
    </row>
    <row r="127" spans="1:34" x14ac:dyDescent="0.2">
      <c r="A127" s="1207"/>
      <c r="B127" s="1207"/>
      <c r="C127" s="1207"/>
      <c r="D127" s="1207"/>
      <c r="E127" s="1207"/>
      <c r="F127" s="1207"/>
      <c r="G127" s="1207"/>
      <c r="H127" s="1207"/>
      <c r="I127" s="1207"/>
      <c r="J127" s="1207"/>
      <c r="K127" s="1207"/>
      <c r="L127" s="1207"/>
      <c r="M127" s="1207"/>
      <c r="N127" s="1207"/>
      <c r="O127" s="1207"/>
      <c r="P127" s="1208"/>
      <c r="Q127" s="1207"/>
      <c r="R127" s="1207"/>
      <c r="S127" s="1207"/>
      <c r="T127" s="1207"/>
      <c r="U127" s="1207"/>
      <c r="V127" s="1207"/>
      <c r="W127" s="1207"/>
      <c r="X127" s="1207"/>
      <c r="Y127" s="1207"/>
      <c r="Z127" s="1207"/>
      <c r="AA127" s="1207"/>
      <c r="AB127" s="1207"/>
      <c r="AC127" s="1207"/>
      <c r="AD127" s="1207"/>
      <c r="AE127" s="1207"/>
      <c r="AF127" s="1207"/>
      <c r="AG127" s="1207"/>
      <c r="AH127" s="1207"/>
    </row>
    <row r="128" spans="1:34" x14ac:dyDescent="0.2">
      <c r="A128" s="1207"/>
      <c r="B128" s="1207"/>
      <c r="C128" s="1207"/>
      <c r="D128" s="1207"/>
      <c r="E128" s="1207"/>
      <c r="F128" s="1207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8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07"/>
      <c r="AA128" s="1207"/>
      <c r="AB128" s="1207"/>
      <c r="AC128" s="1207"/>
      <c r="AD128" s="1207"/>
      <c r="AE128" s="1207"/>
      <c r="AF128" s="1207"/>
      <c r="AG128" s="1207"/>
      <c r="AH128" s="1207"/>
    </row>
    <row r="129" spans="1:34" x14ac:dyDescent="0.2">
      <c r="A129" s="1207"/>
      <c r="B129" s="1207"/>
      <c r="C129" s="1207"/>
      <c r="D129" s="1207"/>
      <c r="E129" s="1207"/>
      <c r="F129" s="1207"/>
      <c r="G129" s="1207"/>
      <c r="H129" s="1207"/>
      <c r="I129" s="1207"/>
      <c r="J129" s="1207"/>
      <c r="K129" s="1207"/>
      <c r="L129" s="1207"/>
      <c r="M129" s="1207"/>
      <c r="N129" s="1207"/>
      <c r="O129" s="1207"/>
      <c r="P129" s="1208"/>
      <c r="Q129" s="1207"/>
      <c r="R129" s="1207"/>
      <c r="S129" s="1207"/>
      <c r="T129" s="1207"/>
      <c r="U129" s="1207"/>
      <c r="V129" s="1207"/>
      <c r="W129" s="1207"/>
      <c r="X129" s="1207"/>
      <c r="Y129" s="1207"/>
      <c r="Z129" s="1207"/>
      <c r="AA129" s="1207"/>
      <c r="AB129" s="1207"/>
      <c r="AC129" s="1207"/>
      <c r="AD129" s="1207"/>
      <c r="AE129" s="1207"/>
      <c r="AF129" s="1207"/>
      <c r="AG129" s="1207"/>
      <c r="AH129" s="1207"/>
    </row>
    <row r="130" spans="1:34" x14ac:dyDescent="0.2">
      <c r="A130" s="1207"/>
      <c r="B130" s="1207"/>
      <c r="C130" s="1207"/>
      <c r="D130" s="1207"/>
      <c r="E130" s="1207"/>
      <c r="F130" s="1207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8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07"/>
      <c r="AA130" s="1207"/>
      <c r="AB130" s="1207"/>
      <c r="AC130" s="1207"/>
      <c r="AD130" s="1207"/>
      <c r="AE130" s="1207"/>
      <c r="AF130" s="1207"/>
      <c r="AG130" s="1207"/>
      <c r="AH130" s="1207"/>
    </row>
    <row r="131" spans="1:34" ht="13.5" thickBot="1" x14ac:dyDescent="0.25">
      <c r="A131" s="1207"/>
      <c r="B131" s="1207"/>
      <c r="C131" s="1207"/>
      <c r="D131" s="1207"/>
      <c r="E131" s="1207"/>
      <c r="F131" s="1207"/>
      <c r="G131" s="1207"/>
      <c r="H131" s="1207"/>
      <c r="I131" s="1207"/>
      <c r="J131" s="1207"/>
      <c r="K131" s="1207"/>
      <c r="L131" s="1207"/>
      <c r="M131" s="1207"/>
      <c r="N131" s="1207"/>
      <c r="O131" s="1207"/>
      <c r="P131" s="1208"/>
      <c r="Q131" s="1207"/>
      <c r="R131" s="1207"/>
      <c r="S131" s="1207"/>
      <c r="T131" s="1207"/>
      <c r="U131" s="1207"/>
      <c r="V131" s="1207"/>
      <c r="W131" s="1207"/>
      <c r="X131" s="1207"/>
      <c r="Y131" s="1207"/>
      <c r="Z131" s="1207"/>
      <c r="AA131" s="1207"/>
      <c r="AB131" s="1207"/>
      <c r="AC131" s="1207"/>
      <c r="AD131" s="1207"/>
      <c r="AE131" s="1207"/>
      <c r="AF131" s="1207"/>
      <c r="AG131" s="1207"/>
      <c r="AH131" s="1207"/>
    </row>
    <row r="132" spans="1:34" x14ac:dyDescent="0.2">
      <c r="A132" s="1233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34"/>
      <c r="O132" s="1234"/>
      <c r="P132" s="1235"/>
      <c r="Q132" s="1234"/>
      <c r="R132" s="1234"/>
      <c r="S132" s="1234"/>
      <c r="T132" s="1234"/>
      <c r="U132" s="1234"/>
      <c r="V132" s="1234"/>
      <c r="W132" s="1234"/>
      <c r="X132" s="1234"/>
      <c r="Y132" s="1234"/>
      <c r="Z132" s="1234"/>
      <c r="AA132" s="1234"/>
      <c r="AB132" s="1234"/>
      <c r="AC132" s="1234"/>
      <c r="AD132" s="1234"/>
      <c r="AE132" s="1234"/>
      <c r="AF132" s="1234"/>
      <c r="AG132" s="1234"/>
      <c r="AH132" s="1207"/>
    </row>
    <row r="133" spans="1:34" x14ac:dyDescent="0.2">
      <c r="A133" s="1236"/>
      <c r="B133" s="1237" t="s">
        <v>37</v>
      </c>
      <c r="C133" s="1237"/>
      <c r="D133" s="1237"/>
      <c r="E133" s="1238" t="s">
        <v>912</v>
      </c>
      <c r="F133" s="1239" t="s">
        <v>95</v>
      </c>
      <c r="G133" s="1211" t="s">
        <v>6</v>
      </c>
      <c r="H133" s="1239"/>
      <c r="I133" s="1239"/>
      <c r="J133" s="1239"/>
      <c r="K133" s="1239"/>
      <c r="L133" s="1239"/>
      <c r="M133" s="1239"/>
      <c r="N133" s="1239"/>
      <c r="O133" s="1239"/>
      <c r="P133" s="1240"/>
      <c r="Q133" s="1239"/>
      <c r="R133" s="1239"/>
      <c r="S133" s="1239"/>
      <c r="T133" s="1239"/>
      <c r="U133" s="1239"/>
      <c r="V133" s="1239"/>
      <c r="W133" s="1239"/>
      <c r="X133" s="1239"/>
      <c r="Y133" s="1239"/>
      <c r="Z133" s="1239"/>
      <c r="AA133" s="1239"/>
      <c r="AB133" s="1239"/>
      <c r="AC133" s="1239"/>
      <c r="AD133" s="1239"/>
      <c r="AE133" s="1239"/>
      <c r="AF133" s="1239"/>
      <c r="AG133" s="1239"/>
      <c r="AH133" s="1207"/>
    </row>
    <row r="134" spans="1:34" x14ac:dyDescent="0.2">
      <c r="A134" s="1236"/>
      <c r="B134" s="1237"/>
      <c r="C134" s="1237"/>
      <c r="D134" s="1239"/>
      <c r="E134" s="1237"/>
      <c r="F134" s="1237"/>
      <c r="G134" s="1237"/>
      <c r="H134" s="1237"/>
      <c r="I134" s="1237"/>
      <c r="J134" s="1237"/>
      <c r="K134" s="1237"/>
      <c r="L134" s="1237"/>
      <c r="M134" s="1237"/>
      <c r="N134" s="1237"/>
      <c r="O134" s="1237"/>
      <c r="P134" s="1241"/>
      <c r="Q134" s="1237"/>
      <c r="R134" s="1237"/>
      <c r="S134" s="1237"/>
      <c r="T134" s="1237"/>
      <c r="U134" s="1237"/>
      <c r="V134" s="1237"/>
      <c r="W134" s="1237"/>
      <c r="X134" s="1237"/>
      <c r="Y134" s="1237"/>
      <c r="Z134" s="1237"/>
      <c r="AA134" s="1237"/>
      <c r="AB134" s="1237"/>
      <c r="AC134" s="1237"/>
      <c r="AD134" s="1237"/>
      <c r="AE134" s="1237"/>
      <c r="AF134" s="1237"/>
      <c r="AG134" s="1237"/>
      <c r="AH134" s="1207"/>
    </row>
    <row r="135" spans="1:34" x14ac:dyDescent="0.2">
      <c r="A135" s="1368"/>
      <c r="B135" s="1237"/>
      <c r="C135" s="1239"/>
      <c r="D135" s="1239">
        <v>42438</v>
      </c>
      <c r="E135" s="1237"/>
      <c r="F135" s="1237"/>
      <c r="G135" s="1237"/>
      <c r="H135" s="1237"/>
      <c r="I135" s="1237"/>
      <c r="J135" s="1237"/>
      <c r="K135" s="1237"/>
      <c r="L135" s="1237"/>
      <c r="M135" s="1237"/>
      <c r="N135" s="1237"/>
      <c r="O135" s="1237"/>
      <c r="P135" s="1241"/>
      <c r="Q135" s="1237"/>
      <c r="R135" s="1237"/>
      <c r="S135" s="1237"/>
      <c r="T135" s="1237"/>
      <c r="U135" s="1237"/>
      <c r="V135" s="1237"/>
      <c r="W135" s="1237"/>
      <c r="X135" s="1237"/>
      <c r="Y135" s="1237"/>
      <c r="Z135" s="1237"/>
      <c r="AA135" s="1237"/>
      <c r="AB135" s="1237"/>
      <c r="AC135" s="1237"/>
      <c r="AD135" s="1237"/>
      <c r="AE135" s="1237"/>
      <c r="AF135" s="1237"/>
      <c r="AG135" s="1237"/>
      <c r="AH135" s="1207"/>
    </row>
    <row r="136" spans="1:34" x14ac:dyDescent="0.2">
      <c r="A136" s="1236"/>
      <c r="B136" s="1237"/>
      <c r="C136" s="1239"/>
      <c r="D136" s="1239"/>
      <c r="E136" s="1237"/>
      <c r="F136" s="1237"/>
      <c r="G136" s="1237"/>
      <c r="H136" s="1237"/>
      <c r="I136" s="1237"/>
      <c r="J136" s="1237"/>
      <c r="K136" s="1237"/>
      <c r="L136" s="1237"/>
      <c r="M136" s="1237"/>
      <c r="N136" s="1237"/>
      <c r="O136" s="1237"/>
      <c r="P136" s="1241"/>
      <c r="Q136" s="1237"/>
      <c r="R136" s="1237"/>
      <c r="S136" s="1237"/>
      <c r="T136" s="1237"/>
      <c r="U136" s="1237"/>
      <c r="V136" s="1237"/>
      <c r="W136" s="1237"/>
      <c r="X136" s="1237"/>
      <c r="Y136" s="1237"/>
      <c r="Z136" s="1237"/>
      <c r="AA136" s="1237"/>
      <c r="AB136" s="1237"/>
      <c r="AC136" s="1237"/>
      <c r="AD136" s="1237"/>
      <c r="AE136" s="1237"/>
      <c r="AF136" s="1237"/>
      <c r="AG136" s="1237"/>
      <c r="AH136" s="1207"/>
    </row>
    <row r="137" spans="1:34" ht="13.5" thickBot="1" x14ac:dyDescent="0.25">
      <c r="A137" s="1236"/>
      <c r="B137" s="1237"/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1237"/>
      <c r="M137" s="1237"/>
      <c r="N137" s="1237"/>
      <c r="O137" s="1237"/>
      <c r="P137" s="1241"/>
      <c r="Q137" s="1237"/>
      <c r="R137" s="1237"/>
      <c r="S137" s="1237"/>
      <c r="T137" s="1237"/>
      <c r="U137" s="1237"/>
      <c r="V137" s="1237"/>
      <c r="W137" s="1237"/>
      <c r="X137" s="1237"/>
      <c r="Y137" s="1237"/>
      <c r="Z137" s="1237"/>
      <c r="AA137" s="1237"/>
      <c r="AB137" s="1237"/>
      <c r="AC137" s="1237"/>
      <c r="AD137" s="1237"/>
      <c r="AE137" s="1237"/>
      <c r="AF137" s="1237"/>
      <c r="AG137" s="1237"/>
      <c r="AH137" s="1207"/>
    </row>
    <row r="138" spans="1:34" ht="13.5" thickBot="1" x14ac:dyDescent="0.25">
      <c r="A138" s="1236"/>
      <c r="B138" s="1237"/>
      <c r="C138" s="1243"/>
      <c r="D138" s="1244" t="s">
        <v>16</v>
      </c>
      <c r="E138" s="1244"/>
      <c r="F138" s="1244"/>
      <c r="G138" s="1244"/>
      <c r="H138" s="1244"/>
      <c r="I138" s="1244"/>
      <c r="J138" s="1244"/>
      <c r="K138" s="1244"/>
      <c r="L138" s="1244"/>
      <c r="M138" s="1244"/>
      <c r="N138" s="1244"/>
      <c r="O138" s="1244"/>
      <c r="P138" s="1245"/>
      <c r="Q138" s="1244"/>
      <c r="R138" s="1244"/>
      <c r="S138" s="1244"/>
      <c r="T138" s="1244"/>
      <c r="U138" s="1244"/>
      <c r="V138" s="1244"/>
      <c r="W138" s="1244"/>
      <c r="X138" s="1244"/>
      <c r="Y138" s="1244"/>
      <c r="Z138" s="1244"/>
      <c r="AA138" s="1244"/>
      <c r="AB138" s="1244"/>
      <c r="AC138" s="1244"/>
      <c r="AD138" s="1244"/>
      <c r="AE138" s="1244"/>
      <c r="AF138" s="1244"/>
      <c r="AG138" s="1244"/>
      <c r="AH138" s="1207"/>
    </row>
    <row r="139" spans="1:34" ht="13.5" thickBot="1" x14ac:dyDescent="0.25">
      <c r="A139" s="1236"/>
      <c r="B139" s="1237"/>
      <c r="C139" s="1246" t="s">
        <v>452</v>
      </c>
      <c r="D139" s="1246" t="s">
        <v>453</v>
      </c>
      <c r="E139" s="1246" t="s">
        <v>434</v>
      </c>
      <c r="F139" s="1246" t="s">
        <v>390</v>
      </c>
      <c r="G139" s="1246" t="s">
        <v>454</v>
      </c>
      <c r="H139" s="1246" t="s">
        <v>455</v>
      </c>
      <c r="I139" s="1246" t="s">
        <v>456</v>
      </c>
      <c r="J139" s="1246" t="s">
        <v>457</v>
      </c>
      <c r="K139" s="1246" t="s">
        <v>458</v>
      </c>
      <c r="L139" s="1246" t="s">
        <v>216</v>
      </c>
      <c r="M139" s="1246" t="s">
        <v>459</v>
      </c>
      <c r="N139" s="1246" t="s">
        <v>297</v>
      </c>
      <c r="O139" s="1246" t="s">
        <v>211</v>
      </c>
      <c r="P139" s="1247" t="s">
        <v>270</v>
      </c>
      <c r="Q139" s="1246">
        <v>15</v>
      </c>
      <c r="R139" s="1246">
        <v>16</v>
      </c>
      <c r="S139" s="1246" t="s">
        <v>461</v>
      </c>
      <c r="T139" s="1246" t="s">
        <v>442</v>
      </c>
      <c r="U139" s="1246" t="s">
        <v>462</v>
      </c>
      <c r="V139" s="1246" t="s">
        <v>470</v>
      </c>
      <c r="W139" s="1246" t="s">
        <v>471</v>
      </c>
      <c r="X139" s="1246" t="s">
        <v>472</v>
      </c>
      <c r="Y139" s="1246" t="s">
        <v>463</v>
      </c>
      <c r="Z139" s="1246" t="s">
        <v>465</v>
      </c>
      <c r="AA139" s="1246" t="s">
        <v>466</v>
      </c>
      <c r="AB139" s="1246" t="s">
        <v>435</v>
      </c>
      <c r="AC139" s="1246" t="s">
        <v>467</v>
      </c>
      <c r="AD139" s="1246" t="s">
        <v>464</v>
      </c>
      <c r="AE139" s="1246" t="s">
        <v>429</v>
      </c>
      <c r="AF139" s="1246" t="s">
        <v>149</v>
      </c>
      <c r="AG139" s="1246" t="s">
        <v>210</v>
      </c>
      <c r="AH139" s="1207"/>
    </row>
    <row r="140" spans="1:34" x14ac:dyDescent="0.2">
      <c r="A140" s="1233"/>
      <c r="B140" s="1248"/>
      <c r="C140" s="1237"/>
      <c r="D140" s="1237"/>
      <c r="E140" s="1237"/>
      <c r="F140" s="1237"/>
      <c r="G140" s="1237"/>
      <c r="H140" s="1237"/>
      <c r="I140" s="1237"/>
      <c r="J140" s="1237"/>
      <c r="K140" s="1237"/>
      <c r="L140" s="1237"/>
      <c r="M140" s="1237"/>
      <c r="N140" s="1237"/>
      <c r="O140" s="1237"/>
      <c r="P140" s="1241"/>
      <c r="Q140" s="1237"/>
      <c r="R140" s="1237"/>
      <c r="S140" s="1237"/>
      <c r="T140" s="1237"/>
      <c r="U140" s="1237"/>
      <c r="V140" s="1237"/>
      <c r="W140" s="1237"/>
      <c r="X140" s="1237"/>
      <c r="Y140" s="1237"/>
      <c r="Z140" s="1237"/>
      <c r="AA140" s="1237"/>
      <c r="AB140" s="1237"/>
      <c r="AC140" s="1237"/>
      <c r="AD140" s="1237"/>
      <c r="AE140" s="1237"/>
      <c r="AF140" s="1237"/>
      <c r="AG140" s="1237"/>
      <c r="AH140" s="1207"/>
    </row>
    <row r="141" spans="1:34" x14ac:dyDescent="0.2">
      <c r="A141" s="1236" t="s">
        <v>0</v>
      </c>
      <c r="B141" s="1249">
        <v>-919.20799999999997</v>
      </c>
      <c r="C141" s="1237"/>
      <c r="D141" s="1237"/>
      <c r="E141" s="1237"/>
      <c r="F141" s="1237"/>
      <c r="G141" s="1237"/>
      <c r="H141" s="1237"/>
      <c r="I141" s="1237"/>
      <c r="J141" s="1237"/>
      <c r="K141" s="1237"/>
      <c r="L141" s="1237"/>
      <c r="M141" s="1237"/>
      <c r="N141" s="1237"/>
      <c r="O141" s="1237"/>
      <c r="P141" s="1241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07"/>
    </row>
    <row r="142" spans="1:34" ht="13.5" thickBot="1" x14ac:dyDescent="0.25">
      <c r="A142" s="1250"/>
      <c r="B142" s="1251"/>
      <c r="C142" s="1237"/>
      <c r="D142" s="1237"/>
      <c r="E142" s="1237"/>
      <c r="F142" s="1237"/>
      <c r="G142" s="1237"/>
      <c r="H142" s="1237"/>
      <c r="I142" s="1237"/>
      <c r="J142" s="1237"/>
      <c r="K142" s="1237"/>
      <c r="L142" s="1237"/>
      <c r="M142" s="1237"/>
      <c r="N142" s="1237"/>
      <c r="O142" s="1237"/>
      <c r="P142" s="1241"/>
      <c r="Q142" s="1237"/>
      <c r="R142" s="1237"/>
      <c r="S142" s="1237"/>
      <c r="T142" s="1237"/>
      <c r="U142" s="1237"/>
      <c r="V142" s="1237"/>
      <c r="W142" s="1237"/>
      <c r="X142" s="1237"/>
      <c r="Y142" s="1237"/>
      <c r="Z142" s="1237"/>
      <c r="AA142" s="1237"/>
      <c r="AB142" s="1237"/>
      <c r="AC142" s="1237"/>
      <c r="AD142" s="1237"/>
      <c r="AE142" s="1237"/>
      <c r="AF142" s="1237"/>
      <c r="AG142" s="1237"/>
      <c r="AH142" s="1207"/>
    </row>
    <row r="143" spans="1:34" x14ac:dyDescent="0.2">
      <c r="A143" s="1233"/>
      <c r="B143" s="1253"/>
      <c r="C143" s="1237"/>
      <c r="D143" s="1237"/>
      <c r="E143" s="1237"/>
      <c r="F143" s="1237"/>
      <c r="G143" s="1237"/>
      <c r="H143" s="1237"/>
      <c r="I143" s="1237"/>
      <c r="J143" s="1237"/>
      <c r="K143" s="1237"/>
      <c r="L143" s="1237"/>
      <c r="M143" s="1237"/>
      <c r="N143" s="1237"/>
      <c r="O143" s="1237"/>
      <c r="P143" s="1241"/>
      <c r="Q143" s="1237"/>
      <c r="R143" s="1237"/>
      <c r="S143" s="1237"/>
      <c r="T143" s="1237"/>
      <c r="U143" s="1237"/>
      <c r="V143" s="1237"/>
      <c r="W143" s="1237"/>
      <c r="X143" s="1237"/>
      <c r="Y143" s="1237"/>
      <c r="Z143" s="1237"/>
      <c r="AA143" s="1237"/>
      <c r="AB143" s="1237"/>
      <c r="AC143" s="1237"/>
      <c r="AD143" s="1237"/>
      <c r="AE143" s="1237"/>
      <c r="AF143" s="1237"/>
      <c r="AG143" s="1237"/>
      <c r="AH143" s="1207"/>
    </row>
    <row r="144" spans="1:34" x14ac:dyDescent="0.2">
      <c r="A144" s="1236" t="s">
        <v>1</v>
      </c>
      <c r="B144" s="1249">
        <f>B145+B146+B147</f>
        <v>0</v>
      </c>
      <c r="C144" s="1237"/>
      <c r="D144" s="1237"/>
      <c r="E144" s="1237"/>
      <c r="F144" s="1237"/>
      <c r="G144" s="1237"/>
      <c r="H144" s="1237"/>
      <c r="I144" s="1237"/>
      <c r="J144" s="1237"/>
      <c r="K144" s="1237"/>
      <c r="L144" s="1237"/>
      <c r="M144" s="1237"/>
      <c r="N144" s="1237"/>
      <c r="O144" s="1237"/>
      <c r="P144" s="1241"/>
      <c r="Q144" s="1237"/>
      <c r="R144" s="1237"/>
      <c r="S144" s="1237"/>
      <c r="T144" s="1237"/>
      <c r="U144" s="1237"/>
      <c r="V144" s="1237"/>
      <c r="W144" s="1237"/>
      <c r="X144" s="1237"/>
      <c r="Y144" s="1237"/>
      <c r="Z144" s="1237"/>
      <c r="AA144" s="1237"/>
      <c r="AB144" s="1237"/>
      <c r="AC144" s="1237"/>
      <c r="AD144" s="1237"/>
      <c r="AE144" s="1237"/>
      <c r="AF144" s="1237"/>
      <c r="AG144" s="1237"/>
      <c r="AH144" s="1207"/>
    </row>
    <row r="145" spans="1:34" x14ac:dyDescent="0.2">
      <c r="A145" s="1236" t="s">
        <v>38</v>
      </c>
      <c r="B145" s="1249">
        <f>C195</f>
        <v>0</v>
      </c>
      <c r="C145" s="1237"/>
      <c r="D145" s="1237"/>
      <c r="E145" s="1237"/>
      <c r="F145" s="1237"/>
      <c r="G145" s="1237"/>
      <c r="H145" s="1237"/>
      <c r="I145" s="1237"/>
      <c r="J145" s="1237"/>
      <c r="K145" s="1237"/>
      <c r="L145" s="1237"/>
      <c r="M145" s="1237"/>
      <c r="N145" s="1237"/>
      <c r="O145" s="1237"/>
      <c r="P145" s="1241"/>
      <c r="Q145" s="1237"/>
      <c r="R145" s="1237"/>
      <c r="S145" s="1237"/>
      <c r="T145" s="1237"/>
      <c r="U145" s="1237"/>
      <c r="V145" s="1237"/>
      <c r="W145" s="1237"/>
      <c r="X145" s="1237"/>
      <c r="Y145" s="1237"/>
      <c r="Z145" s="1237"/>
      <c r="AA145" s="1237"/>
      <c r="AB145" s="1237"/>
      <c r="AC145" s="1237"/>
      <c r="AD145" s="1237"/>
      <c r="AE145" s="1237"/>
      <c r="AF145" s="1237"/>
      <c r="AG145" s="1237"/>
      <c r="AH145" s="1207"/>
    </row>
    <row r="146" spans="1:34" x14ac:dyDescent="0.2">
      <c r="A146" s="1236" t="s">
        <v>39</v>
      </c>
      <c r="B146" s="1249">
        <f>C215</f>
        <v>0</v>
      </c>
      <c r="C146" s="1237"/>
      <c r="D146" s="1237"/>
      <c r="E146" s="1237"/>
      <c r="F146" s="1237"/>
      <c r="G146" s="1237"/>
      <c r="H146" s="1237"/>
      <c r="I146" s="1237"/>
      <c r="J146" s="1237"/>
      <c r="K146" s="1237"/>
      <c r="L146" s="1237"/>
      <c r="M146" s="1237"/>
      <c r="N146" s="1237"/>
      <c r="O146" s="1237"/>
      <c r="P146" s="1241"/>
      <c r="Q146" s="1237"/>
      <c r="R146" s="1237"/>
      <c r="S146" s="1237"/>
      <c r="T146" s="1237"/>
      <c r="U146" s="1237"/>
      <c r="V146" s="1237"/>
      <c r="W146" s="1237"/>
      <c r="X146" s="1237"/>
      <c r="Y146" s="1237"/>
      <c r="Z146" s="1237"/>
      <c r="AA146" s="1237"/>
      <c r="AB146" s="1237"/>
      <c r="AC146" s="1237"/>
      <c r="AD146" s="1237"/>
      <c r="AE146" s="1237"/>
      <c r="AF146" s="1237"/>
      <c r="AG146" s="1237"/>
      <c r="AH146" s="1207"/>
    </row>
    <row r="147" spans="1:34" x14ac:dyDescent="0.2">
      <c r="A147" s="1236" t="s">
        <v>3</v>
      </c>
      <c r="B147" s="1249"/>
      <c r="C147" s="1237"/>
      <c r="D147" s="1237"/>
      <c r="E147" s="1237"/>
      <c r="F147" s="1237"/>
      <c r="G147" s="1237"/>
      <c r="H147" s="1237"/>
      <c r="I147" s="1237"/>
      <c r="J147" s="1237"/>
      <c r="K147" s="1237"/>
      <c r="L147" s="1237"/>
      <c r="M147" s="1237"/>
      <c r="N147" s="1237"/>
      <c r="O147" s="1237"/>
      <c r="P147" s="1241"/>
      <c r="Q147" s="1237"/>
      <c r="R147" s="1237"/>
      <c r="S147" s="1237"/>
      <c r="T147" s="1237"/>
      <c r="U147" s="1237"/>
      <c r="V147" s="1237"/>
      <c r="W147" s="1237"/>
      <c r="X147" s="1237"/>
      <c r="Y147" s="1237"/>
      <c r="Z147" s="1237"/>
      <c r="AA147" s="1237"/>
      <c r="AB147" s="1237"/>
      <c r="AC147" s="1237"/>
      <c r="AD147" s="1237"/>
      <c r="AE147" s="1237"/>
      <c r="AF147" s="1237"/>
      <c r="AG147" s="1237"/>
      <c r="AH147" s="1207"/>
    </row>
    <row r="148" spans="1:34" ht="13.5" thickBot="1" x14ac:dyDescent="0.25">
      <c r="A148" s="1250"/>
      <c r="B148" s="1251"/>
      <c r="C148" s="1237"/>
      <c r="D148" s="1237"/>
      <c r="E148" s="1237"/>
      <c r="F148" s="1237"/>
      <c r="G148" s="1237"/>
      <c r="H148" s="1237"/>
      <c r="I148" s="1237"/>
      <c r="J148" s="1237"/>
      <c r="K148" s="1237"/>
      <c r="L148" s="1237"/>
      <c r="M148" s="1237"/>
      <c r="N148" s="1237"/>
      <c r="O148" s="1237"/>
      <c r="P148" s="1241"/>
      <c r="Q148" s="1237"/>
      <c r="R148" s="1237"/>
      <c r="S148" s="1237"/>
      <c r="T148" s="1237"/>
      <c r="U148" s="1237"/>
      <c r="V148" s="1237"/>
      <c r="W148" s="1237"/>
      <c r="X148" s="1237"/>
      <c r="Y148" s="1237"/>
      <c r="Z148" s="1237"/>
      <c r="AA148" s="1237"/>
      <c r="AB148" s="1237"/>
      <c r="AC148" s="1237"/>
      <c r="AD148" s="1237"/>
      <c r="AE148" s="1237"/>
      <c r="AF148" s="1237"/>
      <c r="AG148" s="1237"/>
      <c r="AH148" s="1207"/>
    </row>
    <row r="149" spans="1:34" x14ac:dyDescent="0.2">
      <c r="A149" s="1233"/>
      <c r="B149" s="1253"/>
      <c r="C149" s="1237"/>
      <c r="D149" s="1237"/>
      <c r="E149" s="1237"/>
      <c r="F149" s="1237"/>
      <c r="G149" s="1237"/>
      <c r="H149" s="1237"/>
      <c r="I149" s="1237"/>
      <c r="J149" s="1237"/>
      <c r="K149" s="1237"/>
      <c r="L149" s="1237"/>
      <c r="M149" s="1237"/>
      <c r="N149" s="1237"/>
      <c r="O149" s="1237"/>
      <c r="P149" s="1241"/>
      <c r="Q149" s="1237"/>
      <c r="R149" s="1237"/>
      <c r="S149" s="1237"/>
      <c r="T149" s="1237"/>
      <c r="U149" s="1237"/>
      <c r="V149" s="1237"/>
      <c r="W149" s="1237"/>
      <c r="X149" s="1237"/>
      <c r="Y149" s="1237"/>
      <c r="Z149" s="1237"/>
      <c r="AA149" s="1237"/>
      <c r="AB149" s="1237"/>
      <c r="AC149" s="1237"/>
      <c r="AD149" s="1237"/>
      <c r="AE149" s="1237"/>
      <c r="AF149" s="1237"/>
      <c r="AG149" s="1237"/>
      <c r="AH149" s="1207"/>
    </row>
    <row r="150" spans="1:34" x14ac:dyDescent="0.2">
      <c r="A150" s="1236" t="s">
        <v>4</v>
      </c>
      <c r="B150" s="1249">
        <f>B141+B144</f>
        <v>-919.20799999999997</v>
      </c>
      <c r="C150" s="1237"/>
      <c r="D150" s="1237"/>
      <c r="E150" s="1237"/>
      <c r="F150" s="1237"/>
      <c r="G150" s="1237"/>
      <c r="H150" s="1237"/>
      <c r="I150" s="1237"/>
      <c r="J150" s="1237"/>
      <c r="K150" s="1237"/>
      <c r="L150" s="1237"/>
      <c r="M150" s="1237"/>
      <c r="N150" s="1237"/>
      <c r="O150" s="1237"/>
      <c r="P150" s="1241"/>
      <c r="Q150" s="1237"/>
      <c r="R150" s="1237"/>
      <c r="S150" s="1237"/>
      <c r="T150" s="1237"/>
      <c r="U150" s="1237"/>
      <c r="V150" s="1237"/>
      <c r="W150" s="1237"/>
      <c r="X150" s="1237"/>
      <c r="Y150" s="1237"/>
      <c r="Z150" s="1237"/>
      <c r="AA150" s="1237"/>
      <c r="AB150" s="1237"/>
      <c r="AC150" s="1237"/>
      <c r="AD150" s="1237"/>
      <c r="AE150" s="1237"/>
      <c r="AF150" s="1237"/>
      <c r="AG150" s="1237"/>
      <c r="AH150" s="1207"/>
    </row>
    <row r="151" spans="1:34" ht="13.5" thickBot="1" x14ac:dyDescent="0.25">
      <c r="A151" s="1250"/>
      <c r="B151" s="1251"/>
      <c r="C151" s="1237"/>
      <c r="D151" s="1237"/>
      <c r="E151" s="1237"/>
      <c r="F151" s="1237"/>
      <c r="G151" s="1237"/>
      <c r="H151" s="1237"/>
      <c r="I151" s="1237"/>
      <c r="J151" s="1237"/>
      <c r="K151" s="1237"/>
      <c r="L151" s="1237"/>
      <c r="M151" s="1237"/>
      <c r="N151" s="1237"/>
      <c r="O151" s="1237"/>
      <c r="P151" s="1241"/>
      <c r="Q151" s="1237"/>
      <c r="R151" s="1237"/>
      <c r="S151" s="1237"/>
      <c r="T151" s="1237"/>
      <c r="U151" s="1237"/>
      <c r="V151" s="1237"/>
      <c r="W151" s="1237"/>
      <c r="X151" s="1237"/>
      <c r="Y151" s="1237"/>
      <c r="Z151" s="1237"/>
      <c r="AA151" s="1237"/>
      <c r="AB151" s="1237"/>
      <c r="AC151" s="1237"/>
      <c r="AD151" s="1237"/>
      <c r="AE151" s="1237"/>
      <c r="AF151" s="1237"/>
      <c r="AG151" s="1237"/>
      <c r="AH151" s="1207"/>
    </row>
    <row r="152" spans="1:34" x14ac:dyDescent="0.2">
      <c r="A152" s="1233"/>
      <c r="B152" s="1253"/>
      <c r="C152" s="1237"/>
      <c r="D152" s="1237"/>
      <c r="E152" s="1237"/>
      <c r="F152" s="1237"/>
      <c r="G152" s="1237"/>
      <c r="H152" s="1237"/>
      <c r="I152" s="1237"/>
      <c r="J152" s="1237"/>
      <c r="K152" s="1237"/>
      <c r="L152" s="1237"/>
      <c r="M152" s="1237"/>
      <c r="N152" s="1237"/>
      <c r="O152" s="1237"/>
      <c r="P152" s="1241"/>
      <c r="Q152" s="1237"/>
      <c r="R152" s="1237"/>
      <c r="S152" s="1237"/>
      <c r="T152" s="1237"/>
      <c r="U152" s="1237"/>
      <c r="V152" s="1237"/>
      <c r="W152" s="1237"/>
      <c r="X152" s="1237"/>
      <c r="Y152" s="1237"/>
      <c r="Z152" s="1237"/>
      <c r="AA152" s="1237"/>
      <c r="AB152" s="1237"/>
      <c r="AC152" s="1237"/>
      <c r="AD152" s="1237"/>
      <c r="AE152" s="1237"/>
      <c r="AF152" s="1237"/>
      <c r="AG152" s="1237"/>
      <c r="AH152" s="1207"/>
    </row>
    <row r="153" spans="1:34" ht="18" x14ac:dyDescent="0.25">
      <c r="A153" s="1236" t="s">
        <v>17</v>
      </c>
      <c r="B153" s="1249"/>
      <c r="C153" s="1237"/>
      <c r="D153" s="1237"/>
      <c r="E153" s="1237"/>
      <c r="F153" s="1237"/>
      <c r="G153" s="1237"/>
      <c r="H153" s="1237"/>
      <c r="I153" s="1749"/>
      <c r="J153" s="1749"/>
      <c r="K153" s="1749"/>
      <c r="L153" s="1749"/>
      <c r="M153" s="1748"/>
      <c r="N153" s="1748"/>
      <c r="O153" s="1748"/>
      <c r="P153" s="1748"/>
      <c r="Q153" s="1748"/>
      <c r="R153" s="1748"/>
      <c r="S153" s="1748"/>
      <c r="T153" s="1748"/>
      <c r="U153" s="1748"/>
      <c r="V153" s="1237"/>
      <c r="W153" s="1237"/>
      <c r="X153" s="1237"/>
      <c r="Y153" s="1237"/>
      <c r="Z153" s="1237"/>
      <c r="AA153" s="1237"/>
      <c r="AB153" s="1237"/>
      <c r="AC153" s="1237"/>
      <c r="AD153" s="1237"/>
      <c r="AE153" s="1237"/>
      <c r="AF153" s="1237"/>
      <c r="AG153" s="1237"/>
      <c r="AH153" s="1207"/>
    </row>
    <row r="154" spans="1:34" ht="13.5" thickBot="1" x14ac:dyDescent="0.25">
      <c r="A154" s="1250"/>
      <c r="B154" s="1251"/>
      <c r="C154" s="1237"/>
      <c r="D154" s="1237"/>
      <c r="E154" s="1237"/>
      <c r="F154" s="1237"/>
      <c r="G154" s="1237"/>
      <c r="H154" s="1237"/>
      <c r="I154" s="1237"/>
      <c r="J154" s="1237"/>
      <c r="K154" s="1237"/>
      <c r="L154" s="1237"/>
      <c r="M154" s="1237"/>
      <c r="N154" s="1237"/>
      <c r="O154" s="1237"/>
      <c r="P154" s="1241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07"/>
    </row>
    <row r="155" spans="1:34" x14ac:dyDescent="0.2">
      <c r="A155" s="1233"/>
      <c r="B155" s="1253"/>
      <c r="C155" s="1237"/>
      <c r="D155" s="1369"/>
      <c r="E155" s="1237"/>
      <c r="F155" s="1237"/>
      <c r="G155" s="1237"/>
      <c r="H155" s="1237"/>
      <c r="I155" s="1237"/>
      <c r="J155" s="1237"/>
      <c r="K155" s="1237"/>
      <c r="L155" s="1237"/>
      <c r="M155" s="1237"/>
      <c r="N155" s="1237"/>
      <c r="O155" s="1237"/>
      <c r="P155" s="1241"/>
      <c r="Q155" s="1237"/>
      <c r="R155" s="1237"/>
      <c r="S155" s="1237"/>
      <c r="T155" s="1237"/>
      <c r="U155" s="1211"/>
      <c r="V155" s="1237"/>
      <c r="W155" s="1237"/>
      <c r="X155" s="1237"/>
      <c r="Y155" s="1237"/>
      <c r="Z155" s="1211"/>
      <c r="AA155" s="1237"/>
      <c r="AB155" s="1237"/>
      <c r="AC155" s="1369"/>
      <c r="AD155" s="1237"/>
      <c r="AF155" s="1237"/>
      <c r="AG155" s="1237"/>
      <c r="AH155" s="1207"/>
    </row>
    <row r="156" spans="1:34" x14ac:dyDescent="0.2">
      <c r="A156" s="1236" t="s">
        <v>5</v>
      </c>
      <c r="B156" s="1249">
        <f>B150-B153</f>
        <v>-919.20799999999997</v>
      </c>
      <c r="C156" s="1211"/>
      <c r="D156" s="1369"/>
      <c r="E156" s="1370"/>
      <c r="F156" s="1211" t="s">
        <v>1280</v>
      </c>
      <c r="G156" s="1256" t="s">
        <v>707</v>
      </c>
      <c r="H156" s="1211"/>
      <c r="I156" s="1211"/>
      <c r="J156" s="1237" t="s">
        <v>1214</v>
      </c>
      <c r="K156" s="1211"/>
      <c r="L156" s="1263"/>
      <c r="M156" s="1211"/>
      <c r="N156" s="1237"/>
      <c r="O156" s="1211"/>
      <c r="P156" s="1212"/>
      <c r="Q156" s="1211"/>
      <c r="R156" s="1211"/>
      <c r="S156" s="1211"/>
      <c r="T156" s="1256"/>
      <c r="U156" s="1211"/>
      <c r="V156" s="1211"/>
      <c r="W156" s="1211"/>
      <c r="X156" s="1211" t="s">
        <v>192</v>
      </c>
      <c r="Y156" s="1211"/>
      <c r="Z156" s="1211" t="s">
        <v>604</v>
      </c>
      <c r="AA156" s="1263"/>
      <c r="AB156" s="1211" t="s">
        <v>173</v>
      </c>
      <c r="AC156" s="1371"/>
      <c r="AD156" s="1211"/>
      <c r="AE156" s="1223" t="s">
        <v>145</v>
      </c>
      <c r="AF156" s="1211"/>
      <c r="AG156" s="1211"/>
      <c r="AH156" s="1207"/>
    </row>
    <row r="157" spans="1:34" ht="13.5" thickBot="1" x14ac:dyDescent="0.25">
      <c r="A157" s="1250"/>
      <c r="B157" s="1251"/>
      <c r="C157" s="1237"/>
      <c r="D157" s="1237"/>
      <c r="E157" s="1237"/>
      <c r="F157" s="1237"/>
      <c r="G157" s="1237"/>
      <c r="H157" s="1237"/>
      <c r="I157" s="1237"/>
      <c r="J157" s="1237"/>
      <c r="K157" s="1237"/>
      <c r="L157" s="1237"/>
      <c r="M157" s="1237"/>
      <c r="N157" s="1237"/>
      <c r="O157" s="1237"/>
      <c r="P157" s="1212"/>
      <c r="Q157" s="1211"/>
      <c r="R157" s="1211"/>
      <c r="S157" s="1211"/>
      <c r="T157" s="1211"/>
      <c r="U157" s="1211"/>
      <c r="V157" s="1211"/>
      <c r="W157" s="1211"/>
      <c r="X157" s="1211"/>
      <c r="Y157" s="1211"/>
      <c r="Z157" s="1211"/>
      <c r="AA157" s="1211"/>
      <c r="AB157" s="1211"/>
      <c r="AC157" s="1211"/>
      <c r="AD157" s="1211"/>
      <c r="AE157" s="1211"/>
      <c r="AF157" s="1211"/>
      <c r="AG157" s="1211"/>
      <c r="AH157" s="1207"/>
    </row>
    <row r="158" spans="1:34" x14ac:dyDescent="0.2">
      <c r="A158" s="1269"/>
      <c r="B158" s="1237"/>
      <c r="C158" s="1270"/>
      <c r="D158" s="1272"/>
      <c r="E158" s="1272"/>
      <c r="F158" s="1271"/>
      <c r="G158" s="1271"/>
      <c r="H158" s="1271"/>
      <c r="I158" s="1271"/>
      <c r="J158" s="1271"/>
      <c r="K158" s="1271"/>
      <c r="L158" s="1271"/>
      <c r="M158" s="1271"/>
      <c r="N158" s="1271"/>
      <c r="O158" s="1271"/>
      <c r="P158" s="1273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07"/>
    </row>
    <row r="159" spans="1:34" ht="13.5" thickBot="1" x14ac:dyDescent="0.25">
      <c r="A159" s="1274" t="s">
        <v>7</v>
      </c>
      <c r="B159" s="1237"/>
      <c r="C159" s="1275">
        <f t="shared" ref="C159:AG159" si="16">C160+C161+C162+C166+C165+C163+C164</f>
        <v>0</v>
      </c>
      <c r="D159" s="1275">
        <f t="shared" si="16"/>
        <v>0</v>
      </c>
      <c r="E159" s="1275">
        <f t="shared" si="16"/>
        <v>0</v>
      </c>
      <c r="F159" s="1275">
        <f t="shared" si="16"/>
        <v>0</v>
      </c>
      <c r="G159" s="1275">
        <f t="shared" si="16"/>
        <v>0</v>
      </c>
      <c r="H159" s="1275">
        <f t="shared" si="16"/>
        <v>0</v>
      </c>
      <c r="I159" s="1275">
        <f t="shared" si="16"/>
        <v>0</v>
      </c>
      <c r="J159" s="1275">
        <f t="shared" si="16"/>
        <v>0</v>
      </c>
      <c r="K159" s="1275">
        <f t="shared" si="16"/>
        <v>0</v>
      </c>
      <c r="L159" s="1275">
        <f t="shared" si="16"/>
        <v>0</v>
      </c>
      <c r="M159" s="1275">
        <f t="shared" si="16"/>
        <v>0</v>
      </c>
      <c r="N159" s="1275">
        <f t="shared" si="16"/>
        <v>0</v>
      </c>
      <c r="O159" s="1275">
        <f t="shared" si="16"/>
        <v>0</v>
      </c>
      <c r="P159" s="1276">
        <f t="shared" si="16"/>
        <v>0</v>
      </c>
      <c r="Q159" s="1275">
        <f t="shared" si="16"/>
        <v>0</v>
      </c>
      <c r="R159" s="1275">
        <f t="shared" si="16"/>
        <v>0</v>
      </c>
      <c r="S159" s="1275">
        <f t="shared" si="16"/>
        <v>0</v>
      </c>
      <c r="T159" s="1275">
        <f t="shared" si="16"/>
        <v>0</v>
      </c>
      <c r="U159" s="1275">
        <f t="shared" si="16"/>
        <v>0</v>
      </c>
      <c r="V159" s="1275">
        <f t="shared" si="16"/>
        <v>0</v>
      </c>
      <c r="W159" s="1275">
        <f t="shared" si="16"/>
        <v>0</v>
      </c>
      <c r="X159" s="1275">
        <f t="shared" si="16"/>
        <v>0</v>
      </c>
      <c r="Y159" s="1275">
        <f t="shared" si="16"/>
        <v>0</v>
      </c>
      <c r="Z159" s="1275">
        <f t="shared" si="16"/>
        <v>0</v>
      </c>
      <c r="AA159" s="1275">
        <f t="shared" si="16"/>
        <v>0</v>
      </c>
      <c r="AB159" s="1275">
        <f t="shared" si="16"/>
        <v>0</v>
      </c>
      <c r="AC159" s="1275">
        <f t="shared" si="16"/>
        <v>0</v>
      </c>
      <c r="AD159" s="1275">
        <f t="shared" si="16"/>
        <v>0</v>
      </c>
      <c r="AE159" s="1275">
        <f t="shared" si="16"/>
        <v>0</v>
      </c>
      <c r="AF159" s="1275">
        <f t="shared" si="16"/>
        <v>0</v>
      </c>
      <c r="AG159" s="1275">
        <f t="shared" si="16"/>
        <v>0</v>
      </c>
      <c r="AH159" s="1227">
        <f t="shared" ref="AH159:AH167" si="17">SUM(C159:AG159)</f>
        <v>0</v>
      </c>
    </row>
    <row r="160" spans="1:34" x14ac:dyDescent="0.2">
      <c r="A160" s="1274" t="s">
        <v>8</v>
      </c>
      <c r="B160" s="1237"/>
      <c r="C160" s="1302"/>
      <c r="D160" s="1302"/>
      <c r="E160" s="1302"/>
      <c r="F160" s="1303"/>
      <c r="G160" s="1303"/>
      <c r="H160" s="1303"/>
      <c r="I160" s="1303"/>
      <c r="J160" s="1303"/>
      <c r="K160" s="1303"/>
      <c r="L160" s="1303"/>
      <c r="M160" s="1303"/>
      <c r="N160" s="1303"/>
      <c r="O160" s="1303"/>
      <c r="P160" s="1304"/>
      <c r="Q160" s="1303"/>
      <c r="R160" s="1303"/>
      <c r="S160" s="1303"/>
      <c r="T160" s="1303"/>
      <c r="U160" s="1303"/>
      <c r="V160" s="1303"/>
      <c r="W160" s="1303"/>
      <c r="X160" s="1303"/>
      <c r="Y160" s="1303"/>
      <c r="Z160" s="1303"/>
      <c r="AA160" s="1303"/>
      <c r="AB160" s="1303"/>
      <c r="AC160" s="1303"/>
      <c r="AD160" s="1303"/>
      <c r="AE160" s="1303"/>
      <c r="AF160" s="1303"/>
      <c r="AG160" s="1303"/>
      <c r="AH160" s="1227">
        <f t="shared" si="17"/>
        <v>0</v>
      </c>
    </row>
    <row r="161" spans="1:35" x14ac:dyDescent="0.2">
      <c r="A161" s="1274" t="s">
        <v>9</v>
      </c>
      <c r="B161" s="1237"/>
      <c r="C161" s="1302"/>
      <c r="D161" s="1302"/>
      <c r="E161" s="1302"/>
      <c r="F161" s="1303"/>
      <c r="G161" s="1303"/>
      <c r="H161" s="1303"/>
      <c r="I161" s="1303"/>
      <c r="J161" s="1303"/>
      <c r="K161" s="1303"/>
      <c r="L161" s="1303"/>
      <c r="M161" s="1303"/>
      <c r="N161" s="1303"/>
      <c r="O161" s="1303"/>
      <c r="P161" s="1304"/>
      <c r="Q161" s="1303"/>
      <c r="R161" s="1303"/>
      <c r="S161" s="1303"/>
      <c r="T161" s="1303"/>
      <c r="U161" s="1303"/>
      <c r="V161" s="1303"/>
      <c r="W161" s="1303"/>
      <c r="X161" s="1303"/>
      <c r="Y161" s="1303"/>
      <c r="Z161" s="1303"/>
      <c r="AA161" s="1303"/>
      <c r="AB161" s="1303"/>
      <c r="AC161" s="1303"/>
      <c r="AD161" s="1303"/>
      <c r="AE161" s="1303"/>
      <c r="AF161" s="1303"/>
      <c r="AG161" s="1303"/>
      <c r="AH161" s="1227">
        <f t="shared" si="17"/>
        <v>0</v>
      </c>
    </row>
    <row r="162" spans="1:35" s="1289" customFormat="1" x14ac:dyDescent="0.2">
      <c r="A162" s="1285" t="s">
        <v>10</v>
      </c>
      <c r="B162" s="1372"/>
      <c r="C162" s="1373"/>
      <c r="D162" s="1374"/>
      <c r="E162" s="1374"/>
      <c r="F162" s="1375"/>
      <c r="G162" s="1376"/>
      <c r="H162" s="1375"/>
      <c r="I162" s="1375"/>
      <c r="J162" s="1375"/>
      <c r="K162" s="1375"/>
      <c r="L162" s="1377"/>
      <c r="M162" s="1375"/>
      <c r="N162" s="1375"/>
      <c r="O162" s="1375"/>
      <c r="P162" s="1375"/>
      <c r="Q162" s="1375"/>
      <c r="R162" s="1375"/>
      <c r="S162" s="1375"/>
      <c r="T162" s="1376"/>
      <c r="U162" s="1375"/>
      <c r="V162" s="1375"/>
      <c r="W162" s="1375"/>
      <c r="X162" s="1375"/>
      <c r="Y162" s="1375"/>
      <c r="Z162" s="1375"/>
      <c r="AA162" s="1377"/>
      <c r="AB162" s="1375"/>
      <c r="AC162" s="1375"/>
      <c r="AD162" s="1375"/>
      <c r="AE162" s="1378"/>
      <c r="AF162" s="1375"/>
      <c r="AG162" s="1375"/>
      <c r="AH162" s="1231">
        <f t="shared" si="17"/>
        <v>0</v>
      </c>
    </row>
    <row r="163" spans="1:35" s="1289" customFormat="1" x14ac:dyDescent="0.2">
      <c r="A163" s="1285" t="s">
        <v>356</v>
      </c>
      <c r="B163" s="1372"/>
      <c r="C163" s="1292"/>
      <c r="D163" s="1292"/>
      <c r="E163" s="1292"/>
      <c r="F163" s="1292"/>
      <c r="G163" s="1292"/>
      <c r="H163" s="1292"/>
      <c r="I163" s="1292"/>
      <c r="J163" s="1292"/>
      <c r="K163" s="1292"/>
      <c r="L163" s="1292"/>
      <c r="M163" s="1292"/>
      <c r="N163" s="1292"/>
      <c r="O163" s="1292"/>
      <c r="P163" s="1292"/>
      <c r="Q163" s="1292"/>
      <c r="R163" s="1292"/>
      <c r="S163" s="1292"/>
      <c r="T163" s="1292"/>
      <c r="U163" s="1292"/>
      <c r="V163" s="1292"/>
      <c r="W163" s="1292"/>
      <c r="X163" s="1292">
        <v>36900</v>
      </c>
      <c r="Y163" s="1292"/>
      <c r="Z163" s="1292">
        <v>47500</v>
      </c>
      <c r="AA163" s="1292"/>
      <c r="AB163" s="1292"/>
      <c r="AC163" s="1292"/>
      <c r="AD163" s="1292"/>
      <c r="AE163" s="1292">
        <v>39300</v>
      </c>
      <c r="AF163" s="1379"/>
      <c r="AG163" s="1379"/>
      <c r="AH163" s="1231">
        <f t="shared" si="17"/>
        <v>123700</v>
      </c>
    </row>
    <row r="164" spans="1:35" x14ac:dyDescent="0.2">
      <c r="A164" s="1274" t="s">
        <v>357</v>
      </c>
      <c r="B164" s="1237"/>
      <c r="C164" s="1306"/>
      <c r="D164" s="1302"/>
      <c r="E164" s="1306"/>
      <c r="F164" s="1303"/>
      <c r="G164" s="1303"/>
      <c r="H164" s="1304"/>
      <c r="I164" s="1304"/>
      <c r="J164" s="1304"/>
      <c r="K164" s="1304"/>
      <c r="L164" s="1304"/>
      <c r="M164" s="1304"/>
      <c r="N164" s="1304"/>
      <c r="O164" s="1304"/>
      <c r="P164" s="1304"/>
      <c r="Q164" s="1304"/>
      <c r="R164" s="1304"/>
      <c r="S164" s="1304"/>
      <c r="T164" s="1304"/>
      <c r="U164" s="1304"/>
      <c r="V164" s="1304"/>
      <c r="W164" s="1304"/>
      <c r="X164" s="1304">
        <v>-36900</v>
      </c>
      <c r="Y164" s="1304"/>
      <c r="Z164" s="1304">
        <v>-47500</v>
      </c>
      <c r="AA164" s="1304"/>
      <c r="AB164" s="1304"/>
      <c r="AC164" s="1304"/>
      <c r="AD164" s="1304"/>
      <c r="AE164" s="1304">
        <v>-39300</v>
      </c>
      <c r="AF164" s="1304"/>
      <c r="AG164" s="1304"/>
      <c r="AH164" s="1227">
        <f t="shared" si="17"/>
        <v>-123700</v>
      </c>
    </row>
    <row r="165" spans="1:35" x14ac:dyDescent="0.2">
      <c r="A165" s="1274" t="s">
        <v>41</v>
      </c>
      <c r="B165" s="1237"/>
      <c r="C165" s="1306"/>
      <c r="D165" s="1302"/>
      <c r="E165" s="1306"/>
      <c r="F165" s="1303"/>
      <c r="G165" s="1303"/>
      <c r="H165" s="1304"/>
      <c r="I165" s="1304"/>
      <c r="J165" s="1304"/>
      <c r="K165" s="1304"/>
      <c r="L165" s="1304"/>
      <c r="M165" s="1304"/>
      <c r="N165" s="1304"/>
      <c r="O165" s="1304"/>
      <c r="P165" s="1304"/>
      <c r="Q165" s="1304"/>
      <c r="R165" s="1304"/>
      <c r="S165" s="1304"/>
      <c r="T165" s="1304"/>
      <c r="U165" s="1304"/>
      <c r="V165" s="1304"/>
      <c r="W165" s="1304"/>
      <c r="X165" s="1304"/>
      <c r="Y165" s="1304"/>
      <c r="Z165" s="1304"/>
      <c r="AA165" s="1304"/>
      <c r="AB165" s="1304"/>
      <c r="AC165" s="1304"/>
      <c r="AD165" s="1304"/>
      <c r="AE165" s="1304"/>
      <c r="AF165" s="1304"/>
      <c r="AG165" s="1304"/>
      <c r="AH165" s="1227">
        <f t="shared" si="17"/>
        <v>0</v>
      </c>
    </row>
    <row r="166" spans="1:35" x14ac:dyDescent="0.2">
      <c r="A166" s="1274" t="s">
        <v>11</v>
      </c>
      <c r="B166" s="1237"/>
      <c r="C166" s="1302"/>
      <c r="D166" s="1306"/>
      <c r="E166" s="1306"/>
      <c r="F166" s="1304"/>
      <c r="G166" s="1304"/>
      <c r="H166" s="1304"/>
      <c r="I166" s="1304"/>
      <c r="J166" s="1304"/>
      <c r="K166" s="1304"/>
      <c r="L166" s="1304"/>
      <c r="M166" s="1304"/>
      <c r="N166" s="1304"/>
      <c r="O166" s="1304"/>
      <c r="P166" s="1304"/>
      <c r="Q166" s="1304"/>
      <c r="R166" s="1304"/>
      <c r="S166" s="1304"/>
      <c r="T166" s="1304"/>
      <c r="U166" s="1304"/>
      <c r="V166" s="1304"/>
      <c r="W166" s="1304"/>
      <c r="X166" s="1304"/>
      <c r="Y166" s="1304"/>
      <c r="Z166" s="1304"/>
      <c r="AA166" s="1304"/>
      <c r="AB166" s="1318"/>
      <c r="AC166" s="1304"/>
      <c r="AD166" s="1304"/>
      <c r="AE166" s="1304"/>
      <c r="AF166" s="1304"/>
      <c r="AG166" s="1304"/>
      <c r="AH166" s="1227">
        <f t="shared" si="17"/>
        <v>0</v>
      </c>
    </row>
    <row r="167" spans="1:35" ht="13.5" thickBot="1" x14ac:dyDescent="0.25">
      <c r="A167" s="1294"/>
      <c r="B167" s="1237"/>
      <c r="C167" s="1302"/>
      <c r="D167" s="1302"/>
      <c r="E167" s="1302"/>
      <c r="F167" s="1303"/>
      <c r="G167" s="1303"/>
      <c r="H167" s="1303"/>
      <c r="I167" s="1303"/>
      <c r="J167" s="1303"/>
      <c r="K167" s="1303"/>
      <c r="L167" s="1303"/>
      <c r="M167" s="1303"/>
      <c r="N167" s="1303"/>
      <c r="O167" s="1303"/>
      <c r="P167" s="1304"/>
      <c r="Q167" s="1303"/>
      <c r="R167" s="1303"/>
      <c r="S167" s="1303"/>
      <c r="T167" s="1303"/>
      <c r="U167" s="1303"/>
      <c r="V167" s="1303"/>
      <c r="W167" s="1303"/>
      <c r="X167" s="1303"/>
      <c r="Y167" s="1303"/>
      <c r="Z167" s="1303"/>
      <c r="AA167" s="1303"/>
      <c r="AB167" s="1303"/>
      <c r="AC167" s="1303"/>
      <c r="AD167" s="1303"/>
      <c r="AE167" s="1303"/>
      <c r="AF167" s="1303"/>
      <c r="AG167" s="1303"/>
      <c r="AH167" s="1227">
        <f t="shared" si="17"/>
        <v>0</v>
      </c>
    </row>
    <row r="168" spans="1:35" x14ac:dyDescent="0.2">
      <c r="A168" s="1269"/>
      <c r="B168" s="1237"/>
      <c r="C168" s="1296"/>
      <c r="D168" s="1297"/>
      <c r="E168" s="1297"/>
      <c r="F168" s="1298"/>
      <c r="G168" s="1298"/>
      <c r="H168" s="1298"/>
      <c r="I168" s="1298"/>
      <c r="J168" s="1298"/>
      <c r="K168" s="1298"/>
      <c r="L168" s="1298"/>
      <c r="M168" s="1298"/>
      <c r="N168" s="1298"/>
      <c r="O168" s="1298"/>
      <c r="P168" s="1299"/>
      <c r="Q168" s="1298"/>
      <c r="R168" s="1298"/>
      <c r="S168" s="1298"/>
      <c r="T168" s="1298"/>
      <c r="U168" s="1298"/>
      <c r="V168" s="1298"/>
      <c r="W168" s="1298"/>
      <c r="X168" s="1298"/>
      <c r="Y168" s="1298"/>
      <c r="Z168" s="1298"/>
      <c r="AA168" s="1298"/>
      <c r="AB168" s="1298"/>
      <c r="AC168" s="1298"/>
      <c r="AD168" s="1298"/>
      <c r="AE168" s="1298"/>
      <c r="AF168" s="1298"/>
      <c r="AG168" s="1298"/>
      <c r="AH168" s="1207"/>
    </row>
    <row r="169" spans="1:35" ht="13.5" thickBot="1" x14ac:dyDescent="0.25">
      <c r="A169" s="1274" t="s">
        <v>12</v>
      </c>
      <c r="B169" s="1237"/>
      <c r="C169" s="1275">
        <f t="shared" ref="C169:AG169" si="18">C170</f>
        <v>0</v>
      </c>
      <c r="D169" s="1275">
        <f t="shared" si="18"/>
        <v>0</v>
      </c>
      <c r="E169" s="1275">
        <f t="shared" si="18"/>
        <v>0</v>
      </c>
      <c r="F169" s="1275">
        <f t="shared" si="18"/>
        <v>0</v>
      </c>
      <c r="G169" s="1275">
        <f t="shared" si="18"/>
        <v>0</v>
      </c>
      <c r="H169" s="1275">
        <f t="shared" si="18"/>
        <v>0</v>
      </c>
      <c r="I169" s="1275">
        <f t="shared" si="18"/>
        <v>0</v>
      </c>
      <c r="J169" s="1275">
        <f t="shared" si="18"/>
        <v>0</v>
      </c>
      <c r="K169" s="1275">
        <f t="shared" si="18"/>
        <v>0</v>
      </c>
      <c r="L169" s="1275">
        <f t="shared" si="18"/>
        <v>0</v>
      </c>
      <c r="M169" s="1275">
        <f t="shared" si="18"/>
        <v>0</v>
      </c>
      <c r="N169" s="1275">
        <f t="shared" si="18"/>
        <v>0</v>
      </c>
      <c r="O169" s="1275">
        <f t="shared" si="18"/>
        <v>0</v>
      </c>
      <c r="P169" s="1276">
        <f t="shared" si="18"/>
        <v>0</v>
      </c>
      <c r="Q169" s="1275">
        <f t="shared" si="18"/>
        <v>0</v>
      </c>
      <c r="R169" s="1275">
        <f t="shared" si="18"/>
        <v>0</v>
      </c>
      <c r="S169" s="1275">
        <f t="shared" si="18"/>
        <v>0</v>
      </c>
      <c r="T169" s="1275">
        <f t="shared" si="18"/>
        <v>0</v>
      </c>
      <c r="U169" s="1275">
        <f t="shared" si="18"/>
        <v>0</v>
      </c>
      <c r="V169" s="1275">
        <f t="shared" si="18"/>
        <v>0</v>
      </c>
      <c r="W169" s="1275">
        <f t="shared" si="18"/>
        <v>0</v>
      </c>
      <c r="X169" s="1275">
        <f t="shared" si="18"/>
        <v>0</v>
      </c>
      <c r="Y169" s="1275">
        <f t="shared" si="18"/>
        <v>0</v>
      </c>
      <c r="Z169" s="1275">
        <f t="shared" si="18"/>
        <v>0</v>
      </c>
      <c r="AA169" s="1275">
        <f t="shared" si="18"/>
        <v>0</v>
      </c>
      <c r="AB169" s="1275">
        <f t="shared" si="18"/>
        <v>0</v>
      </c>
      <c r="AC169" s="1275">
        <f t="shared" si="18"/>
        <v>0</v>
      </c>
      <c r="AD169" s="1275">
        <f t="shared" si="18"/>
        <v>0</v>
      </c>
      <c r="AE169" s="1275">
        <f t="shared" si="18"/>
        <v>0</v>
      </c>
      <c r="AF169" s="1275">
        <f t="shared" si="18"/>
        <v>0</v>
      </c>
      <c r="AG169" s="1275">
        <f t="shared" si="18"/>
        <v>0</v>
      </c>
      <c r="AH169" s="1207"/>
    </row>
    <row r="170" spans="1:35" x14ac:dyDescent="0.2">
      <c r="A170" s="1274" t="s">
        <v>8</v>
      </c>
      <c r="B170" s="1237"/>
      <c r="C170" s="1302"/>
      <c r="D170" s="1302"/>
      <c r="E170" s="1302"/>
      <c r="F170" s="1303"/>
      <c r="G170" s="1303"/>
      <c r="H170" s="1303"/>
      <c r="I170" s="1303"/>
      <c r="J170" s="1303"/>
      <c r="K170" s="1303"/>
      <c r="L170" s="1303"/>
      <c r="M170" s="1303"/>
      <c r="N170" s="1303"/>
      <c r="O170" s="1303"/>
      <c r="P170" s="1304"/>
      <c r="Q170" s="1303"/>
      <c r="R170" s="1303"/>
      <c r="S170" s="1303"/>
      <c r="T170" s="1303"/>
      <c r="U170" s="1303"/>
      <c r="V170" s="1303"/>
      <c r="W170" s="1303"/>
      <c r="X170" s="1303"/>
      <c r="Y170" s="1303"/>
      <c r="Z170" s="1303"/>
      <c r="AA170" s="1303"/>
      <c r="AB170" s="1303"/>
      <c r="AC170" s="1303"/>
      <c r="AD170" s="1303"/>
      <c r="AE170" s="1303"/>
      <c r="AF170" s="1303"/>
      <c r="AG170" s="1303"/>
      <c r="AH170" s="1207"/>
    </row>
    <row r="171" spans="1:35" x14ac:dyDescent="0.2">
      <c r="A171" s="1274" t="s">
        <v>775</v>
      </c>
      <c r="B171" s="1237"/>
      <c r="C171" s="1282"/>
      <c r="D171" s="1282"/>
      <c r="E171" s="1282">
        <v>1000</v>
      </c>
      <c r="F171" s="1282"/>
      <c r="G171" s="1282">
        <v>1683.982</v>
      </c>
      <c r="H171" s="1282">
        <v>877.51700000000005</v>
      </c>
      <c r="I171" s="1282"/>
      <c r="J171" s="1282"/>
      <c r="K171" s="1282">
        <v>3107.6550000000002</v>
      </c>
      <c r="L171" s="1282">
        <v>3979.0740000000001</v>
      </c>
      <c r="M171" s="1282"/>
      <c r="N171" s="1282">
        <v>847.08299999999997</v>
      </c>
      <c r="O171" s="1282">
        <v>1055.806</v>
      </c>
      <c r="P171" s="1282"/>
      <c r="Q171" s="1282">
        <v>4196.5990000000002</v>
      </c>
      <c r="R171" s="1282"/>
      <c r="S171" s="1282"/>
      <c r="T171" s="1282"/>
      <c r="U171" s="1282"/>
      <c r="V171" s="1282">
        <v>3885.808</v>
      </c>
      <c r="W171" s="1282">
        <v>587.29999999999995</v>
      </c>
      <c r="X171" s="1282">
        <v>809.36800000000005</v>
      </c>
      <c r="Y171" s="1282"/>
      <c r="Z171" s="1282"/>
      <c r="AA171" s="1282"/>
      <c r="AB171" s="1282">
        <v>445.90600000000001</v>
      </c>
      <c r="AC171" s="1282"/>
      <c r="AD171" s="1282">
        <v>9103.0570000000007</v>
      </c>
      <c r="AE171" s="1282">
        <v>2683.8670000000002</v>
      </c>
      <c r="AF171" s="1382"/>
      <c r="AG171" s="1382"/>
      <c r="AH171" s="1227"/>
    </row>
    <row r="172" spans="1:35" ht="13.5" thickBot="1" x14ac:dyDescent="0.25">
      <c r="A172" s="1294"/>
      <c r="B172" s="1237"/>
      <c r="C172" s="1302"/>
      <c r="D172" s="1302"/>
      <c r="E172" s="1302"/>
      <c r="F172" s="1303"/>
      <c r="G172" s="1303"/>
      <c r="H172" s="1303"/>
      <c r="I172" s="1303"/>
      <c r="J172" s="1303"/>
      <c r="K172" s="1303"/>
      <c r="L172" s="1303"/>
      <c r="M172" s="1303"/>
      <c r="N172" s="1303"/>
      <c r="O172" s="1303"/>
      <c r="P172" s="1304"/>
      <c r="Q172" s="1303"/>
      <c r="R172" s="1303"/>
      <c r="S172" s="1303"/>
      <c r="T172" s="1303"/>
      <c r="U172" s="1303"/>
      <c r="V172" s="1303"/>
      <c r="W172" s="1303"/>
      <c r="X172" s="1303"/>
      <c r="Y172" s="1303"/>
      <c r="Z172" s="1303"/>
      <c r="AA172" s="1303"/>
      <c r="AB172" s="1303"/>
      <c r="AC172" s="1303"/>
      <c r="AD172" s="1303"/>
      <c r="AE172" s="1303"/>
      <c r="AF172" s="1303"/>
      <c r="AG172" s="1303"/>
      <c r="AH172" s="1207"/>
    </row>
    <row r="173" spans="1:35" x14ac:dyDescent="0.2">
      <c r="A173" s="1269"/>
      <c r="B173" s="1237"/>
      <c r="C173" s="1296"/>
      <c r="D173" s="1297"/>
      <c r="E173" s="1297"/>
      <c r="F173" s="1298"/>
      <c r="G173" s="1298"/>
      <c r="H173" s="1298"/>
      <c r="I173" s="1298"/>
      <c r="J173" s="1298"/>
      <c r="K173" s="1298"/>
      <c r="L173" s="1298"/>
      <c r="M173" s="1298"/>
      <c r="N173" s="1298"/>
      <c r="O173" s="1298"/>
      <c r="P173" s="1299"/>
      <c r="Q173" s="1298"/>
      <c r="R173" s="1298"/>
      <c r="S173" s="1298"/>
      <c r="T173" s="1298"/>
      <c r="U173" s="1298"/>
      <c r="V173" s="1298"/>
      <c r="W173" s="1298"/>
      <c r="X173" s="1298"/>
      <c r="Y173" s="1298"/>
      <c r="Z173" s="1298"/>
      <c r="AA173" s="1298"/>
      <c r="AB173" s="1298"/>
      <c r="AC173" s="1298"/>
      <c r="AD173" s="1298"/>
      <c r="AE173" s="1298"/>
      <c r="AF173" s="1298"/>
      <c r="AG173" s="1298"/>
      <c r="AH173" s="1207"/>
    </row>
    <row r="174" spans="1:35" x14ac:dyDescent="0.2">
      <c r="A174" s="1274" t="s">
        <v>13</v>
      </c>
      <c r="B174" s="1237"/>
      <c r="C174" s="1300">
        <f t="shared" ref="C174:AG174" si="19">C169-C159</f>
        <v>0</v>
      </c>
      <c r="D174" s="1300">
        <f t="shared" si="19"/>
        <v>0</v>
      </c>
      <c r="E174" s="1300">
        <f t="shared" si="19"/>
        <v>0</v>
      </c>
      <c r="F174" s="1300">
        <f t="shared" si="19"/>
        <v>0</v>
      </c>
      <c r="G174" s="1300">
        <f t="shared" si="19"/>
        <v>0</v>
      </c>
      <c r="H174" s="1300">
        <f t="shared" si="19"/>
        <v>0</v>
      </c>
      <c r="I174" s="1300">
        <f t="shared" si="19"/>
        <v>0</v>
      </c>
      <c r="J174" s="1300">
        <f t="shared" si="19"/>
        <v>0</v>
      </c>
      <c r="K174" s="1300">
        <f t="shared" si="19"/>
        <v>0</v>
      </c>
      <c r="L174" s="1300">
        <f t="shared" si="19"/>
        <v>0</v>
      </c>
      <c r="M174" s="1300">
        <f t="shared" si="19"/>
        <v>0</v>
      </c>
      <c r="N174" s="1300">
        <f t="shared" si="19"/>
        <v>0</v>
      </c>
      <c r="O174" s="1300">
        <f t="shared" si="19"/>
        <v>0</v>
      </c>
      <c r="P174" s="1301">
        <f t="shared" si="19"/>
        <v>0</v>
      </c>
      <c r="Q174" s="1300">
        <f t="shared" si="19"/>
        <v>0</v>
      </c>
      <c r="R174" s="1300">
        <f t="shared" si="19"/>
        <v>0</v>
      </c>
      <c r="S174" s="1300">
        <f t="shared" si="19"/>
        <v>0</v>
      </c>
      <c r="T174" s="1300">
        <f t="shared" si="19"/>
        <v>0</v>
      </c>
      <c r="U174" s="1300">
        <f t="shared" si="19"/>
        <v>0</v>
      </c>
      <c r="V174" s="1300">
        <f t="shared" si="19"/>
        <v>0</v>
      </c>
      <c r="W174" s="1300">
        <f t="shared" si="19"/>
        <v>0</v>
      </c>
      <c r="X174" s="1300">
        <f t="shared" si="19"/>
        <v>0</v>
      </c>
      <c r="Y174" s="1300">
        <f t="shared" si="19"/>
        <v>0</v>
      </c>
      <c r="Z174" s="1300">
        <f t="shared" si="19"/>
        <v>0</v>
      </c>
      <c r="AA174" s="1300">
        <f t="shared" si="19"/>
        <v>0</v>
      </c>
      <c r="AB174" s="1300">
        <f t="shared" si="19"/>
        <v>0</v>
      </c>
      <c r="AC174" s="1300">
        <f t="shared" si="19"/>
        <v>0</v>
      </c>
      <c r="AD174" s="1300">
        <f t="shared" si="19"/>
        <v>0</v>
      </c>
      <c r="AE174" s="1300">
        <f t="shared" si="19"/>
        <v>0</v>
      </c>
      <c r="AF174" s="1300">
        <f t="shared" si="19"/>
        <v>0</v>
      </c>
      <c r="AG174" s="1300">
        <f t="shared" si="19"/>
        <v>0</v>
      </c>
      <c r="AH174" s="1207"/>
    </row>
    <row r="175" spans="1:35" ht="13.5" thickBot="1" x14ac:dyDescent="0.25">
      <c r="A175" s="1274"/>
      <c r="B175" s="1237"/>
      <c r="C175" s="1300"/>
      <c r="D175" s="1302"/>
      <c r="E175" s="1302"/>
      <c r="F175" s="1303"/>
      <c r="G175" s="1303"/>
      <c r="H175" s="1303"/>
      <c r="I175" s="1303"/>
      <c r="J175" s="1303"/>
      <c r="K175" s="1303"/>
      <c r="L175" s="1303"/>
      <c r="M175" s="1303"/>
      <c r="N175" s="1303"/>
      <c r="O175" s="1303"/>
      <c r="P175" s="1304"/>
      <c r="Q175" s="1303"/>
      <c r="R175" s="1303"/>
      <c r="S175" s="1303"/>
      <c r="T175" s="1303"/>
      <c r="U175" s="1303"/>
      <c r="V175" s="1303"/>
      <c r="W175" s="1303"/>
      <c r="X175" s="1303"/>
      <c r="Y175" s="1303"/>
      <c r="Z175" s="1303"/>
      <c r="AA175" s="1303"/>
      <c r="AB175" s="1303"/>
      <c r="AC175" s="1303"/>
      <c r="AD175" s="1303"/>
      <c r="AE175" s="1303"/>
      <c r="AF175" s="1303"/>
      <c r="AG175" s="1303"/>
      <c r="AH175" s="1207"/>
      <c r="AI175" s="1209" t="s">
        <v>813</v>
      </c>
    </row>
    <row r="176" spans="1:35" x14ac:dyDescent="0.2">
      <c r="A176" s="1233"/>
      <c r="B176" s="1234"/>
      <c r="C176" s="1305"/>
      <c r="D176" s="1297"/>
      <c r="E176" s="1297"/>
      <c r="F176" s="1298"/>
      <c r="G176" s="1298"/>
      <c r="H176" s="1298"/>
      <c r="I176" s="1298"/>
      <c r="J176" s="1298"/>
      <c r="K176" s="1298"/>
      <c r="L176" s="1298"/>
      <c r="M176" s="1298"/>
      <c r="N176" s="1298"/>
      <c r="O176" s="1298"/>
      <c r="P176" s="1299"/>
      <c r="Q176" s="1298"/>
      <c r="R176" s="1298"/>
      <c r="S176" s="1298"/>
      <c r="T176" s="1298"/>
      <c r="U176" s="1298"/>
      <c r="V176" s="1298"/>
      <c r="W176" s="1298"/>
      <c r="X176" s="1298"/>
      <c r="Y176" s="1298"/>
      <c r="Z176" s="1298"/>
      <c r="AA176" s="1298"/>
      <c r="AB176" s="1298"/>
      <c r="AC176" s="1298"/>
      <c r="AD176" s="1298"/>
      <c r="AE176" s="1298"/>
      <c r="AF176" s="1298"/>
      <c r="AG176" s="1298"/>
      <c r="AH176" s="1207"/>
    </row>
    <row r="177" spans="1:34" x14ac:dyDescent="0.2">
      <c r="A177" s="1236" t="s">
        <v>15</v>
      </c>
      <c r="B177" s="1237"/>
      <c r="C177" s="1302">
        <f>B156+C174</f>
        <v>-919.20799999999997</v>
      </c>
      <c r="D177" s="1302">
        <f t="shared" ref="D177:AG177" si="20">C184+D174</f>
        <v>-919.20799999999997</v>
      </c>
      <c r="E177" s="1302">
        <f t="shared" si="20"/>
        <v>-919.20799999999997</v>
      </c>
      <c r="F177" s="1302">
        <f t="shared" si="20"/>
        <v>-919.20799999999997</v>
      </c>
      <c r="G177" s="1302">
        <f t="shared" si="20"/>
        <v>-919.20799999999997</v>
      </c>
      <c r="H177" s="1302">
        <f t="shared" si="20"/>
        <v>-919.20799999999997</v>
      </c>
      <c r="I177" s="1302">
        <f t="shared" si="20"/>
        <v>-919.20799999999997</v>
      </c>
      <c r="J177" s="1302">
        <f t="shared" si="20"/>
        <v>-919.20799999999997</v>
      </c>
      <c r="K177" s="1302">
        <f t="shared" si="20"/>
        <v>-919.20799999999997</v>
      </c>
      <c r="L177" s="1302">
        <f t="shared" si="20"/>
        <v>-919.20799999999997</v>
      </c>
      <c r="M177" s="1302">
        <f t="shared" si="20"/>
        <v>-919.20799999999997</v>
      </c>
      <c r="N177" s="1302">
        <f t="shared" si="20"/>
        <v>-919.20799999999997</v>
      </c>
      <c r="O177" s="1302">
        <f t="shared" si="20"/>
        <v>-919.20799999999997</v>
      </c>
      <c r="P177" s="1306">
        <f t="shared" si="20"/>
        <v>-919.20799999999997</v>
      </c>
      <c r="Q177" s="1302">
        <f t="shared" si="20"/>
        <v>-919.20799999999997</v>
      </c>
      <c r="R177" s="1302">
        <f t="shared" si="20"/>
        <v>-919.20799999999997</v>
      </c>
      <c r="S177" s="1302">
        <f t="shared" si="20"/>
        <v>-919.20799999999997</v>
      </c>
      <c r="T177" s="1302">
        <f t="shared" si="20"/>
        <v>-919.20799999999997</v>
      </c>
      <c r="U177" s="1302">
        <f t="shared" si="20"/>
        <v>-919.20799999999997</v>
      </c>
      <c r="V177" s="1302">
        <f t="shared" si="20"/>
        <v>-919.20799999999997</v>
      </c>
      <c r="W177" s="1302">
        <f t="shared" si="20"/>
        <v>-919.20799999999997</v>
      </c>
      <c r="X177" s="1302">
        <f t="shared" si="20"/>
        <v>-919.20799999999997</v>
      </c>
      <c r="Y177" s="1302">
        <f t="shared" si="20"/>
        <v>-919.20799999999997</v>
      </c>
      <c r="Z177" s="1302">
        <f t="shared" si="20"/>
        <v>-919.20799999999997</v>
      </c>
      <c r="AA177" s="1302">
        <f t="shared" si="20"/>
        <v>-919.20799999999997</v>
      </c>
      <c r="AB177" s="1302">
        <f t="shared" si="20"/>
        <v>-919.20799999999997</v>
      </c>
      <c r="AC177" s="1302">
        <f t="shared" si="20"/>
        <v>-919.20799999999997</v>
      </c>
      <c r="AD177" s="1302">
        <f t="shared" si="20"/>
        <v>-919.20799999999997</v>
      </c>
      <c r="AE177" s="1302">
        <f t="shared" si="20"/>
        <v>-919.20799999999997</v>
      </c>
      <c r="AF177" s="1302">
        <f t="shared" si="20"/>
        <v>-919.20799999999997</v>
      </c>
      <c r="AG177" s="1302">
        <f t="shared" si="20"/>
        <v>-919.20799999999997</v>
      </c>
      <c r="AH177" s="1207"/>
    </row>
    <row r="178" spans="1:34" ht="13.5" thickBot="1" x14ac:dyDescent="0.25">
      <c r="A178" s="1250"/>
      <c r="B178" s="1307"/>
      <c r="C178" s="1308"/>
      <c r="D178" s="1308"/>
      <c r="E178" s="1308"/>
      <c r="F178" s="1309"/>
      <c r="G178" s="1309"/>
      <c r="H178" s="1309"/>
      <c r="I178" s="1309"/>
      <c r="J178" s="1309"/>
      <c r="K178" s="1309"/>
      <c r="L178" s="1309"/>
      <c r="M178" s="1309"/>
      <c r="N178" s="1309"/>
      <c r="O178" s="1309"/>
      <c r="P178" s="1310"/>
      <c r="Q178" s="1309"/>
      <c r="R178" s="1309"/>
      <c r="S178" s="1309"/>
      <c r="T178" s="1309"/>
      <c r="U178" s="1309"/>
      <c r="V178" s="1309"/>
      <c r="W178" s="1309"/>
      <c r="X178" s="1309"/>
      <c r="Y178" s="1309"/>
      <c r="Z178" s="1309"/>
      <c r="AA178" s="1309"/>
      <c r="AB178" s="1309"/>
      <c r="AC178" s="1309"/>
      <c r="AD178" s="1309"/>
      <c r="AE178" s="1309"/>
      <c r="AF178" s="1309"/>
      <c r="AG178" s="1309"/>
      <c r="AH178" s="1207"/>
    </row>
    <row r="179" spans="1:34" x14ac:dyDescent="0.2">
      <c r="A179" s="1233"/>
      <c r="B179" s="1234"/>
      <c r="C179" s="1297"/>
      <c r="D179" s="1297"/>
      <c r="E179" s="1297"/>
      <c r="F179" s="1298"/>
      <c r="G179" s="1298"/>
      <c r="H179" s="1298"/>
      <c r="I179" s="1298"/>
      <c r="J179" s="1298"/>
      <c r="K179" s="1298"/>
      <c r="L179" s="1298"/>
      <c r="M179" s="1298"/>
      <c r="N179" s="1298"/>
      <c r="O179" s="1298"/>
      <c r="P179" s="1299"/>
      <c r="Q179" s="1298"/>
      <c r="R179" s="1298"/>
      <c r="S179" s="1298"/>
      <c r="T179" s="1298"/>
      <c r="U179" s="1298"/>
      <c r="V179" s="1298"/>
      <c r="W179" s="1298"/>
      <c r="X179" s="1298"/>
      <c r="Y179" s="1298"/>
      <c r="Z179" s="1298"/>
      <c r="AA179" s="1298"/>
      <c r="AB179" s="1298"/>
      <c r="AC179" s="1298"/>
      <c r="AD179" s="1298"/>
      <c r="AE179" s="1298"/>
      <c r="AF179" s="1298"/>
      <c r="AG179" s="1298"/>
      <c r="AH179" s="1207"/>
    </row>
    <row r="180" spans="1:34" x14ac:dyDescent="0.2">
      <c r="A180" s="1236" t="s">
        <v>82</v>
      </c>
      <c r="B180" s="1237"/>
      <c r="C180" s="1302">
        <f t="shared" ref="C180:AG181" si="21">C188</f>
        <v>0</v>
      </c>
      <c r="D180" s="1302">
        <f t="shared" si="21"/>
        <v>0</v>
      </c>
      <c r="E180" s="1302">
        <f t="shared" si="21"/>
        <v>0</v>
      </c>
      <c r="F180" s="1302">
        <f t="shared" si="21"/>
        <v>0</v>
      </c>
      <c r="G180" s="1302">
        <f t="shared" si="21"/>
        <v>0</v>
      </c>
      <c r="H180" s="1302">
        <f t="shared" si="21"/>
        <v>0</v>
      </c>
      <c r="I180" s="1302">
        <f t="shared" si="21"/>
        <v>0</v>
      </c>
      <c r="J180" s="1302">
        <f t="shared" si="21"/>
        <v>0</v>
      </c>
      <c r="K180" s="1302">
        <f t="shared" si="21"/>
        <v>0</v>
      </c>
      <c r="L180" s="1302">
        <f t="shared" si="21"/>
        <v>0</v>
      </c>
      <c r="M180" s="1302">
        <f t="shared" si="21"/>
        <v>0</v>
      </c>
      <c r="N180" s="1302">
        <f t="shared" si="21"/>
        <v>0</v>
      </c>
      <c r="O180" s="1302">
        <f t="shared" si="21"/>
        <v>0</v>
      </c>
      <c r="P180" s="1306">
        <f t="shared" si="21"/>
        <v>0</v>
      </c>
      <c r="Q180" s="1302">
        <f t="shared" si="21"/>
        <v>0</v>
      </c>
      <c r="R180" s="1302">
        <f t="shared" si="21"/>
        <v>0</v>
      </c>
      <c r="S180" s="1302">
        <f t="shared" si="21"/>
        <v>0</v>
      </c>
      <c r="T180" s="1302">
        <f t="shared" si="21"/>
        <v>0</v>
      </c>
      <c r="U180" s="1302">
        <f t="shared" si="21"/>
        <v>0</v>
      </c>
      <c r="V180" s="1302">
        <f t="shared" si="21"/>
        <v>0</v>
      </c>
      <c r="W180" s="1302">
        <f t="shared" si="21"/>
        <v>0</v>
      </c>
      <c r="X180" s="1302">
        <f t="shared" si="21"/>
        <v>0</v>
      </c>
      <c r="Y180" s="1302">
        <f t="shared" si="21"/>
        <v>0</v>
      </c>
      <c r="Z180" s="1302">
        <f t="shared" si="21"/>
        <v>0</v>
      </c>
      <c r="AA180" s="1302">
        <f t="shared" si="21"/>
        <v>0</v>
      </c>
      <c r="AB180" s="1302">
        <f t="shared" si="21"/>
        <v>0</v>
      </c>
      <c r="AC180" s="1302">
        <f t="shared" si="21"/>
        <v>0</v>
      </c>
      <c r="AD180" s="1302">
        <f t="shared" si="21"/>
        <v>0</v>
      </c>
      <c r="AE180" s="1302">
        <f t="shared" si="21"/>
        <v>0</v>
      </c>
      <c r="AF180" s="1302">
        <f t="shared" si="21"/>
        <v>0</v>
      </c>
      <c r="AG180" s="1302">
        <f t="shared" si="21"/>
        <v>0</v>
      </c>
      <c r="AH180" s="1207"/>
    </row>
    <row r="181" spans="1:34" x14ac:dyDescent="0.2">
      <c r="A181" s="1236" t="s">
        <v>83</v>
      </c>
      <c r="B181" s="1237"/>
      <c r="C181" s="1306">
        <f t="shared" si="21"/>
        <v>0</v>
      </c>
      <c r="D181" s="1306">
        <f t="shared" si="21"/>
        <v>0</v>
      </c>
      <c r="E181" s="1306">
        <f t="shared" si="21"/>
        <v>0</v>
      </c>
      <c r="F181" s="1306">
        <f t="shared" si="21"/>
        <v>0</v>
      </c>
      <c r="G181" s="1306">
        <f t="shared" si="21"/>
        <v>0</v>
      </c>
      <c r="H181" s="1306">
        <f t="shared" si="21"/>
        <v>0</v>
      </c>
      <c r="I181" s="1306">
        <f t="shared" si="21"/>
        <v>0</v>
      </c>
      <c r="J181" s="1306">
        <f t="shared" si="21"/>
        <v>0</v>
      </c>
      <c r="K181" s="1306">
        <f t="shared" si="21"/>
        <v>0</v>
      </c>
      <c r="L181" s="1306">
        <f t="shared" si="21"/>
        <v>0</v>
      </c>
      <c r="M181" s="1306">
        <f t="shared" si="21"/>
        <v>0</v>
      </c>
      <c r="N181" s="1306">
        <f t="shared" si="21"/>
        <v>0</v>
      </c>
      <c r="O181" s="1306">
        <f t="shared" si="21"/>
        <v>0</v>
      </c>
      <c r="P181" s="1306">
        <f t="shared" si="21"/>
        <v>0</v>
      </c>
      <c r="Q181" s="1306">
        <f t="shared" si="21"/>
        <v>0</v>
      </c>
      <c r="R181" s="1306">
        <f t="shared" si="21"/>
        <v>0</v>
      </c>
      <c r="S181" s="1306">
        <f t="shared" si="21"/>
        <v>0</v>
      </c>
      <c r="T181" s="1306">
        <f t="shared" si="21"/>
        <v>0</v>
      </c>
      <c r="U181" s="1306">
        <f t="shared" si="21"/>
        <v>0</v>
      </c>
      <c r="V181" s="1306">
        <f t="shared" si="21"/>
        <v>0</v>
      </c>
      <c r="W181" s="1306">
        <f t="shared" si="21"/>
        <v>0</v>
      </c>
      <c r="X181" s="1306">
        <f t="shared" si="21"/>
        <v>0</v>
      </c>
      <c r="Y181" s="1306">
        <f t="shared" si="21"/>
        <v>0</v>
      </c>
      <c r="Z181" s="1306">
        <f t="shared" si="21"/>
        <v>0</v>
      </c>
      <c r="AA181" s="1306">
        <f t="shared" si="21"/>
        <v>0</v>
      </c>
      <c r="AB181" s="1306">
        <f t="shared" si="21"/>
        <v>0</v>
      </c>
      <c r="AC181" s="1306">
        <f t="shared" si="21"/>
        <v>0</v>
      </c>
      <c r="AD181" s="1306">
        <f t="shared" si="21"/>
        <v>0</v>
      </c>
      <c r="AE181" s="1306">
        <f t="shared" si="21"/>
        <v>0</v>
      </c>
      <c r="AF181" s="1306">
        <f t="shared" si="21"/>
        <v>0</v>
      </c>
      <c r="AG181" s="1306">
        <f t="shared" si="21"/>
        <v>0</v>
      </c>
      <c r="AH181" s="1207"/>
    </row>
    <row r="182" spans="1:34" ht="13.5" thickBot="1" x14ac:dyDescent="0.25">
      <c r="A182" s="1250"/>
      <c r="B182" s="1307"/>
      <c r="C182" s="1308"/>
      <c r="D182" s="1308"/>
      <c r="E182" s="1308"/>
      <c r="F182" s="1309"/>
      <c r="G182" s="1309"/>
      <c r="H182" s="1309"/>
      <c r="I182" s="1309"/>
      <c r="J182" s="1309"/>
      <c r="K182" s="1309"/>
      <c r="L182" s="1309"/>
      <c r="M182" s="1309"/>
      <c r="N182" s="1309"/>
      <c r="O182" s="1309"/>
      <c r="P182" s="1310"/>
      <c r="Q182" s="1309"/>
      <c r="R182" s="1309"/>
      <c r="S182" s="1309"/>
      <c r="T182" s="1309"/>
      <c r="U182" s="1309"/>
      <c r="V182" s="1309"/>
      <c r="W182" s="1309"/>
      <c r="X182" s="1309"/>
      <c r="Y182" s="1309"/>
      <c r="Z182" s="1309"/>
      <c r="AA182" s="1309"/>
      <c r="AB182" s="1309"/>
      <c r="AC182" s="1309"/>
      <c r="AD182" s="1309"/>
      <c r="AE182" s="1309"/>
      <c r="AF182" s="1309"/>
      <c r="AG182" s="1309"/>
      <c r="AH182" s="1207"/>
    </row>
    <row r="183" spans="1:34" x14ac:dyDescent="0.2">
      <c r="A183" s="1236"/>
      <c r="B183" s="1237"/>
      <c r="C183" s="1302"/>
      <c r="D183" s="1302"/>
      <c r="E183" s="1302"/>
      <c r="F183" s="1303"/>
      <c r="G183" s="1303"/>
      <c r="H183" s="1303"/>
      <c r="I183" s="1303"/>
      <c r="J183" s="1303"/>
      <c r="K183" s="1303"/>
      <c r="L183" s="1303"/>
      <c r="M183" s="1303"/>
      <c r="N183" s="1303"/>
      <c r="O183" s="1303"/>
      <c r="P183" s="1304"/>
      <c r="Q183" s="1303"/>
      <c r="R183" s="1303"/>
      <c r="S183" s="1303"/>
      <c r="T183" s="1303"/>
      <c r="U183" s="1303"/>
      <c r="V183" s="1303"/>
      <c r="W183" s="1303"/>
      <c r="X183" s="1303"/>
      <c r="Y183" s="1303"/>
      <c r="Z183" s="1303"/>
      <c r="AA183" s="1303"/>
      <c r="AB183" s="1303"/>
      <c r="AC183" s="1303"/>
      <c r="AD183" s="1303"/>
      <c r="AE183" s="1303"/>
      <c r="AF183" s="1303"/>
      <c r="AG183" s="1303"/>
      <c r="AH183" s="1208"/>
    </row>
    <row r="184" spans="1:34" x14ac:dyDescent="0.2">
      <c r="A184" s="1236" t="s">
        <v>14</v>
      </c>
      <c r="B184" s="1237"/>
      <c r="C184" s="1302">
        <f t="shared" ref="C184:AG184" si="22">C177+C180+C181</f>
        <v>-919.20799999999997</v>
      </c>
      <c r="D184" s="1302">
        <f t="shared" si="22"/>
        <v>-919.20799999999997</v>
      </c>
      <c r="E184" s="1302">
        <f t="shared" si="22"/>
        <v>-919.20799999999997</v>
      </c>
      <c r="F184" s="1302">
        <f t="shared" si="22"/>
        <v>-919.20799999999997</v>
      </c>
      <c r="G184" s="1302">
        <f t="shared" si="22"/>
        <v>-919.20799999999997</v>
      </c>
      <c r="H184" s="1302">
        <f t="shared" si="22"/>
        <v>-919.20799999999997</v>
      </c>
      <c r="I184" s="1302">
        <f t="shared" si="22"/>
        <v>-919.20799999999997</v>
      </c>
      <c r="J184" s="1302">
        <f t="shared" si="22"/>
        <v>-919.20799999999997</v>
      </c>
      <c r="K184" s="1302">
        <f t="shared" si="22"/>
        <v>-919.20799999999997</v>
      </c>
      <c r="L184" s="1302">
        <f t="shared" si="22"/>
        <v>-919.20799999999997</v>
      </c>
      <c r="M184" s="1302">
        <f t="shared" si="22"/>
        <v>-919.20799999999997</v>
      </c>
      <c r="N184" s="1302">
        <f t="shared" si="22"/>
        <v>-919.20799999999997</v>
      </c>
      <c r="O184" s="1302">
        <f t="shared" si="22"/>
        <v>-919.20799999999997</v>
      </c>
      <c r="P184" s="1306">
        <f t="shared" si="22"/>
        <v>-919.20799999999997</v>
      </c>
      <c r="Q184" s="1302">
        <f t="shared" si="22"/>
        <v>-919.20799999999997</v>
      </c>
      <c r="R184" s="1302">
        <f t="shared" si="22"/>
        <v>-919.20799999999997</v>
      </c>
      <c r="S184" s="1302">
        <f t="shared" si="22"/>
        <v>-919.20799999999997</v>
      </c>
      <c r="T184" s="1302">
        <f t="shared" si="22"/>
        <v>-919.20799999999997</v>
      </c>
      <c r="U184" s="1302">
        <f t="shared" si="22"/>
        <v>-919.20799999999997</v>
      </c>
      <c r="V184" s="1302">
        <f t="shared" si="22"/>
        <v>-919.20799999999997</v>
      </c>
      <c r="W184" s="1302">
        <f t="shared" si="22"/>
        <v>-919.20799999999997</v>
      </c>
      <c r="X184" s="1302">
        <f t="shared" si="22"/>
        <v>-919.20799999999997</v>
      </c>
      <c r="Y184" s="1302">
        <f t="shared" si="22"/>
        <v>-919.20799999999997</v>
      </c>
      <c r="Z184" s="1302">
        <f t="shared" si="22"/>
        <v>-919.20799999999997</v>
      </c>
      <c r="AA184" s="1302">
        <f t="shared" si="22"/>
        <v>-919.20799999999997</v>
      </c>
      <c r="AB184" s="1302">
        <f t="shared" si="22"/>
        <v>-919.20799999999997</v>
      </c>
      <c r="AC184" s="1302">
        <f t="shared" si="22"/>
        <v>-919.20799999999997</v>
      </c>
      <c r="AD184" s="1302">
        <f t="shared" si="22"/>
        <v>-919.20799999999997</v>
      </c>
      <c r="AE184" s="1302">
        <f t="shared" si="22"/>
        <v>-919.20799999999997</v>
      </c>
      <c r="AF184" s="1302">
        <f t="shared" si="22"/>
        <v>-919.20799999999997</v>
      </c>
      <c r="AG184" s="1302">
        <f t="shared" si="22"/>
        <v>-919.20799999999997</v>
      </c>
      <c r="AH184" s="1229"/>
    </row>
    <row r="185" spans="1:34" x14ac:dyDescent="0.2">
      <c r="A185" s="1236"/>
      <c r="B185" s="1237"/>
      <c r="C185" s="1302"/>
      <c r="D185" s="1302"/>
      <c r="E185" s="1302"/>
      <c r="F185" s="1303"/>
      <c r="G185" s="1303"/>
      <c r="H185" s="1303"/>
      <c r="I185" s="1303"/>
      <c r="J185" s="1303"/>
      <c r="K185" s="1303"/>
      <c r="L185" s="1303"/>
      <c r="M185" s="1303"/>
      <c r="N185" s="1303"/>
      <c r="O185" s="1303"/>
      <c r="P185" s="1304"/>
      <c r="Q185" s="1303"/>
      <c r="R185" s="1303"/>
      <c r="S185" s="1303"/>
      <c r="T185" s="1303"/>
      <c r="U185" s="1303"/>
      <c r="V185" s="1303"/>
      <c r="W185" s="1303"/>
      <c r="X185" s="1303"/>
      <c r="Y185" s="1303"/>
      <c r="Z185" s="1303"/>
      <c r="AA185" s="1303"/>
      <c r="AB185" s="1303"/>
      <c r="AC185" s="1303"/>
      <c r="AD185" s="1303"/>
      <c r="AE185" s="1303"/>
      <c r="AF185" s="1303"/>
      <c r="AG185" s="1303"/>
      <c r="AH185" s="1208"/>
    </row>
    <row r="186" spans="1:34" ht="13.5" thickBot="1" x14ac:dyDescent="0.25">
      <c r="A186" s="1250"/>
      <c r="B186" s="1307"/>
      <c r="C186" s="1312"/>
      <c r="D186" s="1312"/>
      <c r="E186" s="1312"/>
      <c r="F186" s="1313"/>
      <c r="G186" s="1313"/>
      <c r="H186" s="1313"/>
      <c r="I186" s="1313"/>
      <c r="J186" s="1313"/>
      <c r="K186" s="1313"/>
      <c r="L186" s="1313"/>
      <c r="M186" s="1313"/>
      <c r="N186" s="1313"/>
      <c r="O186" s="1313"/>
      <c r="P186" s="1314"/>
      <c r="Q186" s="1313"/>
      <c r="R186" s="1313"/>
      <c r="S186" s="1313"/>
      <c r="T186" s="1313"/>
      <c r="U186" s="1313"/>
      <c r="V186" s="1313"/>
      <c r="W186" s="1313"/>
      <c r="X186" s="1313"/>
      <c r="Y186" s="1313"/>
      <c r="Z186" s="1313"/>
      <c r="AA186" s="1313"/>
      <c r="AB186" s="1313"/>
      <c r="AC186" s="1313"/>
      <c r="AD186" s="1313"/>
      <c r="AE186" s="1313"/>
      <c r="AF186" s="1313"/>
      <c r="AG186" s="1313"/>
      <c r="AH186" s="1208"/>
    </row>
    <row r="187" spans="1:34" x14ac:dyDescent="0.2">
      <c r="A187" s="1316"/>
      <c r="B187" s="1207"/>
      <c r="C187" s="1227"/>
      <c r="D187" s="1227"/>
      <c r="E187" s="1227"/>
      <c r="F187" s="1227"/>
      <c r="G187" s="1227"/>
      <c r="H187" s="1227"/>
      <c r="I187" s="1227"/>
      <c r="J187" s="1227"/>
      <c r="K187" s="1227"/>
      <c r="L187" s="1227"/>
      <c r="M187" s="1227"/>
      <c r="N187" s="1227"/>
      <c r="O187" s="1227"/>
      <c r="P187" s="1229"/>
      <c r="Q187" s="1227"/>
      <c r="R187" s="1227"/>
      <c r="S187" s="1227"/>
      <c r="T187" s="1227"/>
      <c r="U187" s="1227"/>
      <c r="V187" s="1227"/>
      <c r="W187" s="1227"/>
      <c r="X187" s="1227"/>
      <c r="Y187" s="1227"/>
      <c r="Z187" s="1227"/>
      <c r="AA187" s="1227"/>
      <c r="AB187" s="1227"/>
      <c r="AC187" s="1227"/>
      <c r="AD187" s="1227"/>
      <c r="AE187" s="1227"/>
      <c r="AF187" s="1227"/>
      <c r="AG187" s="1227"/>
      <c r="AH187" s="1208"/>
    </row>
    <row r="188" spans="1:34" x14ac:dyDescent="0.2">
      <c r="A188" s="1344"/>
      <c r="B188" s="1383"/>
      <c r="C188" s="1219"/>
      <c r="D188" s="1219"/>
      <c r="E188" s="1219"/>
      <c r="F188" s="1219"/>
      <c r="G188" s="1219"/>
      <c r="H188" s="1219"/>
      <c r="I188" s="1219"/>
      <c r="J188" s="1219"/>
      <c r="K188" s="1219"/>
      <c r="L188" s="1219"/>
      <c r="M188" s="1219"/>
      <c r="N188" s="1219"/>
      <c r="O188" s="1221"/>
      <c r="P188" s="1221"/>
      <c r="Q188" s="1219"/>
      <c r="R188" s="1219"/>
      <c r="S188" s="1219"/>
      <c r="T188" s="1219"/>
      <c r="U188" s="1219"/>
      <c r="V188" s="1219"/>
      <c r="W188" s="1219"/>
      <c r="X188" s="1219"/>
      <c r="Y188" s="1219"/>
      <c r="Z188" s="1219"/>
      <c r="AA188" s="1384"/>
      <c r="AB188" s="1219"/>
      <c r="AC188" s="1219"/>
      <c r="AD188" s="1219"/>
      <c r="AE188" s="1219"/>
      <c r="AF188" s="1219"/>
      <c r="AG188" s="1219"/>
      <c r="AH188" s="1229"/>
    </row>
    <row r="189" spans="1:34" x14ac:dyDescent="0.2">
      <c r="A189" s="1316"/>
      <c r="B189" s="1207"/>
      <c r="C189" s="1219"/>
      <c r="D189" s="1219"/>
      <c r="E189" s="1219"/>
      <c r="F189" s="1219"/>
      <c r="G189" s="1219"/>
      <c r="H189" s="1219"/>
      <c r="I189" s="1219"/>
      <c r="J189" s="1219"/>
      <c r="K189" s="1219"/>
      <c r="L189" s="1219"/>
      <c r="M189" s="1219"/>
      <c r="N189" s="1219"/>
      <c r="O189" s="1219"/>
      <c r="P189" s="1221"/>
      <c r="Q189" s="1219"/>
      <c r="R189" s="1219"/>
      <c r="S189" s="1219"/>
      <c r="T189" s="1219"/>
      <c r="U189" s="1219"/>
      <c r="V189" s="1219"/>
      <c r="W189" s="1219"/>
      <c r="X189" s="1219"/>
      <c r="Y189" s="1219"/>
      <c r="Z189" s="1219"/>
      <c r="AA189" s="1219"/>
      <c r="AB189" s="1219"/>
      <c r="AC189" s="1219"/>
      <c r="AD189" s="1219"/>
      <c r="AE189" s="1219"/>
      <c r="AF189" s="1219"/>
      <c r="AG189" s="1219"/>
      <c r="AH189" s="1229"/>
    </row>
    <row r="190" spans="1:34" x14ac:dyDescent="0.2">
      <c r="A190" s="1210" t="s">
        <v>415</v>
      </c>
      <c r="B190" s="1215">
        <f>SUM(B191:B194)</f>
        <v>375000</v>
      </c>
      <c r="C190" s="1207"/>
      <c r="D190" s="1207"/>
      <c r="E190" s="1207"/>
      <c r="F190" s="1207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8"/>
      <c r="Q190" s="1207"/>
      <c r="R190" s="1207"/>
      <c r="S190" s="1207"/>
      <c r="T190" s="1385"/>
      <c r="U190" s="1345"/>
      <c r="V190" s="1207"/>
      <c r="W190" s="1207"/>
      <c r="X190" s="1207"/>
      <c r="Y190" s="1207"/>
      <c r="Z190" s="1207"/>
      <c r="AA190" s="1384"/>
      <c r="AB190" s="1207"/>
      <c r="AC190" s="1207"/>
      <c r="AD190" s="1207"/>
      <c r="AE190" s="1207"/>
      <c r="AF190" s="1207"/>
      <c r="AG190" s="1207"/>
      <c r="AH190" s="1207"/>
    </row>
    <row r="191" spans="1:34" x14ac:dyDescent="0.2">
      <c r="A191" s="1365" t="s">
        <v>414</v>
      </c>
      <c r="B191" s="1219">
        <v>25000</v>
      </c>
      <c r="C191" s="1207"/>
      <c r="D191" s="1229"/>
      <c r="E191" s="1207"/>
      <c r="F191" s="1207"/>
      <c r="G191" s="1207"/>
      <c r="H191" s="1207"/>
      <c r="I191" s="1207"/>
      <c r="J191" s="1207"/>
      <c r="K191" s="1207"/>
      <c r="L191" s="1207"/>
      <c r="M191" s="1207"/>
      <c r="N191" s="1207"/>
      <c r="O191" s="1207"/>
      <c r="P191" s="1208"/>
      <c r="Q191" s="1207"/>
      <c r="R191" s="1207"/>
      <c r="S191" s="1219"/>
      <c r="T191" s="1350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</row>
    <row r="192" spans="1:34" x14ac:dyDescent="0.2">
      <c r="A192" s="1365" t="s">
        <v>287</v>
      </c>
      <c r="B192" s="1219">
        <v>200000</v>
      </c>
      <c r="C192" s="1207"/>
      <c r="D192" s="1207"/>
      <c r="E192" s="1207"/>
      <c r="F192" s="1207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8"/>
      <c r="Q192" s="1207"/>
      <c r="R192" s="1207"/>
      <c r="S192" s="1219"/>
      <c r="T192" s="1350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</row>
    <row r="193" spans="1:34" x14ac:dyDescent="0.2">
      <c r="A193" s="1316" t="s">
        <v>413</v>
      </c>
      <c r="B193" s="1386">
        <v>75000</v>
      </c>
      <c r="C193" s="1207"/>
      <c r="D193" s="1207"/>
      <c r="E193" s="1207"/>
      <c r="F193" s="1207"/>
      <c r="G193" s="1207"/>
      <c r="H193" s="1207"/>
      <c r="I193" s="1207"/>
      <c r="J193" s="1207"/>
      <c r="K193" s="1207"/>
      <c r="L193" s="1227"/>
      <c r="M193" s="1207"/>
      <c r="N193" s="1207"/>
      <c r="O193" s="1207"/>
      <c r="P193" s="1208"/>
      <c r="Q193" s="1207"/>
      <c r="R193" s="1207"/>
      <c r="S193" s="1219"/>
      <c r="T193" s="1350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</row>
    <row r="194" spans="1:34" x14ac:dyDescent="0.2">
      <c r="A194" s="1316" t="s">
        <v>441</v>
      </c>
      <c r="B194" s="1219">
        <v>75000</v>
      </c>
      <c r="C194" s="1207"/>
      <c r="D194" s="1207"/>
      <c r="E194" s="1207"/>
      <c r="F194" s="1207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8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</row>
    <row r="195" spans="1:34" x14ac:dyDescent="0.2">
      <c r="A195" s="1207"/>
      <c r="B195" s="1207"/>
      <c r="C195" s="1207"/>
      <c r="D195" s="1207"/>
      <c r="E195" s="1207"/>
      <c r="F195" s="1207"/>
      <c r="G195" s="1207"/>
      <c r="H195" s="1207"/>
      <c r="I195" s="1207"/>
      <c r="J195" s="1207"/>
      <c r="K195" s="1207"/>
      <c r="L195" s="1207"/>
      <c r="M195" s="1207"/>
      <c r="N195" s="1207"/>
      <c r="O195" s="1207"/>
      <c r="P195" s="1208"/>
      <c r="Q195" s="1207"/>
      <c r="R195" s="1207"/>
      <c r="S195" s="1207"/>
      <c r="T195" s="1207"/>
      <c r="U195" s="1207"/>
      <c r="V195" s="1207"/>
      <c r="W195" s="1207"/>
      <c r="X195" s="1207"/>
      <c r="Y195" s="1207"/>
      <c r="Z195" s="1207"/>
      <c r="AA195" s="1207"/>
      <c r="AB195" s="1207"/>
      <c r="AC195" s="1207"/>
      <c r="AD195" s="1207"/>
      <c r="AE195" s="1207"/>
      <c r="AF195" s="1207"/>
      <c r="AG195" s="1207"/>
      <c r="AH195" s="1207"/>
    </row>
    <row r="196" spans="1:34" ht="13.5" thickBot="1" x14ac:dyDescent="0.25">
      <c r="A196" s="1207"/>
      <c r="B196" s="1207"/>
      <c r="C196" s="1207"/>
      <c r="D196" s="1207"/>
      <c r="E196" s="1207"/>
      <c r="F196" s="1207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8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07"/>
      <c r="AA196" s="1207"/>
      <c r="AB196" s="1207"/>
      <c r="AC196" s="1207"/>
      <c r="AD196" s="1207"/>
      <c r="AE196" s="1207"/>
      <c r="AF196" s="1207"/>
      <c r="AG196" s="1207"/>
      <c r="AH196" s="1207"/>
    </row>
    <row r="197" spans="1:34" x14ac:dyDescent="0.2">
      <c r="A197" s="1233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34"/>
      <c r="O197" s="1234"/>
      <c r="P197" s="1235"/>
      <c r="Q197" s="1234"/>
      <c r="R197" s="1234"/>
      <c r="S197" s="1234"/>
      <c r="T197" s="1234"/>
      <c r="U197" s="1234"/>
      <c r="V197" s="1234"/>
      <c r="W197" s="1234"/>
      <c r="X197" s="1234"/>
      <c r="Y197" s="1234"/>
      <c r="Z197" s="1234"/>
      <c r="AA197" s="1234"/>
      <c r="AB197" s="1234"/>
      <c r="AC197" s="1234"/>
      <c r="AD197" s="1234"/>
      <c r="AE197" s="1234"/>
      <c r="AF197" s="1234"/>
      <c r="AG197" s="1234"/>
      <c r="AH197" s="1207"/>
    </row>
    <row r="198" spans="1:34" x14ac:dyDescent="0.2">
      <c r="A198" s="1236"/>
      <c r="B198" s="1237" t="s">
        <v>37</v>
      </c>
      <c r="C198" s="1237"/>
      <c r="D198" s="1237"/>
      <c r="E198" s="1238" t="s">
        <v>912</v>
      </c>
      <c r="F198" s="1239" t="s">
        <v>96</v>
      </c>
      <c r="G198" s="1211"/>
      <c r="H198" s="1239"/>
      <c r="I198" s="1239"/>
      <c r="J198" s="1239"/>
      <c r="K198" s="1239"/>
      <c r="L198" s="1239"/>
      <c r="M198" s="1239"/>
      <c r="N198" s="1239"/>
      <c r="O198" s="1239"/>
      <c r="P198" s="1240"/>
      <c r="Q198" s="1239"/>
      <c r="R198" s="1239"/>
      <c r="S198" s="1239"/>
      <c r="T198" s="1239"/>
      <c r="U198" s="1239"/>
      <c r="V198" s="1239"/>
      <c r="W198" s="1239"/>
      <c r="X198" s="1239"/>
      <c r="Y198" s="1239"/>
      <c r="Z198" s="1239"/>
      <c r="AA198" s="1239"/>
      <c r="AB198" s="1239"/>
      <c r="AC198" s="1239"/>
      <c r="AD198" s="1239"/>
      <c r="AE198" s="1239"/>
      <c r="AF198" s="1239"/>
      <c r="AG198" s="1239"/>
      <c r="AH198" s="1207"/>
    </row>
    <row r="199" spans="1:34" x14ac:dyDescent="0.2">
      <c r="A199" s="1236"/>
      <c r="B199" s="1237"/>
      <c r="C199" s="1237"/>
      <c r="D199" s="1239">
        <v>42438</v>
      </c>
      <c r="E199" s="1237"/>
      <c r="F199" s="1237"/>
      <c r="G199" s="1237"/>
      <c r="H199" s="1237"/>
      <c r="I199" s="1237"/>
      <c r="J199" s="1237"/>
      <c r="K199" s="1237"/>
      <c r="L199" s="1237"/>
      <c r="M199" s="1237"/>
      <c r="N199" s="1237"/>
      <c r="O199" s="1237"/>
      <c r="P199" s="1241"/>
      <c r="Q199" s="1237"/>
      <c r="R199" s="1237"/>
      <c r="S199" s="1237"/>
      <c r="T199" s="1237"/>
      <c r="U199" s="1237"/>
      <c r="V199" s="1237"/>
      <c r="W199" s="1237"/>
      <c r="X199" s="1237"/>
      <c r="Y199" s="1237"/>
      <c r="Z199" s="1237"/>
      <c r="AA199" s="1237"/>
      <c r="AB199" s="1237"/>
      <c r="AC199" s="1237"/>
      <c r="AD199" s="1237"/>
      <c r="AE199" s="1237"/>
      <c r="AF199" s="1237"/>
      <c r="AG199" s="1237"/>
      <c r="AH199" s="1207"/>
    </row>
    <row r="200" spans="1:34" x14ac:dyDescent="0.2">
      <c r="A200" s="1236"/>
      <c r="B200" s="1237"/>
      <c r="C200" s="1239"/>
      <c r="D200" s="1239"/>
      <c r="E200" s="1237"/>
      <c r="F200" s="1237"/>
      <c r="G200" s="1237"/>
      <c r="H200" s="1237"/>
      <c r="I200" s="1237"/>
      <c r="J200" s="1237"/>
      <c r="K200" s="1237"/>
      <c r="L200" s="1237"/>
      <c r="M200" s="1237"/>
      <c r="N200" s="1237"/>
      <c r="O200" s="1237"/>
      <c r="P200" s="1241"/>
      <c r="Q200" s="1237"/>
      <c r="R200" s="1237"/>
      <c r="S200" s="1237"/>
      <c r="T200" s="1237"/>
      <c r="U200" s="1237"/>
      <c r="V200" s="1237"/>
      <c r="W200" s="1237"/>
      <c r="X200" s="1237"/>
      <c r="Y200" s="1237"/>
      <c r="Z200" s="1237"/>
      <c r="AA200" s="1237"/>
      <c r="AB200" s="1237"/>
      <c r="AC200" s="1237"/>
      <c r="AD200" s="1237"/>
      <c r="AE200" s="1237"/>
      <c r="AF200" s="1237"/>
      <c r="AG200" s="1237"/>
      <c r="AH200" s="1207"/>
    </row>
    <row r="201" spans="1:34" x14ac:dyDescent="0.2">
      <c r="A201" s="1236"/>
      <c r="B201" s="1237"/>
      <c r="C201" s="1239"/>
      <c r="D201" s="1239"/>
      <c r="E201" s="1237"/>
      <c r="F201" s="1237"/>
      <c r="G201" s="1237"/>
      <c r="H201" s="1237"/>
      <c r="I201" s="1237"/>
      <c r="J201" s="1237"/>
      <c r="K201" s="1237"/>
      <c r="L201" s="1237"/>
      <c r="M201" s="1237"/>
      <c r="N201" s="1237"/>
      <c r="O201" s="1237"/>
      <c r="P201" s="1241"/>
      <c r="Q201" s="1237"/>
      <c r="R201" s="1237"/>
      <c r="S201" s="1237"/>
      <c r="T201" s="1237"/>
      <c r="U201" s="1237"/>
      <c r="V201" s="1237"/>
      <c r="W201" s="1237"/>
      <c r="X201" s="1237"/>
      <c r="Y201" s="1237"/>
      <c r="Z201" s="1237"/>
      <c r="AA201" s="1237"/>
      <c r="AB201" s="1237"/>
      <c r="AC201" s="1237"/>
      <c r="AD201" s="1237"/>
      <c r="AE201" s="1237"/>
      <c r="AF201" s="1237"/>
      <c r="AG201" s="1237"/>
      <c r="AH201" s="1207"/>
    </row>
    <row r="202" spans="1:34" ht="13.5" thickBot="1" x14ac:dyDescent="0.25">
      <c r="A202" s="1236"/>
      <c r="B202" s="1237"/>
      <c r="C202" s="1237"/>
      <c r="D202" s="1237"/>
      <c r="E202" s="1237"/>
      <c r="F202" s="1237"/>
      <c r="G202" s="1237"/>
      <c r="H202" s="1237"/>
      <c r="I202" s="1237"/>
      <c r="J202" s="1237"/>
      <c r="K202" s="1237"/>
      <c r="L202" s="1237"/>
      <c r="M202" s="1237"/>
      <c r="N202" s="1237"/>
      <c r="O202" s="1237"/>
      <c r="P202" s="1241"/>
      <c r="Q202" s="1237"/>
      <c r="R202" s="1237"/>
      <c r="S202" s="1237"/>
      <c r="T202" s="1237"/>
      <c r="U202" s="1237"/>
      <c r="V202" s="1237"/>
      <c r="W202" s="1237"/>
      <c r="X202" s="1237"/>
      <c r="Y202" s="1237"/>
      <c r="Z202" s="1237"/>
      <c r="AA202" s="1237"/>
      <c r="AB202" s="1237"/>
      <c r="AC202" s="1237"/>
      <c r="AD202" s="1237"/>
      <c r="AE202" s="1237"/>
      <c r="AF202" s="1237"/>
      <c r="AG202" s="1237"/>
      <c r="AH202" s="1207"/>
    </row>
    <row r="203" spans="1:34" ht="13.5" thickBot="1" x14ac:dyDescent="0.25">
      <c r="A203" s="1236"/>
      <c r="B203" s="1237"/>
      <c r="C203" s="1243"/>
      <c r="D203" s="1244" t="s">
        <v>16</v>
      </c>
      <c r="E203" s="1244"/>
      <c r="F203" s="1244"/>
      <c r="G203" s="1244"/>
      <c r="H203" s="1244"/>
      <c r="I203" s="1244"/>
      <c r="J203" s="1244"/>
      <c r="K203" s="1244"/>
      <c r="L203" s="1244"/>
      <c r="M203" s="1244"/>
      <c r="N203" s="1244"/>
      <c r="O203" s="1244"/>
      <c r="P203" s="1245"/>
      <c r="Q203" s="1244"/>
      <c r="R203" s="1244"/>
      <c r="S203" s="1244"/>
      <c r="T203" s="1244"/>
      <c r="U203" s="1244"/>
      <c r="V203" s="1244"/>
      <c r="W203" s="1244"/>
      <c r="X203" s="1244"/>
      <c r="Y203" s="1244"/>
      <c r="Z203" s="1244"/>
      <c r="AA203" s="1244"/>
      <c r="AB203" s="1244"/>
      <c r="AC203" s="1244"/>
      <c r="AD203" s="1244"/>
      <c r="AE203" s="1244"/>
      <c r="AF203" s="1244"/>
      <c r="AG203" s="1244"/>
      <c r="AH203" s="1207"/>
    </row>
    <row r="204" spans="1:34" ht="13.5" thickBot="1" x14ac:dyDescent="0.25">
      <c r="A204" s="1236"/>
      <c r="B204" s="1237"/>
      <c r="C204" s="1246" t="s">
        <v>452</v>
      </c>
      <c r="D204" s="1246" t="s">
        <v>453</v>
      </c>
      <c r="E204" s="1246" t="s">
        <v>434</v>
      </c>
      <c r="F204" s="1246" t="s">
        <v>390</v>
      </c>
      <c r="G204" s="1246" t="s">
        <v>454</v>
      </c>
      <c r="H204" s="1246" t="s">
        <v>455</v>
      </c>
      <c r="I204" s="1246" t="s">
        <v>456</v>
      </c>
      <c r="J204" s="1246" t="s">
        <v>457</v>
      </c>
      <c r="K204" s="1246" t="s">
        <v>458</v>
      </c>
      <c r="L204" s="1246" t="s">
        <v>216</v>
      </c>
      <c r="M204" s="1246" t="s">
        <v>459</v>
      </c>
      <c r="N204" s="1246" t="s">
        <v>297</v>
      </c>
      <c r="O204" s="1246" t="s">
        <v>211</v>
      </c>
      <c r="P204" s="1247" t="s">
        <v>270</v>
      </c>
      <c r="Q204" s="1246">
        <v>15</v>
      </c>
      <c r="R204" s="1246">
        <v>16</v>
      </c>
      <c r="S204" s="1246" t="s">
        <v>461</v>
      </c>
      <c r="T204" s="1246" t="s">
        <v>442</v>
      </c>
      <c r="U204" s="1246" t="s">
        <v>462</v>
      </c>
      <c r="V204" s="1246" t="s">
        <v>470</v>
      </c>
      <c r="W204" s="1246" t="s">
        <v>471</v>
      </c>
      <c r="X204" s="1246" t="s">
        <v>472</v>
      </c>
      <c r="Y204" s="1246" t="s">
        <v>463</v>
      </c>
      <c r="Z204" s="1246" t="s">
        <v>465</v>
      </c>
      <c r="AA204" s="1246" t="s">
        <v>466</v>
      </c>
      <c r="AB204" s="1246" t="s">
        <v>435</v>
      </c>
      <c r="AC204" s="1246" t="s">
        <v>467</v>
      </c>
      <c r="AD204" s="1246" t="s">
        <v>464</v>
      </c>
      <c r="AE204" s="1246" t="s">
        <v>429</v>
      </c>
      <c r="AF204" s="1246" t="s">
        <v>149</v>
      </c>
      <c r="AG204" s="1246" t="s">
        <v>210</v>
      </c>
      <c r="AH204" s="1207"/>
    </row>
    <row r="205" spans="1:34" x14ac:dyDescent="0.2">
      <c r="A205" s="1233"/>
      <c r="B205" s="1248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37"/>
      <c r="O205" s="1237"/>
      <c r="P205" s="1241"/>
      <c r="Q205" s="1237"/>
      <c r="R205" s="1237"/>
      <c r="S205" s="1237"/>
      <c r="T205" s="1237"/>
      <c r="U205" s="1237"/>
      <c r="V205" s="1237"/>
      <c r="W205" s="1237"/>
      <c r="X205" s="1237"/>
      <c r="Y205" s="1237"/>
      <c r="Z205" s="1237"/>
      <c r="AA205" s="1237"/>
      <c r="AB205" s="1237"/>
      <c r="AC205" s="1237"/>
      <c r="AD205" s="1237"/>
      <c r="AE205" s="1237"/>
      <c r="AF205" s="1237"/>
      <c r="AG205" s="1237"/>
      <c r="AH205" s="1207"/>
    </row>
    <row r="206" spans="1:34" x14ac:dyDescent="0.2">
      <c r="A206" s="1236" t="s">
        <v>0</v>
      </c>
      <c r="B206" s="1249">
        <v>8845.4609999999993</v>
      </c>
      <c r="C206" s="1237"/>
      <c r="D206" s="1237"/>
      <c r="E206" s="1237"/>
      <c r="F206" s="1237"/>
      <c r="G206" s="1237"/>
      <c r="H206" s="1237"/>
      <c r="I206" s="1237"/>
      <c r="J206" s="1237"/>
      <c r="K206" s="1237"/>
      <c r="L206" s="1237"/>
      <c r="M206" s="1237"/>
      <c r="N206" s="1237"/>
      <c r="O206" s="1237"/>
      <c r="P206" s="1241"/>
      <c r="Q206" s="1237"/>
      <c r="R206" s="1237"/>
      <c r="S206" s="1237"/>
      <c r="T206" s="1237"/>
      <c r="U206" s="1237"/>
      <c r="V206" s="1237"/>
      <c r="W206" s="1237"/>
      <c r="X206" s="1237"/>
      <c r="Y206" s="1237"/>
      <c r="Z206" s="1237"/>
      <c r="AA206" s="1237"/>
      <c r="AB206" s="1237"/>
      <c r="AC206" s="1237"/>
      <c r="AD206" s="1237"/>
      <c r="AE206" s="1237"/>
      <c r="AF206" s="1237"/>
      <c r="AG206" s="1237"/>
      <c r="AH206" s="1207"/>
    </row>
    <row r="207" spans="1:34" ht="13.5" thickBot="1" x14ac:dyDescent="0.25">
      <c r="A207" s="1250"/>
      <c r="B207" s="1251"/>
      <c r="C207" s="1237"/>
      <c r="D207" s="1237"/>
      <c r="E207" s="1237"/>
      <c r="F207" s="1237"/>
      <c r="G207" s="1237"/>
      <c r="H207" s="1237"/>
      <c r="I207" s="1237"/>
      <c r="J207" s="1237"/>
      <c r="K207" s="1237"/>
      <c r="L207" s="1237"/>
      <c r="M207" s="1237"/>
      <c r="N207" s="1237"/>
      <c r="O207" s="1237"/>
      <c r="P207" s="1241"/>
      <c r="Q207" s="1237"/>
      <c r="R207" s="1237"/>
      <c r="S207" s="1237"/>
      <c r="T207" s="1237"/>
      <c r="U207" s="1237"/>
      <c r="V207" s="1237"/>
      <c r="W207" s="1237"/>
      <c r="X207" s="1237"/>
      <c r="Y207" s="1237"/>
      <c r="Z207" s="1237"/>
      <c r="AA207" s="1237"/>
      <c r="AB207" s="1237"/>
      <c r="AC207" s="1237"/>
      <c r="AD207" s="1237"/>
      <c r="AE207" s="1237"/>
      <c r="AF207" s="1237"/>
      <c r="AG207" s="1237"/>
      <c r="AH207" s="1207"/>
    </row>
    <row r="208" spans="1:34" x14ac:dyDescent="0.2">
      <c r="A208" s="1233"/>
      <c r="B208" s="1253"/>
      <c r="C208" s="1237"/>
      <c r="D208" s="1237"/>
      <c r="E208" s="1237"/>
      <c r="F208" s="1237"/>
      <c r="G208" s="1237"/>
      <c r="H208" s="1237"/>
      <c r="I208" s="1237"/>
      <c r="J208" s="1237"/>
      <c r="K208" s="1237"/>
      <c r="L208" s="1237"/>
      <c r="M208" s="1237"/>
      <c r="N208" s="1237"/>
      <c r="O208" s="1237"/>
      <c r="P208" s="1241"/>
      <c r="Q208" s="1237"/>
      <c r="R208" s="1237"/>
      <c r="S208" s="1237"/>
      <c r="T208" s="1237"/>
      <c r="U208" s="1237"/>
      <c r="V208" s="1237"/>
      <c r="W208" s="1237"/>
      <c r="X208" s="1237"/>
      <c r="Y208" s="1237"/>
      <c r="Z208" s="1237"/>
      <c r="AA208" s="1237"/>
      <c r="AB208" s="1237"/>
      <c r="AC208" s="1237"/>
      <c r="AD208" s="1237"/>
      <c r="AE208" s="1237"/>
      <c r="AF208" s="1237"/>
      <c r="AG208" s="1237"/>
      <c r="AH208" s="1207"/>
    </row>
    <row r="209" spans="1:34" x14ac:dyDescent="0.2">
      <c r="A209" s="1236" t="s">
        <v>1</v>
      </c>
      <c r="B209" s="1249">
        <f>B210+B211+B212</f>
        <v>0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7"/>
      <c r="O209" s="1237"/>
      <c r="P209" s="1241"/>
      <c r="Q209" s="1237"/>
      <c r="R209" s="1237"/>
      <c r="S209" s="1237"/>
      <c r="T209" s="1237"/>
      <c r="U209" s="1237"/>
      <c r="V209" s="1237"/>
      <c r="W209" s="1237"/>
      <c r="X209" s="1237"/>
      <c r="Y209" s="1237"/>
      <c r="Z209" s="1237"/>
      <c r="AA209" s="1237"/>
      <c r="AB209" s="1237"/>
      <c r="AC209" s="1237"/>
      <c r="AD209" s="1237"/>
      <c r="AE209" s="1237"/>
      <c r="AF209" s="1237"/>
      <c r="AG209" s="1237"/>
      <c r="AH209" s="1207"/>
    </row>
    <row r="210" spans="1:34" x14ac:dyDescent="0.2">
      <c r="A210" s="1236" t="s">
        <v>38</v>
      </c>
      <c r="B210" s="1249">
        <f>C258</f>
        <v>0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7"/>
      <c r="O210" s="1237"/>
      <c r="P210" s="1241"/>
      <c r="Q210" s="1237"/>
      <c r="R210" s="1237"/>
      <c r="S210" s="1237"/>
      <c r="T210" s="1237"/>
      <c r="U210" s="1237"/>
      <c r="V210" s="1237"/>
      <c r="W210" s="1237"/>
      <c r="X210" s="1237"/>
      <c r="Y210" s="1237"/>
      <c r="Z210" s="1237"/>
      <c r="AA210" s="1237"/>
      <c r="AB210" s="1237"/>
      <c r="AC210" s="1237"/>
      <c r="AD210" s="1237"/>
      <c r="AE210" s="1237"/>
      <c r="AF210" s="1237"/>
      <c r="AG210" s="1237"/>
      <c r="AH210" s="1207"/>
    </row>
    <row r="211" spans="1:34" x14ac:dyDescent="0.2">
      <c r="A211" s="1236" t="s">
        <v>39</v>
      </c>
      <c r="B211" s="1249">
        <f>C280</f>
        <v>0</v>
      </c>
      <c r="C211" s="1237"/>
      <c r="D211" s="1237"/>
      <c r="E211" s="1237"/>
      <c r="F211" s="1237"/>
      <c r="G211" s="1237"/>
      <c r="H211" s="1237"/>
      <c r="I211" s="1237"/>
      <c r="J211" s="1237"/>
      <c r="K211" s="1237"/>
      <c r="L211" s="1237"/>
      <c r="M211" s="1237"/>
      <c r="N211" s="1237"/>
      <c r="O211" s="1237"/>
      <c r="P211" s="1241"/>
      <c r="Q211" s="1237"/>
      <c r="R211" s="1237"/>
      <c r="S211" s="1237"/>
      <c r="T211" s="1237"/>
      <c r="U211" s="1237"/>
      <c r="V211" s="1237"/>
      <c r="W211" s="1237"/>
      <c r="X211" s="1237"/>
      <c r="Y211" s="1237"/>
      <c r="Z211" s="1237"/>
      <c r="AA211" s="1237"/>
      <c r="AB211" s="1237"/>
      <c r="AC211" s="1237"/>
      <c r="AD211" s="1237"/>
      <c r="AE211" s="1237"/>
      <c r="AF211" s="1237"/>
      <c r="AG211" s="1237"/>
      <c r="AH211" s="1207"/>
    </row>
    <row r="212" spans="1:34" x14ac:dyDescent="0.2">
      <c r="A212" s="1236" t="s">
        <v>3</v>
      </c>
      <c r="B212" s="1249"/>
      <c r="C212" s="1237"/>
      <c r="D212" s="1237"/>
      <c r="E212" s="1237"/>
      <c r="F212" s="1237"/>
      <c r="G212" s="1237"/>
      <c r="H212" s="1237"/>
      <c r="I212" s="1237"/>
      <c r="J212" s="1237"/>
      <c r="K212" s="1237"/>
      <c r="L212" s="1237"/>
      <c r="M212" s="1237"/>
      <c r="N212" s="1237"/>
      <c r="O212" s="1237"/>
      <c r="P212" s="1241"/>
      <c r="Q212" s="1237"/>
      <c r="R212" s="1237"/>
      <c r="S212" s="1237"/>
      <c r="T212" s="1237"/>
      <c r="U212" s="1237"/>
      <c r="V212" s="1237"/>
      <c r="W212" s="1237"/>
      <c r="X212" s="1237"/>
      <c r="Y212" s="1237"/>
      <c r="Z212" s="1237"/>
      <c r="AA212" s="1237"/>
      <c r="AB212" s="1237"/>
      <c r="AC212" s="1237"/>
      <c r="AD212" s="1237"/>
      <c r="AE212" s="1237"/>
      <c r="AF212" s="1237"/>
      <c r="AG212" s="1237"/>
      <c r="AH212" s="1207"/>
    </row>
    <row r="213" spans="1:34" ht="13.5" thickBot="1" x14ac:dyDescent="0.25">
      <c r="A213" s="1250"/>
      <c r="B213" s="1251"/>
      <c r="C213" s="1237"/>
      <c r="D213" s="1237"/>
      <c r="E213" s="1237"/>
      <c r="F213" s="1237"/>
      <c r="G213" s="1237"/>
      <c r="H213" s="1237"/>
      <c r="I213" s="1237"/>
      <c r="J213" s="1237"/>
      <c r="K213" s="1237"/>
      <c r="L213" s="1237"/>
      <c r="M213" s="1237"/>
      <c r="N213" s="1237"/>
      <c r="O213" s="1237"/>
      <c r="P213" s="1241"/>
      <c r="Q213" s="1237"/>
      <c r="R213" s="1237"/>
      <c r="S213" s="1237"/>
      <c r="T213" s="1237"/>
      <c r="U213" s="1237"/>
      <c r="V213" s="1237"/>
      <c r="W213" s="1237"/>
      <c r="X213" s="1237"/>
      <c r="Y213" s="1237"/>
      <c r="Z213" s="1237"/>
      <c r="AA213" s="1237"/>
      <c r="AB213" s="1237"/>
      <c r="AC213" s="1237"/>
      <c r="AD213" s="1237"/>
      <c r="AE213" s="1237"/>
      <c r="AF213" s="1237"/>
      <c r="AG213" s="1237"/>
      <c r="AH213" s="1207"/>
    </row>
    <row r="214" spans="1:34" x14ac:dyDescent="0.2">
      <c r="A214" s="1233"/>
      <c r="B214" s="1253"/>
      <c r="C214" s="1237"/>
      <c r="D214" s="1237"/>
      <c r="E214" s="1237"/>
      <c r="F214" s="1237"/>
      <c r="G214" s="1237"/>
      <c r="H214" s="1237"/>
      <c r="I214" s="1237"/>
      <c r="J214" s="1237"/>
      <c r="K214" s="1237"/>
      <c r="L214" s="1237"/>
      <c r="M214" s="1237"/>
      <c r="N214" s="1237"/>
      <c r="O214" s="1237"/>
      <c r="P214" s="1241"/>
      <c r="Q214" s="1237"/>
      <c r="R214" s="1237"/>
      <c r="S214" s="1237"/>
      <c r="T214" s="1237"/>
      <c r="U214" s="1237"/>
      <c r="V214" s="1237"/>
      <c r="W214" s="1237"/>
      <c r="X214" s="1237"/>
      <c r="Y214" s="1237"/>
      <c r="Z214" s="1237"/>
      <c r="AA214" s="1237"/>
      <c r="AB214" s="1237"/>
      <c r="AC214" s="1237"/>
      <c r="AD214" s="1237"/>
      <c r="AE214" s="1237"/>
      <c r="AF214" s="1237"/>
      <c r="AG214" s="1237"/>
      <c r="AH214" s="1207"/>
    </row>
    <row r="215" spans="1:34" x14ac:dyDescent="0.2">
      <c r="A215" s="1236" t="s">
        <v>4</v>
      </c>
      <c r="B215" s="1249">
        <f>B206-B209</f>
        <v>8845.4609999999993</v>
      </c>
      <c r="C215" s="1237"/>
      <c r="D215" s="1237"/>
      <c r="E215" s="1237"/>
      <c r="F215" s="1237"/>
      <c r="G215" s="1237"/>
      <c r="H215" s="1237"/>
      <c r="I215" s="1237"/>
      <c r="J215" s="1237"/>
      <c r="K215" s="1237"/>
      <c r="L215" s="1237"/>
      <c r="M215" s="1237"/>
      <c r="N215" s="1237"/>
      <c r="O215" s="1237"/>
      <c r="P215" s="1241"/>
      <c r="Q215" s="1237"/>
      <c r="R215" s="1237"/>
      <c r="S215" s="1237"/>
      <c r="T215" s="1237"/>
      <c r="U215" s="1237"/>
      <c r="V215" s="1237"/>
      <c r="W215" s="1237"/>
      <c r="X215" s="1237"/>
      <c r="Y215" s="1237"/>
      <c r="Z215" s="1237"/>
      <c r="AA215" s="1237"/>
      <c r="AB215" s="1237"/>
      <c r="AC215" s="1237"/>
      <c r="AD215" s="1237"/>
      <c r="AE215" s="1237"/>
      <c r="AF215" s="1237"/>
      <c r="AG215" s="1237"/>
      <c r="AH215" s="1207"/>
    </row>
    <row r="216" spans="1:34" ht="13.5" thickBot="1" x14ac:dyDescent="0.25">
      <c r="A216" s="1250"/>
      <c r="B216" s="1251"/>
      <c r="C216" s="1237"/>
      <c r="D216" s="1237"/>
      <c r="E216" s="1237"/>
      <c r="F216" s="1237"/>
      <c r="G216" s="1237"/>
      <c r="H216" s="1237"/>
      <c r="I216" s="1237"/>
      <c r="J216" s="1237"/>
      <c r="K216" s="1237"/>
      <c r="L216" s="1237"/>
      <c r="M216" s="1237"/>
      <c r="N216" s="1237"/>
      <c r="O216" s="1237"/>
      <c r="P216" s="1241"/>
      <c r="Q216" s="1237"/>
      <c r="R216" s="1237"/>
      <c r="S216" s="1237"/>
      <c r="T216" s="1237"/>
      <c r="U216" s="1237"/>
      <c r="V216" s="1237"/>
      <c r="W216" s="1237"/>
      <c r="X216" s="1237"/>
      <c r="Y216" s="1237"/>
      <c r="Z216" s="1237"/>
      <c r="AA216" s="1237"/>
      <c r="AB216" s="1237"/>
      <c r="AC216" s="1237"/>
      <c r="AD216" s="1237"/>
      <c r="AE216" s="1237"/>
      <c r="AF216" s="1237"/>
      <c r="AG216" s="1237"/>
      <c r="AH216" s="1207"/>
    </row>
    <row r="217" spans="1:34" x14ac:dyDescent="0.2">
      <c r="A217" s="1233"/>
      <c r="B217" s="1253"/>
      <c r="C217" s="1237"/>
      <c r="D217" s="1237"/>
      <c r="E217" s="1237"/>
      <c r="F217" s="1237"/>
      <c r="G217" s="1237"/>
      <c r="H217" s="1237"/>
      <c r="I217" s="1237"/>
      <c r="J217" s="1237"/>
      <c r="K217" s="1237"/>
      <c r="L217" s="1237"/>
      <c r="M217" s="1237"/>
      <c r="N217" s="1237"/>
      <c r="O217" s="1237"/>
      <c r="P217" s="1241"/>
      <c r="Q217" s="1237"/>
      <c r="R217" s="1237"/>
      <c r="S217" s="1237"/>
      <c r="T217" s="1237"/>
      <c r="U217" s="1237"/>
      <c r="V217" s="1237"/>
      <c r="W217" s="1237"/>
      <c r="X217" s="1237"/>
      <c r="Y217" s="1237"/>
      <c r="Z217" s="1237"/>
      <c r="AA217" s="1237"/>
      <c r="AB217" s="1237"/>
      <c r="AC217" s="1237"/>
      <c r="AD217" s="1237"/>
      <c r="AE217" s="1237"/>
      <c r="AF217" s="1237"/>
      <c r="AG217" s="1237"/>
      <c r="AH217" s="1207"/>
    </row>
    <row r="218" spans="1:34" x14ac:dyDescent="0.2">
      <c r="A218" s="1236" t="s">
        <v>17</v>
      </c>
      <c r="B218" s="1249"/>
      <c r="C218" s="1237"/>
      <c r="D218" s="1237"/>
      <c r="E218" s="1237"/>
      <c r="F218" s="1237"/>
      <c r="G218" s="1237"/>
      <c r="H218" s="1237"/>
      <c r="I218" s="1237"/>
      <c r="J218" s="1237"/>
      <c r="K218" s="1237"/>
      <c r="L218" s="1237"/>
      <c r="M218" s="1237"/>
      <c r="N218" s="1237"/>
      <c r="O218" s="1237"/>
      <c r="P218" s="1241"/>
      <c r="Q218" s="1237"/>
      <c r="R218" s="1237"/>
      <c r="S218" s="1237"/>
      <c r="T218" s="1237"/>
      <c r="U218" s="1237"/>
      <c r="V218" s="1237"/>
      <c r="W218" s="1237"/>
      <c r="X218" s="1237"/>
      <c r="Y218" s="1237"/>
      <c r="Z218" s="1237"/>
      <c r="AA218" s="1237"/>
      <c r="AB218" s="1237"/>
      <c r="AC218" s="1237"/>
      <c r="AD218" s="1237"/>
      <c r="AE218" s="1237"/>
      <c r="AF218" s="1237"/>
      <c r="AG218" s="1237"/>
      <c r="AH218" s="1207"/>
    </row>
    <row r="219" spans="1:34" ht="13.5" thickBot="1" x14ac:dyDescent="0.25">
      <c r="A219" s="1250"/>
      <c r="B219" s="1251"/>
      <c r="C219" s="1237"/>
      <c r="D219" s="1237"/>
      <c r="E219" s="1237"/>
      <c r="F219" s="1237"/>
      <c r="G219" s="1237"/>
      <c r="H219" s="1237"/>
      <c r="I219" s="1237"/>
      <c r="J219" s="1237"/>
      <c r="K219" s="1237"/>
      <c r="L219" s="1237"/>
      <c r="M219" s="1237"/>
      <c r="N219" s="1237"/>
      <c r="O219" s="1237"/>
      <c r="P219" s="1241"/>
      <c r="Q219" s="1237"/>
      <c r="R219" s="1237"/>
      <c r="S219" s="1237"/>
      <c r="T219" s="1237"/>
      <c r="U219" s="1237"/>
      <c r="V219" s="1237"/>
      <c r="W219" s="1237"/>
      <c r="X219" s="1258"/>
      <c r="Y219" s="1237"/>
      <c r="Z219" s="1237"/>
      <c r="AA219" s="1237"/>
      <c r="AB219" s="1237"/>
      <c r="AC219" s="1237"/>
      <c r="AD219" s="1237"/>
      <c r="AE219" s="1237"/>
      <c r="AF219" s="1237"/>
      <c r="AG219" s="1237"/>
      <c r="AH219" s="1207"/>
    </row>
    <row r="220" spans="1:34" x14ac:dyDescent="0.2">
      <c r="A220" s="1233"/>
      <c r="B220" s="1253"/>
      <c r="C220" s="1212"/>
      <c r="D220" s="1211"/>
      <c r="E220" s="1237"/>
      <c r="F220" s="1237"/>
      <c r="G220" s="1442"/>
      <c r="H220" s="1211"/>
      <c r="I220" s="1211"/>
      <c r="J220" s="1211"/>
      <c r="K220" s="1237"/>
      <c r="L220" s="1211" t="s">
        <v>198</v>
      </c>
      <c r="M220" s="1237"/>
      <c r="N220" s="1237"/>
      <c r="O220" s="1237"/>
      <c r="P220" s="1241"/>
      <c r="Q220" s="1212"/>
      <c r="R220" s="1237"/>
      <c r="S220" s="1237"/>
      <c r="T220" s="1237"/>
      <c r="U220" s="1237"/>
      <c r="V220" s="1237"/>
      <c r="W220" s="1237"/>
      <c r="X220" s="1237"/>
      <c r="Y220" s="1237"/>
      <c r="Z220" s="1237"/>
      <c r="AA220" s="1237"/>
      <c r="AB220" s="1237"/>
      <c r="AC220" s="1256"/>
      <c r="AD220" s="1369"/>
      <c r="AE220" s="1211"/>
      <c r="AF220" s="1211"/>
      <c r="AH220" s="1207"/>
    </row>
    <row r="221" spans="1:34" x14ac:dyDescent="0.2">
      <c r="A221" s="1236" t="s">
        <v>5</v>
      </c>
      <c r="B221" s="1249">
        <f>B215-B218</f>
        <v>8845.4609999999993</v>
      </c>
      <c r="C221" s="1212"/>
      <c r="D221" s="1211"/>
      <c r="E221" s="1387"/>
      <c r="G221" s="1442"/>
      <c r="H221" s="1211"/>
      <c r="I221" s="1211"/>
      <c r="J221" s="1211"/>
      <c r="L221" s="1211" t="s">
        <v>1270</v>
      </c>
      <c r="M221" s="1211"/>
      <c r="N221" s="1211" t="s">
        <v>341</v>
      </c>
      <c r="O221" s="1212" t="s">
        <v>1282</v>
      </c>
      <c r="P221" s="1241"/>
      <c r="Q221" s="1212"/>
      <c r="R221" s="1237"/>
      <c r="S221" s="1211"/>
      <c r="T221" s="1211"/>
      <c r="U221" s="1211"/>
      <c r="V221" s="1211"/>
      <c r="W221" s="1237"/>
      <c r="X221" s="1388"/>
      <c r="Y221" s="1211"/>
      <c r="Z221" s="1237"/>
      <c r="AA221" s="1211"/>
      <c r="AB221" s="1211"/>
      <c r="AC221" s="1256"/>
      <c r="AD221" s="1369" t="s">
        <v>371</v>
      </c>
      <c r="AE221" s="1211" t="s">
        <v>1044</v>
      </c>
      <c r="AF221" s="1211"/>
      <c r="AG221" s="1370"/>
      <c r="AH221" s="1207"/>
    </row>
    <row r="222" spans="1:34" ht="13.5" thickBot="1" x14ac:dyDescent="0.25">
      <c r="A222" s="1250"/>
      <c r="B222" s="1251"/>
      <c r="D222" s="1237"/>
      <c r="E222" s="1237"/>
      <c r="F222" s="1237"/>
      <c r="G222" s="1237"/>
      <c r="H222" s="1211" t="s">
        <v>1152</v>
      </c>
      <c r="I222" s="1237"/>
      <c r="J222" s="1211"/>
      <c r="K222" s="1237"/>
      <c r="L222" s="1237"/>
      <c r="M222" s="1237"/>
      <c r="N222" s="1237"/>
      <c r="O222" s="1237"/>
      <c r="P222" s="1241"/>
      <c r="Q222" s="1237"/>
      <c r="R222" s="1237"/>
      <c r="S222" s="1237"/>
      <c r="T222" s="1237"/>
      <c r="U222" s="1211"/>
      <c r="V222" s="1237"/>
      <c r="W222" s="1237"/>
      <c r="X222" s="1237"/>
      <c r="Y222" s="1237"/>
      <c r="Z222" s="1237"/>
      <c r="AA222" s="1237"/>
      <c r="AB222" s="1237"/>
      <c r="AC222" s="1237"/>
      <c r="AD222" s="1237"/>
      <c r="AE222" s="1237"/>
      <c r="AF222" s="1237"/>
      <c r="AG222" s="1237"/>
      <c r="AH222" s="1207"/>
    </row>
    <row r="223" spans="1:34" x14ac:dyDescent="0.2">
      <c r="A223" s="1269"/>
      <c r="B223" s="1237"/>
      <c r="C223" s="1270"/>
      <c r="D223" s="1272"/>
      <c r="E223" s="1271"/>
      <c r="F223" s="1271"/>
      <c r="G223" s="1271"/>
      <c r="H223" s="1271"/>
      <c r="I223" s="1271"/>
      <c r="J223" s="1271"/>
      <c r="K223" s="1271"/>
      <c r="L223" s="1271"/>
      <c r="M223" s="1271"/>
      <c r="N223" s="1271"/>
      <c r="O223" s="1271"/>
      <c r="P223" s="1273"/>
      <c r="Q223" s="1271"/>
      <c r="R223" s="1271"/>
      <c r="S223" s="1271"/>
      <c r="T223" s="1271"/>
      <c r="U223" s="1271"/>
      <c r="V223" s="1271"/>
      <c r="W223" s="1271"/>
      <c r="X223" s="1271"/>
      <c r="Y223" s="1271"/>
      <c r="Z223" s="1271"/>
      <c r="AA223" s="1271"/>
      <c r="AB223" s="1271"/>
      <c r="AC223" s="1271"/>
      <c r="AD223" s="1271"/>
      <c r="AE223" s="1271"/>
      <c r="AF223" s="1271"/>
      <c r="AG223" s="1271"/>
      <c r="AH223" s="1207"/>
    </row>
    <row r="224" spans="1:34" ht="13.5" thickBot="1" x14ac:dyDescent="0.25">
      <c r="A224" s="1274" t="s">
        <v>7</v>
      </c>
      <c r="B224" s="1237"/>
      <c r="C224" s="1275">
        <f t="shared" ref="C224:AG224" si="23">C225+C226+C227+C229+C228</f>
        <v>0</v>
      </c>
      <c r="D224" s="1275">
        <f t="shared" si="23"/>
        <v>0</v>
      </c>
      <c r="E224" s="1275">
        <f t="shared" si="23"/>
        <v>0</v>
      </c>
      <c r="F224" s="1275">
        <f t="shared" si="23"/>
        <v>0</v>
      </c>
      <c r="G224" s="1275">
        <f t="shared" si="23"/>
        <v>0</v>
      </c>
      <c r="H224" s="1275">
        <f t="shared" si="23"/>
        <v>0</v>
      </c>
      <c r="I224" s="1275">
        <f t="shared" si="23"/>
        <v>0</v>
      </c>
      <c r="J224" s="1275">
        <f t="shared" si="23"/>
        <v>0</v>
      </c>
      <c r="K224" s="1275">
        <f t="shared" si="23"/>
        <v>0</v>
      </c>
      <c r="L224" s="1275">
        <f t="shared" si="23"/>
        <v>0</v>
      </c>
      <c r="M224" s="1275">
        <f t="shared" si="23"/>
        <v>0</v>
      </c>
      <c r="N224" s="1275">
        <f t="shared" si="23"/>
        <v>0</v>
      </c>
      <c r="O224" s="1275">
        <f t="shared" si="23"/>
        <v>0</v>
      </c>
      <c r="P224" s="1276">
        <f t="shared" si="23"/>
        <v>0</v>
      </c>
      <c r="Q224" s="1275">
        <f t="shared" si="23"/>
        <v>0</v>
      </c>
      <c r="R224" s="1275">
        <f t="shared" si="23"/>
        <v>0</v>
      </c>
      <c r="S224" s="1275">
        <f t="shared" si="23"/>
        <v>0</v>
      </c>
      <c r="T224" s="1275">
        <f t="shared" si="23"/>
        <v>0</v>
      </c>
      <c r="U224" s="1275">
        <f t="shared" si="23"/>
        <v>0</v>
      </c>
      <c r="V224" s="1275">
        <f t="shared" si="23"/>
        <v>0</v>
      </c>
      <c r="W224" s="1275">
        <f>W225+W226+W227+W229+W228</f>
        <v>0</v>
      </c>
      <c r="X224" s="1275">
        <f t="shared" si="23"/>
        <v>0</v>
      </c>
      <c r="Y224" s="1275">
        <f t="shared" si="23"/>
        <v>0</v>
      </c>
      <c r="Z224" s="1275">
        <f t="shared" si="23"/>
        <v>0</v>
      </c>
      <c r="AA224" s="1275">
        <f t="shared" si="23"/>
        <v>0</v>
      </c>
      <c r="AB224" s="1275">
        <f t="shared" si="23"/>
        <v>0</v>
      </c>
      <c r="AC224" s="1275">
        <f t="shared" si="23"/>
        <v>0</v>
      </c>
      <c r="AD224" s="1275">
        <f t="shared" si="23"/>
        <v>0</v>
      </c>
      <c r="AE224" s="1275">
        <f t="shared" si="23"/>
        <v>0</v>
      </c>
      <c r="AF224" s="1275">
        <f t="shared" si="23"/>
        <v>0</v>
      </c>
      <c r="AG224" s="1275">
        <f t="shared" si="23"/>
        <v>0</v>
      </c>
      <c r="AH224" s="1227">
        <f>SUM(C224:AG224)</f>
        <v>0</v>
      </c>
    </row>
    <row r="225" spans="1:34" x14ac:dyDescent="0.2">
      <c r="A225" s="1274" t="s">
        <v>8</v>
      </c>
      <c r="B225" s="1389"/>
      <c r="C225" s="1302"/>
      <c r="D225" s="1302"/>
      <c r="E225" s="1303"/>
      <c r="F225" s="1303"/>
      <c r="G225" s="1303"/>
      <c r="H225" s="1303"/>
      <c r="I225" s="1303"/>
      <c r="J225" s="1303"/>
      <c r="K225" s="1303"/>
      <c r="L225" s="1303"/>
      <c r="M225" s="1303"/>
      <c r="N225" s="1303"/>
      <c r="O225" s="1303"/>
      <c r="P225" s="1304"/>
      <c r="Q225" s="1303"/>
      <c r="R225" s="1303"/>
      <c r="S225" s="1303"/>
      <c r="T225" s="1303"/>
      <c r="U225" s="1303"/>
      <c r="V225" s="1303"/>
      <c r="W225" s="1303"/>
      <c r="X225" s="1303"/>
      <c r="Y225" s="1303"/>
      <c r="Z225" s="1303"/>
      <c r="AA225" s="1303"/>
      <c r="AB225" s="1303"/>
      <c r="AC225" s="1303"/>
      <c r="AD225" s="1303"/>
      <c r="AE225" s="1303"/>
      <c r="AF225" s="1303"/>
      <c r="AG225" s="1303"/>
      <c r="AH225" s="1227">
        <f>SUM(C225:AG225)</f>
        <v>0</v>
      </c>
    </row>
    <row r="226" spans="1:34" x14ac:dyDescent="0.2">
      <c r="A226" s="1274" t="s">
        <v>9</v>
      </c>
      <c r="B226" s="1389"/>
      <c r="C226" s="1302"/>
      <c r="D226" s="1302"/>
      <c r="E226" s="1303"/>
      <c r="F226" s="1303"/>
      <c r="G226" s="1303"/>
      <c r="H226" s="1303"/>
      <c r="I226" s="1303"/>
      <c r="J226" s="1303"/>
      <c r="K226" s="1303"/>
      <c r="L226" s="1303"/>
      <c r="M226" s="1319"/>
      <c r="N226" s="1303"/>
      <c r="O226" s="1303"/>
      <c r="P226" s="1304"/>
      <c r="Q226" s="1303"/>
      <c r="R226" s="1303"/>
      <c r="S226" s="1303"/>
      <c r="T226" s="1303"/>
      <c r="U226" s="1303"/>
      <c r="V226" s="1303"/>
      <c r="W226" s="1443"/>
      <c r="X226" s="1303"/>
      <c r="Y226" s="1303"/>
      <c r="Z226" s="1303"/>
      <c r="AA226" s="1303"/>
      <c r="AB226" s="1303"/>
      <c r="AC226" s="1303"/>
      <c r="AD226" s="1303"/>
      <c r="AE226" s="1303"/>
      <c r="AF226" s="1303"/>
      <c r="AG226" s="1303"/>
      <c r="AH226" s="1227">
        <f>SUM(C226:AG226)</f>
        <v>0</v>
      </c>
    </row>
    <row r="227" spans="1:34" s="1289" customFormat="1" x14ac:dyDescent="0.2">
      <c r="A227" s="1285" t="s">
        <v>10</v>
      </c>
      <c r="B227" s="1372"/>
      <c r="C227" s="1374"/>
      <c r="D227" s="1374"/>
      <c r="E227" s="1375"/>
      <c r="F227" s="1375"/>
      <c r="G227" s="1375"/>
      <c r="H227" s="1375"/>
      <c r="I227" s="1390"/>
      <c r="J227" s="1375"/>
      <c r="K227" s="1375"/>
      <c r="L227" s="1391"/>
      <c r="M227" s="1375"/>
      <c r="N227" s="1375"/>
      <c r="O227" s="1375"/>
      <c r="P227" s="1375"/>
      <c r="Q227" s="1375"/>
      <c r="R227" s="1375"/>
      <c r="S227" s="1375"/>
      <c r="T227" s="1375"/>
      <c r="U227" s="1375"/>
      <c r="V227" s="1375"/>
      <c r="W227" s="1375"/>
      <c r="X227" s="1377"/>
      <c r="Y227" s="1375"/>
      <c r="Z227" s="1375"/>
      <c r="AA227" s="1375"/>
      <c r="AB227" s="1375"/>
      <c r="AC227" s="1376"/>
      <c r="AD227" s="1378"/>
      <c r="AE227" s="1375"/>
      <c r="AF227" s="1391"/>
      <c r="AG227" s="1375"/>
      <c r="AH227" s="1231">
        <f>SUM(C227:AG227)</f>
        <v>0</v>
      </c>
    </row>
    <row r="228" spans="1:34" s="1289" customFormat="1" x14ac:dyDescent="0.2">
      <c r="A228" s="1285" t="s">
        <v>356</v>
      </c>
      <c r="B228" s="1372"/>
      <c r="C228" s="1374"/>
      <c r="D228" s="1374"/>
      <c r="E228" s="1374"/>
      <c r="F228" s="1375"/>
      <c r="G228" s="1391"/>
      <c r="H228" s="1375"/>
      <c r="I228" s="1375"/>
      <c r="J228" s="1375"/>
      <c r="K228" s="1375"/>
      <c r="L228" s="1375"/>
      <c r="M228" s="1375"/>
      <c r="N228" s="1375"/>
      <c r="O228" s="1375"/>
      <c r="P228" s="1375"/>
      <c r="Q228" s="1375"/>
      <c r="R228" s="1375"/>
      <c r="S228" s="1375"/>
      <c r="T228" s="1375"/>
      <c r="U228" s="1375"/>
      <c r="V228" s="1375"/>
      <c r="W228" s="1375"/>
      <c r="X228" s="1375"/>
      <c r="Y228" s="1375"/>
      <c r="Z228" s="1375"/>
      <c r="AA228" s="1375"/>
      <c r="AB228" s="1375"/>
      <c r="AC228" s="1375"/>
      <c r="AD228" s="1375"/>
      <c r="AE228" s="1375"/>
      <c r="AF228" s="1375"/>
      <c r="AG228" s="1375"/>
      <c r="AH228" s="1231">
        <f>SUM(C228:AG228)</f>
        <v>0</v>
      </c>
    </row>
    <row r="229" spans="1:34" x14ac:dyDescent="0.2">
      <c r="A229" s="1274" t="s">
        <v>11</v>
      </c>
      <c r="B229" s="1237"/>
      <c r="C229" s="1302">
        <v>0</v>
      </c>
      <c r="D229" s="1306"/>
      <c r="E229" s="1306"/>
      <c r="F229" s="1304"/>
      <c r="G229" s="1304"/>
      <c r="H229" s="1304"/>
      <c r="I229" s="1304"/>
      <c r="J229" s="1304"/>
      <c r="K229" s="1304"/>
      <c r="L229" s="1304"/>
      <c r="M229" s="1304"/>
      <c r="N229" s="1304"/>
      <c r="O229" s="1304"/>
      <c r="P229" s="1304"/>
      <c r="Q229" s="1304"/>
      <c r="R229" s="1304"/>
      <c r="S229" s="1304"/>
      <c r="T229" s="1304"/>
      <c r="U229" s="1304"/>
      <c r="V229" s="1304"/>
      <c r="W229" s="1304"/>
      <c r="X229" s="1304"/>
      <c r="Y229" s="1304"/>
      <c r="Z229" s="1304"/>
      <c r="AA229" s="1304"/>
      <c r="AB229" s="1304"/>
      <c r="AC229" s="1304"/>
      <c r="AD229" s="1304"/>
      <c r="AE229" s="1304"/>
      <c r="AF229" s="1304"/>
      <c r="AG229" s="1304"/>
      <c r="AH229" s="1207"/>
    </row>
    <row r="230" spans="1:34" ht="13.5" thickBot="1" x14ac:dyDescent="0.25">
      <c r="A230" s="1294"/>
      <c r="B230" s="1237"/>
      <c r="C230" s="1302"/>
      <c r="D230" s="1302"/>
      <c r="E230" s="1302"/>
      <c r="F230" s="1303"/>
      <c r="G230" s="1303"/>
      <c r="H230" s="1303"/>
      <c r="I230" s="1303"/>
      <c r="J230" s="1303"/>
      <c r="K230" s="1303"/>
      <c r="L230" s="1303"/>
      <c r="M230" s="1303"/>
      <c r="N230" s="1303"/>
      <c r="O230" s="1303"/>
      <c r="P230" s="1304"/>
      <c r="Q230" s="1303"/>
      <c r="R230" s="1303"/>
      <c r="S230" s="1303"/>
      <c r="T230" s="1303"/>
      <c r="U230" s="1303"/>
      <c r="V230" s="1303"/>
      <c r="W230" s="1303"/>
      <c r="X230" s="1303"/>
      <c r="Y230" s="1303"/>
      <c r="Z230" s="1303"/>
      <c r="AA230" s="1303"/>
      <c r="AB230" s="1303"/>
      <c r="AC230" s="1303"/>
      <c r="AD230" s="1303"/>
      <c r="AE230" s="1303"/>
      <c r="AF230" s="1303"/>
      <c r="AG230" s="1303"/>
      <c r="AH230" s="1207"/>
    </row>
    <row r="231" spans="1:34" x14ac:dyDescent="0.2">
      <c r="A231" s="1269"/>
      <c r="B231" s="1237"/>
      <c r="C231" s="1296"/>
      <c r="D231" s="1297"/>
      <c r="E231" s="1297"/>
      <c r="F231" s="1298"/>
      <c r="G231" s="1298"/>
      <c r="H231" s="1298"/>
      <c r="I231" s="1298"/>
      <c r="J231" s="1298"/>
      <c r="K231" s="1298"/>
      <c r="L231" s="1298"/>
      <c r="M231" s="1298"/>
      <c r="N231" s="1298"/>
      <c r="O231" s="1298"/>
      <c r="P231" s="1299"/>
      <c r="Q231" s="1298"/>
      <c r="R231" s="1298"/>
      <c r="S231" s="1298"/>
      <c r="T231" s="1298"/>
      <c r="U231" s="1298"/>
      <c r="V231" s="1298"/>
      <c r="W231" s="1298"/>
      <c r="X231" s="1298"/>
      <c r="Y231" s="1298"/>
      <c r="Z231" s="1298"/>
      <c r="AA231" s="1298"/>
      <c r="AB231" s="1298"/>
      <c r="AC231" s="1298"/>
      <c r="AD231" s="1298"/>
      <c r="AE231" s="1298"/>
      <c r="AF231" s="1298"/>
      <c r="AG231" s="1298"/>
      <c r="AH231" s="1207"/>
    </row>
    <row r="232" spans="1:34" ht="13.5" thickBot="1" x14ac:dyDescent="0.25">
      <c r="A232" s="1274" t="s">
        <v>12</v>
      </c>
      <c r="B232" s="1237"/>
      <c r="C232" s="1275">
        <f t="shared" ref="C232:AG232" si="24">C233</f>
        <v>0</v>
      </c>
      <c r="D232" s="1275">
        <f t="shared" si="24"/>
        <v>0</v>
      </c>
      <c r="E232" s="1275">
        <f t="shared" si="24"/>
        <v>0</v>
      </c>
      <c r="F232" s="1275">
        <f t="shared" si="24"/>
        <v>0</v>
      </c>
      <c r="G232" s="1275">
        <f t="shared" si="24"/>
        <v>0</v>
      </c>
      <c r="H232" s="1275">
        <f t="shared" si="24"/>
        <v>0</v>
      </c>
      <c r="I232" s="1275">
        <f t="shared" si="24"/>
        <v>0</v>
      </c>
      <c r="J232" s="1275">
        <f t="shared" si="24"/>
        <v>0</v>
      </c>
      <c r="K232" s="1275">
        <f t="shared" si="24"/>
        <v>0</v>
      </c>
      <c r="L232" s="1275">
        <f t="shared" si="24"/>
        <v>0</v>
      </c>
      <c r="M232" s="1275">
        <f t="shared" si="24"/>
        <v>0</v>
      </c>
      <c r="N232" s="1275">
        <f t="shared" si="24"/>
        <v>0</v>
      </c>
      <c r="O232" s="1275">
        <f t="shared" si="24"/>
        <v>0</v>
      </c>
      <c r="P232" s="1276">
        <f t="shared" si="24"/>
        <v>0</v>
      </c>
      <c r="Q232" s="1275">
        <f t="shared" si="24"/>
        <v>0</v>
      </c>
      <c r="R232" s="1275">
        <f t="shared" si="24"/>
        <v>0</v>
      </c>
      <c r="S232" s="1275">
        <f t="shared" si="24"/>
        <v>0</v>
      </c>
      <c r="T232" s="1275">
        <f t="shared" si="24"/>
        <v>0</v>
      </c>
      <c r="U232" s="1275">
        <f t="shared" si="24"/>
        <v>0</v>
      </c>
      <c r="V232" s="1275">
        <f t="shared" si="24"/>
        <v>0</v>
      </c>
      <c r="W232" s="1275">
        <f t="shared" si="24"/>
        <v>0</v>
      </c>
      <c r="X232" s="1275">
        <f t="shared" si="24"/>
        <v>0</v>
      </c>
      <c r="Y232" s="1275">
        <f t="shared" si="24"/>
        <v>0</v>
      </c>
      <c r="Z232" s="1275">
        <f t="shared" si="24"/>
        <v>0</v>
      </c>
      <c r="AA232" s="1275">
        <f t="shared" si="24"/>
        <v>0</v>
      </c>
      <c r="AB232" s="1275">
        <f t="shared" si="24"/>
        <v>0</v>
      </c>
      <c r="AC232" s="1275">
        <f t="shared" si="24"/>
        <v>0</v>
      </c>
      <c r="AD232" s="1275">
        <f t="shared" si="24"/>
        <v>0</v>
      </c>
      <c r="AE232" s="1275">
        <f t="shared" si="24"/>
        <v>0</v>
      </c>
      <c r="AF232" s="1275">
        <f t="shared" si="24"/>
        <v>0</v>
      </c>
      <c r="AG232" s="1275">
        <f t="shared" si="24"/>
        <v>0</v>
      </c>
      <c r="AH232" s="1207"/>
    </row>
    <row r="233" spans="1:34" x14ac:dyDescent="0.2">
      <c r="A233" s="1274" t="s">
        <v>8</v>
      </c>
      <c r="B233" s="1237"/>
      <c r="C233" s="1302"/>
      <c r="D233" s="1302"/>
      <c r="E233" s="1302"/>
      <c r="F233" s="1303"/>
      <c r="G233" s="1303"/>
      <c r="H233" s="1303"/>
      <c r="I233" s="1303"/>
      <c r="J233" s="1303"/>
      <c r="K233" s="1303"/>
      <c r="L233" s="1303"/>
      <c r="M233" s="1303"/>
      <c r="N233" s="1303"/>
      <c r="O233" s="1303"/>
      <c r="P233" s="1304"/>
      <c r="Q233" s="1303"/>
      <c r="R233" s="1303"/>
      <c r="S233" s="1303"/>
      <c r="T233" s="1303"/>
      <c r="U233" s="1303"/>
      <c r="V233" s="1303"/>
      <c r="W233" s="1303"/>
      <c r="X233" s="1303"/>
      <c r="Y233" s="1303"/>
      <c r="Z233" s="1303"/>
      <c r="AA233" s="1303"/>
      <c r="AB233" s="1303"/>
      <c r="AC233" s="1303"/>
      <c r="AD233" s="1303"/>
      <c r="AE233" s="1303"/>
      <c r="AF233" s="1303"/>
      <c r="AG233" s="1303"/>
      <c r="AH233" s="1207"/>
    </row>
    <row r="234" spans="1:34" x14ac:dyDescent="0.2">
      <c r="A234" s="1274" t="s">
        <v>775</v>
      </c>
      <c r="B234" s="1237"/>
      <c r="C234" s="1282"/>
      <c r="D234" s="1282"/>
      <c r="E234" s="1282"/>
      <c r="F234" s="1282">
        <v>1061.5530000000001</v>
      </c>
      <c r="G234" s="1282"/>
      <c r="H234" s="1282">
        <v>1516.2850000000001</v>
      </c>
      <c r="I234" s="1282"/>
      <c r="J234" s="1282"/>
      <c r="K234" s="1282">
        <v>1516.2850000000001</v>
      </c>
      <c r="L234" s="1282">
        <v>7200.0720000000001</v>
      </c>
      <c r="M234" s="1282"/>
      <c r="N234" s="1282">
        <v>1516.2850000000001</v>
      </c>
      <c r="O234" s="1282"/>
      <c r="P234" s="1282"/>
      <c r="Q234" s="1282">
        <v>3593.1140000000005</v>
      </c>
      <c r="R234" s="1282"/>
      <c r="S234" s="1282"/>
      <c r="T234" s="1282">
        <v>1516.2850000000001</v>
      </c>
      <c r="U234" s="1282"/>
      <c r="V234" s="1282"/>
      <c r="W234" s="1282">
        <v>1516.91</v>
      </c>
      <c r="X234" s="1282"/>
      <c r="Y234" s="1282"/>
      <c r="Z234" s="1282"/>
      <c r="AA234" s="1282"/>
      <c r="AB234" s="1282"/>
      <c r="AC234" s="1282"/>
      <c r="AD234" s="1282">
        <v>1462.3440000000001</v>
      </c>
      <c r="AE234" s="1282"/>
      <c r="AF234" s="1282"/>
      <c r="AG234" s="1282"/>
      <c r="AH234" s="1227">
        <f>SUM(C234:AG234)</f>
        <v>20899.133000000002</v>
      </c>
    </row>
    <row r="235" spans="1:34" ht="13.5" thickBot="1" x14ac:dyDescent="0.25">
      <c r="A235" s="1294"/>
      <c r="B235" s="1237"/>
      <c r="C235" s="1302"/>
      <c r="D235" s="1302"/>
      <c r="E235" s="1302"/>
      <c r="F235" s="1303"/>
      <c r="G235" s="1303"/>
      <c r="H235" s="1303"/>
      <c r="I235" s="1303"/>
      <c r="J235" s="1303"/>
      <c r="K235" s="1303"/>
      <c r="L235" s="1303"/>
      <c r="M235" s="1303"/>
      <c r="N235" s="1303"/>
      <c r="O235" s="1303"/>
      <c r="P235" s="1304"/>
      <c r="Q235" s="1303"/>
      <c r="R235" s="1303"/>
      <c r="S235" s="1303"/>
      <c r="T235" s="1303"/>
      <c r="U235" s="1303"/>
      <c r="V235" s="1303"/>
      <c r="W235" s="1303"/>
      <c r="X235" s="1303"/>
      <c r="Y235" s="1303"/>
      <c r="Z235" s="1303"/>
      <c r="AA235" s="1303"/>
      <c r="AB235" s="1303"/>
      <c r="AC235" s="1303"/>
      <c r="AD235" s="1303"/>
      <c r="AE235" s="1303"/>
      <c r="AF235" s="1303"/>
      <c r="AG235" s="1303"/>
      <c r="AH235" s="1207"/>
    </row>
    <row r="236" spans="1:34" x14ac:dyDescent="0.2">
      <c r="A236" s="1269"/>
      <c r="B236" s="1237"/>
      <c r="C236" s="1296"/>
      <c r="D236" s="1297"/>
      <c r="E236" s="1297"/>
      <c r="F236" s="1298"/>
      <c r="G236" s="1298"/>
      <c r="H236" s="1298"/>
      <c r="I236" s="1298"/>
      <c r="J236" s="1298"/>
      <c r="K236" s="1298"/>
      <c r="L236" s="1298"/>
      <c r="M236" s="1298"/>
      <c r="N236" s="1298"/>
      <c r="O236" s="1298"/>
      <c r="P236" s="1299"/>
      <c r="Q236" s="1298"/>
      <c r="R236" s="1298"/>
      <c r="S236" s="1298"/>
      <c r="T236" s="1298"/>
      <c r="U236" s="1298"/>
      <c r="V236" s="1298"/>
      <c r="W236" s="1298"/>
      <c r="X236" s="1298"/>
      <c r="Y236" s="1298"/>
      <c r="Z236" s="1298"/>
      <c r="AA236" s="1298"/>
      <c r="AB236" s="1298"/>
      <c r="AC236" s="1298"/>
      <c r="AD236" s="1298"/>
      <c r="AE236" s="1298"/>
      <c r="AF236" s="1298"/>
      <c r="AG236" s="1298"/>
      <c r="AH236" s="1207"/>
    </row>
    <row r="237" spans="1:34" x14ac:dyDescent="0.2">
      <c r="A237" s="1274" t="s">
        <v>13</v>
      </c>
      <c r="B237" s="1237"/>
      <c r="C237" s="1300">
        <f t="shared" ref="C237:AG237" si="25">C232-C224</f>
        <v>0</v>
      </c>
      <c r="D237" s="1300">
        <f t="shared" si="25"/>
        <v>0</v>
      </c>
      <c r="E237" s="1300">
        <f t="shared" si="25"/>
        <v>0</v>
      </c>
      <c r="F237" s="1300">
        <f t="shared" si="25"/>
        <v>0</v>
      </c>
      <c r="G237" s="1300">
        <f t="shared" si="25"/>
        <v>0</v>
      </c>
      <c r="H237" s="1300">
        <f t="shared" si="25"/>
        <v>0</v>
      </c>
      <c r="I237" s="1300">
        <f t="shared" si="25"/>
        <v>0</v>
      </c>
      <c r="J237" s="1300">
        <f t="shared" si="25"/>
        <v>0</v>
      </c>
      <c r="K237" s="1300">
        <f t="shared" si="25"/>
        <v>0</v>
      </c>
      <c r="L237" s="1300">
        <f t="shared" si="25"/>
        <v>0</v>
      </c>
      <c r="M237" s="1300">
        <f t="shared" si="25"/>
        <v>0</v>
      </c>
      <c r="N237" s="1300">
        <f t="shared" si="25"/>
        <v>0</v>
      </c>
      <c r="O237" s="1300">
        <f t="shared" si="25"/>
        <v>0</v>
      </c>
      <c r="P237" s="1301">
        <f t="shared" si="25"/>
        <v>0</v>
      </c>
      <c r="Q237" s="1300">
        <f t="shared" si="25"/>
        <v>0</v>
      </c>
      <c r="R237" s="1300">
        <f t="shared" si="25"/>
        <v>0</v>
      </c>
      <c r="S237" s="1300">
        <f t="shared" si="25"/>
        <v>0</v>
      </c>
      <c r="T237" s="1300">
        <f t="shared" si="25"/>
        <v>0</v>
      </c>
      <c r="U237" s="1300">
        <f t="shared" si="25"/>
        <v>0</v>
      </c>
      <c r="V237" s="1300">
        <f t="shared" si="25"/>
        <v>0</v>
      </c>
      <c r="W237" s="1300">
        <f t="shared" si="25"/>
        <v>0</v>
      </c>
      <c r="X237" s="1300">
        <f t="shared" si="25"/>
        <v>0</v>
      </c>
      <c r="Y237" s="1300">
        <f t="shared" si="25"/>
        <v>0</v>
      </c>
      <c r="Z237" s="1300">
        <f t="shared" si="25"/>
        <v>0</v>
      </c>
      <c r="AA237" s="1300">
        <f t="shared" si="25"/>
        <v>0</v>
      </c>
      <c r="AB237" s="1300">
        <f t="shared" si="25"/>
        <v>0</v>
      </c>
      <c r="AC237" s="1300">
        <f t="shared" si="25"/>
        <v>0</v>
      </c>
      <c r="AD237" s="1300">
        <f t="shared" si="25"/>
        <v>0</v>
      </c>
      <c r="AE237" s="1300">
        <f t="shared" si="25"/>
        <v>0</v>
      </c>
      <c r="AF237" s="1300">
        <f t="shared" si="25"/>
        <v>0</v>
      </c>
      <c r="AG237" s="1300">
        <f t="shared" si="25"/>
        <v>0</v>
      </c>
      <c r="AH237" s="1207"/>
    </row>
    <row r="238" spans="1:34" ht="13.5" thickBot="1" x14ac:dyDescent="0.25">
      <c r="A238" s="1274"/>
      <c r="B238" s="1237"/>
      <c r="C238" s="1300"/>
      <c r="D238" s="1302"/>
      <c r="E238" s="1302"/>
      <c r="F238" s="1303"/>
      <c r="G238" s="1303"/>
      <c r="H238" s="1303"/>
      <c r="I238" s="1303"/>
      <c r="J238" s="1303"/>
      <c r="K238" s="1303"/>
      <c r="L238" s="1303"/>
      <c r="M238" s="1303"/>
      <c r="N238" s="1303"/>
      <c r="O238" s="1303"/>
      <c r="P238" s="1304"/>
      <c r="Q238" s="1303"/>
      <c r="R238" s="1303"/>
      <c r="S238" s="1303"/>
      <c r="T238" s="1303"/>
      <c r="U238" s="1303"/>
      <c r="V238" s="1303"/>
      <c r="W238" s="1303"/>
      <c r="X238" s="1303"/>
      <c r="Y238" s="1303"/>
      <c r="Z238" s="1303"/>
      <c r="AA238" s="1303"/>
      <c r="AB238" s="1303"/>
      <c r="AC238" s="1303"/>
      <c r="AD238" s="1303"/>
      <c r="AE238" s="1303"/>
      <c r="AF238" s="1303"/>
      <c r="AG238" s="1303"/>
      <c r="AH238" s="1207"/>
    </row>
    <row r="239" spans="1:34" x14ac:dyDescent="0.2">
      <c r="A239" s="1233"/>
      <c r="B239" s="1234"/>
      <c r="C239" s="1305"/>
      <c r="D239" s="1297"/>
      <c r="E239" s="1297"/>
      <c r="F239" s="1298"/>
      <c r="G239" s="1298"/>
      <c r="H239" s="1298"/>
      <c r="I239" s="1298"/>
      <c r="J239" s="1298"/>
      <c r="K239" s="1298"/>
      <c r="L239" s="1298"/>
      <c r="M239" s="1298"/>
      <c r="N239" s="1298"/>
      <c r="O239" s="1298"/>
      <c r="P239" s="1299"/>
      <c r="Q239" s="1298"/>
      <c r="R239" s="1298"/>
      <c r="S239" s="1298"/>
      <c r="T239" s="1298"/>
      <c r="U239" s="1298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07"/>
    </row>
    <row r="240" spans="1:34" x14ac:dyDescent="0.2">
      <c r="A240" s="1236" t="s">
        <v>15</v>
      </c>
      <c r="B240" s="1237"/>
      <c r="C240" s="1302">
        <f>B221+C237</f>
        <v>8845.4609999999993</v>
      </c>
      <c r="D240" s="1302">
        <f t="shared" ref="D240:AG240" si="26">C247+D237</f>
        <v>8845.4609999999993</v>
      </c>
      <c r="E240" s="1302">
        <f t="shared" si="26"/>
        <v>8845.4609999999993</v>
      </c>
      <c r="F240" s="1302">
        <f t="shared" si="26"/>
        <v>8845.4609999999993</v>
      </c>
      <c r="G240" s="1302">
        <f t="shared" si="26"/>
        <v>8845.4609999999993</v>
      </c>
      <c r="H240" s="1302">
        <f t="shared" si="26"/>
        <v>8845.4609999999993</v>
      </c>
      <c r="I240" s="1302">
        <f t="shared" si="26"/>
        <v>8845.4609999999993</v>
      </c>
      <c r="J240" s="1302">
        <f t="shared" si="26"/>
        <v>8845.4609999999993</v>
      </c>
      <c r="K240" s="1302">
        <f t="shared" si="26"/>
        <v>8845.4609999999993</v>
      </c>
      <c r="L240" s="1302">
        <f t="shared" si="26"/>
        <v>8845.4609999999993</v>
      </c>
      <c r="M240" s="1302">
        <f t="shared" si="26"/>
        <v>8845.4609999999993</v>
      </c>
      <c r="N240" s="1302">
        <f t="shared" si="26"/>
        <v>8845.4609999999993</v>
      </c>
      <c r="O240" s="1302">
        <f t="shared" si="26"/>
        <v>8845.4609999999993</v>
      </c>
      <c r="P240" s="1306">
        <f t="shared" si="26"/>
        <v>8845.4609999999993</v>
      </c>
      <c r="Q240" s="1302">
        <f t="shared" si="26"/>
        <v>8845.4609999999993</v>
      </c>
      <c r="R240" s="1302">
        <f t="shared" si="26"/>
        <v>8845.4609999999993</v>
      </c>
      <c r="S240" s="1302">
        <f t="shared" si="26"/>
        <v>8845.4609999999993</v>
      </c>
      <c r="T240" s="1302">
        <f t="shared" si="26"/>
        <v>8845.4609999999993</v>
      </c>
      <c r="U240" s="1302">
        <f t="shared" si="26"/>
        <v>8845.4609999999993</v>
      </c>
      <c r="V240" s="1302">
        <f t="shared" si="26"/>
        <v>8845.4609999999993</v>
      </c>
      <c r="W240" s="1302">
        <f t="shared" si="26"/>
        <v>8845.4609999999993</v>
      </c>
      <c r="X240" s="1302">
        <f t="shared" si="26"/>
        <v>8845.4609999999993</v>
      </c>
      <c r="Y240" s="1302">
        <f t="shared" si="26"/>
        <v>8845.4609999999993</v>
      </c>
      <c r="Z240" s="1302">
        <f t="shared" si="26"/>
        <v>8845.4609999999993</v>
      </c>
      <c r="AA240" s="1302">
        <f t="shared" si="26"/>
        <v>8845.4609999999993</v>
      </c>
      <c r="AB240" s="1302">
        <f t="shared" si="26"/>
        <v>8845.4609999999993</v>
      </c>
      <c r="AC240" s="1302">
        <f t="shared" si="26"/>
        <v>8845.4609999999993</v>
      </c>
      <c r="AD240" s="1302">
        <f t="shared" si="26"/>
        <v>8845.4609999999993</v>
      </c>
      <c r="AE240" s="1302">
        <f t="shared" si="26"/>
        <v>8845.4609999999993</v>
      </c>
      <c r="AF240" s="1302">
        <f t="shared" si="26"/>
        <v>8845.4609999999993</v>
      </c>
      <c r="AG240" s="1302">
        <f t="shared" si="26"/>
        <v>8845.4609999999993</v>
      </c>
      <c r="AH240" s="1207"/>
    </row>
    <row r="241" spans="1:34" ht="13.5" thickBot="1" x14ac:dyDescent="0.25">
      <c r="A241" s="1250"/>
      <c r="B241" s="1307"/>
      <c r="C241" s="1308"/>
      <c r="D241" s="1308"/>
      <c r="E241" s="1308"/>
      <c r="F241" s="1309"/>
      <c r="G241" s="1309"/>
      <c r="H241" s="1309"/>
      <c r="I241" s="1309"/>
      <c r="J241" s="1309"/>
      <c r="K241" s="1309"/>
      <c r="L241" s="1309"/>
      <c r="M241" s="1309"/>
      <c r="N241" s="1309"/>
      <c r="O241" s="1309"/>
      <c r="P241" s="1310"/>
      <c r="Q241" s="1309"/>
      <c r="R241" s="1309"/>
      <c r="S241" s="1309"/>
      <c r="T241" s="1309"/>
      <c r="U241" s="1309"/>
      <c r="V241" s="1309"/>
      <c r="W241" s="1309"/>
      <c r="X241" s="1309"/>
      <c r="Y241" s="1309"/>
      <c r="Z241" s="1309"/>
      <c r="AA241" s="1309"/>
      <c r="AB241" s="1309"/>
      <c r="AC241" s="1309"/>
      <c r="AD241" s="1309"/>
      <c r="AE241" s="1309"/>
      <c r="AF241" s="1309"/>
      <c r="AG241" s="1309"/>
      <c r="AH241" s="1207"/>
    </row>
    <row r="242" spans="1:34" x14ac:dyDescent="0.2">
      <c r="A242" s="1233"/>
      <c r="B242" s="1234"/>
      <c r="C242" s="1297"/>
      <c r="D242" s="1297"/>
      <c r="E242" s="1297"/>
      <c r="F242" s="1298"/>
      <c r="G242" s="1298"/>
      <c r="H242" s="1298"/>
      <c r="I242" s="1298"/>
      <c r="J242" s="1298"/>
      <c r="K242" s="1298"/>
      <c r="L242" s="1298"/>
      <c r="M242" s="1298"/>
      <c r="N242" s="1298"/>
      <c r="O242" s="1298"/>
      <c r="P242" s="1299"/>
      <c r="Q242" s="1298"/>
      <c r="R242" s="1298"/>
      <c r="S242" s="1298"/>
      <c r="T242" s="1298"/>
      <c r="U242" s="1298"/>
      <c r="V242" s="1298"/>
      <c r="W242" s="1298"/>
      <c r="X242" s="1298"/>
      <c r="Y242" s="1298"/>
      <c r="Z242" s="1298"/>
      <c r="AA242" s="1298"/>
      <c r="AB242" s="1298"/>
      <c r="AC242" s="1298"/>
      <c r="AD242" s="1298"/>
      <c r="AE242" s="1298"/>
      <c r="AF242" s="1298"/>
      <c r="AG242" s="1298"/>
      <c r="AH242" s="1207"/>
    </row>
    <row r="243" spans="1:34" x14ac:dyDescent="0.2">
      <c r="A243" s="1236" t="s">
        <v>82</v>
      </c>
      <c r="B243" s="1237"/>
      <c r="C243" s="1302">
        <f t="shared" ref="C243:AG244" si="27">C251</f>
        <v>0</v>
      </c>
      <c r="D243" s="1302">
        <f t="shared" si="27"/>
        <v>0</v>
      </c>
      <c r="E243" s="1302">
        <f t="shared" si="27"/>
        <v>0</v>
      </c>
      <c r="F243" s="1302">
        <f t="shared" si="27"/>
        <v>0</v>
      </c>
      <c r="G243" s="1302">
        <f t="shared" si="27"/>
        <v>0</v>
      </c>
      <c r="H243" s="1302">
        <f t="shared" si="27"/>
        <v>0</v>
      </c>
      <c r="I243" s="1302">
        <f t="shared" si="27"/>
        <v>0</v>
      </c>
      <c r="J243" s="1302">
        <f t="shared" si="27"/>
        <v>0</v>
      </c>
      <c r="K243" s="1302">
        <f t="shared" si="27"/>
        <v>0</v>
      </c>
      <c r="L243" s="1302">
        <f t="shared" si="27"/>
        <v>0</v>
      </c>
      <c r="M243" s="1302">
        <f t="shared" si="27"/>
        <v>0</v>
      </c>
      <c r="N243" s="1302">
        <f t="shared" si="27"/>
        <v>0</v>
      </c>
      <c r="O243" s="1302">
        <f t="shared" si="27"/>
        <v>0</v>
      </c>
      <c r="P243" s="1306">
        <f t="shared" si="27"/>
        <v>0</v>
      </c>
      <c r="Q243" s="1302">
        <f t="shared" si="27"/>
        <v>0</v>
      </c>
      <c r="R243" s="1302">
        <f t="shared" si="27"/>
        <v>0</v>
      </c>
      <c r="S243" s="1302">
        <f t="shared" si="27"/>
        <v>0</v>
      </c>
      <c r="T243" s="1302">
        <f t="shared" si="27"/>
        <v>0</v>
      </c>
      <c r="U243" s="1302">
        <f t="shared" si="27"/>
        <v>0</v>
      </c>
      <c r="V243" s="1302">
        <f t="shared" si="27"/>
        <v>0</v>
      </c>
      <c r="W243" s="1302">
        <f t="shared" si="27"/>
        <v>0</v>
      </c>
      <c r="X243" s="1302">
        <f t="shared" si="27"/>
        <v>0</v>
      </c>
      <c r="Y243" s="1302">
        <f t="shared" si="27"/>
        <v>0</v>
      </c>
      <c r="Z243" s="1302">
        <f t="shared" si="27"/>
        <v>0</v>
      </c>
      <c r="AA243" s="1302">
        <f t="shared" si="27"/>
        <v>0</v>
      </c>
      <c r="AB243" s="1302">
        <f t="shared" si="27"/>
        <v>0</v>
      </c>
      <c r="AC243" s="1302">
        <f t="shared" si="27"/>
        <v>0</v>
      </c>
      <c r="AD243" s="1302">
        <f t="shared" si="27"/>
        <v>0</v>
      </c>
      <c r="AE243" s="1302">
        <f t="shared" si="27"/>
        <v>0</v>
      </c>
      <c r="AF243" s="1302">
        <f t="shared" si="27"/>
        <v>0</v>
      </c>
      <c r="AG243" s="1302">
        <f t="shared" si="27"/>
        <v>0</v>
      </c>
      <c r="AH243" s="1207"/>
    </row>
    <row r="244" spans="1:34" x14ac:dyDescent="0.2">
      <c r="A244" s="1236" t="s">
        <v>83</v>
      </c>
      <c r="B244" s="1237"/>
      <c r="C244" s="1306">
        <f t="shared" si="27"/>
        <v>0</v>
      </c>
      <c r="D244" s="1306">
        <f t="shared" si="27"/>
        <v>0</v>
      </c>
      <c r="E244" s="1306">
        <f t="shared" si="27"/>
        <v>0</v>
      </c>
      <c r="F244" s="1306">
        <f t="shared" si="27"/>
        <v>0</v>
      </c>
      <c r="G244" s="1306">
        <f t="shared" si="27"/>
        <v>0</v>
      </c>
      <c r="H244" s="1306">
        <f t="shared" si="27"/>
        <v>0</v>
      </c>
      <c r="I244" s="1306">
        <f t="shared" si="27"/>
        <v>0</v>
      </c>
      <c r="J244" s="1306">
        <f t="shared" si="27"/>
        <v>0</v>
      </c>
      <c r="K244" s="1306">
        <f t="shared" si="27"/>
        <v>0</v>
      </c>
      <c r="L244" s="1306">
        <f t="shared" si="27"/>
        <v>0</v>
      </c>
      <c r="M244" s="1306">
        <f t="shared" si="27"/>
        <v>0</v>
      </c>
      <c r="N244" s="1306">
        <f t="shared" si="27"/>
        <v>0</v>
      </c>
      <c r="O244" s="1306">
        <f t="shared" si="27"/>
        <v>0</v>
      </c>
      <c r="P244" s="1306">
        <f t="shared" si="27"/>
        <v>0</v>
      </c>
      <c r="Q244" s="1306">
        <f t="shared" si="27"/>
        <v>0</v>
      </c>
      <c r="R244" s="1306">
        <f t="shared" si="27"/>
        <v>0</v>
      </c>
      <c r="S244" s="1306">
        <f t="shared" si="27"/>
        <v>0</v>
      </c>
      <c r="T244" s="1306">
        <f t="shared" si="27"/>
        <v>0</v>
      </c>
      <c r="U244" s="1306">
        <f t="shared" si="27"/>
        <v>0</v>
      </c>
      <c r="V244" s="1306">
        <f t="shared" si="27"/>
        <v>0</v>
      </c>
      <c r="W244" s="1306">
        <f t="shared" si="27"/>
        <v>0</v>
      </c>
      <c r="X244" s="1306">
        <f t="shared" si="27"/>
        <v>0</v>
      </c>
      <c r="Y244" s="1306">
        <f t="shared" si="27"/>
        <v>0</v>
      </c>
      <c r="Z244" s="1306">
        <f t="shared" si="27"/>
        <v>0</v>
      </c>
      <c r="AA244" s="1306">
        <f t="shared" si="27"/>
        <v>0</v>
      </c>
      <c r="AB244" s="1306">
        <f t="shared" si="27"/>
        <v>0</v>
      </c>
      <c r="AC244" s="1306">
        <f t="shared" si="27"/>
        <v>0</v>
      </c>
      <c r="AD244" s="1306">
        <f t="shared" si="27"/>
        <v>0</v>
      </c>
      <c r="AE244" s="1306">
        <f t="shared" si="27"/>
        <v>0</v>
      </c>
      <c r="AF244" s="1306">
        <f t="shared" si="27"/>
        <v>0</v>
      </c>
      <c r="AG244" s="1306">
        <f t="shared" si="27"/>
        <v>0</v>
      </c>
      <c r="AH244" s="1207"/>
    </row>
    <row r="245" spans="1:34" ht="13.5" thickBot="1" x14ac:dyDescent="0.25">
      <c r="A245" s="1250"/>
      <c r="B245" s="1307"/>
      <c r="C245" s="1308"/>
      <c r="D245" s="1308"/>
      <c r="E245" s="1308"/>
      <c r="F245" s="1309"/>
      <c r="G245" s="1309"/>
      <c r="H245" s="1309"/>
      <c r="I245" s="1309"/>
      <c r="J245" s="1309"/>
      <c r="K245" s="1309"/>
      <c r="L245" s="1309"/>
      <c r="M245" s="1309"/>
      <c r="N245" s="1309"/>
      <c r="O245" s="1309"/>
      <c r="P245" s="1310"/>
      <c r="Q245" s="1309"/>
      <c r="R245" s="1309"/>
      <c r="S245" s="1309"/>
      <c r="T245" s="1309"/>
      <c r="U245" s="1309"/>
      <c r="V245" s="1309"/>
      <c r="W245" s="1309"/>
      <c r="X245" s="1309"/>
      <c r="Y245" s="1309"/>
      <c r="Z245" s="1309"/>
      <c r="AA245" s="1309"/>
      <c r="AB245" s="1309"/>
      <c r="AC245" s="1309"/>
      <c r="AD245" s="1309"/>
      <c r="AE245" s="1309"/>
      <c r="AF245" s="1309"/>
      <c r="AG245" s="1309"/>
      <c r="AH245" s="1207"/>
    </row>
    <row r="246" spans="1:34" x14ac:dyDescent="0.2">
      <c r="A246" s="1236"/>
      <c r="B246" s="1237"/>
      <c r="C246" s="1302"/>
      <c r="D246" s="1302"/>
      <c r="E246" s="1302"/>
      <c r="F246" s="1303"/>
      <c r="G246" s="1303"/>
      <c r="H246" s="1303"/>
      <c r="I246" s="1303"/>
      <c r="J246" s="1303"/>
      <c r="K246" s="1303"/>
      <c r="L246" s="1303"/>
      <c r="M246" s="1303"/>
      <c r="N246" s="1303"/>
      <c r="O246" s="1303"/>
      <c r="P246" s="1304"/>
      <c r="Q246" s="1303"/>
      <c r="R246" s="1303"/>
      <c r="S246" s="1303"/>
      <c r="T246" s="1303"/>
      <c r="U246" s="1303"/>
      <c r="V246" s="1303"/>
      <c r="W246" s="1303"/>
      <c r="X246" s="1303"/>
      <c r="Y246" s="1303"/>
      <c r="Z246" s="1303"/>
      <c r="AA246" s="1303"/>
      <c r="AB246" s="1303"/>
      <c r="AC246" s="1303"/>
      <c r="AD246" s="1303"/>
      <c r="AE246" s="1303"/>
      <c r="AF246" s="1303"/>
      <c r="AG246" s="1303"/>
      <c r="AH246" s="1207"/>
    </row>
    <row r="247" spans="1:34" x14ac:dyDescent="0.2">
      <c r="A247" s="1236" t="s">
        <v>14</v>
      </c>
      <c r="B247" s="1237"/>
      <c r="C247" s="1302">
        <f t="shared" ref="C247:AG247" si="28">C240+C243+C244</f>
        <v>8845.4609999999993</v>
      </c>
      <c r="D247" s="1302">
        <f t="shared" si="28"/>
        <v>8845.4609999999993</v>
      </c>
      <c r="E247" s="1302">
        <f t="shared" si="28"/>
        <v>8845.4609999999993</v>
      </c>
      <c r="F247" s="1302">
        <f t="shared" si="28"/>
        <v>8845.4609999999993</v>
      </c>
      <c r="G247" s="1302">
        <f t="shared" si="28"/>
        <v>8845.4609999999993</v>
      </c>
      <c r="H247" s="1302">
        <f t="shared" si="28"/>
        <v>8845.4609999999993</v>
      </c>
      <c r="I247" s="1302">
        <f t="shared" si="28"/>
        <v>8845.4609999999993</v>
      </c>
      <c r="J247" s="1302">
        <f t="shared" si="28"/>
        <v>8845.4609999999993</v>
      </c>
      <c r="K247" s="1302">
        <f t="shared" si="28"/>
        <v>8845.4609999999993</v>
      </c>
      <c r="L247" s="1302">
        <f t="shared" si="28"/>
        <v>8845.4609999999993</v>
      </c>
      <c r="M247" s="1302">
        <f t="shared" si="28"/>
        <v>8845.4609999999993</v>
      </c>
      <c r="N247" s="1302">
        <f t="shared" si="28"/>
        <v>8845.4609999999993</v>
      </c>
      <c r="O247" s="1302">
        <f t="shared" si="28"/>
        <v>8845.4609999999993</v>
      </c>
      <c r="P247" s="1306">
        <f t="shared" si="28"/>
        <v>8845.4609999999993</v>
      </c>
      <c r="Q247" s="1302">
        <f t="shared" si="28"/>
        <v>8845.4609999999993</v>
      </c>
      <c r="R247" s="1302">
        <f t="shared" si="28"/>
        <v>8845.4609999999993</v>
      </c>
      <c r="S247" s="1302">
        <f t="shared" si="28"/>
        <v>8845.4609999999993</v>
      </c>
      <c r="T247" s="1302">
        <f t="shared" si="28"/>
        <v>8845.4609999999993</v>
      </c>
      <c r="U247" s="1302">
        <f t="shared" si="28"/>
        <v>8845.4609999999993</v>
      </c>
      <c r="V247" s="1302">
        <f t="shared" si="28"/>
        <v>8845.4609999999993</v>
      </c>
      <c r="W247" s="1302">
        <f t="shared" si="28"/>
        <v>8845.4609999999993</v>
      </c>
      <c r="X247" s="1302">
        <f t="shared" si="28"/>
        <v>8845.4609999999993</v>
      </c>
      <c r="Y247" s="1302">
        <f t="shared" si="28"/>
        <v>8845.4609999999993</v>
      </c>
      <c r="Z247" s="1302">
        <f t="shared" si="28"/>
        <v>8845.4609999999993</v>
      </c>
      <c r="AA247" s="1302">
        <f t="shared" si="28"/>
        <v>8845.4609999999993</v>
      </c>
      <c r="AB247" s="1302">
        <f t="shared" si="28"/>
        <v>8845.4609999999993</v>
      </c>
      <c r="AC247" s="1302">
        <f t="shared" si="28"/>
        <v>8845.4609999999993</v>
      </c>
      <c r="AD247" s="1302">
        <f t="shared" si="28"/>
        <v>8845.4609999999993</v>
      </c>
      <c r="AE247" s="1302">
        <f t="shared" si="28"/>
        <v>8845.4609999999993</v>
      </c>
      <c r="AF247" s="1302">
        <f t="shared" si="28"/>
        <v>8845.4609999999993</v>
      </c>
      <c r="AG247" s="1302">
        <f t="shared" si="28"/>
        <v>8845.4609999999993</v>
      </c>
      <c r="AH247" s="1207"/>
    </row>
    <row r="248" spans="1:34" x14ac:dyDescent="0.2">
      <c r="A248" s="1236"/>
      <c r="B248" s="1237"/>
      <c r="C248" s="1302"/>
      <c r="D248" s="1302"/>
      <c r="E248" s="1302"/>
      <c r="F248" s="1303"/>
      <c r="G248" s="1303"/>
      <c r="H248" s="1303"/>
      <c r="I248" s="1303"/>
      <c r="J248" s="1303"/>
      <c r="K248" s="1303"/>
      <c r="L248" s="1303"/>
      <c r="M248" s="1303"/>
      <c r="N248" s="1303"/>
      <c r="O248" s="1303"/>
      <c r="P248" s="1304"/>
      <c r="Q248" s="1303"/>
      <c r="R248" s="1303"/>
      <c r="S248" s="1303"/>
      <c r="T248" s="1303"/>
      <c r="U248" s="1303"/>
      <c r="V248" s="1303"/>
      <c r="W248" s="1303"/>
      <c r="X248" s="1303"/>
      <c r="Y248" s="1303"/>
      <c r="Z248" s="1303"/>
      <c r="AA248" s="1303"/>
      <c r="AB248" s="1303"/>
      <c r="AC248" s="1303"/>
      <c r="AD248" s="1303"/>
      <c r="AE248" s="1303"/>
      <c r="AF248" s="1303"/>
      <c r="AG248" s="1303"/>
      <c r="AH248" s="1207"/>
    </row>
    <row r="249" spans="1:34" ht="13.5" thickBot="1" x14ac:dyDescent="0.25">
      <c r="A249" s="1250"/>
      <c r="B249" s="1307"/>
      <c r="C249" s="1312"/>
      <c r="D249" s="1312"/>
      <c r="E249" s="1312"/>
      <c r="F249" s="1313"/>
      <c r="G249" s="1313"/>
      <c r="H249" s="1313"/>
      <c r="I249" s="1313"/>
      <c r="J249" s="1313"/>
      <c r="K249" s="1313"/>
      <c r="L249" s="1313"/>
      <c r="M249" s="1313"/>
      <c r="N249" s="1313"/>
      <c r="O249" s="1313"/>
      <c r="P249" s="1314"/>
      <c r="Q249" s="1313"/>
      <c r="R249" s="1313"/>
      <c r="S249" s="1313"/>
      <c r="T249" s="1313"/>
      <c r="U249" s="1313"/>
      <c r="V249" s="1313"/>
      <c r="W249" s="1313"/>
      <c r="X249" s="1313"/>
      <c r="Y249" s="1313"/>
      <c r="Z249" s="1313"/>
      <c r="AA249" s="1313"/>
      <c r="AB249" s="1313"/>
      <c r="AC249" s="1313"/>
      <c r="AD249" s="1313"/>
      <c r="AE249" s="1313"/>
      <c r="AF249" s="1313"/>
      <c r="AG249" s="1313"/>
      <c r="AH249" s="1207"/>
    </row>
    <row r="250" spans="1:34" x14ac:dyDescent="0.2">
      <c r="A250" s="1316"/>
      <c r="B250" s="1207"/>
      <c r="C250" s="1227"/>
      <c r="D250" s="1227"/>
      <c r="E250" s="1227"/>
      <c r="F250" s="1227"/>
      <c r="G250" s="1227"/>
      <c r="H250" s="1227"/>
      <c r="I250" s="1227"/>
      <c r="J250" s="1227"/>
      <c r="K250" s="1227"/>
      <c r="L250" s="1227"/>
      <c r="M250" s="1227"/>
      <c r="N250" s="1227"/>
      <c r="O250" s="1227"/>
      <c r="P250" s="1229"/>
      <c r="Q250" s="1227"/>
      <c r="R250" s="1227"/>
      <c r="S250" s="1227"/>
      <c r="T250" s="1227"/>
      <c r="U250" s="1227"/>
      <c r="V250" s="1227"/>
      <c r="W250" s="1227"/>
      <c r="X250" s="1227"/>
      <c r="Y250" s="1227"/>
      <c r="Z250" s="1227"/>
      <c r="AA250" s="1227"/>
      <c r="AB250" s="1227"/>
      <c r="AC250" s="1227"/>
      <c r="AD250" s="1227"/>
      <c r="AE250" s="1227"/>
      <c r="AF250" s="1227"/>
      <c r="AG250" s="1227"/>
      <c r="AH250" s="1227">
        <f>SUM(C250:AG250)</f>
        <v>0</v>
      </c>
    </row>
    <row r="251" spans="1:34" x14ac:dyDescent="0.2">
      <c r="A251" s="1316"/>
      <c r="B251" s="1207"/>
      <c r="C251" s="1219"/>
      <c r="D251" s="1219"/>
      <c r="E251" s="1219"/>
      <c r="F251" s="1219"/>
      <c r="G251" s="1220"/>
      <c r="H251" s="1219"/>
      <c r="I251" s="1219"/>
      <c r="J251" s="1219"/>
      <c r="K251" s="1219"/>
      <c r="L251" s="1220"/>
      <c r="M251" s="1220"/>
      <c r="N251" s="1221"/>
      <c r="O251" s="1220"/>
      <c r="P251" s="1221"/>
      <c r="Q251" s="1219"/>
      <c r="R251" s="1219"/>
      <c r="S251" s="1219"/>
      <c r="T251" s="1219"/>
      <c r="U251" s="1219"/>
      <c r="V251" s="1221"/>
      <c r="W251" s="1219"/>
      <c r="X251" s="1219"/>
      <c r="Y251" s="1219"/>
      <c r="Z251" s="1219"/>
      <c r="AA251" s="1384"/>
      <c r="AB251" s="1219"/>
      <c r="AC251" s="1219"/>
      <c r="AD251" s="1220"/>
      <c r="AE251" s="1219"/>
      <c r="AF251" s="1221"/>
      <c r="AG251" s="1219"/>
      <c r="AH251" s="1345"/>
    </row>
    <row r="252" spans="1:34" x14ac:dyDescent="0.2">
      <c r="A252" s="1207"/>
      <c r="B252" s="1207"/>
      <c r="C252" s="1207"/>
      <c r="D252" s="1219"/>
      <c r="E252" s="1347"/>
      <c r="F252" s="1207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8"/>
      <c r="Q252" s="1227"/>
      <c r="R252" s="1207"/>
      <c r="S252" s="1345"/>
      <c r="T252" s="1207"/>
      <c r="U252" s="1207"/>
      <c r="V252" s="1207"/>
      <c r="W252" s="1207"/>
      <c r="X252" s="1207"/>
      <c r="Y252" s="1345"/>
      <c r="Z252" s="1345"/>
      <c r="AA252" s="1345"/>
      <c r="AB252" s="1345"/>
      <c r="AC252" s="1345"/>
      <c r="AD252" s="1345"/>
      <c r="AE252" s="1345"/>
      <c r="AF252" s="1345"/>
      <c r="AG252" s="1345"/>
      <c r="AH252" s="1227">
        <f>SUM(C252:AG252)</f>
        <v>0</v>
      </c>
    </row>
    <row r="253" spans="1:34" x14ac:dyDescent="0.2">
      <c r="A253" s="1210" t="s">
        <v>415</v>
      </c>
      <c r="B253" s="1215">
        <f>B254+B255+B257</f>
        <v>425000</v>
      </c>
      <c r="C253" s="1207"/>
      <c r="D253" s="1207"/>
      <c r="E253" s="1207"/>
      <c r="F253" s="1207"/>
      <c r="G253" s="1207"/>
      <c r="H253" s="1207"/>
      <c r="I253" s="1207"/>
      <c r="J253" s="1207"/>
      <c r="K253" s="1392"/>
      <c r="L253" s="1207"/>
      <c r="M253" s="1207"/>
      <c r="N253" s="1207"/>
      <c r="O253" s="1207"/>
      <c r="P253" s="1208"/>
      <c r="Q253" s="1207"/>
      <c r="R253" s="1207"/>
      <c r="S253" s="1207"/>
      <c r="T253" s="1207"/>
      <c r="U253" s="1207"/>
      <c r="V253" s="1207"/>
      <c r="W253" s="1207"/>
      <c r="X253" s="1207"/>
      <c r="Y253" s="1207"/>
      <c r="Z253" s="1207"/>
      <c r="AA253" s="1384"/>
      <c r="AB253" s="1207"/>
      <c r="AC253" s="1207"/>
      <c r="AD253" s="1207"/>
      <c r="AE253" s="1207"/>
      <c r="AF253" s="1207"/>
      <c r="AG253" s="1207"/>
      <c r="AH253" s="1207"/>
    </row>
    <row r="254" spans="1:34" x14ac:dyDescent="0.2">
      <c r="A254" s="1365" t="s">
        <v>414</v>
      </c>
      <c r="B254" s="1219">
        <v>25000</v>
      </c>
      <c r="C254" s="1207"/>
      <c r="D254" s="1207"/>
      <c r="E254" s="1227"/>
      <c r="F254" s="1227"/>
      <c r="G254" s="1227"/>
      <c r="H254" s="1207"/>
      <c r="I254" s="1207"/>
      <c r="J254" s="1207"/>
      <c r="K254" s="1207"/>
      <c r="L254" s="1207"/>
      <c r="M254" s="1207"/>
      <c r="N254" s="1207"/>
      <c r="O254" s="1207"/>
      <c r="P254" s="1208"/>
      <c r="Q254" s="1207"/>
      <c r="R254" s="1207"/>
      <c r="S254" s="1207"/>
      <c r="T254" s="1207"/>
      <c r="U254" s="1227"/>
      <c r="V254" s="1207"/>
      <c r="W254" s="1207"/>
      <c r="X254" s="1207"/>
      <c r="Y254" s="1207"/>
      <c r="Z254" s="1207"/>
      <c r="AA254" s="1354"/>
      <c r="AB254" s="1207"/>
      <c r="AC254" s="1207"/>
      <c r="AD254" s="1207"/>
      <c r="AE254" s="1207"/>
      <c r="AF254" s="1207"/>
      <c r="AG254" s="1227"/>
      <c r="AH254" s="1207"/>
    </row>
    <row r="255" spans="1:34" x14ac:dyDescent="0.2">
      <c r="A255" s="1365" t="s">
        <v>287</v>
      </c>
      <c r="B255" s="1219">
        <v>300000</v>
      </c>
      <c r="C255" s="1207"/>
      <c r="D255" s="1207"/>
      <c r="E255" s="1207"/>
      <c r="F255" s="1207"/>
      <c r="G255" s="1207"/>
      <c r="H255" s="1207"/>
      <c r="I255" s="1207"/>
      <c r="J255" s="1207"/>
      <c r="K255" s="1207"/>
      <c r="L255" s="1207"/>
      <c r="M255" s="1207"/>
      <c r="N255" s="1207"/>
      <c r="O255" s="1207"/>
      <c r="P255" s="1208"/>
      <c r="Q255" s="1207"/>
      <c r="R255" s="1207"/>
      <c r="S255" s="1207"/>
      <c r="T255" s="1207"/>
      <c r="U255" s="1227"/>
      <c r="V255" s="1207"/>
      <c r="W255" s="1207"/>
      <c r="X255" s="1207"/>
      <c r="Y255" s="1207"/>
      <c r="Z255" s="1207"/>
      <c r="AA255" s="1207"/>
      <c r="AB255" s="1207"/>
      <c r="AC255" s="1207"/>
      <c r="AD255" s="1207"/>
      <c r="AE255" s="1207"/>
      <c r="AF255" s="1392"/>
      <c r="AG255" s="1207"/>
      <c r="AH255" s="1207"/>
    </row>
    <row r="256" spans="1:34" x14ac:dyDescent="0.2">
      <c r="A256" s="1316" t="s">
        <v>413</v>
      </c>
      <c r="B256" s="1219"/>
      <c r="C256" s="1207"/>
      <c r="D256" s="1207"/>
      <c r="E256" s="1207"/>
      <c r="F256" s="1207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8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07"/>
      <c r="AA256" s="1207"/>
      <c r="AB256" s="1207"/>
      <c r="AC256" s="1207"/>
      <c r="AD256" s="1207"/>
      <c r="AE256" s="1207"/>
      <c r="AF256" s="1207"/>
      <c r="AG256" s="1207"/>
      <c r="AH256" s="1207"/>
    </row>
    <row r="257" spans="1:34" x14ac:dyDescent="0.2">
      <c r="A257" s="1316" t="s">
        <v>441</v>
      </c>
      <c r="B257" s="1219">
        <v>100000</v>
      </c>
      <c r="C257" s="1207"/>
      <c r="D257" s="1207"/>
      <c r="E257" s="1207"/>
      <c r="F257" s="1207"/>
      <c r="G257" s="1207"/>
      <c r="H257" s="1207"/>
      <c r="I257" s="1207"/>
      <c r="J257" s="1207"/>
      <c r="K257" s="1207"/>
      <c r="L257" s="1207"/>
      <c r="M257" s="1207"/>
      <c r="N257" s="1207"/>
      <c r="O257" s="1207"/>
      <c r="P257" s="1208"/>
      <c r="Q257" s="1207"/>
      <c r="R257" s="1207"/>
      <c r="S257" s="1207"/>
      <c r="T257" s="1207"/>
      <c r="U257" s="1207"/>
      <c r="V257" s="1207"/>
      <c r="W257" s="1207"/>
      <c r="X257" s="1207"/>
      <c r="Y257" s="1207"/>
      <c r="Z257" s="1207"/>
      <c r="AA257" s="1207"/>
      <c r="AB257" s="1207"/>
      <c r="AC257" s="1207"/>
      <c r="AD257" s="1207"/>
      <c r="AE257" s="1207"/>
      <c r="AF257" s="1207"/>
      <c r="AG257" s="1207"/>
      <c r="AH257" s="1207"/>
    </row>
    <row r="258" spans="1:34" x14ac:dyDescent="0.2">
      <c r="A258" s="1207"/>
      <c r="B258" s="1207"/>
      <c r="C258" s="1207"/>
      <c r="D258" s="1207"/>
      <c r="E258" s="1207"/>
      <c r="F258" s="1207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8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07"/>
      <c r="AA258" s="1207"/>
      <c r="AB258" s="1207"/>
      <c r="AC258" s="1207"/>
      <c r="AD258" s="1207"/>
      <c r="AE258" s="1207"/>
      <c r="AF258" s="1207"/>
      <c r="AG258" s="1207"/>
      <c r="AH258" s="1207"/>
    </row>
    <row r="259" spans="1:34" x14ac:dyDescent="0.2">
      <c r="A259" s="1207"/>
      <c r="B259" s="1207"/>
      <c r="C259" s="1207"/>
      <c r="D259" s="1207"/>
      <c r="E259" s="1207"/>
      <c r="F259" s="1207"/>
      <c r="G259" s="1207"/>
      <c r="H259" s="1207"/>
      <c r="I259" s="1207"/>
      <c r="J259" s="1207"/>
      <c r="K259" s="1207"/>
      <c r="L259" s="1207"/>
      <c r="M259" s="1207"/>
      <c r="N259" s="1207"/>
      <c r="O259" s="1207"/>
      <c r="P259" s="1208"/>
      <c r="Q259" s="1207"/>
      <c r="R259" s="1207"/>
      <c r="S259" s="1207"/>
      <c r="T259" s="1207"/>
      <c r="U259" s="1207"/>
      <c r="V259" s="1207"/>
      <c r="W259" s="1207"/>
      <c r="X259" s="1207"/>
      <c r="Y259" s="1207"/>
      <c r="Z259" s="1207"/>
      <c r="AA259" s="1207"/>
      <c r="AB259" s="1207"/>
      <c r="AC259" s="1207"/>
      <c r="AD259" s="1207"/>
      <c r="AE259" s="1207"/>
      <c r="AF259" s="1207"/>
      <c r="AG259" s="1207"/>
      <c r="AH259" s="1207"/>
    </row>
    <row r="260" spans="1:34" ht="13.5" thickBot="1" x14ac:dyDescent="0.25">
      <c r="A260" s="1207"/>
      <c r="B260" s="1207"/>
      <c r="C260" s="1207"/>
      <c r="D260" s="1207"/>
      <c r="E260" s="1207"/>
      <c r="F260" s="1207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8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1207"/>
      <c r="AD260" s="1207"/>
      <c r="AE260" s="1207"/>
      <c r="AF260" s="1207"/>
      <c r="AG260" s="1207"/>
      <c r="AH260" s="1207"/>
    </row>
    <row r="261" spans="1:34" x14ac:dyDescent="0.2">
      <c r="A261" s="1233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34"/>
      <c r="O261" s="1234"/>
      <c r="P261" s="1235"/>
      <c r="Q261" s="1234"/>
      <c r="R261" s="1234"/>
      <c r="S261" s="1234"/>
      <c r="T261" s="1234"/>
      <c r="U261" s="1234"/>
      <c r="V261" s="1234"/>
      <c r="W261" s="1234"/>
      <c r="X261" s="1234"/>
      <c r="Y261" s="1234"/>
      <c r="Z261" s="1234"/>
      <c r="AA261" s="1234"/>
      <c r="AB261" s="1234"/>
      <c r="AC261" s="1234"/>
      <c r="AD261" s="1234"/>
      <c r="AE261" s="1234"/>
      <c r="AF261" s="1234"/>
      <c r="AG261" s="1234"/>
      <c r="AH261" s="1207"/>
    </row>
    <row r="262" spans="1:34" x14ac:dyDescent="0.2">
      <c r="A262" s="1236"/>
      <c r="B262" s="1237" t="s">
        <v>37</v>
      </c>
      <c r="C262" s="1237"/>
      <c r="D262" s="1237"/>
      <c r="E262" s="1238" t="s">
        <v>912</v>
      </c>
      <c r="F262" s="1239" t="s">
        <v>340</v>
      </c>
      <c r="G262" s="1211"/>
      <c r="H262" s="1239"/>
      <c r="I262" s="1239"/>
      <c r="J262" s="1239"/>
      <c r="K262" s="1239"/>
      <c r="L262" s="1239"/>
      <c r="M262" s="1239"/>
      <c r="N262" s="1239"/>
      <c r="O262" s="1239"/>
      <c r="P262" s="1240"/>
      <c r="Q262" s="1239"/>
      <c r="R262" s="1239"/>
      <c r="S262" s="1239"/>
      <c r="T262" s="1239"/>
      <c r="U262" s="1239"/>
      <c r="V262" s="1239"/>
      <c r="W262" s="1239"/>
      <c r="X262" s="1239"/>
      <c r="Y262" s="1239"/>
      <c r="Z262" s="1239"/>
      <c r="AA262" s="1239"/>
      <c r="AB262" s="1239"/>
      <c r="AC262" s="1239"/>
      <c r="AD262" s="1239"/>
      <c r="AE262" s="1239"/>
      <c r="AF262" s="1239"/>
      <c r="AG262" s="1239"/>
      <c r="AH262" s="1207"/>
    </row>
    <row r="263" spans="1:34" x14ac:dyDescent="0.2">
      <c r="A263" s="1236"/>
      <c r="B263" s="1237"/>
      <c r="C263" s="1237"/>
      <c r="D263" s="1237"/>
      <c r="E263" s="1237"/>
      <c r="F263" s="1237"/>
      <c r="G263" s="1237"/>
      <c r="H263" s="1237"/>
      <c r="I263" s="1237"/>
      <c r="J263" s="1237"/>
      <c r="K263" s="1237"/>
      <c r="L263" s="1237"/>
      <c r="M263" s="1237"/>
      <c r="N263" s="1237"/>
      <c r="O263" s="1237"/>
      <c r="P263" s="1241"/>
      <c r="Q263" s="1237"/>
      <c r="R263" s="1237"/>
      <c r="S263" s="1237"/>
      <c r="T263" s="1237"/>
      <c r="U263" s="1237"/>
      <c r="V263" s="1237"/>
      <c r="W263" s="1237"/>
      <c r="X263" s="1237"/>
      <c r="Y263" s="1237"/>
      <c r="Z263" s="1237"/>
      <c r="AA263" s="1237"/>
      <c r="AB263" s="1237"/>
      <c r="AC263" s="1237"/>
      <c r="AD263" s="1237"/>
      <c r="AE263" s="1237"/>
      <c r="AF263" s="1237"/>
      <c r="AG263" s="1237"/>
      <c r="AH263" s="1207"/>
    </row>
    <row r="264" spans="1:34" x14ac:dyDescent="0.2">
      <c r="A264" s="1236"/>
      <c r="B264" s="1237"/>
      <c r="C264" s="1239"/>
      <c r="D264" s="1239">
        <v>42438</v>
      </c>
      <c r="E264" s="1237"/>
      <c r="F264" s="1237"/>
      <c r="G264" s="1237"/>
      <c r="H264" s="1237"/>
      <c r="I264" s="1237"/>
      <c r="J264" s="1237"/>
      <c r="K264" s="1237"/>
      <c r="L264" s="1237"/>
      <c r="M264" s="1237"/>
      <c r="N264" s="1237"/>
      <c r="O264" s="1237"/>
      <c r="P264" s="1241"/>
      <c r="Q264" s="1237"/>
      <c r="R264" s="1237"/>
      <c r="S264" s="1237"/>
      <c r="T264" s="1237"/>
      <c r="U264" s="1237"/>
      <c r="V264" s="1237"/>
      <c r="W264" s="1237"/>
      <c r="X264" s="1237"/>
      <c r="Y264" s="1237"/>
      <c r="Z264" s="1237"/>
      <c r="AA264" s="1237"/>
      <c r="AB264" s="1237"/>
      <c r="AC264" s="1237"/>
      <c r="AD264" s="1237"/>
      <c r="AE264" s="1237"/>
      <c r="AF264" s="1237"/>
      <c r="AG264" s="1237"/>
      <c r="AH264" s="1207"/>
    </row>
    <row r="265" spans="1:34" x14ac:dyDescent="0.2">
      <c r="A265" s="1236"/>
      <c r="B265" s="1237"/>
      <c r="C265" s="1239"/>
      <c r="D265" s="1239"/>
      <c r="E265" s="1237"/>
      <c r="F265" s="1237"/>
      <c r="G265" s="1237"/>
      <c r="H265" s="1237"/>
      <c r="I265" s="1237"/>
      <c r="J265" s="1237"/>
      <c r="K265" s="1237"/>
      <c r="L265" s="1237"/>
      <c r="M265" s="1237"/>
      <c r="N265" s="1237"/>
      <c r="O265" s="1237"/>
      <c r="P265" s="1241"/>
      <c r="Q265" s="1237"/>
      <c r="R265" s="1237"/>
      <c r="S265" s="1237"/>
      <c r="T265" s="1237"/>
      <c r="U265" s="1237"/>
      <c r="V265" s="1237"/>
      <c r="W265" s="1237"/>
      <c r="X265" s="1237"/>
      <c r="Y265" s="1237"/>
      <c r="Z265" s="1237"/>
      <c r="AA265" s="1237"/>
      <c r="AB265" s="1237"/>
      <c r="AC265" s="1237"/>
      <c r="AD265" s="1237"/>
      <c r="AE265" s="1237"/>
      <c r="AF265" s="1237"/>
      <c r="AG265" s="1237"/>
      <c r="AH265" s="1207"/>
    </row>
    <row r="266" spans="1:34" ht="13.5" thickBot="1" x14ac:dyDescent="0.25">
      <c r="A266" s="1236"/>
      <c r="B266" s="1237"/>
      <c r="C266" s="1237"/>
      <c r="D266" s="1237"/>
      <c r="E266" s="1237"/>
      <c r="F266" s="1237"/>
      <c r="G266" s="1237"/>
      <c r="H266" s="1237"/>
      <c r="I266" s="1237"/>
      <c r="J266" s="1237"/>
      <c r="K266" s="1237"/>
      <c r="L266" s="1237"/>
      <c r="M266" s="1237"/>
      <c r="N266" s="1237"/>
      <c r="O266" s="1237"/>
      <c r="P266" s="1241"/>
      <c r="Q266" s="1237"/>
      <c r="R266" s="1237"/>
      <c r="S266" s="1237"/>
      <c r="T266" s="1237"/>
      <c r="U266" s="1237"/>
      <c r="V266" s="1237"/>
      <c r="W266" s="1237"/>
      <c r="X266" s="1237"/>
      <c r="Y266" s="1237"/>
      <c r="Z266" s="1237"/>
      <c r="AA266" s="1237"/>
      <c r="AB266" s="1237"/>
      <c r="AC266" s="1237"/>
      <c r="AD266" s="1237"/>
      <c r="AE266" s="1237"/>
      <c r="AF266" s="1237"/>
      <c r="AG266" s="1237"/>
      <c r="AH266" s="1207"/>
    </row>
    <row r="267" spans="1:34" ht="13.5" thickBot="1" x14ac:dyDescent="0.25">
      <c r="A267" s="1236"/>
      <c r="B267" s="1237"/>
      <c r="C267" s="1243"/>
      <c r="D267" s="1244" t="s">
        <v>16</v>
      </c>
      <c r="E267" s="1244"/>
      <c r="F267" s="1244"/>
      <c r="G267" s="1244"/>
      <c r="H267" s="1244"/>
      <c r="I267" s="1244"/>
      <c r="J267" s="1244"/>
      <c r="K267" s="1244"/>
      <c r="L267" s="1244"/>
      <c r="M267" s="1244"/>
      <c r="N267" s="1244"/>
      <c r="O267" s="1244"/>
      <c r="P267" s="1245"/>
      <c r="Q267" s="1244"/>
      <c r="R267" s="1244"/>
      <c r="S267" s="1244"/>
      <c r="T267" s="1244"/>
      <c r="U267" s="1244"/>
      <c r="V267" s="1244"/>
      <c r="W267" s="1244"/>
      <c r="X267" s="1244"/>
      <c r="Y267" s="1244"/>
      <c r="Z267" s="1244"/>
      <c r="AA267" s="1244"/>
      <c r="AB267" s="1244"/>
      <c r="AC267" s="1244"/>
      <c r="AD267" s="1244"/>
      <c r="AE267" s="1244"/>
      <c r="AF267" s="1244"/>
      <c r="AG267" s="1244"/>
      <c r="AH267" s="1207"/>
    </row>
    <row r="268" spans="1:34" ht="13.5" thickBot="1" x14ac:dyDescent="0.25">
      <c r="A268" s="1236"/>
      <c r="B268" s="1237"/>
      <c r="C268" s="1246" t="s">
        <v>452</v>
      </c>
      <c r="D268" s="1246" t="s">
        <v>453</v>
      </c>
      <c r="E268" s="1246" t="s">
        <v>434</v>
      </c>
      <c r="F268" s="1246" t="s">
        <v>390</v>
      </c>
      <c r="G268" s="1246" t="s">
        <v>454</v>
      </c>
      <c r="H268" s="1246" t="s">
        <v>455</v>
      </c>
      <c r="I268" s="1246" t="s">
        <v>456</v>
      </c>
      <c r="J268" s="1246" t="s">
        <v>457</v>
      </c>
      <c r="K268" s="1246" t="s">
        <v>458</v>
      </c>
      <c r="L268" s="1246" t="s">
        <v>216</v>
      </c>
      <c r="M268" s="1246" t="s">
        <v>459</v>
      </c>
      <c r="N268" s="1246" t="s">
        <v>297</v>
      </c>
      <c r="O268" s="1246" t="s">
        <v>211</v>
      </c>
      <c r="P268" s="1247" t="s">
        <v>270</v>
      </c>
      <c r="Q268" s="1246">
        <v>15</v>
      </c>
      <c r="R268" s="1246">
        <v>16</v>
      </c>
      <c r="S268" s="1246" t="s">
        <v>461</v>
      </c>
      <c r="T268" s="1246" t="s">
        <v>442</v>
      </c>
      <c r="U268" s="1246" t="s">
        <v>462</v>
      </c>
      <c r="V268" s="1246" t="s">
        <v>470</v>
      </c>
      <c r="W268" s="1246" t="s">
        <v>471</v>
      </c>
      <c r="X268" s="1246" t="s">
        <v>472</v>
      </c>
      <c r="Y268" s="1246" t="s">
        <v>463</v>
      </c>
      <c r="Z268" s="1246" t="s">
        <v>465</v>
      </c>
      <c r="AA268" s="1246" t="s">
        <v>466</v>
      </c>
      <c r="AB268" s="1246" t="s">
        <v>435</v>
      </c>
      <c r="AC268" s="1246" t="s">
        <v>467</v>
      </c>
      <c r="AD268" s="1246" t="s">
        <v>464</v>
      </c>
      <c r="AE268" s="1246" t="s">
        <v>429</v>
      </c>
      <c r="AF268" s="1246" t="s">
        <v>149</v>
      </c>
      <c r="AG268" s="1246" t="s">
        <v>210</v>
      </c>
      <c r="AH268" s="1207"/>
    </row>
    <row r="269" spans="1:34" x14ac:dyDescent="0.2">
      <c r="A269" s="1233"/>
      <c r="B269" s="1248"/>
      <c r="C269" s="1237"/>
      <c r="D269" s="1237"/>
      <c r="E269" s="1237"/>
      <c r="F269" s="1237"/>
      <c r="G269" s="1237"/>
      <c r="H269" s="1237"/>
      <c r="I269" s="1237"/>
      <c r="J269" s="1237"/>
      <c r="K269" s="1237"/>
      <c r="L269" s="1237"/>
      <c r="M269" s="1237"/>
      <c r="N269" s="1237"/>
      <c r="O269" s="1237"/>
      <c r="P269" s="1241"/>
      <c r="Q269" s="1237"/>
      <c r="R269" s="1237"/>
      <c r="S269" s="1237"/>
      <c r="T269" s="1237"/>
      <c r="U269" s="1237"/>
      <c r="V269" s="1237"/>
      <c r="W269" s="1237"/>
      <c r="X269" s="1237"/>
      <c r="Y269" s="1237"/>
      <c r="Z269" s="1237"/>
      <c r="AA269" s="1237"/>
      <c r="AB269" s="1237"/>
      <c r="AC269" s="1237"/>
      <c r="AD269" s="1237"/>
      <c r="AE269" s="1237"/>
      <c r="AF269" s="1237"/>
      <c r="AG269" s="1237"/>
      <c r="AH269" s="1207"/>
    </row>
    <row r="270" spans="1:34" x14ac:dyDescent="0.2">
      <c r="A270" s="1236" t="s">
        <v>0</v>
      </c>
      <c r="B270" s="1249">
        <v>-21198.572</v>
      </c>
      <c r="C270" s="1237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41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07"/>
    </row>
    <row r="271" spans="1:34" ht="13.5" thickBot="1" x14ac:dyDescent="0.25">
      <c r="A271" s="1250"/>
      <c r="B271" s="1251"/>
      <c r="C271" s="1237"/>
      <c r="D271" s="1237"/>
      <c r="E271" s="1237"/>
      <c r="F271" s="1237"/>
      <c r="G271" s="1237"/>
      <c r="H271" s="1237"/>
      <c r="I271" s="1237"/>
      <c r="J271" s="1237"/>
      <c r="K271" s="1237"/>
      <c r="L271" s="1237"/>
      <c r="M271" s="1237"/>
      <c r="N271" s="1237"/>
      <c r="O271" s="1237"/>
      <c r="P271" s="1241"/>
      <c r="Q271" s="1237"/>
      <c r="R271" s="1237"/>
      <c r="S271" s="1237"/>
      <c r="T271" s="1237"/>
      <c r="U271" s="1237"/>
      <c r="V271" s="1237"/>
      <c r="W271" s="1237"/>
      <c r="X271" s="1237"/>
      <c r="Y271" s="1237"/>
      <c r="Z271" s="1237"/>
      <c r="AA271" s="1237"/>
      <c r="AB271" s="1237"/>
      <c r="AC271" s="1237"/>
      <c r="AD271" s="1237"/>
      <c r="AE271" s="1237"/>
      <c r="AF271" s="1237"/>
      <c r="AG271" s="1237"/>
      <c r="AH271" s="1207"/>
    </row>
    <row r="272" spans="1:34" x14ac:dyDescent="0.2">
      <c r="A272" s="1233"/>
      <c r="B272" s="1253"/>
      <c r="C272" s="1237"/>
      <c r="D272" s="1237"/>
      <c r="E272" s="1237"/>
      <c r="F272" s="1237"/>
      <c r="G272" s="1237"/>
      <c r="H272" s="1237"/>
      <c r="I272" s="1237"/>
      <c r="J272" s="1237"/>
      <c r="K272" s="1237"/>
      <c r="L272" s="1237"/>
      <c r="M272" s="1237"/>
      <c r="N272" s="1237"/>
      <c r="O272" s="1237"/>
      <c r="P272" s="1241"/>
      <c r="Q272" s="1237"/>
      <c r="R272" s="1237"/>
      <c r="S272" s="1237"/>
      <c r="T272" s="1237"/>
      <c r="U272" s="1237"/>
      <c r="V272" s="1237"/>
      <c r="W272" s="1237"/>
      <c r="X272" s="1237"/>
      <c r="Y272" s="1237"/>
      <c r="Z272" s="1237"/>
      <c r="AA272" s="1237"/>
      <c r="AB272" s="1237"/>
      <c r="AC272" s="1237"/>
      <c r="AD272" s="1237"/>
      <c r="AE272" s="1237"/>
      <c r="AF272" s="1237"/>
      <c r="AG272" s="1237"/>
      <c r="AH272" s="1207"/>
    </row>
    <row r="273" spans="1:34" x14ac:dyDescent="0.2">
      <c r="A273" s="1236" t="s">
        <v>1</v>
      </c>
      <c r="B273" s="1249">
        <f>B274+B275+B276</f>
        <v>0</v>
      </c>
      <c r="C273" s="1237"/>
      <c r="D273" s="1237"/>
      <c r="E273" s="1237"/>
      <c r="F273" s="1237"/>
      <c r="G273" s="1237"/>
      <c r="H273" s="1237"/>
      <c r="I273" s="1237"/>
      <c r="J273" s="1237"/>
      <c r="K273" s="1237"/>
      <c r="L273" s="1237"/>
      <c r="M273" s="1237"/>
      <c r="N273" s="1237"/>
      <c r="O273" s="1237"/>
      <c r="P273" s="1241"/>
      <c r="Q273" s="1237"/>
      <c r="R273" s="1237"/>
      <c r="S273" s="1237"/>
      <c r="T273" s="1237"/>
      <c r="U273" s="1237"/>
      <c r="V273" s="1237"/>
      <c r="W273" s="1237"/>
      <c r="X273" s="1237"/>
      <c r="Y273" s="1237"/>
      <c r="Z273" s="1237"/>
      <c r="AA273" s="1237"/>
      <c r="AB273" s="1237"/>
      <c r="AC273" s="1237"/>
      <c r="AD273" s="1237"/>
      <c r="AE273" s="1237"/>
      <c r="AF273" s="1237"/>
      <c r="AG273" s="1237"/>
      <c r="AH273" s="1207"/>
    </row>
    <row r="274" spans="1:34" x14ac:dyDescent="0.2">
      <c r="A274" s="1236" t="s">
        <v>38</v>
      </c>
      <c r="B274" s="1249">
        <f>C322</f>
        <v>0</v>
      </c>
      <c r="C274" s="1237"/>
      <c r="D274" s="1237"/>
      <c r="E274" s="1237"/>
      <c r="F274" s="1237"/>
      <c r="G274" s="1237"/>
      <c r="H274" s="1237"/>
      <c r="I274" s="1237"/>
      <c r="J274" s="1237"/>
      <c r="K274" s="1237"/>
      <c r="L274" s="1237"/>
      <c r="M274" s="1237"/>
      <c r="N274" s="1237"/>
      <c r="O274" s="1237"/>
      <c r="P274" s="1241"/>
      <c r="Q274" s="1237"/>
      <c r="R274" s="1237"/>
      <c r="S274" s="1237"/>
      <c r="T274" s="1237"/>
      <c r="U274" s="1237"/>
      <c r="V274" s="1237"/>
      <c r="W274" s="1237"/>
      <c r="X274" s="1237"/>
      <c r="Y274" s="1237"/>
      <c r="Z274" s="1237"/>
      <c r="AA274" s="1237"/>
      <c r="AB274" s="1237"/>
      <c r="AC274" s="1237"/>
      <c r="AD274" s="1237"/>
      <c r="AE274" s="1237"/>
      <c r="AF274" s="1237"/>
      <c r="AG274" s="1237"/>
      <c r="AH274" s="1207"/>
    </row>
    <row r="275" spans="1:34" x14ac:dyDescent="0.2">
      <c r="A275" s="1236" t="s">
        <v>39</v>
      </c>
      <c r="B275" s="1249">
        <f>C345</f>
        <v>0</v>
      </c>
      <c r="C275" s="1237"/>
      <c r="D275" s="1237"/>
      <c r="E275" s="1237"/>
      <c r="F275" s="1237"/>
      <c r="G275" s="1237"/>
      <c r="H275" s="1237"/>
      <c r="I275" s="1237"/>
      <c r="J275" s="1237"/>
      <c r="K275" s="1237"/>
      <c r="L275" s="1237"/>
      <c r="M275" s="1237"/>
      <c r="N275" s="1237"/>
      <c r="O275" s="1237"/>
      <c r="P275" s="1241"/>
      <c r="Q275" s="1237"/>
      <c r="R275" s="1237"/>
      <c r="S275" s="1237"/>
      <c r="T275" s="1237"/>
      <c r="U275" s="1237"/>
      <c r="V275" s="1237"/>
      <c r="W275" s="1237"/>
      <c r="X275" s="1237"/>
      <c r="Y275" s="1237"/>
      <c r="Z275" s="1237"/>
      <c r="AA275" s="1237"/>
      <c r="AB275" s="1237"/>
      <c r="AC275" s="1237"/>
      <c r="AD275" s="1237"/>
      <c r="AE275" s="1237"/>
      <c r="AF275" s="1237"/>
      <c r="AG275" s="1237"/>
      <c r="AH275" s="1207"/>
    </row>
    <row r="276" spans="1:34" x14ac:dyDescent="0.2">
      <c r="A276" s="1236" t="s">
        <v>3</v>
      </c>
      <c r="B276" s="1249"/>
      <c r="C276" s="1237"/>
      <c r="D276" s="1237"/>
      <c r="E276" s="1237"/>
      <c r="F276" s="1237"/>
      <c r="G276" s="1237"/>
      <c r="H276" s="1237"/>
      <c r="I276" s="1237"/>
      <c r="J276" s="1237"/>
      <c r="K276" s="1237"/>
      <c r="L276" s="1237"/>
      <c r="M276" s="1237"/>
      <c r="N276" s="1237"/>
      <c r="O276" s="1237"/>
      <c r="P276" s="1241"/>
      <c r="Q276" s="1237"/>
      <c r="R276" s="1237"/>
      <c r="S276" s="1237"/>
      <c r="T276" s="1237"/>
      <c r="U276" s="1237"/>
      <c r="V276" s="1237"/>
      <c r="W276" s="1237"/>
      <c r="X276" s="1237"/>
      <c r="Y276" s="1237"/>
      <c r="Z276" s="1237"/>
      <c r="AA276" s="1237"/>
      <c r="AB276" s="1237"/>
      <c r="AC276" s="1237"/>
      <c r="AD276" s="1237"/>
      <c r="AE276" s="1237"/>
      <c r="AF276" s="1237"/>
      <c r="AG276" s="1237"/>
      <c r="AH276" s="1207"/>
    </row>
    <row r="277" spans="1:34" ht="13.5" thickBot="1" x14ac:dyDescent="0.25">
      <c r="A277" s="1250"/>
      <c r="B277" s="1251"/>
      <c r="C277" s="1237"/>
      <c r="D277" s="1237"/>
      <c r="E277" s="1237"/>
      <c r="F277" s="1237"/>
      <c r="G277" s="1237"/>
      <c r="H277" s="1237"/>
      <c r="I277" s="1237"/>
      <c r="J277" s="1237"/>
      <c r="K277" s="1237"/>
      <c r="L277" s="1237"/>
      <c r="M277" s="1237"/>
      <c r="N277" s="1237"/>
      <c r="O277" s="1237"/>
      <c r="P277" s="1241"/>
      <c r="Q277" s="1237"/>
      <c r="R277" s="1237"/>
      <c r="S277" s="1237"/>
      <c r="T277" s="1237"/>
      <c r="U277" s="1237"/>
      <c r="V277" s="1237"/>
      <c r="W277" s="1237"/>
      <c r="X277" s="1237"/>
      <c r="Y277" s="1237"/>
      <c r="Z277" s="1237"/>
      <c r="AA277" s="1237"/>
      <c r="AB277" s="1237"/>
      <c r="AC277" s="1237"/>
      <c r="AD277" s="1237"/>
      <c r="AE277" s="1237"/>
      <c r="AF277" s="1237"/>
      <c r="AG277" s="1237"/>
      <c r="AH277" s="1207"/>
    </row>
    <row r="278" spans="1:34" x14ac:dyDescent="0.2">
      <c r="A278" s="1233"/>
      <c r="B278" s="1253"/>
      <c r="C278" s="1237"/>
      <c r="D278" s="1237"/>
      <c r="E278" s="1237"/>
      <c r="F278" s="1237"/>
      <c r="G278" s="1237"/>
      <c r="H278" s="1237"/>
      <c r="I278" s="1237"/>
      <c r="J278" s="1237"/>
      <c r="K278" s="1237"/>
      <c r="L278" s="1237"/>
      <c r="M278" s="1237"/>
      <c r="N278" s="1237"/>
      <c r="O278" s="1237"/>
      <c r="P278" s="1241"/>
      <c r="Q278" s="1237"/>
      <c r="R278" s="1237"/>
      <c r="S278" s="1237"/>
      <c r="T278" s="1237"/>
      <c r="U278" s="1237"/>
      <c r="V278" s="1237"/>
      <c r="W278" s="1237"/>
      <c r="X278" s="1237"/>
      <c r="Y278" s="1237"/>
      <c r="Z278" s="1237"/>
      <c r="AA278" s="1237"/>
      <c r="AB278" s="1237"/>
      <c r="AC278" s="1237"/>
      <c r="AD278" s="1237"/>
      <c r="AE278" s="1237"/>
      <c r="AF278" s="1237"/>
      <c r="AG278" s="1237"/>
      <c r="AH278" s="1207"/>
    </row>
    <row r="279" spans="1:34" x14ac:dyDescent="0.2">
      <c r="A279" s="1236" t="s">
        <v>4</v>
      </c>
      <c r="B279" s="1249">
        <f>B270-B273</f>
        <v>-21198.572</v>
      </c>
      <c r="C279" s="1237"/>
      <c r="D279" s="1237"/>
      <c r="E279" s="1237"/>
      <c r="F279" s="1237"/>
      <c r="G279" s="1237"/>
      <c r="H279" s="1237"/>
      <c r="I279" s="1237"/>
      <c r="J279" s="1237"/>
      <c r="K279" s="1237"/>
      <c r="L279" s="1237"/>
      <c r="M279" s="1237"/>
      <c r="N279" s="1237"/>
      <c r="O279" s="1237"/>
      <c r="P279" s="1241"/>
      <c r="Q279" s="1237"/>
      <c r="R279" s="1237"/>
      <c r="S279" s="1237"/>
      <c r="T279" s="1237"/>
      <c r="U279" s="1237"/>
      <c r="V279" s="1237"/>
      <c r="W279" s="1237"/>
      <c r="X279" s="1237"/>
      <c r="Y279" s="1237"/>
      <c r="Z279" s="1237"/>
      <c r="AA279" s="1237"/>
      <c r="AB279" s="1237"/>
      <c r="AC279" s="1237"/>
      <c r="AD279" s="1237"/>
      <c r="AE279" s="1237"/>
      <c r="AF279" s="1237"/>
      <c r="AG279" s="1237"/>
      <c r="AH279" s="1207"/>
    </row>
    <row r="280" spans="1:34" ht="21" thickBot="1" x14ac:dyDescent="0.35">
      <c r="A280" s="1250"/>
      <c r="B280" s="1251"/>
      <c r="C280" s="1237"/>
      <c r="D280" s="1237"/>
      <c r="E280" s="1237"/>
      <c r="F280" s="1393"/>
      <c r="G280" s="1237"/>
      <c r="H280" s="1237"/>
      <c r="I280" s="1237"/>
      <c r="J280" s="1237"/>
      <c r="K280" s="1237"/>
      <c r="L280" s="1237"/>
      <c r="M280" s="1237"/>
      <c r="N280" s="1237"/>
      <c r="O280" s="1237"/>
      <c r="P280" s="1241"/>
      <c r="Q280" s="1237"/>
      <c r="R280" s="1237"/>
      <c r="S280" s="1237"/>
      <c r="T280" s="1237"/>
      <c r="U280" s="1237"/>
      <c r="V280" s="1237"/>
      <c r="W280" s="1237"/>
      <c r="X280" s="1237"/>
      <c r="Y280" s="1237"/>
      <c r="Z280" s="1237"/>
      <c r="AA280" s="1237"/>
      <c r="AB280" s="1237"/>
      <c r="AC280" s="1237"/>
      <c r="AD280" s="1237"/>
      <c r="AE280" s="1237"/>
      <c r="AF280" s="1237"/>
      <c r="AG280" s="1237"/>
      <c r="AH280" s="1207"/>
    </row>
    <row r="281" spans="1:34" x14ac:dyDescent="0.2">
      <c r="A281" s="1233"/>
      <c r="B281" s="1253"/>
      <c r="C281" s="1237"/>
      <c r="D281" s="1237"/>
      <c r="E281" s="1237"/>
      <c r="F281" s="1237"/>
      <c r="G281" s="1237"/>
      <c r="H281" s="1237"/>
      <c r="I281" s="1237"/>
      <c r="J281" s="1237"/>
      <c r="K281" s="1237"/>
      <c r="L281" s="1237"/>
      <c r="M281" s="1237"/>
      <c r="N281" s="1237"/>
      <c r="O281" s="1237"/>
      <c r="P281" s="1241"/>
      <c r="Q281" s="1237"/>
      <c r="R281" s="1237"/>
      <c r="S281" s="1237"/>
      <c r="T281" s="1237"/>
      <c r="U281" s="1237"/>
      <c r="V281" s="1237"/>
      <c r="W281" s="1237"/>
      <c r="X281" s="1237"/>
      <c r="Y281" s="1237"/>
      <c r="Z281" s="1237"/>
      <c r="AA281" s="1237"/>
      <c r="AB281" s="1237"/>
      <c r="AC281" s="1237"/>
      <c r="AD281" s="1237"/>
      <c r="AE281" s="1237"/>
      <c r="AF281" s="1237"/>
      <c r="AG281" s="1237"/>
      <c r="AH281" s="1207"/>
    </row>
    <row r="282" spans="1:34" x14ac:dyDescent="0.2">
      <c r="A282" s="1236" t="s">
        <v>17</v>
      </c>
      <c r="B282" s="1249"/>
      <c r="C282" s="1237"/>
      <c r="D282" s="1237"/>
      <c r="E282" s="1237"/>
      <c r="F282" s="1237"/>
      <c r="G282" s="1237"/>
      <c r="H282" s="1237"/>
      <c r="I282" s="1237"/>
      <c r="J282" s="1237"/>
      <c r="K282" s="1237"/>
      <c r="L282" s="1237"/>
      <c r="M282" s="1237"/>
      <c r="N282" s="1237"/>
      <c r="O282" s="1237"/>
      <c r="P282" s="1241"/>
      <c r="Q282" s="1237"/>
      <c r="R282" s="1237"/>
      <c r="S282" s="1237"/>
      <c r="T282" s="1237"/>
      <c r="U282" s="1237"/>
      <c r="V282" s="1237"/>
      <c r="W282" s="1237"/>
      <c r="X282" s="1237"/>
      <c r="Y282" s="1237"/>
      <c r="Z282" s="1237"/>
      <c r="AA282" s="1237"/>
      <c r="AB282" s="1237"/>
      <c r="AC282" s="1237"/>
      <c r="AD282" s="1237"/>
      <c r="AE282" s="1237"/>
      <c r="AF282" s="1237"/>
      <c r="AG282" s="1237"/>
      <c r="AH282" s="1207"/>
    </row>
    <row r="283" spans="1:34" ht="13.5" thickBot="1" x14ac:dyDescent="0.25">
      <c r="A283" s="1250"/>
      <c r="B283" s="1251"/>
      <c r="C283" s="1237"/>
      <c r="D283" s="1237"/>
      <c r="E283" s="1237"/>
      <c r="F283" s="1237"/>
      <c r="G283" s="1237"/>
      <c r="H283" s="1237"/>
      <c r="I283" s="1237"/>
      <c r="J283" s="1237"/>
      <c r="K283" s="1237"/>
      <c r="L283" s="1237"/>
      <c r="M283" s="1237"/>
      <c r="N283" s="1237"/>
      <c r="O283" s="1237"/>
      <c r="P283" s="1241"/>
      <c r="Q283" s="1237"/>
      <c r="R283" s="1237"/>
      <c r="S283" s="1237"/>
      <c r="T283" s="1237"/>
      <c r="U283" s="1237"/>
      <c r="V283" s="1237"/>
      <c r="W283" s="1237"/>
      <c r="X283" s="1258"/>
      <c r="Y283" s="1237"/>
      <c r="Z283" s="1237"/>
      <c r="AA283" s="1237"/>
      <c r="AB283" s="1237"/>
      <c r="AC283" s="1237"/>
      <c r="AD283" s="1237"/>
      <c r="AE283" s="1237"/>
      <c r="AF283" s="1211"/>
      <c r="AG283" s="1237"/>
      <c r="AH283" s="1207"/>
    </row>
    <row r="284" spans="1:34" ht="23.25" x14ac:dyDescent="0.35">
      <c r="A284" s="1233"/>
      <c r="B284" s="1253"/>
      <c r="D284" s="1237"/>
      <c r="E284" s="1211"/>
      <c r="F284" s="1750"/>
      <c r="G284" s="1750"/>
      <c r="H284" s="1237"/>
      <c r="I284" s="1370"/>
      <c r="J284" s="1237"/>
      <c r="K284" s="1394"/>
      <c r="L284" s="1237"/>
      <c r="M284" s="1237"/>
      <c r="N284" s="1237"/>
      <c r="O284" s="1237"/>
      <c r="P284" s="1241"/>
      <c r="R284" s="1237"/>
      <c r="S284" s="1748" t="s">
        <v>1271</v>
      </c>
      <c r="T284" s="1748"/>
      <c r="U284" s="1748"/>
      <c r="V284" s="1748"/>
      <c r="W284" s="1748"/>
      <c r="X284" s="1748"/>
      <c r="Y284" s="1211"/>
      <c r="Z284" s="1211"/>
      <c r="AA284" s="1211"/>
      <c r="AB284" s="1237"/>
      <c r="AC284" s="1237"/>
      <c r="AD284" s="1237"/>
      <c r="AE284" s="1237"/>
      <c r="AF284" s="1211"/>
      <c r="AH284" s="1207"/>
    </row>
    <row r="285" spans="1:34" x14ac:dyDescent="0.2">
      <c r="A285" s="1236" t="s">
        <v>5</v>
      </c>
      <c r="B285" s="1249">
        <f>B279-B282</f>
        <v>-21198.572</v>
      </c>
      <c r="C285" s="1392"/>
      <c r="D285" s="1211"/>
      <c r="E285" s="1371"/>
      <c r="F285" s="1211"/>
      <c r="G285" s="1211"/>
      <c r="H285" s="1211"/>
      <c r="I285" s="1211"/>
      <c r="J285" s="1211"/>
      <c r="K285" s="1211"/>
      <c r="L285" s="1211" t="s">
        <v>171</v>
      </c>
      <c r="M285" s="1211"/>
      <c r="N285" s="1211"/>
      <c r="O285" s="1211"/>
      <c r="P285" s="1212"/>
      <c r="Q285" s="1223" t="s">
        <v>1044</v>
      </c>
      <c r="R285" s="1211" t="s">
        <v>166</v>
      </c>
      <c r="S285" s="1212"/>
      <c r="T285" s="1211"/>
      <c r="U285" s="1211" t="s">
        <v>145</v>
      </c>
      <c r="V285" s="1211"/>
      <c r="W285" s="1237"/>
      <c r="X285" s="1256"/>
      <c r="Y285" s="1211"/>
      <c r="Z285" s="1212"/>
      <c r="AA285" s="1212"/>
      <c r="AB285" s="1212"/>
      <c r="AC285" s="1395" t="s">
        <v>921</v>
      </c>
      <c r="AD285" s="1395"/>
      <c r="AE285" s="1211" t="s">
        <v>1044</v>
      </c>
      <c r="AF285" s="1211"/>
      <c r="AG285" s="1370"/>
      <c r="AH285" s="1207"/>
    </row>
    <row r="286" spans="1:34" ht="13.5" thickBot="1" x14ac:dyDescent="0.25">
      <c r="A286" s="1250"/>
      <c r="B286" s="1251"/>
      <c r="C286" s="1237"/>
      <c r="D286" s="1237"/>
      <c r="E286" s="1237"/>
      <c r="F286" s="1237"/>
      <c r="G286" s="1237"/>
      <c r="H286" s="1237"/>
      <c r="I286" s="1237"/>
      <c r="J286" s="1237"/>
      <c r="K286" s="1237"/>
      <c r="L286" s="1237"/>
      <c r="M286" s="1211"/>
      <c r="N286" s="1237"/>
      <c r="O286" s="1237"/>
      <c r="P286" s="1241"/>
      <c r="Q286" s="1237"/>
      <c r="R286" s="1237"/>
      <c r="S286" s="1237"/>
      <c r="T286" s="1237"/>
      <c r="U286" s="1237"/>
      <c r="V286" s="1237"/>
      <c r="W286" s="1237"/>
      <c r="X286" s="1237"/>
      <c r="Y286" s="1237"/>
      <c r="Z286" s="1237"/>
      <c r="AA286" s="1237"/>
      <c r="AB286" s="1237"/>
      <c r="AC286" s="1237"/>
      <c r="AD286" s="1237"/>
      <c r="AE286" s="1237"/>
      <c r="AF286" s="1237"/>
      <c r="AG286" s="1237"/>
      <c r="AH286" s="1207"/>
    </row>
    <row r="287" spans="1:34" x14ac:dyDescent="0.2">
      <c r="A287" s="1269"/>
      <c r="B287" s="1237"/>
      <c r="C287" s="1270"/>
      <c r="D287" s="1272"/>
      <c r="E287" s="1272"/>
      <c r="F287" s="1271"/>
      <c r="G287" s="1271"/>
      <c r="H287" s="1271"/>
      <c r="I287" s="1271"/>
      <c r="J287" s="1271"/>
      <c r="K287" s="1271"/>
      <c r="L287" s="1271"/>
      <c r="M287" s="1271"/>
      <c r="N287" s="1271"/>
      <c r="O287" s="1271"/>
      <c r="P287" s="1273"/>
      <c r="Q287" s="1271"/>
      <c r="R287" s="1271"/>
      <c r="S287" s="1271"/>
      <c r="T287" s="1271"/>
      <c r="U287" s="1271"/>
      <c r="V287" s="1271"/>
      <c r="W287" s="1271"/>
      <c r="X287" s="1271"/>
      <c r="Y287" s="1271"/>
      <c r="Z287" s="1271"/>
      <c r="AA287" s="1271"/>
      <c r="AB287" s="1271"/>
      <c r="AC287" s="1271"/>
      <c r="AD287" s="1271"/>
      <c r="AE287" s="1271"/>
      <c r="AF287" s="1271"/>
      <c r="AG287" s="1271"/>
      <c r="AH287" s="1207"/>
    </row>
    <row r="288" spans="1:34" ht="13.5" thickBot="1" x14ac:dyDescent="0.25">
      <c r="A288" s="1274" t="s">
        <v>7</v>
      </c>
      <c r="B288" s="1237"/>
      <c r="C288" s="1275">
        <f t="shared" ref="C288:AG288" si="29">C289+C290+C291+C293+C292</f>
        <v>0</v>
      </c>
      <c r="D288" s="1275">
        <f t="shared" si="29"/>
        <v>0</v>
      </c>
      <c r="E288" s="1275">
        <f t="shared" si="29"/>
        <v>0</v>
      </c>
      <c r="F288" s="1275">
        <f t="shared" si="29"/>
        <v>0</v>
      </c>
      <c r="G288" s="1275">
        <f t="shared" si="29"/>
        <v>0</v>
      </c>
      <c r="H288" s="1275">
        <f t="shared" si="29"/>
        <v>0</v>
      </c>
      <c r="I288" s="1275">
        <f t="shared" si="29"/>
        <v>0</v>
      </c>
      <c r="J288" s="1275">
        <f t="shared" si="29"/>
        <v>0</v>
      </c>
      <c r="K288" s="1275">
        <f t="shared" si="29"/>
        <v>0</v>
      </c>
      <c r="L288" s="1275">
        <f t="shared" si="29"/>
        <v>0</v>
      </c>
      <c r="M288" s="1275">
        <f t="shared" si="29"/>
        <v>0</v>
      </c>
      <c r="N288" s="1275">
        <f t="shared" si="29"/>
        <v>0</v>
      </c>
      <c r="O288" s="1275">
        <f t="shared" si="29"/>
        <v>0</v>
      </c>
      <c r="P288" s="1276">
        <f t="shared" si="29"/>
        <v>0</v>
      </c>
      <c r="Q288" s="1275">
        <f t="shared" si="29"/>
        <v>0</v>
      </c>
      <c r="R288" s="1275">
        <f t="shared" si="29"/>
        <v>0</v>
      </c>
      <c r="S288" s="1275">
        <f t="shared" si="29"/>
        <v>0</v>
      </c>
      <c r="T288" s="1275">
        <f t="shared" si="29"/>
        <v>0</v>
      </c>
      <c r="U288" s="1275">
        <f t="shared" si="29"/>
        <v>0</v>
      </c>
      <c r="V288" s="1275">
        <f>V289+V290+V291+V293+V292</f>
        <v>0</v>
      </c>
      <c r="W288" s="1275">
        <f t="shared" si="29"/>
        <v>0</v>
      </c>
      <c r="X288" s="1275">
        <f t="shared" si="29"/>
        <v>0</v>
      </c>
      <c r="Y288" s="1275">
        <f t="shared" si="29"/>
        <v>0</v>
      </c>
      <c r="Z288" s="1275">
        <f t="shared" si="29"/>
        <v>0</v>
      </c>
      <c r="AA288" s="1275">
        <f t="shared" si="29"/>
        <v>0</v>
      </c>
      <c r="AB288" s="1275">
        <f t="shared" si="29"/>
        <v>0</v>
      </c>
      <c r="AC288" s="1275">
        <f t="shared" si="29"/>
        <v>0</v>
      </c>
      <c r="AD288" s="1275">
        <f t="shared" si="29"/>
        <v>0</v>
      </c>
      <c r="AE288" s="1275">
        <f t="shared" si="29"/>
        <v>0</v>
      </c>
      <c r="AF288" s="1275">
        <f t="shared" si="29"/>
        <v>0</v>
      </c>
      <c r="AG288" s="1275">
        <f t="shared" si="29"/>
        <v>0</v>
      </c>
      <c r="AH288" s="1227">
        <f>SUM(C288:AG288)</f>
        <v>0</v>
      </c>
    </row>
    <row r="289" spans="1:34" x14ac:dyDescent="0.2">
      <c r="A289" s="1274" t="s">
        <v>8</v>
      </c>
      <c r="B289" s="1389"/>
      <c r="C289" s="1302"/>
      <c r="D289" s="1302"/>
      <c r="E289" s="1396"/>
      <c r="F289" s="1303"/>
      <c r="G289" s="1303"/>
      <c r="H289" s="1303"/>
      <c r="I289" s="1319"/>
      <c r="J289" s="1303"/>
      <c r="K289" s="1303"/>
      <c r="L289" s="1303"/>
      <c r="M289" s="1303"/>
      <c r="N289" s="1303"/>
      <c r="O289" s="1303"/>
      <c r="P289" s="1304"/>
      <c r="Q289" s="1303"/>
      <c r="R289" s="1303"/>
      <c r="S289" s="1303"/>
      <c r="T289" s="1303"/>
      <c r="U289" s="1303"/>
      <c r="V289" s="1303"/>
      <c r="W289" s="1303"/>
      <c r="X289" s="1303"/>
      <c r="Y289" s="1303"/>
      <c r="Z289" s="1303"/>
      <c r="AA289" s="1303"/>
      <c r="AB289" s="1303"/>
      <c r="AC289" s="1303"/>
      <c r="AD289" s="1303"/>
      <c r="AE289" s="1303"/>
      <c r="AF289" s="1303"/>
      <c r="AG289" s="1397"/>
      <c r="AH289" s="1227">
        <f>SUM(C289:AG289)</f>
        <v>0</v>
      </c>
    </row>
    <row r="290" spans="1:34" x14ac:dyDescent="0.2">
      <c r="A290" s="1274" t="s">
        <v>9</v>
      </c>
      <c r="B290" s="1389"/>
      <c r="C290" s="1282"/>
      <c r="D290" s="1282"/>
      <c r="E290" s="1282"/>
      <c r="F290" s="1282"/>
      <c r="G290" s="1282"/>
      <c r="H290" s="1282"/>
      <c r="I290" s="1282"/>
      <c r="J290" s="1282"/>
      <c r="K290" s="1282"/>
      <c r="L290" s="1282"/>
      <c r="M290" s="1282"/>
      <c r="N290" s="1282"/>
      <c r="O290" s="1282"/>
      <c r="P290" s="1282"/>
      <c r="Q290" s="1282"/>
      <c r="R290" s="1282"/>
      <c r="S290" s="1282"/>
      <c r="T290" s="1282"/>
      <c r="U290" s="1282"/>
      <c r="V290" s="1282"/>
      <c r="W290" s="1282"/>
      <c r="X290" s="1282"/>
      <c r="Y290" s="1282"/>
      <c r="Z290" s="1282"/>
      <c r="AA290" s="1282"/>
      <c r="AB290" s="1282"/>
      <c r="AC290" s="1282"/>
      <c r="AD290" s="1282"/>
      <c r="AE290" s="1282"/>
      <c r="AF290" s="1282"/>
      <c r="AG290" s="1282"/>
      <c r="AH290" s="1227">
        <f>SUM(C290:AG290)</f>
        <v>0</v>
      </c>
    </row>
    <row r="291" spans="1:34" s="1289" customFormat="1" x14ac:dyDescent="0.2">
      <c r="A291" s="1285" t="s">
        <v>10</v>
      </c>
      <c r="B291" s="1372"/>
      <c r="C291" s="1398"/>
      <c r="D291" s="1374"/>
      <c r="E291" s="1374"/>
      <c r="F291" s="1375"/>
      <c r="G291" s="1375"/>
      <c r="H291" s="1375"/>
      <c r="I291" s="1375"/>
      <c r="J291" s="1375"/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/>
      <c r="U291" s="1375">
        <v>42406</v>
      </c>
      <c r="V291" s="1375"/>
      <c r="W291" s="1375"/>
      <c r="X291" s="1376"/>
      <c r="Y291" s="1375"/>
      <c r="Z291" s="1390"/>
      <c r="AA291" s="1399"/>
      <c r="AB291" s="1375"/>
      <c r="AC291" s="1375"/>
      <c r="AD291" s="1377"/>
      <c r="AE291" s="1375"/>
      <c r="AF291" s="1375"/>
      <c r="AG291" s="1375"/>
      <c r="AH291" s="1231">
        <f>SUM(C291:AG291)</f>
        <v>42406</v>
      </c>
    </row>
    <row r="292" spans="1:34" s="1289" customFormat="1" x14ac:dyDescent="0.2">
      <c r="A292" s="1285" t="s">
        <v>356</v>
      </c>
      <c r="B292" s="1372"/>
      <c r="C292" s="1292"/>
      <c r="D292" s="1292"/>
      <c r="E292" s="1292"/>
      <c r="F292" s="1292"/>
      <c r="G292" s="1292"/>
      <c r="H292" s="1292"/>
      <c r="I292" s="1292"/>
      <c r="J292" s="1292"/>
      <c r="K292" s="1292"/>
      <c r="L292" s="1292"/>
      <c r="M292" s="1292"/>
      <c r="N292" s="1292"/>
      <c r="O292" s="1292"/>
      <c r="P292" s="1292"/>
      <c r="Q292" s="1292"/>
      <c r="R292" s="1292"/>
      <c r="S292" s="1292"/>
      <c r="T292" s="1292"/>
      <c r="U292" s="1292">
        <v>-42406</v>
      </c>
      <c r="V292" s="1292"/>
      <c r="W292" s="1292"/>
      <c r="X292" s="1292"/>
      <c r="Y292" s="1292"/>
      <c r="Z292" s="1292"/>
      <c r="AA292" s="1292"/>
      <c r="AB292" s="1292"/>
      <c r="AC292" s="1292"/>
      <c r="AD292" s="1292"/>
      <c r="AE292" s="1292"/>
      <c r="AF292" s="1292"/>
      <c r="AG292" s="1292"/>
      <c r="AH292" s="1231">
        <f>SUM(C292:AG292)</f>
        <v>-42406</v>
      </c>
    </row>
    <row r="293" spans="1:34" x14ac:dyDescent="0.2">
      <c r="A293" s="1274" t="s">
        <v>11</v>
      </c>
      <c r="B293" s="1237"/>
      <c r="C293" s="1302"/>
      <c r="D293" s="1306"/>
      <c r="E293" s="1400"/>
      <c r="F293" s="1304"/>
      <c r="G293" s="1304"/>
      <c r="H293" s="1304"/>
      <c r="I293" s="1304"/>
      <c r="J293" s="1319"/>
      <c r="K293" s="1304"/>
      <c r="L293" s="1304"/>
      <c r="M293" s="1304"/>
      <c r="N293" s="1304"/>
      <c r="O293" s="1304"/>
      <c r="P293" s="1318"/>
      <c r="Q293" s="1318"/>
      <c r="R293" s="1304"/>
      <c r="S293" s="1318"/>
      <c r="T293" s="1304"/>
      <c r="U293" s="1304"/>
      <c r="V293" s="1319"/>
      <c r="W293" s="1319"/>
      <c r="X293" s="1317"/>
      <c r="Y293" s="1318"/>
      <c r="Z293" s="1319"/>
      <c r="AA293" s="1317"/>
      <c r="AB293" s="1319"/>
      <c r="AC293" s="1304"/>
      <c r="AD293" s="1319"/>
      <c r="AE293" s="1304"/>
      <c r="AF293" s="1304"/>
      <c r="AG293" s="1304"/>
      <c r="AH293" s="1207"/>
    </row>
    <row r="294" spans="1:34" ht="13.5" thickBot="1" x14ac:dyDescent="0.25">
      <c r="A294" s="1294"/>
      <c r="B294" s="1237"/>
      <c r="C294" s="1302"/>
      <c r="D294" s="1302"/>
      <c r="E294" s="1302"/>
      <c r="F294" s="1303"/>
      <c r="G294" s="1303"/>
      <c r="H294" s="1303"/>
      <c r="I294" s="1303"/>
      <c r="J294" s="1303"/>
      <c r="K294" s="1303"/>
      <c r="L294" s="1303"/>
      <c r="M294" s="1303"/>
      <c r="N294" s="1303"/>
      <c r="O294" s="1303"/>
      <c r="P294" s="1304"/>
      <c r="Q294" s="1303"/>
      <c r="R294" s="1303"/>
      <c r="S294" s="1303"/>
      <c r="T294" s="1303"/>
      <c r="U294" s="1303"/>
      <c r="V294" s="1303"/>
      <c r="W294" s="1303"/>
      <c r="X294" s="1303"/>
      <c r="Y294" s="1303"/>
      <c r="Z294" s="1303"/>
      <c r="AA294" s="1303"/>
      <c r="AB294" s="1303"/>
      <c r="AC294" s="1303"/>
      <c r="AD294" s="1303"/>
      <c r="AE294" s="1303"/>
      <c r="AF294" s="1303"/>
      <c r="AG294" s="1303"/>
      <c r="AH294" s="1207"/>
    </row>
    <row r="295" spans="1:34" x14ac:dyDescent="0.2">
      <c r="A295" s="1269"/>
      <c r="B295" s="1237"/>
      <c r="C295" s="1296"/>
      <c r="D295" s="1297"/>
      <c r="E295" s="1297"/>
      <c r="F295" s="1298"/>
      <c r="G295" s="1298"/>
      <c r="H295" s="1298"/>
      <c r="I295" s="1298"/>
      <c r="J295" s="1298"/>
      <c r="K295" s="1298"/>
      <c r="L295" s="1298"/>
      <c r="M295" s="1298"/>
      <c r="N295" s="1298"/>
      <c r="O295" s="1298"/>
      <c r="P295" s="1299"/>
      <c r="Q295" s="1298"/>
      <c r="R295" s="1298"/>
      <c r="S295" s="1298"/>
      <c r="T295" s="1298"/>
      <c r="U295" s="1298"/>
      <c r="V295" s="1298"/>
      <c r="W295" s="1298"/>
      <c r="X295" s="1298"/>
      <c r="Y295" s="1298"/>
      <c r="Z295" s="1298"/>
      <c r="AA295" s="1298"/>
      <c r="AB295" s="1298"/>
      <c r="AC295" s="1298"/>
      <c r="AD295" s="1298"/>
      <c r="AE295" s="1298"/>
      <c r="AF295" s="1298"/>
      <c r="AG295" s="1298"/>
      <c r="AH295" s="1207"/>
    </row>
    <row r="296" spans="1:34" ht="13.5" thickBot="1" x14ac:dyDescent="0.25">
      <c r="A296" s="1274" t="s">
        <v>12</v>
      </c>
      <c r="B296" s="1237"/>
      <c r="C296" s="1275">
        <f t="shared" ref="C296:AG296" si="30">C297</f>
        <v>0</v>
      </c>
      <c r="D296" s="1275">
        <f t="shared" si="30"/>
        <v>0</v>
      </c>
      <c r="E296" s="1275">
        <f t="shared" si="30"/>
        <v>0</v>
      </c>
      <c r="F296" s="1275">
        <f t="shared" si="30"/>
        <v>0</v>
      </c>
      <c r="G296" s="1275">
        <f t="shared" si="30"/>
        <v>0</v>
      </c>
      <c r="H296" s="1275">
        <f t="shared" si="30"/>
        <v>0</v>
      </c>
      <c r="I296" s="1275">
        <f t="shared" si="30"/>
        <v>0</v>
      </c>
      <c r="J296" s="1275">
        <f t="shared" si="30"/>
        <v>0</v>
      </c>
      <c r="K296" s="1275">
        <f t="shared" si="30"/>
        <v>0</v>
      </c>
      <c r="L296" s="1275">
        <f t="shared" si="30"/>
        <v>0</v>
      </c>
      <c r="M296" s="1275">
        <f t="shared" si="30"/>
        <v>0</v>
      </c>
      <c r="N296" s="1275">
        <f t="shared" si="30"/>
        <v>0</v>
      </c>
      <c r="O296" s="1275">
        <f t="shared" si="30"/>
        <v>0</v>
      </c>
      <c r="P296" s="1276">
        <f t="shared" si="30"/>
        <v>0</v>
      </c>
      <c r="Q296" s="1275">
        <f t="shared" si="30"/>
        <v>0</v>
      </c>
      <c r="R296" s="1275">
        <f t="shared" si="30"/>
        <v>0</v>
      </c>
      <c r="S296" s="1275">
        <f t="shared" si="30"/>
        <v>0</v>
      </c>
      <c r="T296" s="1275">
        <f t="shared" si="30"/>
        <v>0</v>
      </c>
      <c r="U296" s="1275">
        <f t="shared" si="30"/>
        <v>0</v>
      </c>
      <c r="V296" s="1275">
        <f t="shared" si="30"/>
        <v>0</v>
      </c>
      <c r="W296" s="1275">
        <f t="shared" si="30"/>
        <v>0</v>
      </c>
      <c r="X296" s="1275">
        <f t="shared" si="30"/>
        <v>0</v>
      </c>
      <c r="Y296" s="1275">
        <f t="shared" si="30"/>
        <v>0</v>
      </c>
      <c r="Z296" s="1275">
        <f t="shared" si="30"/>
        <v>0</v>
      </c>
      <c r="AA296" s="1275">
        <f t="shared" si="30"/>
        <v>0</v>
      </c>
      <c r="AB296" s="1275">
        <f t="shared" si="30"/>
        <v>0</v>
      </c>
      <c r="AC296" s="1275">
        <f t="shared" si="30"/>
        <v>0</v>
      </c>
      <c r="AD296" s="1275">
        <f t="shared" si="30"/>
        <v>0</v>
      </c>
      <c r="AE296" s="1275">
        <f t="shared" si="30"/>
        <v>0</v>
      </c>
      <c r="AF296" s="1275">
        <f t="shared" si="30"/>
        <v>0</v>
      </c>
      <c r="AG296" s="1275">
        <f t="shared" si="30"/>
        <v>0</v>
      </c>
      <c r="AH296" s="1207"/>
    </row>
    <row r="297" spans="1:34" x14ac:dyDescent="0.2">
      <c r="A297" s="1274" t="s">
        <v>8</v>
      </c>
      <c r="B297" s="1237"/>
      <c r="C297" s="1302"/>
      <c r="D297" s="1302"/>
      <c r="E297" s="1302"/>
      <c r="F297" s="1303"/>
      <c r="G297" s="1303"/>
      <c r="H297" s="1303"/>
      <c r="I297" s="1303"/>
      <c r="J297" s="1303"/>
      <c r="K297" s="1303"/>
      <c r="L297" s="1303"/>
      <c r="M297" s="1303"/>
      <c r="N297" s="1303"/>
      <c r="O297" s="1303"/>
      <c r="P297" s="1304"/>
      <c r="Q297" s="1303"/>
      <c r="R297" s="1303"/>
      <c r="S297" s="1303"/>
      <c r="T297" s="1303"/>
      <c r="U297" s="1303"/>
      <c r="V297" s="1303"/>
      <c r="W297" s="1303"/>
      <c r="X297" s="1303"/>
      <c r="Y297" s="1303"/>
      <c r="Z297" s="1303"/>
      <c r="AA297" s="1303"/>
      <c r="AB297" s="1303"/>
      <c r="AC297" s="1303"/>
      <c r="AD297" s="1303"/>
      <c r="AE297" s="1303"/>
      <c r="AF297" s="1303"/>
      <c r="AG297" s="1303"/>
      <c r="AH297" s="1207"/>
    </row>
    <row r="298" spans="1:34" x14ac:dyDescent="0.2">
      <c r="A298" s="1274" t="s">
        <v>775</v>
      </c>
      <c r="B298" s="1237"/>
      <c r="C298" s="1282"/>
      <c r="D298" s="1282">
        <v>184.99299999999999</v>
      </c>
      <c r="E298" s="1282">
        <v>2128.2420000000002</v>
      </c>
      <c r="F298" s="1282"/>
      <c r="G298" s="1282">
        <v>8579.8230000000003</v>
      </c>
      <c r="H298" s="1282"/>
      <c r="I298" s="1282">
        <v>1325.9649999999999</v>
      </c>
      <c r="J298" s="1282">
        <v>2140</v>
      </c>
      <c r="K298" s="1282"/>
      <c r="L298" s="1282">
        <v>15419.166000000001</v>
      </c>
      <c r="M298" s="1282"/>
      <c r="N298" s="1282">
        <v>12595.177000000001</v>
      </c>
      <c r="O298" s="1282">
        <v>790</v>
      </c>
      <c r="P298" s="1282"/>
      <c r="Q298" s="1282">
        <v>16556.43</v>
      </c>
      <c r="R298" s="1282">
        <v>1852.0540000000001</v>
      </c>
      <c r="S298" s="1282">
        <v>1813.8420000000001</v>
      </c>
      <c r="T298" s="1282"/>
      <c r="U298" s="1282">
        <v>2142.0209999999997</v>
      </c>
      <c r="V298" s="1282">
        <v>6191.3790000000008</v>
      </c>
      <c r="W298" s="1282"/>
      <c r="X298" s="1282">
        <v>1470</v>
      </c>
      <c r="Y298" s="1282"/>
      <c r="Z298" s="1282">
        <v>4496.0249999999996</v>
      </c>
      <c r="AA298" s="1282">
        <v>6882.7610000000004</v>
      </c>
      <c r="AB298" s="1282">
        <v>2332.31</v>
      </c>
      <c r="AC298" s="1282"/>
      <c r="AD298" s="1282">
        <v>51596.76</v>
      </c>
      <c r="AE298" s="1282">
        <v>4694.4319999999998</v>
      </c>
      <c r="AF298" s="1382"/>
      <c r="AG298" s="1382"/>
      <c r="AH298" s="1227">
        <f>SUM(C298:AG298)</f>
        <v>143191.38</v>
      </c>
    </row>
    <row r="299" spans="1:34" ht="13.5" thickBot="1" x14ac:dyDescent="0.25">
      <c r="A299" s="1294"/>
      <c r="B299" s="1237"/>
      <c r="C299" s="1302"/>
      <c r="D299" s="1302"/>
      <c r="E299" s="1302"/>
      <c r="F299" s="1303"/>
      <c r="G299" s="1303"/>
      <c r="H299" s="1303"/>
      <c r="I299" s="1303"/>
      <c r="J299" s="1303"/>
      <c r="K299" s="1303"/>
      <c r="L299" s="1303"/>
      <c r="M299" s="1303"/>
      <c r="N299" s="1303"/>
      <c r="O299" s="1303"/>
      <c r="P299" s="1304"/>
      <c r="Q299" s="1303"/>
      <c r="R299" s="1303"/>
      <c r="S299" s="1303"/>
      <c r="T299" s="1303"/>
      <c r="U299" s="1303"/>
      <c r="V299" s="1303"/>
      <c r="W299" s="1303"/>
      <c r="X299" s="1303"/>
      <c r="Y299" s="1303"/>
      <c r="Z299" s="1303"/>
      <c r="AA299" s="1303"/>
      <c r="AB299" s="1303"/>
      <c r="AC299" s="1303"/>
      <c r="AD299" s="1303"/>
      <c r="AE299" s="1303"/>
      <c r="AF299" s="1303"/>
      <c r="AG299" s="1303"/>
      <c r="AH299" s="1207"/>
    </row>
    <row r="300" spans="1:34" x14ac:dyDescent="0.2">
      <c r="A300" s="1269"/>
      <c r="B300" s="1237"/>
      <c r="C300" s="1296"/>
      <c r="D300" s="1297"/>
      <c r="E300" s="1297"/>
      <c r="F300" s="1298"/>
      <c r="G300" s="1298"/>
      <c r="H300" s="1298"/>
      <c r="I300" s="1298"/>
      <c r="J300" s="1298"/>
      <c r="K300" s="1298"/>
      <c r="L300" s="1298"/>
      <c r="M300" s="1298"/>
      <c r="N300" s="1298"/>
      <c r="O300" s="1298"/>
      <c r="P300" s="1299"/>
      <c r="Q300" s="1298"/>
      <c r="R300" s="1298"/>
      <c r="S300" s="1298"/>
      <c r="T300" s="1298"/>
      <c r="U300" s="1298"/>
      <c r="V300" s="1298"/>
      <c r="W300" s="1298"/>
      <c r="X300" s="1298"/>
      <c r="Y300" s="1298"/>
      <c r="Z300" s="1298"/>
      <c r="AA300" s="1298"/>
      <c r="AB300" s="1298"/>
      <c r="AC300" s="1298"/>
      <c r="AD300" s="1298"/>
      <c r="AE300" s="1298"/>
      <c r="AF300" s="1298"/>
      <c r="AG300" s="1298"/>
      <c r="AH300" s="1207"/>
    </row>
    <row r="301" spans="1:34" x14ac:dyDescent="0.2">
      <c r="A301" s="1274" t="s">
        <v>13</v>
      </c>
      <c r="B301" s="1237"/>
      <c r="C301" s="1300">
        <f t="shared" ref="C301:AG301" si="31">C296-C288</f>
        <v>0</v>
      </c>
      <c r="D301" s="1300">
        <f t="shared" si="31"/>
        <v>0</v>
      </c>
      <c r="E301" s="1300">
        <f t="shared" si="31"/>
        <v>0</v>
      </c>
      <c r="F301" s="1300">
        <f t="shared" si="31"/>
        <v>0</v>
      </c>
      <c r="G301" s="1300">
        <f t="shared" si="31"/>
        <v>0</v>
      </c>
      <c r="H301" s="1300">
        <f t="shared" si="31"/>
        <v>0</v>
      </c>
      <c r="I301" s="1300">
        <f t="shared" si="31"/>
        <v>0</v>
      </c>
      <c r="J301" s="1300">
        <f t="shared" si="31"/>
        <v>0</v>
      </c>
      <c r="K301" s="1300">
        <f t="shared" si="31"/>
        <v>0</v>
      </c>
      <c r="L301" s="1300">
        <f t="shared" si="31"/>
        <v>0</v>
      </c>
      <c r="M301" s="1300">
        <f t="shared" si="31"/>
        <v>0</v>
      </c>
      <c r="N301" s="1300">
        <f t="shared" si="31"/>
        <v>0</v>
      </c>
      <c r="O301" s="1300">
        <f t="shared" si="31"/>
        <v>0</v>
      </c>
      <c r="P301" s="1301">
        <f t="shared" si="31"/>
        <v>0</v>
      </c>
      <c r="Q301" s="1300">
        <f t="shared" si="31"/>
        <v>0</v>
      </c>
      <c r="R301" s="1300">
        <f t="shared" si="31"/>
        <v>0</v>
      </c>
      <c r="S301" s="1300">
        <f t="shared" si="31"/>
        <v>0</v>
      </c>
      <c r="T301" s="1300">
        <f t="shared" si="31"/>
        <v>0</v>
      </c>
      <c r="U301" s="1300">
        <f t="shared" si="31"/>
        <v>0</v>
      </c>
      <c r="V301" s="1300">
        <f t="shared" si="31"/>
        <v>0</v>
      </c>
      <c r="W301" s="1300">
        <f t="shared" si="31"/>
        <v>0</v>
      </c>
      <c r="X301" s="1300">
        <f t="shared" si="31"/>
        <v>0</v>
      </c>
      <c r="Y301" s="1300">
        <f t="shared" si="31"/>
        <v>0</v>
      </c>
      <c r="Z301" s="1300">
        <f t="shared" si="31"/>
        <v>0</v>
      </c>
      <c r="AA301" s="1300">
        <f t="shared" si="31"/>
        <v>0</v>
      </c>
      <c r="AB301" s="1300">
        <f t="shared" si="31"/>
        <v>0</v>
      </c>
      <c r="AC301" s="1300">
        <f t="shared" si="31"/>
        <v>0</v>
      </c>
      <c r="AD301" s="1300">
        <f t="shared" si="31"/>
        <v>0</v>
      </c>
      <c r="AE301" s="1300">
        <f t="shared" si="31"/>
        <v>0</v>
      </c>
      <c r="AF301" s="1300">
        <f t="shared" si="31"/>
        <v>0</v>
      </c>
      <c r="AG301" s="1300">
        <f t="shared" si="31"/>
        <v>0</v>
      </c>
      <c r="AH301" s="1207"/>
    </row>
    <row r="302" spans="1:34" ht="13.5" thickBot="1" x14ac:dyDescent="0.25">
      <c r="A302" s="1274"/>
      <c r="B302" s="1237"/>
      <c r="C302" s="1300"/>
      <c r="D302" s="1302"/>
      <c r="E302" s="1302"/>
      <c r="F302" s="1303"/>
      <c r="G302" s="1303"/>
      <c r="H302" s="1303"/>
      <c r="I302" s="1303"/>
      <c r="J302" s="1303"/>
      <c r="K302" s="1303"/>
      <c r="L302" s="1303"/>
      <c r="M302" s="1303"/>
      <c r="N302" s="1303"/>
      <c r="O302" s="1303"/>
      <c r="P302" s="1304"/>
      <c r="Q302" s="1303"/>
      <c r="R302" s="1303"/>
      <c r="S302" s="1303"/>
      <c r="T302" s="1303"/>
      <c r="U302" s="1303"/>
      <c r="V302" s="1303"/>
      <c r="W302" s="1303"/>
      <c r="X302" s="1303"/>
      <c r="Y302" s="1303"/>
      <c r="Z302" s="1303"/>
      <c r="AA302" s="1303"/>
      <c r="AB302" s="1303"/>
      <c r="AC302" s="1303"/>
      <c r="AD302" s="1303"/>
      <c r="AE302" s="1303"/>
      <c r="AF302" s="1303"/>
      <c r="AG302" s="1303"/>
      <c r="AH302" s="1207"/>
    </row>
    <row r="303" spans="1:34" x14ac:dyDescent="0.2">
      <c r="A303" s="1233"/>
      <c r="B303" s="1234"/>
      <c r="C303" s="1305"/>
      <c r="D303" s="1297"/>
      <c r="E303" s="1297"/>
      <c r="F303" s="1298"/>
      <c r="G303" s="1298"/>
      <c r="H303" s="1298"/>
      <c r="I303" s="1298"/>
      <c r="J303" s="1298"/>
      <c r="K303" s="1298"/>
      <c r="L303" s="1298"/>
      <c r="M303" s="1298"/>
      <c r="N303" s="1298"/>
      <c r="O303" s="1298"/>
      <c r="P303" s="1299"/>
      <c r="Q303" s="1298"/>
      <c r="R303" s="1298"/>
      <c r="S303" s="1298"/>
      <c r="T303" s="1298"/>
      <c r="U303" s="1298"/>
      <c r="V303" s="1298"/>
      <c r="W303" s="1298"/>
      <c r="X303" s="1298"/>
      <c r="Y303" s="1298"/>
      <c r="Z303" s="1298"/>
      <c r="AA303" s="1298"/>
      <c r="AB303" s="1298"/>
      <c r="AC303" s="1298"/>
      <c r="AD303" s="1298"/>
      <c r="AE303" s="1298"/>
      <c r="AF303" s="1298"/>
      <c r="AG303" s="1298"/>
      <c r="AH303" s="1207"/>
    </row>
    <row r="304" spans="1:34" x14ac:dyDescent="0.2">
      <c r="A304" s="1236" t="s">
        <v>15</v>
      </c>
      <c r="B304" s="1237"/>
      <c r="C304" s="1302">
        <f>B285+C301</f>
        <v>-21198.572</v>
      </c>
      <c r="D304" s="1302">
        <f t="shared" ref="D304:AG304" si="32">C311+D301</f>
        <v>-21198.572</v>
      </c>
      <c r="E304" s="1302">
        <f t="shared" si="32"/>
        <v>-21198.572</v>
      </c>
      <c r="F304" s="1302">
        <f t="shared" si="32"/>
        <v>-21198.572</v>
      </c>
      <c r="G304" s="1302">
        <f t="shared" si="32"/>
        <v>-21198.572</v>
      </c>
      <c r="H304" s="1302">
        <f t="shared" si="32"/>
        <v>-21198.572</v>
      </c>
      <c r="I304" s="1302">
        <f t="shared" si="32"/>
        <v>-21198.572</v>
      </c>
      <c r="J304" s="1302">
        <f t="shared" si="32"/>
        <v>-21198.572</v>
      </c>
      <c r="K304" s="1302">
        <f t="shared" si="32"/>
        <v>-21198.572</v>
      </c>
      <c r="L304" s="1302">
        <f t="shared" si="32"/>
        <v>-21198.572</v>
      </c>
      <c r="M304" s="1302">
        <f t="shared" si="32"/>
        <v>-21198.572</v>
      </c>
      <c r="N304" s="1302">
        <f t="shared" si="32"/>
        <v>-21198.572</v>
      </c>
      <c r="O304" s="1302">
        <f t="shared" si="32"/>
        <v>-21198.572</v>
      </c>
      <c r="P304" s="1306">
        <f t="shared" si="32"/>
        <v>-21198.572</v>
      </c>
      <c r="Q304" s="1302">
        <f t="shared" si="32"/>
        <v>-21198.572</v>
      </c>
      <c r="R304" s="1302">
        <f t="shared" si="32"/>
        <v>-21198.572</v>
      </c>
      <c r="S304" s="1302">
        <f t="shared" si="32"/>
        <v>-21198.572</v>
      </c>
      <c r="T304" s="1302">
        <f t="shared" si="32"/>
        <v>-21198.572</v>
      </c>
      <c r="U304" s="1302">
        <f t="shared" si="32"/>
        <v>-21198.572</v>
      </c>
      <c r="V304" s="1302">
        <f t="shared" si="32"/>
        <v>-21198.572</v>
      </c>
      <c r="W304" s="1302">
        <f t="shared" si="32"/>
        <v>-21198.572</v>
      </c>
      <c r="X304" s="1302">
        <f t="shared" si="32"/>
        <v>-21198.572</v>
      </c>
      <c r="Y304" s="1302">
        <f t="shared" si="32"/>
        <v>-21198.572</v>
      </c>
      <c r="Z304" s="1302">
        <f t="shared" si="32"/>
        <v>-21198.572</v>
      </c>
      <c r="AA304" s="1302">
        <f t="shared" si="32"/>
        <v>-21198.572</v>
      </c>
      <c r="AB304" s="1302">
        <f t="shared" si="32"/>
        <v>-21198.572</v>
      </c>
      <c r="AC304" s="1302">
        <f t="shared" si="32"/>
        <v>-21198.572</v>
      </c>
      <c r="AD304" s="1302">
        <f t="shared" si="32"/>
        <v>-21198.572</v>
      </c>
      <c r="AE304" s="1302">
        <f t="shared" si="32"/>
        <v>-21198.572</v>
      </c>
      <c r="AF304" s="1302">
        <f t="shared" si="32"/>
        <v>-21198.572</v>
      </c>
      <c r="AG304" s="1302">
        <f t="shared" si="32"/>
        <v>-21198.572</v>
      </c>
      <c r="AH304" s="1207"/>
    </row>
    <row r="305" spans="1:34" ht="13.5" thickBot="1" x14ac:dyDescent="0.25">
      <c r="A305" s="1250"/>
      <c r="B305" s="1307"/>
      <c r="C305" s="1308"/>
      <c r="D305" s="1308"/>
      <c r="E305" s="1308"/>
      <c r="F305" s="1309"/>
      <c r="G305" s="1309"/>
      <c r="H305" s="1309"/>
      <c r="I305" s="1309"/>
      <c r="J305" s="1309"/>
      <c r="K305" s="1309"/>
      <c r="L305" s="1309"/>
      <c r="M305" s="1309"/>
      <c r="N305" s="1309"/>
      <c r="O305" s="1309"/>
      <c r="P305" s="1310"/>
      <c r="Q305" s="1309"/>
      <c r="R305" s="1309"/>
      <c r="S305" s="1309"/>
      <c r="T305" s="1309"/>
      <c r="U305" s="1309"/>
      <c r="V305" s="1309"/>
      <c r="W305" s="1309"/>
      <c r="X305" s="1309"/>
      <c r="Y305" s="1309"/>
      <c r="Z305" s="1309"/>
      <c r="AA305" s="1309"/>
      <c r="AB305" s="1309"/>
      <c r="AC305" s="1309"/>
      <c r="AD305" s="1309"/>
      <c r="AE305" s="1309"/>
      <c r="AF305" s="1309"/>
      <c r="AG305" s="1309"/>
      <c r="AH305" s="1207"/>
    </row>
    <row r="306" spans="1:34" x14ac:dyDescent="0.2">
      <c r="A306" s="1233"/>
      <c r="B306" s="1234"/>
      <c r="C306" s="1297"/>
      <c r="D306" s="1297"/>
      <c r="E306" s="1297"/>
      <c r="F306" s="1298"/>
      <c r="G306" s="1298"/>
      <c r="H306" s="1298"/>
      <c r="I306" s="1298"/>
      <c r="J306" s="1298"/>
      <c r="K306" s="1298"/>
      <c r="L306" s="1298"/>
      <c r="M306" s="1298"/>
      <c r="N306" s="1298"/>
      <c r="O306" s="1298"/>
      <c r="P306" s="1299"/>
      <c r="Q306" s="1298"/>
      <c r="R306" s="1298"/>
      <c r="S306" s="1298"/>
      <c r="T306" s="1298"/>
      <c r="U306" s="1298"/>
      <c r="V306" s="1298"/>
      <c r="W306" s="1298"/>
      <c r="X306" s="1298"/>
      <c r="Y306" s="1298"/>
      <c r="Z306" s="1298"/>
      <c r="AA306" s="1298"/>
      <c r="AB306" s="1298"/>
      <c r="AC306" s="1298"/>
      <c r="AD306" s="1298"/>
      <c r="AE306" s="1298"/>
      <c r="AF306" s="1298"/>
      <c r="AG306" s="1298"/>
      <c r="AH306" s="1207"/>
    </row>
    <row r="307" spans="1:34" x14ac:dyDescent="0.2">
      <c r="A307" s="1236" t="s">
        <v>82</v>
      </c>
      <c r="B307" s="1237"/>
      <c r="C307" s="1302">
        <f t="shared" ref="C307:AG308" si="33">C315</f>
        <v>0</v>
      </c>
      <c r="D307" s="1302">
        <f t="shared" si="33"/>
        <v>0</v>
      </c>
      <c r="E307" s="1302">
        <f t="shared" si="33"/>
        <v>0</v>
      </c>
      <c r="F307" s="1302">
        <f t="shared" si="33"/>
        <v>0</v>
      </c>
      <c r="G307" s="1302">
        <f t="shared" si="33"/>
        <v>0</v>
      </c>
      <c r="H307" s="1302">
        <f t="shared" si="33"/>
        <v>0</v>
      </c>
      <c r="I307" s="1302">
        <f t="shared" si="33"/>
        <v>0</v>
      </c>
      <c r="J307" s="1302">
        <f t="shared" si="33"/>
        <v>0</v>
      </c>
      <c r="K307" s="1302">
        <f t="shared" si="33"/>
        <v>0</v>
      </c>
      <c r="L307" s="1302">
        <f t="shared" si="33"/>
        <v>0</v>
      </c>
      <c r="M307" s="1302">
        <f t="shared" si="33"/>
        <v>0</v>
      </c>
      <c r="N307" s="1302">
        <f t="shared" si="33"/>
        <v>0</v>
      </c>
      <c r="O307" s="1302">
        <f t="shared" si="33"/>
        <v>0</v>
      </c>
      <c r="P307" s="1306">
        <f t="shared" si="33"/>
        <v>0</v>
      </c>
      <c r="Q307" s="1302">
        <f t="shared" si="33"/>
        <v>0</v>
      </c>
      <c r="R307" s="1302">
        <f t="shared" si="33"/>
        <v>0</v>
      </c>
      <c r="S307" s="1302">
        <f t="shared" si="33"/>
        <v>0</v>
      </c>
      <c r="T307" s="1302">
        <f t="shared" si="33"/>
        <v>0</v>
      </c>
      <c r="U307" s="1302">
        <f t="shared" si="33"/>
        <v>0</v>
      </c>
      <c r="V307" s="1302">
        <f t="shared" si="33"/>
        <v>0</v>
      </c>
      <c r="W307" s="1302">
        <f t="shared" si="33"/>
        <v>0</v>
      </c>
      <c r="X307" s="1302">
        <f t="shared" si="33"/>
        <v>0</v>
      </c>
      <c r="Y307" s="1302">
        <f t="shared" si="33"/>
        <v>0</v>
      </c>
      <c r="Z307" s="1302">
        <f t="shared" si="33"/>
        <v>0</v>
      </c>
      <c r="AA307" s="1302">
        <f t="shared" si="33"/>
        <v>0</v>
      </c>
      <c r="AB307" s="1302">
        <f t="shared" si="33"/>
        <v>0</v>
      </c>
      <c r="AC307" s="1302">
        <f t="shared" si="33"/>
        <v>0</v>
      </c>
      <c r="AD307" s="1302">
        <f t="shared" si="33"/>
        <v>0</v>
      </c>
      <c r="AE307" s="1302">
        <f t="shared" si="33"/>
        <v>0</v>
      </c>
      <c r="AF307" s="1302">
        <f t="shared" si="33"/>
        <v>0</v>
      </c>
      <c r="AG307" s="1302">
        <f t="shared" si="33"/>
        <v>0</v>
      </c>
      <c r="AH307" s="1207"/>
    </row>
    <row r="308" spans="1:34" x14ac:dyDescent="0.2">
      <c r="A308" s="1236" t="s">
        <v>83</v>
      </c>
      <c r="B308" s="1237"/>
      <c r="C308" s="1306">
        <f t="shared" si="33"/>
        <v>0</v>
      </c>
      <c r="D308" s="1306">
        <f t="shared" si="33"/>
        <v>0</v>
      </c>
      <c r="E308" s="1306">
        <f t="shared" si="33"/>
        <v>0</v>
      </c>
      <c r="F308" s="1306">
        <f t="shared" si="33"/>
        <v>0</v>
      </c>
      <c r="G308" s="1306">
        <f t="shared" si="33"/>
        <v>0</v>
      </c>
      <c r="H308" s="1306">
        <f t="shared" si="33"/>
        <v>0</v>
      </c>
      <c r="I308" s="1306">
        <f t="shared" si="33"/>
        <v>0</v>
      </c>
      <c r="J308" s="1306">
        <f t="shared" si="33"/>
        <v>0</v>
      </c>
      <c r="K308" s="1306">
        <f t="shared" si="33"/>
        <v>0</v>
      </c>
      <c r="L308" s="1306">
        <f t="shared" si="33"/>
        <v>0</v>
      </c>
      <c r="M308" s="1306">
        <f t="shared" si="33"/>
        <v>0</v>
      </c>
      <c r="N308" s="1306">
        <f t="shared" si="33"/>
        <v>0</v>
      </c>
      <c r="O308" s="1306">
        <f t="shared" si="33"/>
        <v>0</v>
      </c>
      <c r="P308" s="1306">
        <f t="shared" si="33"/>
        <v>0</v>
      </c>
      <c r="Q308" s="1306">
        <f t="shared" si="33"/>
        <v>0</v>
      </c>
      <c r="R308" s="1306">
        <f t="shared" si="33"/>
        <v>0</v>
      </c>
      <c r="S308" s="1306">
        <f t="shared" si="33"/>
        <v>0</v>
      </c>
      <c r="T308" s="1306">
        <f t="shared" si="33"/>
        <v>0</v>
      </c>
      <c r="U308" s="1306">
        <f t="shared" si="33"/>
        <v>0</v>
      </c>
      <c r="V308" s="1306">
        <f t="shared" si="33"/>
        <v>0</v>
      </c>
      <c r="W308" s="1306">
        <f t="shared" si="33"/>
        <v>0</v>
      </c>
      <c r="X308" s="1306">
        <f t="shared" si="33"/>
        <v>0</v>
      </c>
      <c r="Y308" s="1306">
        <f t="shared" si="33"/>
        <v>0</v>
      </c>
      <c r="Z308" s="1306">
        <f t="shared" si="33"/>
        <v>0</v>
      </c>
      <c r="AA308" s="1306">
        <f t="shared" si="33"/>
        <v>0</v>
      </c>
      <c r="AB308" s="1306">
        <f t="shared" si="33"/>
        <v>0</v>
      </c>
      <c r="AC308" s="1306">
        <f t="shared" si="33"/>
        <v>0</v>
      </c>
      <c r="AD308" s="1306">
        <f t="shared" si="33"/>
        <v>0</v>
      </c>
      <c r="AE308" s="1306">
        <f t="shared" si="33"/>
        <v>0</v>
      </c>
      <c r="AF308" s="1306">
        <f t="shared" si="33"/>
        <v>0</v>
      </c>
      <c r="AG308" s="1306">
        <f t="shared" si="33"/>
        <v>0</v>
      </c>
      <c r="AH308" s="1207"/>
    </row>
    <row r="309" spans="1:34" ht="13.5" thickBot="1" x14ac:dyDescent="0.25">
      <c r="A309" s="1250"/>
      <c r="B309" s="1307"/>
      <c r="C309" s="1308"/>
      <c r="D309" s="1308"/>
      <c r="E309" s="1308"/>
      <c r="F309" s="1309"/>
      <c r="G309" s="1309"/>
      <c r="H309" s="1309"/>
      <c r="I309" s="1309"/>
      <c r="J309" s="1309"/>
      <c r="K309" s="1309"/>
      <c r="L309" s="1309"/>
      <c r="M309" s="1309"/>
      <c r="N309" s="1309"/>
      <c r="O309" s="1309"/>
      <c r="P309" s="1310"/>
      <c r="Q309" s="1309"/>
      <c r="R309" s="1309"/>
      <c r="S309" s="1309"/>
      <c r="T309" s="1309"/>
      <c r="U309" s="1309"/>
      <c r="V309" s="1309"/>
      <c r="W309" s="1309"/>
      <c r="X309" s="1309"/>
      <c r="Y309" s="1309"/>
      <c r="Z309" s="1309"/>
      <c r="AA309" s="1309"/>
      <c r="AB309" s="1309"/>
      <c r="AC309" s="1309"/>
      <c r="AD309" s="1309"/>
      <c r="AE309" s="1309"/>
      <c r="AF309" s="1309"/>
      <c r="AG309" s="1309"/>
      <c r="AH309" s="1207"/>
    </row>
    <row r="310" spans="1:34" x14ac:dyDescent="0.2">
      <c r="A310" s="1236"/>
      <c r="B310" s="1237"/>
      <c r="C310" s="1302"/>
      <c r="D310" s="1302"/>
      <c r="E310" s="1302"/>
      <c r="F310" s="1303"/>
      <c r="G310" s="1303"/>
      <c r="H310" s="1303"/>
      <c r="I310" s="1303"/>
      <c r="J310" s="1303"/>
      <c r="K310" s="1303"/>
      <c r="L310" s="1303"/>
      <c r="M310" s="1303"/>
      <c r="N310" s="1303"/>
      <c r="O310" s="1303"/>
      <c r="P310" s="1304"/>
      <c r="Q310" s="1303"/>
      <c r="R310" s="1303"/>
      <c r="S310" s="1303"/>
      <c r="T310" s="1303"/>
      <c r="U310" s="1303"/>
      <c r="V310" s="1303"/>
      <c r="W310" s="1303"/>
      <c r="X310" s="1303"/>
      <c r="Y310" s="1303"/>
      <c r="Z310" s="1303"/>
      <c r="AA310" s="1303"/>
      <c r="AB310" s="1303"/>
      <c r="AC310" s="1303"/>
      <c r="AD310" s="1303"/>
      <c r="AE310" s="1303"/>
      <c r="AF310" s="1303"/>
      <c r="AG310" s="1303"/>
      <c r="AH310" s="1207"/>
    </row>
    <row r="311" spans="1:34" x14ac:dyDescent="0.2">
      <c r="A311" s="1236" t="s">
        <v>14</v>
      </c>
      <c r="B311" s="1237"/>
      <c r="C311" s="1302">
        <f t="shared" ref="C311:AG311" si="34">C304+C307+C308</f>
        <v>-21198.572</v>
      </c>
      <c r="D311" s="1302">
        <f t="shared" si="34"/>
        <v>-21198.572</v>
      </c>
      <c r="E311" s="1302">
        <f t="shared" si="34"/>
        <v>-21198.572</v>
      </c>
      <c r="F311" s="1302">
        <f t="shared" si="34"/>
        <v>-21198.572</v>
      </c>
      <c r="G311" s="1302">
        <f t="shared" si="34"/>
        <v>-21198.572</v>
      </c>
      <c r="H311" s="1302">
        <f t="shared" si="34"/>
        <v>-21198.572</v>
      </c>
      <c r="I311" s="1302">
        <f t="shared" si="34"/>
        <v>-21198.572</v>
      </c>
      <c r="J311" s="1302">
        <f t="shared" si="34"/>
        <v>-21198.572</v>
      </c>
      <c r="K311" s="1302">
        <f t="shared" si="34"/>
        <v>-21198.572</v>
      </c>
      <c r="L311" s="1302">
        <f t="shared" si="34"/>
        <v>-21198.572</v>
      </c>
      <c r="M311" s="1302">
        <f t="shared" si="34"/>
        <v>-21198.572</v>
      </c>
      <c r="N311" s="1302">
        <f t="shared" si="34"/>
        <v>-21198.572</v>
      </c>
      <c r="O311" s="1302">
        <f t="shared" si="34"/>
        <v>-21198.572</v>
      </c>
      <c r="P311" s="1306">
        <f t="shared" si="34"/>
        <v>-21198.572</v>
      </c>
      <c r="Q311" s="1302">
        <f t="shared" si="34"/>
        <v>-21198.572</v>
      </c>
      <c r="R311" s="1302">
        <f t="shared" si="34"/>
        <v>-21198.572</v>
      </c>
      <c r="S311" s="1302">
        <f t="shared" si="34"/>
        <v>-21198.572</v>
      </c>
      <c r="T311" s="1302">
        <f t="shared" si="34"/>
        <v>-21198.572</v>
      </c>
      <c r="U311" s="1302">
        <f t="shared" si="34"/>
        <v>-21198.572</v>
      </c>
      <c r="V311" s="1302">
        <f t="shared" si="34"/>
        <v>-21198.572</v>
      </c>
      <c r="W311" s="1302">
        <f t="shared" si="34"/>
        <v>-21198.572</v>
      </c>
      <c r="X311" s="1302">
        <f t="shared" si="34"/>
        <v>-21198.572</v>
      </c>
      <c r="Y311" s="1302">
        <f t="shared" si="34"/>
        <v>-21198.572</v>
      </c>
      <c r="Z311" s="1302">
        <f t="shared" si="34"/>
        <v>-21198.572</v>
      </c>
      <c r="AA311" s="1302">
        <f t="shared" si="34"/>
        <v>-21198.572</v>
      </c>
      <c r="AB311" s="1302">
        <f t="shared" si="34"/>
        <v>-21198.572</v>
      </c>
      <c r="AC311" s="1302">
        <f t="shared" si="34"/>
        <v>-21198.572</v>
      </c>
      <c r="AD311" s="1302">
        <f t="shared" si="34"/>
        <v>-21198.572</v>
      </c>
      <c r="AE311" s="1302">
        <f t="shared" si="34"/>
        <v>-21198.572</v>
      </c>
      <c r="AF311" s="1302">
        <f t="shared" si="34"/>
        <v>-21198.572</v>
      </c>
      <c r="AG311" s="1302">
        <f t="shared" si="34"/>
        <v>-21198.572</v>
      </c>
      <c r="AH311" s="1207"/>
    </row>
    <row r="312" spans="1:34" x14ac:dyDescent="0.2">
      <c r="A312" s="1236"/>
      <c r="B312" s="1237"/>
      <c r="C312" s="1302"/>
      <c r="D312" s="1302"/>
      <c r="E312" s="1302"/>
      <c r="F312" s="1303"/>
      <c r="G312" s="1303"/>
      <c r="H312" s="1303"/>
      <c r="I312" s="1303"/>
      <c r="J312" s="1303"/>
      <c r="K312" s="1303"/>
      <c r="L312" s="1303"/>
      <c r="M312" s="1303"/>
      <c r="N312" s="1303"/>
      <c r="O312" s="1303"/>
      <c r="P312" s="1304"/>
      <c r="Q312" s="1303"/>
      <c r="R312" s="1303"/>
      <c r="S312" s="1303"/>
      <c r="T312" s="1303"/>
      <c r="U312" s="1303"/>
      <c r="V312" s="1303"/>
      <c r="W312" s="1303"/>
      <c r="X312" s="1303"/>
      <c r="Y312" s="1303"/>
      <c r="Z312" s="1303"/>
      <c r="AA312" s="1303"/>
      <c r="AB312" s="1303"/>
      <c r="AC312" s="1303"/>
      <c r="AD312" s="1303"/>
      <c r="AE312" s="1303"/>
      <c r="AF312" s="1303"/>
      <c r="AG312" s="1303"/>
      <c r="AH312" s="1207"/>
    </row>
    <row r="313" spans="1:34" ht="13.5" thickBot="1" x14ac:dyDescent="0.25">
      <c r="A313" s="1250"/>
      <c r="B313" s="1307"/>
      <c r="C313" s="1312"/>
      <c r="D313" s="1312"/>
      <c r="E313" s="1312"/>
      <c r="F313" s="1313"/>
      <c r="G313" s="1313"/>
      <c r="H313" s="1313"/>
      <c r="I313" s="1313"/>
      <c r="J313" s="1313"/>
      <c r="K313" s="1313"/>
      <c r="L313" s="1313"/>
      <c r="M313" s="1313"/>
      <c r="N313" s="1313"/>
      <c r="O313" s="1313"/>
      <c r="P313" s="1314"/>
      <c r="Q313" s="1313"/>
      <c r="R313" s="1313"/>
      <c r="S313" s="1313"/>
      <c r="T313" s="1313"/>
      <c r="U313" s="1313"/>
      <c r="V313" s="1313"/>
      <c r="W313" s="1313"/>
      <c r="X313" s="1313"/>
      <c r="Y313" s="1313"/>
      <c r="Z313" s="1313"/>
      <c r="AA313" s="1313"/>
      <c r="AB313" s="1313"/>
      <c r="AC313" s="1313"/>
      <c r="AD313" s="1313"/>
      <c r="AE313" s="1313"/>
      <c r="AF313" s="1313"/>
      <c r="AG313" s="1313"/>
      <c r="AH313" s="1207"/>
    </row>
    <row r="314" spans="1:34" x14ac:dyDescent="0.2">
      <c r="A314" s="1316"/>
      <c r="B314" s="1207"/>
      <c r="C314" s="1227"/>
      <c r="D314" s="1227"/>
      <c r="E314" s="1227"/>
      <c r="F314" s="1227"/>
      <c r="G314" s="1227"/>
      <c r="H314" s="1227"/>
      <c r="I314" s="1227"/>
      <c r="J314" s="1227"/>
      <c r="K314" s="1227"/>
      <c r="L314" s="1227"/>
      <c r="M314" s="1227"/>
      <c r="N314" s="1227"/>
      <c r="O314" s="1227"/>
      <c r="P314" s="1229"/>
      <c r="Q314" s="1227"/>
      <c r="R314" s="1227"/>
      <c r="S314" s="1227"/>
      <c r="T314" s="1227"/>
      <c r="U314" s="1227"/>
      <c r="V314" s="1227"/>
      <c r="W314" s="1227"/>
      <c r="X314" s="1227"/>
      <c r="Y314" s="1227"/>
      <c r="Z314" s="1227"/>
      <c r="AA314" s="1227"/>
      <c r="AB314" s="1227"/>
      <c r="AC314" s="1227"/>
      <c r="AD314" s="1227"/>
      <c r="AE314" s="1227"/>
      <c r="AF314" s="1227"/>
      <c r="AG314" s="1227"/>
      <c r="AH314" s="1227">
        <f>SUM(C314:AG314)</f>
        <v>0</v>
      </c>
    </row>
    <row r="315" spans="1:34" x14ac:dyDescent="0.2">
      <c r="A315" s="1344"/>
      <c r="B315" s="1383"/>
      <c r="C315" s="1219"/>
      <c r="D315" s="1221"/>
      <c r="E315" s="1356"/>
      <c r="F315" s="1219"/>
      <c r="G315" s="1219"/>
      <c r="H315" s="1220"/>
      <c r="I315" s="1219"/>
      <c r="J315" s="1219"/>
      <c r="K315" s="1219"/>
      <c r="L315" s="1219"/>
      <c r="M315" s="1220"/>
      <c r="N315" s="1220"/>
      <c r="O315" s="1220"/>
      <c r="P315" s="1221"/>
      <c r="Q315" s="1219"/>
      <c r="R315" s="1219"/>
      <c r="S315" s="1219"/>
      <c r="T315" s="1219"/>
      <c r="U315" s="1219"/>
      <c r="V315" s="1219"/>
      <c r="W315" s="1220"/>
      <c r="X315" s="1220"/>
      <c r="Y315" s="1220"/>
      <c r="Z315" s="1220"/>
      <c r="AA315" s="1220"/>
      <c r="AB315" s="1220"/>
      <c r="AC315" s="1220"/>
      <c r="AD315" s="1221">
        <f>31744.278-10392.997-12835.998-8515.283</f>
        <v>0</v>
      </c>
      <c r="AE315" s="1219"/>
      <c r="AF315" s="1219"/>
      <c r="AG315" s="1219"/>
      <c r="AH315" s="1227"/>
    </row>
    <row r="316" spans="1:34" x14ac:dyDescent="0.2">
      <c r="A316" s="1207"/>
      <c r="B316" s="1207"/>
      <c r="C316" s="1207"/>
      <c r="D316" s="1207"/>
      <c r="E316" s="134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1208"/>
      <c r="Q316" s="1207"/>
      <c r="R316" s="1207"/>
      <c r="S316" s="1207"/>
      <c r="T316" s="1207"/>
      <c r="U316" s="1207"/>
      <c r="V316" s="1207"/>
      <c r="W316" s="1207"/>
      <c r="X316" s="1207"/>
      <c r="Y316" s="1207"/>
      <c r="Z316" s="1207"/>
      <c r="AA316" s="1207"/>
      <c r="AB316" s="1207"/>
      <c r="AC316" s="1207"/>
      <c r="AD316" s="1207"/>
      <c r="AE316" s="1207"/>
      <c r="AF316" s="1207"/>
      <c r="AG316" s="1207"/>
      <c r="AH316" s="1227"/>
    </row>
    <row r="317" spans="1:34" x14ac:dyDescent="0.2">
      <c r="A317" s="1210" t="s">
        <v>415</v>
      </c>
      <c r="B317" s="1215">
        <f>B318+B319+B321+B320</f>
        <v>1020000</v>
      </c>
      <c r="C317" s="1367"/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1208"/>
      <c r="Q317" s="1207"/>
      <c r="R317" s="1207"/>
      <c r="S317" s="1207"/>
      <c r="T317" s="1207"/>
      <c r="U317" s="1401"/>
      <c r="V317" s="1220"/>
      <c r="W317" s="1227"/>
      <c r="X317" s="1207"/>
      <c r="Y317" s="1207"/>
      <c r="Z317" s="1207"/>
      <c r="AA317" s="1384"/>
      <c r="AB317" s="1207"/>
      <c r="AC317" s="1207"/>
      <c r="AD317" s="1207"/>
      <c r="AE317" s="1207"/>
      <c r="AF317" s="1207"/>
      <c r="AG317" s="1207"/>
      <c r="AH317" s="1207"/>
    </row>
    <row r="318" spans="1:34" x14ac:dyDescent="0.2">
      <c r="A318" s="1365" t="s">
        <v>414</v>
      </c>
      <c r="B318" s="1219">
        <v>20000</v>
      </c>
      <c r="C318" s="1207"/>
      <c r="D318" s="1207"/>
      <c r="E318" s="122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8"/>
      <c r="Q318" s="1207"/>
      <c r="R318" s="1207"/>
      <c r="S318" s="1207"/>
      <c r="T318" s="1207"/>
      <c r="U318" s="1230"/>
      <c r="V318" s="1230"/>
      <c r="W318" s="1207"/>
      <c r="X318" s="1207"/>
      <c r="Y318" s="1207"/>
      <c r="Z318" s="1207"/>
      <c r="AA318" s="1207"/>
      <c r="AB318" s="1207"/>
      <c r="AC318" s="1227"/>
      <c r="AD318" s="1227"/>
      <c r="AE318" s="1207"/>
      <c r="AF318" s="1207"/>
      <c r="AG318" s="1207"/>
      <c r="AH318" s="1207"/>
    </row>
    <row r="319" spans="1:34" x14ac:dyDescent="0.2">
      <c r="A319" s="1365" t="s">
        <v>287</v>
      </c>
      <c r="B319" s="1219">
        <v>600000</v>
      </c>
      <c r="C319" s="1207"/>
      <c r="D319" s="1207"/>
      <c r="E319" s="1207"/>
      <c r="F319" s="1207"/>
      <c r="G319" s="1207"/>
      <c r="H319" s="1207"/>
      <c r="I319" s="1207"/>
      <c r="J319" s="1207"/>
      <c r="K319" s="1227"/>
      <c r="L319" s="1207"/>
      <c r="M319" s="1207"/>
      <c r="N319" s="1207"/>
      <c r="O319" s="1207"/>
      <c r="P319" s="1208"/>
      <c r="Q319" s="1207"/>
      <c r="R319" s="1207"/>
      <c r="S319" s="1207"/>
      <c r="T319" s="1207"/>
      <c r="U319" s="1402"/>
      <c r="V319" s="1230"/>
      <c r="W319" s="1207"/>
      <c r="X319" s="1227"/>
      <c r="Y319" s="1207"/>
      <c r="Z319" s="1207"/>
      <c r="AA319" s="1207"/>
      <c r="AB319" s="1207"/>
      <c r="AC319" s="1207"/>
      <c r="AD319" s="1207"/>
      <c r="AE319" s="1207"/>
      <c r="AF319" s="1207"/>
      <c r="AG319" s="1207"/>
    </row>
    <row r="320" spans="1:34" x14ac:dyDescent="0.2">
      <c r="A320" s="1316" t="s">
        <v>413</v>
      </c>
      <c r="B320" s="1219">
        <v>200000</v>
      </c>
      <c r="C320" s="1207"/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8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07"/>
      <c r="AA320" s="1207"/>
      <c r="AB320" s="1207"/>
      <c r="AC320" s="1207"/>
      <c r="AD320" s="1207"/>
      <c r="AE320" s="1207"/>
      <c r="AF320" s="1207"/>
      <c r="AG320" s="1207"/>
    </row>
    <row r="321" spans="1:33" x14ac:dyDescent="0.2">
      <c r="A321" s="1316" t="s">
        <v>441</v>
      </c>
      <c r="B321" s="1219">
        <v>200000</v>
      </c>
      <c r="C321" s="1207"/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1208"/>
      <c r="Q321" s="1207"/>
      <c r="R321" s="1207"/>
      <c r="S321" s="1207"/>
      <c r="T321" s="1207"/>
      <c r="U321" s="1207"/>
      <c r="V321" s="1207"/>
      <c r="W321" s="1207"/>
      <c r="X321" s="1207"/>
      <c r="Y321" s="1207"/>
      <c r="Z321" s="1207"/>
      <c r="AA321" s="1207"/>
      <c r="AB321" s="1207"/>
      <c r="AC321" s="1207"/>
      <c r="AD321" s="1207"/>
      <c r="AE321" s="1207"/>
      <c r="AF321" s="1207"/>
      <c r="AG321" s="1207"/>
    </row>
    <row r="322" spans="1:33" x14ac:dyDescent="0.2">
      <c r="A322" s="1207"/>
      <c r="B322" s="1207"/>
      <c r="C322" s="1207"/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8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07"/>
      <c r="AA322" s="1207"/>
      <c r="AB322" s="1207"/>
      <c r="AC322" s="1207"/>
      <c r="AD322" s="1207"/>
      <c r="AE322" s="1207"/>
      <c r="AF322" s="1207"/>
      <c r="AG322" s="1207"/>
    </row>
    <row r="323" spans="1:33" x14ac:dyDescent="0.2">
      <c r="A323" s="1223" t="s">
        <v>449</v>
      </c>
      <c r="B323" s="1280"/>
      <c r="L323" s="1283"/>
    </row>
    <row r="324" spans="1:33" x14ac:dyDescent="0.2">
      <c r="AB324" s="1283"/>
      <c r="AC324" s="1283"/>
      <c r="AD324" s="1283"/>
      <c r="AE324" s="1283"/>
    </row>
    <row r="331" spans="1:33" ht="15" x14ac:dyDescent="0.2">
      <c r="A331" s="1403"/>
      <c r="B331" s="1404"/>
    </row>
    <row r="332" spans="1:33" ht="15" x14ac:dyDescent="0.2">
      <c r="A332" s="1403"/>
      <c r="B332" s="1404"/>
    </row>
    <row r="333" spans="1:33" ht="15" x14ac:dyDescent="0.2">
      <c r="A333" s="1403"/>
      <c r="B333" s="1404"/>
    </row>
    <row r="338" spans="1:2" s="1209" customFormat="1" ht="18" x14ac:dyDescent="0.25">
      <c r="A338" s="1751"/>
      <c r="B338" s="1751"/>
    </row>
    <row r="339" spans="1:2" s="1209" customFormat="1" x14ac:dyDescent="0.2">
      <c r="A339" s="1206"/>
      <c r="B339" s="1206"/>
    </row>
    <row r="341" spans="1:2" s="1209" customFormat="1" x14ac:dyDescent="0.2">
      <c r="A341" s="1223"/>
      <c r="B341" s="1280"/>
    </row>
    <row r="342" spans="1:2" s="1209" customFormat="1" x14ac:dyDescent="0.2">
      <c r="A342" s="1223"/>
      <c r="B342" s="1280"/>
    </row>
    <row r="343" spans="1:2" s="1209" customFormat="1" x14ac:dyDescent="0.2">
      <c r="A343" s="1223"/>
      <c r="B343" s="1280"/>
    </row>
    <row r="344" spans="1:2" s="1209" customFormat="1" x14ac:dyDescent="0.2">
      <c r="A344" s="1223"/>
      <c r="B344" s="1280"/>
    </row>
    <row r="345" spans="1:2" s="1209" customFormat="1" x14ac:dyDescent="0.2">
      <c r="A345" s="1223"/>
      <c r="B345" s="1280"/>
    </row>
    <row r="346" spans="1:2" s="1209" customFormat="1" x14ac:dyDescent="0.2">
      <c r="A346" s="1223"/>
      <c r="B346" s="1280"/>
    </row>
    <row r="347" spans="1:2" s="1209" customFormat="1" x14ac:dyDescent="0.2">
      <c r="A347" s="1223"/>
      <c r="B347" s="1280"/>
    </row>
    <row r="348" spans="1:2" s="1209" customFormat="1" x14ac:dyDescent="0.2">
      <c r="A348" s="1223"/>
      <c r="B348" s="1280"/>
    </row>
    <row r="349" spans="1:2" s="1209" customFormat="1" x14ac:dyDescent="0.2">
      <c r="A349" s="1223"/>
      <c r="B349" s="1280"/>
    </row>
    <row r="350" spans="1:2" s="1209" customFormat="1" x14ac:dyDescent="0.2">
      <c r="A350" s="1223"/>
      <c r="B350" s="1280"/>
    </row>
    <row r="351" spans="1:2" s="1209" customFormat="1" x14ac:dyDescent="0.2">
      <c r="A351" s="1223"/>
      <c r="B351" s="1280"/>
    </row>
    <row r="354" spans="2:2" s="1209" customFormat="1" x14ac:dyDescent="0.2">
      <c r="B354" s="1280"/>
    </row>
    <row r="355" spans="2:2" s="1209" customFormat="1" x14ac:dyDescent="0.2">
      <c r="B355" s="1280"/>
    </row>
    <row r="356" spans="2:2" s="1209" customFormat="1" x14ac:dyDescent="0.2">
      <c r="B356" s="1280"/>
    </row>
    <row r="358" spans="2:2" s="1209" customFormat="1" x14ac:dyDescent="0.2">
      <c r="B358" s="1405"/>
    </row>
  </sheetData>
  <mergeCells count="6">
    <mergeCell ref="AC37:AD37"/>
    <mergeCell ref="I153:L153"/>
    <mergeCell ref="M153:U153"/>
    <mergeCell ref="F284:G284"/>
    <mergeCell ref="A338:B338"/>
    <mergeCell ref="S284:X284"/>
  </mergeCells>
  <pageMargins left="0.78740157480314965" right="0.78740157480314965" top="0.98425196850393704" bottom="0.98425196850393704" header="0.51181102362204722" footer="0.51181102362204722"/>
  <pageSetup paperSize="9" scale="34" fitToHeight="2" orientation="landscape" horizontalDpi="300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358"/>
  <sheetViews>
    <sheetView topLeftCell="T19" workbookViewId="0">
      <pane ySplit="2025" topLeftCell="A40" activePane="bottomLeft"/>
      <selection activeCell="N21" sqref="N21"/>
      <selection pane="bottomLeft" activeCell="L46" sqref="L46"/>
    </sheetView>
  </sheetViews>
  <sheetFormatPr defaultColWidth="11.42578125" defaultRowHeight="12.75" x14ac:dyDescent="0.2"/>
  <cols>
    <col min="1" max="1" width="37.42578125" style="1209" customWidth="1"/>
    <col min="2" max="2" width="13.7109375" style="1209" customWidth="1"/>
    <col min="3" max="3" width="14" style="1209" customWidth="1"/>
    <col min="4" max="4" width="14.28515625" style="1209" customWidth="1"/>
    <col min="5" max="5" width="14.42578125" style="1209" bestFit="1" customWidth="1"/>
    <col min="6" max="6" width="12.7109375" style="1209" customWidth="1"/>
    <col min="7" max="7" width="13.85546875" style="1209" customWidth="1"/>
    <col min="8" max="8" width="13" style="1209" customWidth="1"/>
    <col min="9" max="9" width="11.7109375" style="1209" customWidth="1"/>
    <col min="10" max="11" width="10.85546875" style="1209" customWidth="1"/>
    <col min="12" max="12" width="11.85546875" style="1209" customWidth="1"/>
    <col min="13" max="13" width="10.85546875" style="1209" customWidth="1"/>
    <col min="14" max="14" width="10.28515625" style="1209" customWidth="1"/>
    <col min="15" max="15" width="10.85546875" style="1209" customWidth="1"/>
    <col min="16" max="16" width="10.85546875" style="1320" customWidth="1"/>
    <col min="17" max="17" width="12.28515625" style="1209" customWidth="1"/>
    <col min="18" max="18" width="11.85546875" style="1209" customWidth="1"/>
    <col min="19" max="19" width="11.42578125" style="1209"/>
    <col min="20" max="20" width="14" style="1209" customWidth="1"/>
    <col min="21" max="21" width="14.140625" style="1209" customWidth="1"/>
    <col min="22" max="22" width="11.85546875" style="1209" bestFit="1" customWidth="1"/>
    <col min="23" max="26" width="11.85546875" style="1209" customWidth="1"/>
    <col min="27" max="27" width="13.7109375" style="1209" customWidth="1"/>
    <col min="28" max="31" width="12.42578125" style="1209" customWidth="1"/>
    <col min="32" max="32" width="12" style="1209" customWidth="1"/>
    <col min="33" max="33" width="13.5703125" style="1209" customWidth="1"/>
    <col min="34" max="34" width="13.85546875" style="1209" bestFit="1" customWidth="1"/>
    <col min="35" max="35" width="11.85546875" style="1209" bestFit="1" customWidth="1"/>
    <col min="36" max="39" width="11.42578125" style="1209"/>
    <col min="40" max="40" width="13.85546875" style="1209" bestFit="1" customWidth="1"/>
    <col min="41" max="41" width="11.42578125" style="1209"/>
    <col min="42" max="42" width="13.85546875" style="1209" bestFit="1" customWidth="1"/>
    <col min="43" max="16384" width="11.42578125" style="1209"/>
  </cols>
  <sheetData>
    <row r="1" spans="1:36" x14ac:dyDescent="0.2">
      <c r="A1" s="1206" t="s">
        <v>693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7"/>
      <c r="L1" s="1207"/>
      <c r="M1" s="1207"/>
      <c r="N1" s="1207"/>
      <c r="O1" s="1207"/>
      <c r="P1" s="1208"/>
      <c r="Q1" s="1207"/>
      <c r="R1" s="1207"/>
      <c r="S1" s="1207"/>
      <c r="T1" s="1207"/>
      <c r="U1" s="1207"/>
      <c r="V1" s="1207"/>
      <c r="W1" s="1207"/>
      <c r="X1" s="1207"/>
      <c r="Y1" s="1207"/>
      <c r="Z1" s="1207"/>
      <c r="AA1" s="1207"/>
      <c r="AB1" s="1207"/>
      <c r="AC1" s="1207"/>
      <c r="AD1" s="1207"/>
      <c r="AE1" s="1207"/>
      <c r="AF1" s="1207"/>
      <c r="AG1" s="1207"/>
      <c r="AH1" s="1207"/>
    </row>
    <row r="2" spans="1:36" x14ac:dyDescent="0.2">
      <c r="A2" s="1210" t="s">
        <v>694</v>
      </c>
      <c r="B2" s="1207"/>
      <c r="C2" s="1207"/>
      <c r="D2" s="1207"/>
      <c r="E2" s="1207"/>
      <c r="F2" s="1207"/>
      <c r="G2" s="1207"/>
      <c r="H2" s="1207"/>
      <c r="I2" s="1207"/>
      <c r="J2" s="1207"/>
      <c r="K2" s="1207"/>
      <c r="L2" s="1207"/>
      <c r="M2" s="1207"/>
      <c r="N2" s="1207"/>
      <c r="O2" s="1207"/>
      <c r="P2" s="1208"/>
      <c r="Q2" s="1207"/>
      <c r="R2" s="1207"/>
      <c r="S2" s="1207"/>
      <c r="T2" s="1207"/>
      <c r="U2" s="1207"/>
      <c r="V2" s="1207"/>
      <c r="W2" s="1207"/>
      <c r="X2" s="1207"/>
      <c r="Y2" s="1207"/>
      <c r="Z2" s="1207"/>
      <c r="AA2" s="1207"/>
      <c r="AB2" s="1207"/>
      <c r="AC2" s="1207"/>
      <c r="AD2" s="1207"/>
      <c r="AE2" s="1207"/>
      <c r="AF2" s="1207"/>
      <c r="AG2" s="1207"/>
      <c r="AH2" s="1207"/>
    </row>
    <row r="3" spans="1:36" x14ac:dyDescent="0.2">
      <c r="A3" s="1210" t="s">
        <v>680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8"/>
      <c r="Q3" s="1207"/>
      <c r="R3" s="1207"/>
      <c r="S3" s="1207"/>
      <c r="T3" s="1207"/>
      <c r="U3" s="1207"/>
      <c r="V3" s="1207"/>
      <c r="W3" s="1207"/>
      <c r="X3" s="1207"/>
      <c r="Y3" s="1207"/>
      <c r="Z3" s="1207"/>
      <c r="AA3" s="1207"/>
      <c r="AB3" s="1207"/>
      <c r="AC3" s="1207"/>
      <c r="AD3" s="1207"/>
      <c r="AE3" s="1207"/>
      <c r="AF3" s="1207"/>
      <c r="AG3" s="1207"/>
      <c r="AH3" s="1207"/>
    </row>
    <row r="4" spans="1:36" x14ac:dyDescent="0.2">
      <c r="A4" s="1207"/>
      <c r="B4" s="1207"/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2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07"/>
    </row>
    <row r="5" spans="1:36" x14ac:dyDescent="0.2">
      <c r="A5" s="1213" t="s">
        <v>689</v>
      </c>
      <c r="B5" s="1214" t="s">
        <v>132</v>
      </c>
      <c r="C5" s="1215">
        <f t="shared" ref="C5:AG5" si="0">C6+C7+C8+C9</f>
        <v>-488230.092</v>
      </c>
      <c r="D5" s="1215">
        <f t="shared" si="0"/>
        <v>-488230.092</v>
      </c>
      <c r="E5" s="1215">
        <f t="shared" si="0"/>
        <v>-488230.092</v>
      </c>
      <c r="F5" s="1215">
        <f t="shared" si="0"/>
        <v>-488230.092</v>
      </c>
      <c r="G5" s="1215">
        <f t="shared" si="0"/>
        <v>-488230.092</v>
      </c>
      <c r="H5" s="1215">
        <f t="shared" si="0"/>
        <v>-488230.092</v>
      </c>
      <c r="I5" s="1215">
        <f t="shared" si="0"/>
        <v>-488230.092</v>
      </c>
      <c r="J5" s="1216">
        <f t="shared" si="0"/>
        <v>-488230.092</v>
      </c>
      <c r="K5" s="1216">
        <f t="shared" si="0"/>
        <v>-488230.092</v>
      </c>
      <c r="L5" s="1215">
        <f t="shared" si="0"/>
        <v>-488230.092</v>
      </c>
      <c r="M5" s="1215">
        <f t="shared" si="0"/>
        <v>-488230.45</v>
      </c>
      <c r="N5" s="1215">
        <f t="shared" si="0"/>
        <v>-488230.45</v>
      </c>
      <c r="O5" s="1215">
        <f t="shared" si="0"/>
        <v>-488230.45</v>
      </c>
      <c r="P5" s="1217">
        <f t="shared" si="0"/>
        <v>-488230.45</v>
      </c>
      <c r="Q5" s="1215">
        <f t="shared" si="0"/>
        <v>-488230.45</v>
      </c>
      <c r="R5" s="1215">
        <f t="shared" si="0"/>
        <v>-488230.45</v>
      </c>
      <c r="S5" s="1215">
        <f t="shared" si="0"/>
        <v>-488230.45</v>
      </c>
      <c r="T5" s="1215">
        <f t="shared" si="0"/>
        <v>-488230.45</v>
      </c>
      <c r="U5" s="1215">
        <f t="shared" si="0"/>
        <v>-488230.45</v>
      </c>
      <c r="V5" s="1215">
        <f t="shared" si="0"/>
        <v>-488230.45</v>
      </c>
      <c r="W5" s="1215">
        <f t="shared" si="0"/>
        <v>-488230.45</v>
      </c>
      <c r="X5" s="1215">
        <f t="shared" si="0"/>
        <v>-488230.45</v>
      </c>
      <c r="Y5" s="1215">
        <f t="shared" si="0"/>
        <v>-488230.45</v>
      </c>
      <c r="Z5" s="1215">
        <f t="shared" si="0"/>
        <v>-488230.45</v>
      </c>
      <c r="AA5" s="1215">
        <f t="shared" si="0"/>
        <v>-488230.45</v>
      </c>
      <c r="AB5" s="1215">
        <f t="shared" si="0"/>
        <v>-488230.45</v>
      </c>
      <c r="AC5" s="1215">
        <f t="shared" si="0"/>
        <v>-488230.79499999998</v>
      </c>
      <c r="AD5" s="1215">
        <f t="shared" si="0"/>
        <v>-488230.79499999998</v>
      </c>
      <c r="AE5" s="1215">
        <f t="shared" si="0"/>
        <v>-488230.79499999998</v>
      </c>
      <c r="AF5" s="1215">
        <f t="shared" si="0"/>
        <v>-488230.79499999998</v>
      </c>
      <c r="AG5" s="1215">
        <f t="shared" si="0"/>
        <v>-488822.42699999997</v>
      </c>
      <c r="AH5" s="1207"/>
    </row>
    <row r="6" spans="1:36" x14ac:dyDescent="0.2">
      <c r="A6" s="1218">
        <v>100000</v>
      </c>
      <c r="B6" s="1207" t="s">
        <v>690</v>
      </c>
      <c r="C6" s="1219">
        <f t="shared" ref="C6:AF6" si="1">C70</f>
        <v>-429503.41600000003</v>
      </c>
      <c r="D6" s="1219">
        <f t="shared" si="1"/>
        <v>-429503.41600000003</v>
      </c>
      <c r="E6" s="1219">
        <f t="shared" si="1"/>
        <v>-429503.41600000003</v>
      </c>
      <c r="F6" s="1219">
        <f t="shared" si="1"/>
        <v>-429503.41600000003</v>
      </c>
      <c r="G6" s="1219">
        <f t="shared" si="1"/>
        <v>-429503.41600000003</v>
      </c>
      <c r="H6" s="1219">
        <f t="shared" si="1"/>
        <v>-429503.41600000003</v>
      </c>
      <c r="I6" s="1219">
        <f t="shared" si="1"/>
        <v>-429503.41600000003</v>
      </c>
      <c r="J6" s="1220">
        <f t="shared" si="1"/>
        <v>-429503.41600000003</v>
      </c>
      <c r="K6" s="1220">
        <f t="shared" si="1"/>
        <v>-429503.41600000003</v>
      </c>
      <c r="L6" s="1219">
        <f t="shared" si="1"/>
        <v>-429503.41600000003</v>
      </c>
      <c r="M6" s="1219">
        <f t="shared" si="1"/>
        <v>-429503.77400000003</v>
      </c>
      <c r="N6" s="1219">
        <f t="shared" si="1"/>
        <v>-429503.77400000003</v>
      </c>
      <c r="O6" s="1219">
        <f t="shared" si="1"/>
        <v>-429503.77400000003</v>
      </c>
      <c r="P6" s="1221">
        <f t="shared" si="1"/>
        <v>-429503.77400000003</v>
      </c>
      <c r="Q6" s="1219">
        <f t="shared" si="1"/>
        <v>-429503.77400000003</v>
      </c>
      <c r="R6" s="1219">
        <f t="shared" si="1"/>
        <v>-429503.77400000003</v>
      </c>
      <c r="S6" s="1219">
        <f t="shared" si="1"/>
        <v>-429503.77400000003</v>
      </c>
      <c r="T6" s="1219">
        <f t="shared" si="1"/>
        <v>-429503.77400000003</v>
      </c>
      <c r="U6" s="1219">
        <f t="shared" si="1"/>
        <v>-429503.77400000003</v>
      </c>
      <c r="V6" s="1219">
        <f t="shared" si="1"/>
        <v>-429503.77400000003</v>
      </c>
      <c r="W6" s="1219">
        <f t="shared" si="1"/>
        <v>-429503.77400000003</v>
      </c>
      <c r="X6" s="1219">
        <f t="shared" si="1"/>
        <v>-429503.77400000003</v>
      </c>
      <c r="Y6" s="1219">
        <f t="shared" si="1"/>
        <v>-429503.77400000003</v>
      </c>
      <c r="Z6" s="1219">
        <f t="shared" si="1"/>
        <v>-429503.77400000003</v>
      </c>
      <c r="AA6" s="1219">
        <f t="shared" si="1"/>
        <v>-429503.77400000003</v>
      </c>
      <c r="AB6" s="1219">
        <f t="shared" si="1"/>
        <v>-429503.77400000003</v>
      </c>
      <c r="AC6" s="1219">
        <f t="shared" si="1"/>
        <v>-429503.77400000003</v>
      </c>
      <c r="AD6" s="1219">
        <f t="shared" si="1"/>
        <v>-429503.77400000003</v>
      </c>
      <c r="AE6" s="1219">
        <f t="shared" si="1"/>
        <v>-429503.77400000003</v>
      </c>
      <c r="AF6" s="1219">
        <f t="shared" si="1"/>
        <v>-429503.77400000003</v>
      </c>
      <c r="AG6" s="1219">
        <f>AG70</f>
        <v>-430095.40600000002</v>
      </c>
      <c r="AH6" s="1207"/>
    </row>
    <row r="7" spans="1:36" x14ac:dyDescent="0.2">
      <c r="A7" s="1218">
        <v>25000</v>
      </c>
      <c r="B7" s="1207" t="s">
        <v>666</v>
      </c>
      <c r="C7" s="1219">
        <f t="shared" ref="C7:AG7" si="2">C184</f>
        <v>-23631.26</v>
      </c>
      <c r="D7" s="1219">
        <f t="shared" si="2"/>
        <v>-23631.26</v>
      </c>
      <c r="E7" s="1219">
        <f t="shared" si="2"/>
        <v>-23631.26</v>
      </c>
      <c r="F7" s="1219">
        <f t="shared" si="2"/>
        <v>-23631.26</v>
      </c>
      <c r="G7" s="1219">
        <f t="shared" si="2"/>
        <v>-23631.26</v>
      </c>
      <c r="H7" s="1219">
        <f t="shared" si="2"/>
        <v>-23631.26</v>
      </c>
      <c r="I7" s="1219">
        <f t="shared" si="2"/>
        <v>-23631.26</v>
      </c>
      <c r="J7" s="1220">
        <f t="shared" si="2"/>
        <v>-23631.26</v>
      </c>
      <c r="K7" s="1220">
        <f t="shared" si="2"/>
        <v>-23631.26</v>
      </c>
      <c r="L7" s="1219">
        <f t="shared" si="2"/>
        <v>-23631.26</v>
      </c>
      <c r="M7" s="1219">
        <f t="shared" si="2"/>
        <v>-23631.26</v>
      </c>
      <c r="N7" s="1219">
        <f t="shared" si="2"/>
        <v>-23631.26</v>
      </c>
      <c r="O7" s="1219">
        <f t="shared" si="2"/>
        <v>-23631.26</v>
      </c>
      <c r="P7" s="1221">
        <f t="shared" si="2"/>
        <v>-23631.26</v>
      </c>
      <c r="Q7" s="1219">
        <f t="shared" si="2"/>
        <v>-23631.26</v>
      </c>
      <c r="R7" s="1219">
        <f t="shared" si="2"/>
        <v>-23631.26</v>
      </c>
      <c r="S7" s="1222">
        <f t="shared" si="2"/>
        <v>-23631.26</v>
      </c>
      <c r="T7" s="1219">
        <f t="shared" si="2"/>
        <v>-23631.26</v>
      </c>
      <c r="U7" s="1219">
        <f t="shared" si="2"/>
        <v>-23631.26</v>
      </c>
      <c r="V7" s="1219">
        <f t="shared" si="2"/>
        <v>-23631.26</v>
      </c>
      <c r="W7" s="1219">
        <f t="shared" si="2"/>
        <v>-23631.26</v>
      </c>
      <c r="X7" s="1219">
        <f t="shared" si="2"/>
        <v>-23631.26</v>
      </c>
      <c r="Y7" s="1219">
        <f t="shared" si="2"/>
        <v>-23631.26</v>
      </c>
      <c r="Z7" s="1219">
        <f t="shared" si="2"/>
        <v>-23631.26</v>
      </c>
      <c r="AA7" s="1219">
        <f t="shared" si="2"/>
        <v>-23631.26</v>
      </c>
      <c r="AB7" s="1219">
        <f t="shared" si="2"/>
        <v>-23631.26</v>
      </c>
      <c r="AC7" s="1219">
        <f t="shared" si="2"/>
        <v>-23631.605</v>
      </c>
      <c r="AD7" s="1219">
        <f t="shared" si="2"/>
        <v>-23631.605</v>
      </c>
      <c r="AE7" s="1219">
        <f t="shared" si="2"/>
        <v>-23631.605</v>
      </c>
      <c r="AF7" s="1219">
        <f t="shared" si="2"/>
        <v>-23631.605</v>
      </c>
      <c r="AG7" s="1219">
        <f t="shared" si="2"/>
        <v>-23631.605</v>
      </c>
      <c r="AH7" s="1207"/>
    </row>
    <row r="8" spans="1:36" x14ac:dyDescent="0.2">
      <c r="A8" s="1218">
        <v>25000</v>
      </c>
      <c r="B8" s="1207" t="s">
        <v>667</v>
      </c>
      <c r="C8" s="1219">
        <f t="shared" ref="C8:AG8" si="3">C247</f>
        <v>-15359.785</v>
      </c>
      <c r="D8" s="1219">
        <f t="shared" si="3"/>
        <v>-15359.785</v>
      </c>
      <c r="E8" s="1219">
        <f t="shared" si="3"/>
        <v>-15359.785</v>
      </c>
      <c r="F8" s="1219">
        <f t="shared" si="3"/>
        <v>-15359.785</v>
      </c>
      <c r="G8" s="1219">
        <f t="shared" si="3"/>
        <v>-15359.785</v>
      </c>
      <c r="H8" s="1219">
        <f t="shared" si="3"/>
        <v>-15359.785</v>
      </c>
      <c r="I8" s="1222">
        <f t="shared" si="3"/>
        <v>-15359.785</v>
      </c>
      <c r="J8" s="1220">
        <f t="shared" si="3"/>
        <v>-15359.785</v>
      </c>
      <c r="K8" s="1220">
        <f t="shared" si="3"/>
        <v>-15359.785</v>
      </c>
      <c r="L8" s="1219">
        <f t="shared" si="3"/>
        <v>-15359.785</v>
      </c>
      <c r="M8" s="1219">
        <f t="shared" si="3"/>
        <v>-15359.785</v>
      </c>
      <c r="N8" s="1219">
        <f t="shared" si="3"/>
        <v>-15359.785</v>
      </c>
      <c r="O8" s="1219">
        <f t="shared" si="3"/>
        <v>-15359.785</v>
      </c>
      <c r="P8" s="1221">
        <f t="shared" si="3"/>
        <v>-15359.785</v>
      </c>
      <c r="Q8" s="1219">
        <f t="shared" si="3"/>
        <v>-15359.785</v>
      </c>
      <c r="R8" s="1219">
        <f t="shared" si="3"/>
        <v>-15359.785</v>
      </c>
      <c r="S8" s="1219">
        <f t="shared" si="3"/>
        <v>-15359.785</v>
      </c>
      <c r="T8" s="1219">
        <f t="shared" si="3"/>
        <v>-15359.785</v>
      </c>
      <c r="U8" s="1219">
        <f t="shared" si="3"/>
        <v>-15359.785</v>
      </c>
      <c r="V8" s="1219">
        <f t="shared" si="3"/>
        <v>-15359.785</v>
      </c>
      <c r="W8" s="1219">
        <f t="shared" si="3"/>
        <v>-15359.785</v>
      </c>
      <c r="X8" s="1219">
        <f t="shared" si="3"/>
        <v>-15359.785</v>
      </c>
      <c r="Y8" s="1219">
        <f t="shared" si="3"/>
        <v>-15359.785</v>
      </c>
      <c r="Z8" s="1219">
        <f t="shared" si="3"/>
        <v>-15359.785</v>
      </c>
      <c r="AA8" s="1219">
        <f t="shared" si="3"/>
        <v>-15359.785</v>
      </c>
      <c r="AB8" s="1219">
        <f t="shared" si="3"/>
        <v>-15359.785</v>
      </c>
      <c r="AC8" s="1219">
        <f t="shared" si="3"/>
        <v>-15359.785</v>
      </c>
      <c r="AD8" s="1219">
        <f t="shared" si="3"/>
        <v>-15359.785</v>
      </c>
      <c r="AE8" s="1219">
        <f t="shared" si="3"/>
        <v>-15359.785</v>
      </c>
      <c r="AF8" s="1219">
        <f t="shared" si="3"/>
        <v>-15359.785</v>
      </c>
      <c r="AG8" s="1219">
        <f t="shared" si="3"/>
        <v>-15359.785</v>
      </c>
      <c r="AH8" s="1207"/>
      <c r="AJ8" s="1223"/>
    </row>
    <row r="9" spans="1:36" x14ac:dyDescent="0.2">
      <c r="A9" s="1218">
        <v>20000</v>
      </c>
      <c r="B9" s="1207" t="s">
        <v>691</v>
      </c>
      <c r="C9" s="1219">
        <f t="shared" ref="C9:AG9" si="4">C311</f>
        <v>-19735.631000000001</v>
      </c>
      <c r="D9" s="1219">
        <f t="shared" si="4"/>
        <v>-19735.631000000001</v>
      </c>
      <c r="E9" s="1219">
        <f t="shared" si="4"/>
        <v>-19735.631000000001</v>
      </c>
      <c r="F9" s="1219">
        <f t="shared" si="4"/>
        <v>-19735.631000000001</v>
      </c>
      <c r="G9" s="1222">
        <f t="shared" si="4"/>
        <v>-19735.631000000001</v>
      </c>
      <c r="H9" s="1219">
        <f t="shared" si="4"/>
        <v>-19735.631000000001</v>
      </c>
      <c r="I9" s="1219">
        <f t="shared" si="4"/>
        <v>-19735.631000000001</v>
      </c>
      <c r="J9" s="1220">
        <f t="shared" si="4"/>
        <v>-19735.631000000001</v>
      </c>
      <c r="K9" s="1220">
        <f t="shared" si="4"/>
        <v>-19735.631000000001</v>
      </c>
      <c r="L9" s="1219">
        <f t="shared" si="4"/>
        <v>-19735.631000000001</v>
      </c>
      <c r="M9" s="1219">
        <f t="shared" si="4"/>
        <v>-19735.631000000001</v>
      </c>
      <c r="N9" s="1219">
        <f t="shared" si="4"/>
        <v>-19735.631000000001</v>
      </c>
      <c r="O9" s="1219">
        <f t="shared" si="4"/>
        <v>-19735.631000000001</v>
      </c>
      <c r="P9" s="1221">
        <f t="shared" si="4"/>
        <v>-19735.631000000001</v>
      </c>
      <c r="Q9" s="1219">
        <f t="shared" si="4"/>
        <v>-19735.631000000001</v>
      </c>
      <c r="R9" s="1219">
        <f t="shared" si="4"/>
        <v>-19735.631000000001</v>
      </c>
      <c r="S9" s="1219">
        <f t="shared" si="4"/>
        <v>-19735.631000000001</v>
      </c>
      <c r="T9" s="1219">
        <f t="shared" si="4"/>
        <v>-19735.631000000001</v>
      </c>
      <c r="U9" s="1219">
        <f t="shared" si="4"/>
        <v>-19735.631000000001</v>
      </c>
      <c r="V9" s="1219">
        <f t="shared" si="4"/>
        <v>-19735.631000000001</v>
      </c>
      <c r="W9" s="1219">
        <f t="shared" si="4"/>
        <v>-19735.631000000001</v>
      </c>
      <c r="X9" s="1219">
        <f t="shared" si="4"/>
        <v>-19735.631000000001</v>
      </c>
      <c r="Y9" s="1219">
        <f t="shared" si="4"/>
        <v>-19735.631000000001</v>
      </c>
      <c r="Z9" s="1219">
        <f t="shared" si="4"/>
        <v>-19735.631000000001</v>
      </c>
      <c r="AA9" s="1219">
        <f t="shared" si="4"/>
        <v>-19735.631000000001</v>
      </c>
      <c r="AB9" s="1219">
        <f t="shared" si="4"/>
        <v>-19735.631000000001</v>
      </c>
      <c r="AC9" s="1219">
        <f t="shared" si="4"/>
        <v>-19735.631000000001</v>
      </c>
      <c r="AD9" s="1219">
        <f t="shared" si="4"/>
        <v>-19735.631000000001</v>
      </c>
      <c r="AE9" s="1219">
        <f t="shared" si="4"/>
        <v>-19735.631000000001</v>
      </c>
      <c r="AF9" s="1219">
        <f t="shared" si="4"/>
        <v>-19735.631000000001</v>
      </c>
      <c r="AG9" s="1219">
        <f t="shared" si="4"/>
        <v>-19735.631000000001</v>
      </c>
      <c r="AH9" s="1207"/>
    </row>
    <row r="10" spans="1:36" x14ac:dyDescent="0.2">
      <c r="A10" s="1213" t="s">
        <v>692</v>
      </c>
      <c r="B10" s="1214" t="s">
        <v>132</v>
      </c>
      <c r="C10" s="1224">
        <f t="shared" ref="C10:AG10" si="5">C11+C12+C13</f>
        <v>0</v>
      </c>
      <c r="D10" s="1224">
        <f t="shared" si="5"/>
        <v>0</v>
      </c>
      <c r="E10" s="1224">
        <f t="shared" si="5"/>
        <v>0</v>
      </c>
      <c r="F10" s="1224">
        <f t="shared" si="5"/>
        <v>1579.4369999999999</v>
      </c>
      <c r="G10" s="1224">
        <f t="shared" si="5"/>
        <v>5538.6869999999999</v>
      </c>
      <c r="H10" s="1224">
        <f t="shared" si="5"/>
        <v>0</v>
      </c>
      <c r="I10" s="1224">
        <f t="shared" si="5"/>
        <v>0</v>
      </c>
      <c r="J10" s="1225">
        <f t="shared" si="5"/>
        <v>5611.4269999999997</v>
      </c>
      <c r="K10" s="1225">
        <f t="shared" si="5"/>
        <v>466.2</v>
      </c>
      <c r="L10" s="1224">
        <f t="shared" si="5"/>
        <v>12661.971000000001</v>
      </c>
      <c r="M10" s="1224">
        <f t="shared" si="5"/>
        <v>2863.15</v>
      </c>
      <c r="N10" s="1224">
        <f t="shared" si="5"/>
        <v>2286.442</v>
      </c>
      <c r="O10" s="1224">
        <f t="shared" si="5"/>
        <v>3700.8620000000001</v>
      </c>
      <c r="P10" s="1226">
        <f t="shared" si="5"/>
        <v>4546.4539999999997</v>
      </c>
      <c r="Q10" s="1224">
        <f t="shared" si="5"/>
        <v>22086.967999999997</v>
      </c>
      <c r="R10" s="1224">
        <f t="shared" si="5"/>
        <v>2248.0720000000001</v>
      </c>
      <c r="S10" s="1224">
        <f t="shared" si="5"/>
        <v>1313.019</v>
      </c>
      <c r="T10" s="1224">
        <f t="shared" si="5"/>
        <v>13854.303</v>
      </c>
      <c r="U10" s="1224">
        <f t="shared" si="5"/>
        <v>0</v>
      </c>
      <c r="V10" s="1224">
        <f t="shared" si="5"/>
        <v>18414.638999999999</v>
      </c>
      <c r="W10" s="1224">
        <f t="shared" si="5"/>
        <v>0</v>
      </c>
      <c r="X10" s="1224">
        <f t="shared" si="5"/>
        <v>1550</v>
      </c>
      <c r="Y10" s="1224">
        <f t="shared" si="5"/>
        <v>5834.2249999999995</v>
      </c>
      <c r="Z10" s="1224">
        <f t="shared" si="5"/>
        <v>0</v>
      </c>
      <c r="AA10" s="1224">
        <f t="shared" si="5"/>
        <v>15766.669</v>
      </c>
      <c r="AB10" s="1224">
        <f t="shared" si="5"/>
        <v>2129.7290000000003</v>
      </c>
      <c r="AC10" s="1224">
        <f t="shared" si="5"/>
        <v>6937.6579999999994</v>
      </c>
      <c r="AD10" s="1224">
        <f t="shared" si="5"/>
        <v>5181.3760000000002</v>
      </c>
      <c r="AE10" s="1224">
        <f t="shared" si="5"/>
        <v>4994.2719999999999</v>
      </c>
      <c r="AF10" s="1224">
        <f t="shared" si="5"/>
        <v>15308.832999999999</v>
      </c>
      <c r="AG10" s="1224">
        <f t="shared" si="5"/>
        <v>30769.765000000003</v>
      </c>
      <c r="AH10" s="1227">
        <f>SUM(C10:AG10)</f>
        <v>185644.158</v>
      </c>
    </row>
    <row r="11" spans="1:36" x14ac:dyDescent="0.2">
      <c r="A11" s="1213"/>
      <c r="B11" s="1207" t="s">
        <v>666</v>
      </c>
      <c r="C11" s="1227">
        <f t="shared" ref="C11:AG11" si="6">C171</f>
        <v>0</v>
      </c>
      <c r="D11" s="1227">
        <f t="shared" si="6"/>
        <v>0</v>
      </c>
      <c r="E11" s="1227">
        <f t="shared" si="6"/>
        <v>0</v>
      </c>
      <c r="F11" s="1227">
        <f t="shared" si="6"/>
        <v>0</v>
      </c>
      <c r="G11" s="1227">
        <f t="shared" si="6"/>
        <v>0</v>
      </c>
      <c r="H11" s="1227">
        <f t="shared" si="6"/>
        <v>0</v>
      </c>
      <c r="I11" s="1227">
        <f t="shared" si="6"/>
        <v>0</v>
      </c>
      <c r="J11" s="1228">
        <f t="shared" si="6"/>
        <v>0</v>
      </c>
      <c r="K11" s="1228">
        <f t="shared" si="6"/>
        <v>0</v>
      </c>
      <c r="L11" s="1227">
        <f t="shared" si="6"/>
        <v>1229.4570000000001</v>
      </c>
      <c r="M11" s="1227">
        <f t="shared" si="6"/>
        <v>0</v>
      </c>
      <c r="N11" s="1227">
        <f t="shared" si="6"/>
        <v>0</v>
      </c>
      <c r="O11" s="1227">
        <f t="shared" si="6"/>
        <v>0</v>
      </c>
      <c r="P11" s="1229">
        <f t="shared" si="6"/>
        <v>0</v>
      </c>
      <c r="Q11" s="1227">
        <f t="shared" si="6"/>
        <v>845.03899999999999</v>
      </c>
      <c r="R11" s="1227">
        <f t="shared" si="6"/>
        <v>0</v>
      </c>
      <c r="S11" s="1227">
        <f t="shared" si="6"/>
        <v>0</v>
      </c>
      <c r="T11" s="1227">
        <f t="shared" si="6"/>
        <v>999.30899999999997</v>
      </c>
      <c r="U11" s="1227">
        <f t="shared" si="6"/>
        <v>0</v>
      </c>
      <c r="V11" s="1227">
        <f t="shared" si="6"/>
        <v>4688</v>
      </c>
      <c r="W11" s="1227">
        <f t="shared" si="6"/>
        <v>0</v>
      </c>
      <c r="X11" s="1227">
        <f t="shared" si="6"/>
        <v>0</v>
      </c>
      <c r="Y11" s="1227">
        <f t="shared" si="6"/>
        <v>0</v>
      </c>
      <c r="Z11" s="1227">
        <f t="shared" si="6"/>
        <v>0</v>
      </c>
      <c r="AA11" s="1227">
        <f t="shared" si="6"/>
        <v>3531.58</v>
      </c>
      <c r="AB11" s="1227">
        <f t="shared" si="6"/>
        <v>816.702</v>
      </c>
      <c r="AC11" s="1227">
        <f t="shared" si="6"/>
        <v>1000</v>
      </c>
      <c r="AD11" s="1227">
        <f t="shared" si="6"/>
        <v>0</v>
      </c>
      <c r="AE11" s="1227">
        <f t="shared" si="6"/>
        <v>0</v>
      </c>
      <c r="AF11" s="1227">
        <f t="shared" si="6"/>
        <v>3640.2980000000002</v>
      </c>
      <c r="AG11" s="1227">
        <f t="shared" si="6"/>
        <v>848.40300000000002</v>
      </c>
      <c r="AH11" s="1207"/>
    </row>
    <row r="12" spans="1:36" x14ac:dyDescent="0.2">
      <c r="A12" s="1213"/>
      <c r="B12" s="1207" t="s">
        <v>667</v>
      </c>
      <c r="C12" s="1227">
        <f t="shared" ref="C12:AG12" si="7">C234</f>
        <v>0</v>
      </c>
      <c r="D12" s="1227">
        <f t="shared" si="7"/>
        <v>0</v>
      </c>
      <c r="E12" s="1227">
        <f t="shared" si="7"/>
        <v>0</v>
      </c>
      <c r="F12" s="1227">
        <f t="shared" si="7"/>
        <v>0</v>
      </c>
      <c r="G12" s="1227">
        <f t="shared" si="7"/>
        <v>0</v>
      </c>
      <c r="H12" s="1227">
        <f t="shared" si="7"/>
        <v>0</v>
      </c>
      <c r="I12" s="1227">
        <f t="shared" si="7"/>
        <v>0</v>
      </c>
      <c r="J12" s="1228">
        <f t="shared" si="7"/>
        <v>0</v>
      </c>
      <c r="K12" s="1228">
        <f t="shared" si="7"/>
        <v>0</v>
      </c>
      <c r="L12" s="1227">
        <f t="shared" si="7"/>
        <v>3706.279</v>
      </c>
      <c r="M12" s="1227">
        <f t="shared" si="7"/>
        <v>0</v>
      </c>
      <c r="N12" s="1227">
        <f t="shared" si="7"/>
        <v>0</v>
      </c>
      <c r="O12" s="1227">
        <f t="shared" si="7"/>
        <v>1000</v>
      </c>
      <c r="P12" s="1229">
        <f t="shared" si="7"/>
        <v>0</v>
      </c>
      <c r="Q12" s="1227">
        <f t="shared" si="7"/>
        <v>3411.1400000000003</v>
      </c>
      <c r="R12" s="1227">
        <f t="shared" si="7"/>
        <v>0</v>
      </c>
      <c r="S12" s="1227">
        <f t="shared" si="7"/>
        <v>0</v>
      </c>
      <c r="T12" s="1227">
        <f t="shared" si="7"/>
        <v>8071.74</v>
      </c>
      <c r="U12" s="1227">
        <f t="shared" si="7"/>
        <v>0</v>
      </c>
      <c r="V12" s="1227">
        <f t="shared" si="7"/>
        <v>7752.99</v>
      </c>
      <c r="W12" s="1227">
        <f t="shared" si="7"/>
        <v>0</v>
      </c>
      <c r="X12" s="1227">
        <f t="shared" si="7"/>
        <v>0</v>
      </c>
      <c r="Y12" s="1227">
        <f t="shared" si="7"/>
        <v>1044.46</v>
      </c>
      <c r="Z12" s="1227">
        <f t="shared" si="7"/>
        <v>0</v>
      </c>
      <c r="AA12" s="1227">
        <f t="shared" si="7"/>
        <v>2429.703</v>
      </c>
      <c r="AB12" s="1227">
        <f t="shared" si="7"/>
        <v>0</v>
      </c>
      <c r="AC12" s="1227">
        <f t="shared" si="7"/>
        <v>1550</v>
      </c>
      <c r="AD12" s="1227">
        <f t="shared" si="7"/>
        <v>0</v>
      </c>
      <c r="AE12" s="1227">
        <f t="shared" si="7"/>
        <v>1550</v>
      </c>
      <c r="AF12" s="1227">
        <f t="shared" si="7"/>
        <v>3273.2869999999998</v>
      </c>
      <c r="AG12" s="1227">
        <f t="shared" si="7"/>
        <v>3250.1309999999999</v>
      </c>
      <c r="AH12" s="1207"/>
    </row>
    <row r="13" spans="1:36" x14ac:dyDescent="0.2">
      <c r="A13" s="1213"/>
      <c r="B13" s="1207" t="s">
        <v>691</v>
      </c>
      <c r="C13" s="1227">
        <f t="shared" ref="C13:AG13" si="8">C298</f>
        <v>0</v>
      </c>
      <c r="D13" s="1227">
        <f t="shared" si="8"/>
        <v>0</v>
      </c>
      <c r="E13" s="1227">
        <f t="shared" si="8"/>
        <v>0</v>
      </c>
      <c r="F13" s="1227">
        <f t="shared" si="8"/>
        <v>1579.4369999999999</v>
      </c>
      <c r="G13" s="1227">
        <f t="shared" si="8"/>
        <v>5538.6869999999999</v>
      </c>
      <c r="H13" s="1227">
        <f t="shared" si="8"/>
        <v>0</v>
      </c>
      <c r="I13" s="1227">
        <f t="shared" si="8"/>
        <v>0</v>
      </c>
      <c r="J13" s="1228">
        <f t="shared" si="8"/>
        <v>5611.4269999999997</v>
      </c>
      <c r="K13" s="1228">
        <f t="shared" si="8"/>
        <v>466.2</v>
      </c>
      <c r="L13" s="1227">
        <f t="shared" si="8"/>
        <v>7726.2350000000006</v>
      </c>
      <c r="M13" s="1227">
        <f t="shared" si="8"/>
        <v>2863.15</v>
      </c>
      <c r="N13" s="1227">
        <f t="shared" si="8"/>
        <v>2286.442</v>
      </c>
      <c r="O13" s="1227">
        <f t="shared" si="8"/>
        <v>2700.8620000000001</v>
      </c>
      <c r="P13" s="1229">
        <f t="shared" si="8"/>
        <v>4546.4539999999997</v>
      </c>
      <c r="Q13" s="1227">
        <f t="shared" si="8"/>
        <v>17830.788999999997</v>
      </c>
      <c r="R13" s="1227">
        <f t="shared" si="8"/>
        <v>2248.0720000000001</v>
      </c>
      <c r="S13" s="1227">
        <f t="shared" si="8"/>
        <v>1313.019</v>
      </c>
      <c r="T13" s="1227">
        <f t="shared" si="8"/>
        <v>4783.2539999999999</v>
      </c>
      <c r="U13" s="1227">
        <f t="shared" si="8"/>
        <v>0</v>
      </c>
      <c r="V13" s="1227">
        <f t="shared" si="8"/>
        <v>5973.6489999999994</v>
      </c>
      <c r="W13" s="1227">
        <f t="shared" si="8"/>
        <v>0</v>
      </c>
      <c r="X13" s="1227">
        <f t="shared" si="8"/>
        <v>1550</v>
      </c>
      <c r="Y13" s="1227">
        <f t="shared" si="8"/>
        <v>4789.7649999999994</v>
      </c>
      <c r="Z13" s="1227">
        <f t="shared" si="8"/>
        <v>0</v>
      </c>
      <c r="AA13" s="1227">
        <f t="shared" si="8"/>
        <v>9805.3860000000004</v>
      </c>
      <c r="AB13" s="1227">
        <f t="shared" si="8"/>
        <v>1313.027</v>
      </c>
      <c r="AC13" s="1227">
        <f t="shared" si="8"/>
        <v>4387.6579999999994</v>
      </c>
      <c r="AD13" s="1227">
        <f t="shared" si="8"/>
        <v>5181.3760000000002</v>
      </c>
      <c r="AE13" s="1227">
        <f t="shared" si="8"/>
        <v>3444.2719999999999</v>
      </c>
      <c r="AF13" s="1227">
        <f t="shared" si="8"/>
        <v>8395.2479999999996</v>
      </c>
      <c r="AG13" s="1227">
        <f t="shared" si="8"/>
        <v>26671.231000000003</v>
      </c>
      <c r="AH13" s="1207"/>
    </row>
    <row r="14" spans="1:36" x14ac:dyDescent="0.2">
      <c r="A14" s="1207"/>
      <c r="B14" s="1207"/>
      <c r="C14" s="1207"/>
      <c r="D14" s="1207"/>
      <c r="E14" s="1207"/>
      <c r="F14" s="1207"/>
      <c r="G14" s="1207"/>
      <c r="H14" s="1207"/>
      <c r="I14" s="1207"/>
      <c r="J14" s="1230"/>
      <c r="K14" s="1230"/>
      <c r="L14" s="1207"/>
      <c r="M14" s="1207"/>
      <c r="N14" s="1216"/>
      <c r="O14" s="1207"/>
      <c r="P14" s="1208"/>
      <c r="Q14" s="1207"/>
      <c r="R14" s="1207"/>
      <c r="S14" s="1207"/>
      <c r="T14" s="1207"/>
      <c r="U14" s="1216"/>
      <c r="V14" s="1207"/>
      <c r="W14" s="1207"/>
      <c r="X14" s="1207"/>
      <c r="Y14" s="1207"/>
      <c r="Z14" s="1207"/>
      <c r="AA14" s="1216"/>
      <c r="AB14" s="1207"/>
      <c r="AC14" s="1207"/>
      <c r="AD14" s="1207"/>
      <c r="AE14" s="1207"/>
      <c r="AF14" s="1207"/>
      <c r="AG14" s="1216"/>
      <c r="AH14" s="1231">
        <f>AG5+AH10</f>
        <v>-303178.26899999997</v>
      </c>
    </row>
    <row r="15" spans="1:36" ht="13.5" thickBot="1" x14ac:dyDescent="0.25">
      <c r="A15" s="1207"/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8"/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7"/>
      <c r="AF15" s="1207"/>
      <c r="AG15" s="1207"/>
      <c r="AH15" s="1232"/>
      <c r="AI15" s="1223"/>
    </row>
    <row r="16" spans="1:36" x14ac:dyDescent="0.2">
      <c r="A16" s="1233"/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5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2"/>
      <c r="AI16" s="1223"/>
    </row>
    <row r="17" spans="1:35" x14ac:dyDescent="0.2">
      <c r="A17" s="1236"/>
      <c r="B17" s="1237" t="s">
        <v>37</v>
      </c>
      <c r="C17" s="1237"/>
      <c r="D17" s="1237"/>
      <c r="E17" s="1238" t="s">
        <v>910</v>
      </c>
      <c r="F17" s="1239" t="s">
        <v>140</v>
      </c>
      <c r="G17" s="1239"/>
      <c r="H17" s="1211" t="s">
        <v>6</v>
      </c>
      <c r="I17" s="1239"/>
      <c r="J17" s="1239"/>
      <c r="K17" s="1239"/>
      <c r="L17" s="1239"/>
      <c r="M17" s="1239"/>
      <c r="N17" s="1239"/>
      <c r="O17" s="1239"/>
      <c r="P17" s="1240"/>
      <c r="Q17" s="1239"/>
      <c r="R17" s="1239"/>
      <c r="S17" s="1239"/>
      <c r="T17" s="1239"/>
      <c r="U17" s="1239"/>
      <c r="V17" s="1239"/>
      <c r="W17" s="1239"/>
      <c r="X17" s="1239"/>
      <c r="Y17" s="1239"/>
      <c r="AA17" s="1239"/>
      <c r="AB17" s="1239"/>
      <c r="AC17" s="1239"/>
      <c r="AD17" s="1239"/>
      <c r="AE17" s="1239"/>
      <c r="AF17" s="1239"/>
      <c r="AG17" s="1239"/>
      <c r="AH17" s="1232"/>
      <c r="AI17" s="1223"/>
    </row>
    <row r="18" spans="1:35" x14ac:dyDescent="0.2">
      <c r="A18" s="1236"/>
      <c r="B18" s="1237"/>
      <c r="C18" s="1237"/>
      <c r="D18" s="1239"/>
      <c r="E18" s="1237"/>
      <c r="F18" s="1237"/>
      <c r="G18" s="1237"/>
      <c r="H18" s="1237"/>
      <c r="I18" s="1237"/>
      <c r="J18" s="1237"/>
      <c r="K18" s="1237"/>
      <c r="L18" s="1237"/>
      <c r="M18" s="1237"/>
      <c r="N18" s="1237"/>
      <c r="O18" s="1237"/>
      <c r="P18" s="1241"/>
      <c r="Q18" s="1237"/>
      <c r="R18" s="1237"/>
      <c r="S18" s="1237"/>
      <c r="T18" s="1237"/>
      <c r="U18" s="1237"/>
      <c r="V18" s="1237"/>
      <c r="W18" s="1237"/>
      <c r="X18" s="1237"/>
      <c r="Y18" s="1237"/>
      <c r="Z18" s="1237"/>
      <c r="AA18" s="1237"/>
      <c r="AB18" s="1237"/>
      <c r="AC18" s="1237"/>
      <c r="AD18" s="1237"/>
      <c r="AE18" s="1237"/>
      <c r="AF18" s="1237"/>
      <c r="AG18" s="1237"/>
      <c r="AH18" s="1229"/>
    </row>
    <row r="19" spans="1:35" x14ac:dyDescent="0.2">
      <c r="A19" s="1242"/>
      <c r="B19" s="1239"/>
      <c r="C19" s="1239"/>
      <c r="D19" s="1238">
        <v>42429</v>
      </c>
      <c r="E19" s="1237"/>
      <c r="F19" s="1237"/>
      <c r="G19" s="1237"/>
      <c r="H19" s="1237"/>
      <c r="I19" s="1237"/>
      <c r="J19" s="1237"/>
      <c r="K19" s="1237"/>
      <c r="L19" s="1237"/>
      <c r="M19" s="1237"/>
      <c r="N19" s="1237"/>
      <c r="O19" s="1237"/>
      <c r="P19" s="1241"/>
      <c r="Q19" s="1237"/>
      <c r="R19" s="1237"/>
      <c r="S19" s="1237"/>
      <c r="T19" s="1237"/>
      <c r="U19" s="1237"/>
      <c r="V19" s="1237"/>
      <c r="W19" s="1237"/>
      <c r="X19" s="1237"/>
      <c r="Y19" s="1237"/>
      <c r="Z19" s="1237"/>
      <c r="AA19" s="1237"/>
      <c r="AB19" s="1237"/>
      <c r="AC19" s="1237"/>
      <c r="AD19" s="1237"/>
      <c r="AE19" s="1237"/>
      <c r="AF19" s="1237"/>
      <c r="AG19" s="1237"/>
      <c r="AH19" s="1207"/>
    </row>
    <row r="20" spans="1:35" x14ac:dyDescent="0.2">
      <c r="A20" s="1242"/>
      <c r="B20" s="1237"/>
      <c r="C20" s="1237"/>
      <c r="D20" s="1239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41"/>
      <c r="Q20" s="1237"/>
      <c r="R20" s="1237"/>
      <c r="S20" s="1237"/>
      <c r="T20" s="1237"/>
      <c r="U20" s="1237"/>
      <c r="V20" s="1237"/>
      <c r="W20" s="1237"/>
      <c r="X20" s="1237"/>
      <c r="Y20" s="1237"/>
      <c r="Z20" s="1237"/>
      <c r="AA20" s="1237"/>
      <c r="AB20" s="1237"/>
      <c r="AC20" s="1237"/>
      <c r="AD20" s="1237"/>
      <c r="AE20" s="1237"/>
      <c r="AF20" s="1237"/>
      <c r="AG20" s="1237"/>
      <c r="AH20" s="1207"/>
    </row>
    <row r="21" spans="1:35" ht="13.5" thickBot="1" x14ac:dyDescent="0.25">
      <c r="A21" s="1236"/>
      <c r="B21" s="1237"/>
      <c r="C21" s="1237"/>
      <c r="D21" s="1237"/>
      <c r="E21" s="1237"/>
      <c r="F21" s="1237"/>
      <c r="G21" s="1237"/>
      <c r="H21" s="1237"/>
      <c r="I21" s="1237"/>
      <c r="J21" s="1237"/>
      <c r="K21" s="1237"/>
      <c r="L21" s="1237"/>
      <c r="M21" s="1237"/>
      <c r="N21" s="1237"/>
      <c r="O21" s="1237"/>
      <c r="P21" s="1241"/>
      <c r="Q21" s="1237"/>
      <c r="R21" s="1237"/>
      <c r="S21" s="1237"/>
      <c r="T21" s="1237"/>
      <c r="U21" s="1237"/>
      <c r="V21" s="1237"/>
      <c r="W21" s="1237"/>
      <c r="X21" s="1237"/>
      <c r="Y21" s="1237"/>
      <c r="Z21" s="1237"/>
      <c r="AA21" s="1237"/>
      <c r="AB21" s="1237"/>
      <c r="AC21" s="1237"/>
      <c r="AD21" s="1237"/>
      <c r="AE21" s="1237"/>
      <c r="AF21" s="1237"/>
      <c r="AG21" s="1237"/>
      <c r="AH21" s="1207"/>
    </row>
    <row r="22" spans="1:35" ht="13.5" thickBot="1" x14ac:dyDescent="0.25">
      <c r="A22" s="1236"/>
      <c r="B22" s="1237"/>
      <c r="C22" s="1243"/>
      <c r="D22" s="1244" t="s">
        <v>16</v>
      </c>
      <c r="E22" s="1244"/>
      <c r="F22" s="1244"/>
      <c r="G22" s="1244"/>
      <c r="H22" s="1244"/>
      <c r="I22" s="1244"/>
      <c r="J22" s="1244"/>
      <c r="K22" s="1244"/>
      <c r="L22" s="1244"/>
      <c r="M22" s="1244"/>
      <c r="N22" s="1244"/>
      <c r="O22" s="1244"/>
      <c r="P22" s="1245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244"/>
      <c r="AE22" s="1244"/>
      <c r="AF22" s="1244"/>
      <c r="AG22" s="1244"/>
      <c r="AH22" s="1207"/>
    </row>
    <row r="23" spans="1:35" ht="13.5" thickBot="1" x14ac:dyDescent="0.25">
      <c r="A23" s="1236"/>
      <c r="B23" s="1237"/>
      <c r="C23" s="1246" t="s">
        <v>452</v>
      </c>
      <c r="D23" s="1246" t="s">
        <v>453</v>
      </c>
      <c r="E23" s="1246" t="s">
        <v>434</v>
      </c>
      <c r="F23" s="1246" t="s">
        <v>390</v>
      </c>
      <c r="G23" s="1246" t="s">
        <v>454</v>
      </c>
      <c r="H23" s="1246" t="s">
        <v>455</v>
      </c>
      <c r="I23" s="1246" t="s">
        <v>456</v>
      </c>
      <c r="J23" s="1246" t="s">
        <v>457</v>
      </c>
      <c r="K23" s="1246" t="s">
        <v>458</v>
      </c>
      <c r="L23" s="1246" t="s">
        <v>216</v>
      </c>
      <c r="M23" s="1246" t="s">
        <v>459</v>
      </c>
      <c r="N23" s="1246" t="s">
        <v>297</v>
      </c>
      <c r="O23" s="1246" t="s">
        <v>211</v>
      </c>
      <c r="P23" s="1247" t="s">
        <v>270</v>
      </c>
      <c r="Q23" s="1246" t="s">
        <v>490</v>
      </c>
      <c r="R23" s="1246" t="s">
        <v>460</v>
      </c>
      <c r="S23" s="1246" t="s">
        <v>461</v>
      </c>
      <c r="T23" s="1246" t="s">
        <v>442</v>
      </c>
      <c r="U23" s="1246" t="s">
        <v>462</v>
      </c>
      <c r="V23" s="1246" t="s">
        <v>470</v>
      </c>
      <c r="W23" s="1246" t="s">
        <v>471</v>
      </c>
      <c r="X23" s="1246" t="s">
        <v>472</v>
      </c>
      <c r="Y23" s="1246" t="s">
        <v>463</v>
      </c>
      <c r="Z23" s="1246" t="s">
        <v>465</v>
      </c>
      <c r="AA23" s="1246" t="s">
        <v>466</v>
      </c>
      <c r="AB23" s="1246" t="s">
        <v>435</v>
      </c>
      <c r="AC23" s="1246" t="s">
        <v>467</v>
      </c>
      <c r="AD23" s="1246" t="s">
        <v>464</v>
      </c>
      <c r="AE23" s="1246" t="s">
        <v>429</v>
      </c>
      <c r="AF23" s="1246" t="s">
        <v>149</v>
      </c>
      <c r="AG23" s="1246" t="s">
        <v>210</v>
      </c>
      <c r="AH23" s="1207"/>
    </row>
    <row r="24" spans="1:35" x14ac:dyDescent="0.2">
      <c r="A24" s="1233"/>
      <c r="B24" s="1248"/>
      <c r="C24" s="1237"/>
      <c r="D24" s="1237"/>
      <c r="E24" s="1237"/>
      <c r="F24" s="1237"/>
      <c r="G24" s="1237"/>
      <c r="H24" s="1237"/>
      <c r="I24" s="1237"/>
      <c r="J24" s="1237"/>
      <c r="K24" s="1237"/>
      <c r="L24" s="1237"/>
      <c r="M24" s="1237"/>
      <c r="N24" s="1237"/>
      <c r="O24" s="1237"/>
      <c r="P24" s="1241"/>
      <c r="Q24" s="1237"/>
      <c r="R24" s="1237"/>
      <c r="S24" s="1237"/>
      <c r="T24" s="1237"/>
      <c r="U24" s="1237"/>
      <c r="V24" s="1237"/>
      <c r="W24" s="1237"/>
      <c r="X24" s="1237"/>
      <c r="Y24" s="1237"/>
      <c r="Z24" s="1237"/>
      <c r="AA24" s="1237"/>
      <c r="AB24" s="1237"/>
      <c r="AC24" s="1237"/>
      <c r="AD24" s="1237"/>
      <c r="AE24" s="1237"/>
      <c r="AF24" s="1237"/>
      <c r="AG24" s="1237"/>
      <c r="AH24" s="1207"/>
    </row>
    <row r="25" spans="1:35" x14ac:dyDescent="0.2">
      <c r="A25" s="1236" t="s">
        <v>0</v>
      </c>
      <c r="B25" s="1249">
        <v>-429503.41600000003</v>
      </c>
      <c r="C25" s="1237"/>
      <c r="D25" s="1237"/>
      <c r="E25" s="1237"/>
      <c r="F25" s="1237"/>
      <c r="G25" s="1237"/>
      <c r="H25" s="1237"/>
      <c r="I25" s="1237"/>
      <c r="J25" s="1237"/>
      <c r="K25" s="1237"/>
      <c r="L25" s="1237"/>
      <c r="M25" s="1237"/>
      <c r="N25" s="1237"/>
      <c r="O25" s="1237"/>
      <c r="P25" s="1241"/>
      <c r="Q25" s="1237"/>
      <c r="R25" s="1237"/>
      <c r="S25" s="1237"/>
      <c r="T25" s="1237"/>
      <c r="U25" s="1237"/>
      <c r="V25" s="1237"/>
      <c r="W25" s="1237"/>
      <c r="X25" s="1237"/>
      <c r="Y25" s="1237"/>
      <c r="Z25" s="1237"/>
      <c r="AA25" s="1237"/>
      <c r="AB25" s="1237"/>
      <c r="AC25" s="1237"/>
      <c r="AD25" s="1237"/>
      <c r="AE25" s="1237"/>
      <c r="AF25" s="1237"/>
      <c r="AG25" s="1237"/>
      <c r="AH25" s="1207"/>
    </row>
    <row r="26" spans="1:35" ht="13.5" thickBot="1" x14ac:dyDescent="0.25">
      <c r="A26" s="1250"/>
      <c r="B26" s="1251"/>
      <c r="C26" s="1237"/>
      <c r="D26" s="1237"/>
      <c r="E26" s="1237"/>
      <c r="F26" s="1237"/>
      <c r="G26" s="1252"/>
      <c r="H26" s="1237"/>
      <c r="I26" s="1237"/>
      <c r="J26" s="1237"/>
      <c r="K26" s="1237"/>
      <c r="L26" s="1237"/>
      <c r="M26" s="1237"/>
      <c r="N26" s="1237"/>
      <c r="O26" s="1237"/>
      <c r="P26" s="1241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7"/>
      <c r="AD26" s="1237"/>
      <c r="AE26" s="1237"/>
      <c r="AF26" s="1237"/>
      <c r="AG26" s="1237"/>
      <c r="AH26" s="1207"/>
    </row>
    <row r="27" spans="1:35" x14ac:dyDescent="0.2">
      <c r="A27" s="1233"/>
      <c r="B27" s="1253"/>
      <c r="C27" s="1237"/>
      <c r="D27" s="1237"/>
      <c r="E27" s="1237"/>
      <c r="F27" s="1237"/>
      <c r="G27" s="1237"/>
      <c r="H27" s="1237"/>
      <c r="I27" s="1237"/>
      <c r="J27" s="1237"/>
      <c r="K27" s="1237"/>
      <c r="L27" s="1237"/>
      <c r="M27" s="1237"/>
      <c r="N27" s="1237"/>
      <c r="O27" s="1237"/>
      <c r="P27" s="1241"/>
      <c r="Q27" s="1237"/>
      <c r="R27" s="1237"/>
      <c r="S27" s="1237"/>
      <c r="T27" s="1237"/>
      <c r="U27" s="1237"/>
      <c r="V27" s="1237"/>
      <c r="W27" s="1237"/>
      <c r="X27" s="1237"/>
      <c r="Y27" s="1237"/>
      <c r="Z27" s="1237"/>
      <c r="AA27" s="1237"/>
      <c r="AB27" s="1237"/>
      <c r="AC27" s="1237"/>
      <c r="AD27" s="1237"/>
      <c r="AE27" s="1237"/>
      <c r="AF27" s="1237"/>
      <c r="AG27" s="1237"/>
      <c r="AH27" s="1207"/>
    </row>
    <row r="28" spans="1:35" x14ac:dyDescent="0.2">
      <c r="A28" s="1236" t="s">
        <v>1</v>
      </c>
      <c r="B28" s="1249">
        <f>B29+B30+B31</f>
        <v>0</v>
      </c>
      <c r="C28" s="1237"/>
      <c r="D28" s="1237"/>
      <c r="E28" s="1237"/>
      <c r="F28" s="1237"/>
      <c r="G28" s="1237"/>
      <c r="H28" s="1237"/>
      <c r="I28" s="1237"/>
      <c r="J28" s="1237"/>
      <c r="K28" s="1237"/>
      <c r="L28" s="1237"/>
      <c r="M28" s="1237"/>
      <c r="N28" s="1237"/>
      <c r="O28" s="1237"/>
      <c r="P28" s="1241"/>
      <c r="Q28" s="1237"/>
      <c r="R28" s="1237"/>
      <c r="S28" s="1237"/>
      <c r="T28" s="1237"/>
      <c r="U28" s="1237"/>
      <c r="V28" s="1237"/>
      <c r="W28" s="1237"/>
      <c r="X28" s="1237"/>
      <c r="Y28" s="1237"/>
      <c r="Z28" s="1237"/>
      <c r="AA28" s="1237"/>
      <c r="AB28" s="1237"/>
      <c r="AC28" s="1237"/>
      <c r="AD28" s="1237"/>
      <c r="AE28" s="1237"/>
      <c r="AF28" s="1237"/>
      <c r="AG28" s="1237"/>
      <c r="AH28" s="1207"/>
    </row>
    <row r="29" spans="1:35" x14ac:dyDescent="0.2">
      <c r="A29" s="1236" t="s">
        <v>38</v>
      </c>
      <c r="B29" s="1249">
        <f>C82</f>
        <v>0</v>
      </c>
      <c r="C29" s="1237"/>
      <c r="D29" s="1237"/>
      <c r="E29" s="1237"/>
      <c r="F29" s="1237"/>
      <c r="G29" s="1237"/>
      <c r="H29" s="1237"/>
      <c r="I29" s="1237"/>
      <c r="J29" s="1237"/>
      <c r="K29" s="1237"/>
      <c r="L29" s="1237"/>
      <c r="M29" s="1237"/>
      <c r="N29" s="1237"/>
      <c r="O29" s="1237"/>
      <c r="P29" s="1241"/>
      <c r="Q29" s="1237"/>
      <c r="R29" s="1237"/>
      <c r="S29" s="1237"/>
      <c r="T29" s="1237"/>
      <c r="U29" s="1237"/>
      <c r="V29" s="1237"/>
      <c r="W29" s="1237"/>
      <c r="X29" s="1237"/>
      <c r="Y29" s="1237"/>
      <c r="Z29" s="1237"/>
      <c r="AA29" s="1237"/>
      <c r="AB29" s="1237"/>
      <c r="AC29" s="1237"/>
      <c r="AD29" s="1237"/>
      <c r="AE29" s="1237"/>
      <c r="AF29" s="1237"/>
      <c r="AG29" s="1237"/>
      <c r="AH29" s="1207"/>
    </row>
    <row r="30" spans="1:35" x14ac:dyDescent="0.2">
      <c r="A30" s="1236" t="s">
        <v>39</v>
      </c>
      <c r="B30" s="1249"/>
      <c r="C30" s="1237"/>
      <c r="D30" s="1237"/>
      <c r="E30" s="1237"/>
      <c r="F30" s="1237"/>
      <c r="G30" s="1237"/>
      <c r="H30" s="1237"/>
      <c r="I30" s="1237"/>
      <c r="J30" s="1237"/>
      <c r="K30" s="1237"/>
      <c r="L30" s="1237"/>
      <c r="M30" s="1237"/>
      <c r="N30" s="1237"/>
      <c r="O30" s="1237"/>
      <c r="P30" s="1241"/>
      <c r="Q30" s="1237"/>
      <c r="R30" s="1237"/>
      <c r="S30" s="1237"/>
      <c r="T30" s="1237"/>
      <c r="U30" s="1237"/>
      <c r="V30" s="1237"/>
      <c r="W30" s="1237"/>
      <c r="X30" s="1237"/>
      <c r="Y30" s="1237"/>
      <c r="Z30" s="1237"/>
      <c r="AA30" s="1237"/>
      <c r="AB30" s="1237"/>
      <c r="AC30" s="1237"/>
      <c r="AD30" s="1237"/>
      <c r="AE30" s="1237"/>
      <c r="AF30" s="1237"/>
      <c r="AG30" s="1237"/>
      <c r="AH30" s="1207"/>
    </row>
    <row r="31" spans="1:35" x14ac:dyDescent="0.2">
      <c r="A31" s="1236" t="s">
        <v>3</v>
      </c>
      <c r="B31" s="1249"/>
      <c r="C31" s="1237"/>
      <c r="D31" s="1237"/>
      <c r="E31" s="1237"/>
      <c r="F31" s="1237"/>
      <c r="G31" s="1237"/>
      <c r="H31" s="1237"/>
      <c r="I31" s="1237"/>
      <c r="J31" s="1237"/>
      <c r="K31" s="1237"/>
      <c r="L31" s="1237"/>
      <c r="M31" s="1237"/>
      <c r="N31" s="1237"/>
      <c r="O31" s="1237"/>
      <c r="P31" s="1241"/>
      <c r="Q31" s="1237"/>
      <c r="R31" s="1237"/>
      <c r="S31" s="1237"/>
      <c r="T31" s="1237"/>
      <c r="U31" s="1237"/>
      <c r="V31" s="1237"/>
      <c r="W31" s="1237"/>
      <c r="X31" s="1237"/>
      <c r="Y31" s="1237"/>
      <c r="Z31" s="1237"/>
      <c r="AA31" s="1237"/>
      <c r="AB31" s="1237"/>
      <c r="AC31" s="1237"/>
      <c r="AD31" s="1237"/>
      <c r="AE31" s="1237"/>
      <c r="AF31" s="1237"/>
      <c r="AG31" s="1237"/>
      <c r="AH31" s="1207"/>
    </row>
    <row r="32" spans="1:35" ht="13.5" thickBot="1" x14ac:dyDescent="0.25">
      <c r="A32" s="1250"/>
      <c r="B32" s="1251"/>
      <c r="C32" s="1237"/>
      <c r="D32" s="1237"/>
      <c r="E32" s="1237"/>
      <c r="F32" s="1237"/>
      <c r="G32" s="1237"/>
      <c r="H32" s="1237"/>
      <c r="I32" s="1237"/>
      <c r="J32" s="1237"/>
      <c r="K32" s="1237"/>
      <c r="L32" s="1237"/>
      <c r="M32" s="1237"/>
      <c r="N32" s="1237"/>
      <c r="O32" s="1237"/>
      <c r="P32" s="1241"/>
      <c r="Q32" s="1237"/>
      <c r="R32" s="1237"/>
      <c r="S32" s="1237"/>
      <c r="T32" s="1237"/>
      <c r="U32" s="1237"/>
      <c r="V32" s="1237"/>
      <c r="W32" s="1237"/>
      <c r="X32" s="1237"/>
      <c r="Y32" s="1237"/>
      <c r="Z32" s="1237"/>
      <c r="AA32" s="1237"/>
      <c r="AB32" s="1237"/>
      <c r="AC32" s="1237"/>
      <c r="AD32" s="1237"/>
      <c r="AE32" s="1237"/>
      <c r="AF32" s="1237"/>
      <c r="AG32" s="1237"/>
      <c r="AH32" s="1207"/>
    </row>
    <row r="33" spans="1:40" ht="18" x14ac:dyDescent="0.25">
      <c r="A33" s="1233"/>
      <c r="B33" s="1253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  <c r="M33" s="1237"/>
      <c r="N33" s="1237"/>
      <c r="O33" s="1254"/>
      <c r="P33" s="1241"/>
      <c r="Q33" s="1237"/>
      <c r="R33" s="1237"/>
      <c r="S33" s="1237"/>
      <c r="T33" s="1237"/>
      <c r="U33" s="1237"/>
      <c r="V33" s="1237"/>
      <c r="W33" s="1237"/>
      <c r="X33" s="1237"/>
      <c r="Y33" s="1237"/>
      <c r="Z33" s="1237"/>
      <c r="AA33" s="1237"/>
      <c r="AB33" s="1237"/>
      <c r="AC33" s="1237"/>
      <c r="AD33" s="1237"/>
      <c r="AE33" s="1237"/>
      <c r="AF33" s="1237"/>
      <c r="AG33" s="1237"/>
      <c r="AH33" s="1207"/>
    </row>
    <row r="34" spans="1:40" ht="18" x14ac:dyDescent="0.25">
      <c r="A34" s="1236" t="s">
        <v>4</v>
      </c>
      <c r="B34" s="1249">
        <f>B25+B28</f>
        <v>-429503.41600000003</v>
      </c>
      <c r="C34" s="1237"/>
      <c r="D34" s="1237"/>
      <c r="E34" s="1237"/>
      <c r="F34" s="1237"/>
      <c r="G34" s="1237"/>
      <c r="H34" s="1237"/>
      <c r="I34" s="1237"/>
      <c r="J34" s="1237"/>
      <c r="K34" s="1237"/>
      <c r="L34" s="1237"/>
      <c r="M34" s="1237"/>
      <c r="N34" s="1237"/>
      <c r="O34" s="1254"/>
      <c r="P34" s="1241"/>
      <c r="Q34" s="1237"/>
      <c r="R34" s="1237"/>
      <c r="S34" s="1237"/>
      <c r="T34" s="1237"/>
      <c r="U34" s="1237"/>
      <c r="V34" s="1237"/>
      <c r="W34" s="1237"/>
      <c r="X34" s="1237"/>
      <c r="Y34" s="1237"/>
      <c r="Z34" s="1237"/>
      <c r="AA34" s="1237"/>
      <c r="AB34" s="1237"/>
      <c r="AC34" s="1237"/>
      <c r="AD34" s="1237"/>
      <c r="AE34" s="1237"/>
      <c r="AF34" s="1237"/>
      <c r="AG34" s="1237"/>
      <c r="AH34" s="1207"/>
    </row>
    <row r="35" spans="1:40" ht="18.75" thickBot="1" x14ac:dyDescent="0.3">
      <c r="A35" s="1250"/>
      <c r="B35" s="1251"/>
      <c r="C35" s="1237"/>
      <c r="D35" s="1237"/>
      <c r="E35" s="1237"/>
      <c r="F35" s="1237"/>
      <c r="G35" s="1237"/>
      <c r="H35" s="1237"/>
      <c r="I35" s="1237"/>
      <c r="K35" s="1237"/>
      <c r="L35" s="1237"/>
      <c r="M35" s="1237"/>
      <c r="N35" s="1237"/>
      <c r="O35" s="1254"/>
      <c r="P35" s="1241"/>
      <c r="Q35" s="1237"/>
      <c r="R35" s="1237"/>
      <c r="S35" s="1237"/>
      <c r="T35" s="1237"/>
      <c r="U35" s="1237"/>
      <c r="V35" s="1237"/>
      <c r="W35" s="1237"/>
      <c r="X35" s="1237"/>
      <c r="Y35" s="1237"/>
      <c r="Z35" s="1237"/>
      <c r="AA35" s="1237"/>
      <c r="AB35" s="1237"/>
      <c r="AC35" s="1237"/>
      <c r="AD35" s="1237"/>
      <c r="AE35" s="1237"/>
      <c r="AF35" s="1237"/>
      <c r="AG35" s="1237"/>
      <c r="AH35" s="1207"/>
    </row>
    <row r="36" spans="1:40" x14ac:dyDescent="0.2">
      <c r="A36" s="1233"/>
      <c r="B36" s="1253"/>
      <c r="C36" s="1237"/>
      <c r="D36" s="1237"/>
      <c r="E36" s="1237"/>
      <c r="F36" s="1237"/>
      <c r="G36" s="1237"/>
      <c r="H36" s="1237"/>
      <c r="I36" s="1237"/>
      <c r="J36" s="1237"/>
      <c r="K36" s="1237"/>
      <c r="L36" s="1237"/>
      <c r="M36" s="1237"/>
      <c r="N36" s="1237"/>
      <c r="O36" s="1237"/>
      <c r="P36" s="1241"/>
      <c r="Q36" s="1237"/>
      <c r="R36" s="1237"/>
      <c r="S36" s="1237"/>
      <c r="T36" s="1237"/>
      <c r="U36" s="1237"/>
      <c r="V36" s="1237"/>
      <c r="W36" s="1237"/>
      <c r="X36" s="1237"/>
      <c r="Y36" s="1237"/>
      <c r="Z36" s="1237"/>
      <c r="AA36" s="1237"/>
      <c r="AB36" s="1237"/>
      <c r="AC36" s="1237"/>
      <c r="AD36" s="1237"/>
      <c r="AE36" s="1237"/>
      <c r="AF36" s="1237"/>
      <c r="AG36" s="1237"/>
      <c r="AH36" s="1207"/>
    </row>
    <row r="37" spans="1:40" ht="18" x14ac:dyDescent="0.25">
      <c r="A37" s="1236" t="s">
        <v>913</v>
      </c>
      <c r="B37" s="1249"/>
      <c r="C37" s="1237"/>
      <c r="D37" s="1237"/>
      <c r="E37" s="1237"/>
      <c r="F37" s="1237"/>
      <c r="G37" s="1237"/>
      <c r="H37" s="1237"/>
      <c r="I37" s="1237"/>
      <c r="J37" s="1237"/>
      <c r="K37" s="1237"/>
      <c r="L37" s="1237"/>
      <c r="M37" s="1237"/>
      <c r="N37" s="1237"/>
      <c r="O37" s="1237"/>
      <c r="P37" s="1212"/>
      <c r="Q37" s="1211"/>
      <c r="R37" s="1237"/>
      <c r="S37" s="1255"/>
      <c r="T37" s="1237"/>
      <c r="U37" s="1237"/>
      <c r="V37" s="1237"/>
      <c r="W37" s="1237"/>
      <c r="X37" s="1237"/>
      <c r="Y37" s="1237"/>
      <c r="Z37" s="1237"/>
      <c r="AA37" s="1237"/>
      <c r="AB37" s="1237"/>
      <c r="AC37" s="1748"/>
      <c r="AD37" s="1748"/>
      <c r="AE37" s="1237"/>
      <c r="AF37" s="1237"/>
      <c r="AG37" s="1237"/>
      <c r="AH37" s="1207"/>
    </row>
    <row r="38" spans="1:40" ht="13.5" thickBot="1" x14ac:dyDescent="0.25">
      <c r="A38" s="1250"/>
      <c r="B38" s="1251"/>
      <c r="C38" s="1237"/>
      <c r="D38" s="1237"/>
      <c r="E38" s="1211"/>
      <c r="F38" s="1237"/>
      <c r="G38" s="1237"/>
      <c r="H38" s="1211"/>
      <c r="I38" s="1237"/>
      <c r="J38" s="1237"/>
      <c r="K38" s="1241"/>
      <c r="L38" s="1237"/>
      <c r="M38" s="1237"/>
      <c r="N38" s="1237"/>
      <c r="O38" s="1237"/>
      <c r="P38" s="1241"/>
      <c r="Q38" s="1237"/>
      <c r="R38" s="1237"/>
      <c r="S38" s="1237"/>
      <c r="T38" s="1237"/>
      <c r="U38" s="1237"/>
      <c r="V38" s="1237"/>
      <c r="W38" s="1237"/>
      <c r="X38" s="1237"/>
      <c r="Y38" s="1237"/>
      <c r="Z38" s="1237"/>
      <c r="AA38" s="1237"/>
      <c r="AB38" s="1237"/>
      <c r="AC38" s="1237"/>
      <c r="AD38" s="1237"/>
      <c r="AE38" s="1237"/>
      <c r="AF38" s="1237"/>
      <c r="AG38" s="1237"/>
      <c r="AH38" s="1207"/>
    </row>
    <row r="39" spans="1:40" x14ac:dyDescent="0.2">
      <c r="A39" s="1233"/>
      <c r="B39" s="1253"/>
      <c r="C39" s="1256"/>
      <c r="D39" s="1448" t="s">
        <v>1281</v>
      </c>
      <c r="E39" s="1257"/>
      <c r="F39" s="1257"/>
      <c r="G39" s="1257"/>
      <c r="H39" s="1257"/>
      <c r="I39" s="1237"/>
      <c r="J39" s="1237"/>
      <c r="K39" s="1237"/>
      <c r="L39" s="1237"/>
      <c r="M39" s="1237"/>
      <c r="N39" s="1237"/>
      <c r="O39" s="1258"/>
      <c r="P39" s="1212"/>
      <c r="Q39" s="1212"/>
      <c r="R39" s="1237"/>
      <c r="S39" s="1211"/>
      <c r="T39" s="1237"/>
      <c r="U39" s="1259"/>
      <c r="V39" s="1259"/>
      <c r="W39" s="1259"/>
      <c r="X39" s="1259"/>
      <c r="Y39" s="1260"/>
      <c r="Z39" s="1259"/>
      <c r="AA39" s="1261"/>
      <c r="AB39" s="1259"/>
      <c r="AC39" s="1260"/>
      <c r="AD39" s="1259"/>
      <c r="AE39" s="1267"/>
      <c r="AF39" s="1259"/>
      <c r="AG39" s="1259"/>
      <c r="AH39" s="1207"/>
    </row>
    <row r="40" spans="1:40" x14ac:dyDescent="0.2">
      <c r="A40" s="1236" t="s">
        <v>5</v>
      </c>
      <c r="B40" s="1249">
        <f>B34-B37</f>
        <v>-429503.41600000003</v>
      </c>
      <c r="C40" s="1256"/>
      <c r="D40" s="1211"/>
      <c r="E40" s="1256"/>
      <c r="F40" s="1211" t="s">
        <v>956</v>
      </c>
      <c r="G40" s="1211"/>
      <c r="H40" s="1211"/>
      <c r="I40" s="1211"/>
      <c r="J40" s="1211" t="s">
        <v>1273</v>
      </c>
      <c r="K40" s="1211"/>
      <c r="L40" s="1211" t="s">
        <v>1274</v>
      </c>
      <c r="M40" s="1212" t="s">
        <v>166</v>
      </c>
      <c r="N40" s="1212"/>
      <c r="O40" s="1211"/>
      <c r="P40" s="1212"/>
      <c r="Q40" s="1212" t="s">
        <v>69</v>
      </c>
      <c r="R40" s="1211" t="s">
        <v>1293</v>
      </c>
      <c r="S40" s="1212"/>
      <c r="T40" s="1212"/>
      <c r="U40" s="1212"/>
      <c r="V40" s="1211"/>
      <c r="W40" s="1212"/>
      <c r="X40" s="1211"/>
      <c r="Y40" s="1212"/>
      <c r="Z40" s="1212"/>
      <c r="AA40" s="1264" t="s">
        <v>603</v>
      </c>
      <c r="AB40" s="1212"/>
      <c r="AC40" s="1265"/>
      <c r="AD40" s="1266"/>
      <c r="AE40" s="1267"/>
      <c r="AF40" s="1268" t="s">
        <v>1286</v>
      </c>
      <c r="AG40" s="1267" t="s">
        <v>1287</v>
      </c>
      <c r="AH40" s="1207"/>
    </row>
    <row r="41" spans="1:40" ht="13.5" thickBot="1" x14ac:dyDescent="0.25">
      <c r="A41" s="1250"/>
      <c r="B41" s="1251"/>
      <c r="C41" s="1237"/>
      <c r="D41" s="1237"/>
      <c r="E41" s="1237"/>
      <c r="F41" s="1237"/>
      <c r="G41" s="1237"/>
      <c r="H41" s="1237"/>
      <c r="I41" s="1237"/>
      <c r="J41" s="1237"/>
      <c r="K41" s="1237"/>
      <c r="L41" s="1211"/>
      <c r="M41" s="1237"/>
      <c r="N41" s="1237"/>
      <c r="O41" s="1237"/>
      <c r="P41" s="1241"/>
      <c r="Q41" s="1237"/>
      <c r="R41" s="1237"/>
      <c r="S41" s="1237"/>
      <c r="T41" s="1237"/>
      <c r="U41" s="1237"/>
      <c r="V41" s="1237"/>
      <c r="W41" s="1237"/>
      <c r="X41" s="1237"/>
      <c r="Y41" s="1237"/>
      <c r="Z41" s="1237"/>
      <c r="AA41" s="1237"/>
      <c r="AB41" s="1237"/>
      <c r="AC41" s="1237"/>
      <c r="AD41" s="1237"/>
      <c r="AE41" s="1237"/>
      <c r="AF41" s="1237"/>
      <c r="AG41" s="1237"/>
      <c r="AH41" s="1207"/>
    </row>
    <row r="42" spans="1:40" x14ac:dyDescent="0.2">
      <c r="A42" s="1269"/>
      <c r="B42" s="1237"/>
      <c r="C42" s="1270"/>
      <c r="D42" s="1271"/>
      <c r="E42" s="1272"/>
      <c r="F42" s="1271"/>
      <c r="G42" s="1271"/>
      <c r="H42" s="1271"/>
      <c r="I42" s="1271"/>
      <c r="J42" s="1271"/>
      <c r="K42" s="1271"/>
      <c r="L42" s="1271"/>
      <c r="M42" s="1271"/>
      <c r="N42" s="1271"/>
      <c r="O42" s="1271"/>
      <c r="P42" s="1273"/>
      <c r="Q42" s="1271"/>
      <c r="R42" s="1271"/>
      <c r="S42" s="1271"/>
      <c r="T42" s="1271"/>
      <c r="U42" s="1271"/>
      <c r="V42" s="1271"/>
      <c r="W42" s="1271"/>
      <c r="X42" s="1271"/>
      <c r="Y42" s="1271"/>
      <c r="Z42" s="1271"/>
      <c r="AA42" s="1271"/>
      <c r="AB42" s="1271"/>
      <c r="AC42" s="1271"/>
      <c r="AD42" s="1271"/>
      <c r="AE42" s="1271"/>
      <c r="AF42" s="1271"/>
      <c r="AG42" s="1271"/>
      <c r="AH42" s="1227">
        <f t="shared" ref="AH42:AH58" si="9">SUM(C42:AG42)</f>
        <v>0</v>
      </c>
    </row>
    <row r="43" spans="1:40" ht="13.5" thickBot="1" x14ac:dyDescent="0.25">
      <c r="A43" s="1274" t="s">
        <v>914</v>
      </c>
      <c r="B43" s="1237"/>
      <c r="C43" s="1275">
        <f t="shared" ref="C43:AG43" si="10">C44+C45+C48+C52+C51+C49+C50+C46+C47</f>
        <v>0</v>
      </c>
      <c r="D43" s="1275">
        <f t="shared" si="10"/>
        <v>0</v>
      </c>
      <c r="E43" s="1275">
        <f t="shared" si="10"/>
        <v>0</v>
      </c>
      <c r="F43" s="1275">
        <f t="shared" si="10"/>
        <v>0</v>
      </c>
      <c r="G43" s="1275">
        <f t="shared" si="10"/>
        <v>0</v>
      </c>
      <c r="H43" s="1275">
        <f t="shared" si="10"/>
        <v>0</v>
      </c>
      <c r="I43" s="1275">
        <f t="shared" si="10"/>
        <v>0</v>
      </c>
      <c r="J43" s="1275">
        <f t="shared" si="10"/>
        <v>0</v>
      </c>
      <c r="K43" s="1275">
        <f t="shared" si="10"/>
        <v>0</v>
      </c>
      <c r="L43" s="1275">
        <f t="shared" si="10"/>
        <v>0</v>
      </c>
      <c r="M43" s="1275">
        <f t="shared" si="10"/>
        <v>0.35800000000745058</v>
      </c>
      <c r="N43" s="1275">
        <f t="shared" si="10"/>
        <v>0</v>
      </c>
      <c r="O43" s="1275">
        <f t="shared" si="10"/>
        <v>0</v>
      </c>
      <c r="P43" s="1276">
        <f t="shared" si="10"/>
        <v>0</v>
      </c>
      <c r="Q43" s="1275">
        <f t="shared" si="10"/>
        <v>0</v>
      </c>
      <c r="R43" s="1275">
        <f t="shared" si="10"/>
        <v>0</v>
      </c>
      <c r="S43" s="1275">
        <f t="shared" si="10"/>
        <v>0</v>
      </c>
      <c r="T43" s="1275">
        <f t="shared" si="10"/>
        <v>0</v>
      </c>
      <c r="U43" s="1275">
        <f t="shared" si="10"/>
        <v>0</v>
      </c>
      <c r="V43" s="1275">
        <f t="shared" si="10"/>
        <v>0</v>
      </c>
      <c r="W43" s="1275">
        <f t="shared" si="10"/>
        <v>0</v>
      </c>
      <c r="X43" s="1275">
        <f t="shared" si="10"/>
        <v>0</v>
      </c>
      <c r="Y43" s="1275">
        <f t="shared" si="10"/>
        <v>0</v>
      </c>
      <c r="Z43" s="1275">
        <f t="shared" si="10"/>
        <v>0</v>
      </c>
      <c r="AA43" s="1275">
        <f t="shared" si="10"/>
        <v>0</v>
      </c>
      <c r="AB43" s="1275">
        <f t="shared" si="10"/>
        <v>0</v>
      </c>
      <c r="AC43" s="1275">
        <f t="shared" si="10"/>
        <v>0</v>
      </c>
      <c r="AD43" s="1275">
        <f t="shared" si="10"/>
        <v>0</v>
      </c>
      <c r="AE43" s="1275">
        <f t="shared" si="10"/>
        <v>0</v>
      </c>
      <c r="AF43" s="1275">
        <f t="shared" si="10"/>
        <v>-1.4551915228366852E-11</v>
      </c>
      <c r="AG43" s="1275">
        <f t="shared" si="10"/>
        <v>591.63199999999779</v>
      </c>
      <c r="AH43" s="1227">
        <f t="shared" si="9"/>
        <v>591.98999999999069</v>
      </c>
    </row>
    <row r="44" spans="1:40" x14ac:dyDescent="0.2">
      <c r="A44" s="1274" t="s">
        <v>8</v>
      </c>
      <c r="B44" s="1237"/>
      <c r="C44" s="1277"/>
      <c r="D44" s="1277"/>
      <c r="E44" s="1277"/>
      <c r="F44" s="1277"/>
      <c r="G44" s="1278">
        <f>20860-20860</f>
        <v>0</v>
      </c>
      <c r="H44" s="1278"/>
      <c r="I44" s="1278"/>
      <c r="J44" s="1279">
        <f>3935.862-3935.862</f>
        <v>0</v>
      </c>
      <c r="K44" s="1279">
        <f>2425.321-971.221-1454.1</f>
        <v>0</v>
      </c>
      <c r="L44" s="1279">
        <f>54165.95-7300-9031.038-11531.623-20790-5513.289</f>
        <v>0</v>
      </c>
      <c r="M44" s="1279"/>
      <c r="N44" s="1279"/>
      <c r="O44" s="1279">
        <f>53150-11880-20400-20870</f>
        <v>0</v>
      </c>
      <c r="P44" s="1279"/>
      <c r="Q44" s="1279">
        <f>32799.501-3194.954-9060-20544.547</f>
        <v>0</v>
      </c>
      <c r="R44" s="1279">
        <f>27950-11950-16000</f>
        <v>0</v>
      </c>
      <c r="S44" s="1279"/>
      <c r="T44" s="1279">
        <f>6721.618-5650-1071.618</f>
        <v>0</v>
      </c>
      <c r="U44" s="1279">
        <f>28067.087-11870-16197.087</f>
        <v>0</v>
      </c>
      <c r="V44" s="1279">
        <f>31355.995-7205.995-6650-8400-9100</f>
        <v>0</v>
      </c>
      <c r="W44" s="1279">
        <f>10121.88-1836.429-8285.451</f>
        <v>0</v>
      </c>
      <c r="X44" s="1279">
        <f>41408.931-11900-20000-9508.931</f>
        <v>0</v>
      </c>
      <c r="Y44" s="1279"/>
      <c r="Z44" s="1279">
        <f>9973.482-1035.9-2220.77-6716.812</f>
        <v>0</v>
      </c>
      <c r="AA44" s="1279">
        <f>69623.163-9030-20100-7700-9600-11860-5000-6333.163</f>
        <v>0</v>
      </c>
      <c r="AB44" s="1279">
        <f>353.298-353.298</f>
        <v>0</v>
      </c>
      <c r="AC44" s="1279">
        <f>402.732-402.732</f>
        <v>0</v>
      </c>
      <c r="AD44" s="1279">
        <f>63093.246-5563.683-11850-20500-7750-8029.563-9400</f>
        <v>0</v>
      </c>
      <c r="AE44" s="1279">
        <f>7673.62-7673.62</f>
        <v>0</v>
      </c>
      <c r="AF44" s="1279"/>
      <c r="AG44" s="1279">
        <f>93487.734-35000-2263.823-5262.693-7900-7725.147-11800-9050-9486.071-5000</f>
        <v>0</v>
      </c>
      <c r="AH44" s="1227">
        <f t="shared" si="9"/>
        <v>0</v>
      </c>
      <c r="AN44" s="1280">
        <v>9918.1650000000009</v>
      </c>
    </row>
    <row r="45" spans="1:40" x14ac:dyDescent="0.2">
      <c r="A45" s="1274" t="s">
        <v>703</v>
      </c>
      <c r="B45" s="1237"/>
      <c r="C45" s="1281">
        <f>885.5+24700+329-24700-885.5-329</f>
        <v>0</v>
      </c>
      <c r="D45" s="1281"/>
      <c r="E45" s="1282">
        <f>987.31-987.31</f>
        <v>0</v>
      </c>
      <c r="F45" s="1282">
        <f>60671.726-5128.161-5000-8290.563-9700-16500-8650-7403.002</f>
        <v>0</v>
      </c>
      <c r="G45" s="1282">
        <f>4212.536-4212.536</f>
        <v>0</v>
      </c>
      <c r="H45" s="1282">
        <f>3232.473-3232.473</f>
        <v>0</v>
      </c>
      <c r="I45" s="1282">
        <f>7422.329-1897.895-5524.434</f>
        <v>0</v>
      </c>
      <c r="J45" s="1282">
        <f>25246.34-17000-8246.34</f>
        <v>0</v>
      </c>
      <c r="K45" s="1282">
        <f>9750-9750</f>
        <v>0</v>
      </c>
      <c r="L45" s="1282">
        <f>3980.638-1111.845-2420.236-448.557</f>
        <v>0</v>
      </c>
      <c r="M45" s="1282">
        <f>24085.895-1859.2-3726.695-18500</f>
        <v>0</v>
      </c>
      <c r="N45" s="1282">
        <f>9743.987-2639.815-7104.172</f>
        <v>0</v>
      </c>
      <c r="O45" s="1282">
        <f>540.385-540.385</f>
        <v>0</v>
      </c>
      <c r="P45" s="1282">
        <f>29638.361-3716.213-9395.627-16526.521</f>
        <v>0</v>
      </c>
      <c r="Q45" s="1282">
        <f>14635.757-219.986-5451.015-4677.937-1260.143-3026.676</f>
        <v>0</v>
      </c>
      <c r="R45" s="1282">
        <f>15171.415-574.83-9584.488-5012.097</f>
        <v>0</v>
      </c>
      <c r="S45" s="1282">
        <f>12560.447-804.278-5056.169-6700</f>
        <v>0</v>
      </c>
      <c r="T45" s="1282">
        <f>50252.76-585.481-1085.557-24000-24581.722</f>
        <v>0</v>
      </c>
      <c r="U45" s="1282">
        <f>11565.375-3560.451-5000-1193.354-1811.57</f>
        <v>0</v>
      </c>
      <c r="V45" s="1282">
        <f>28972.732-2142.088-5779.096-6964.564-7300-6786.984</f>
        <v>0</v>
      </c>
      <c r="W45" s="1282">
        <f>15233.85-600.53-944.5-3307.349-5850-4531.471</f>
        <v>0</v>
      </c>
      <c r="X45" s="1282">
        <f>46099.5-5599.5-7600-8400-24500</f>
        <v>0</v>
      </c>
      <c r="Y45" s="1282">
        <f>4986.26-944.5-4041.76</f>
        <v>0</v>
      </c>
      <c r="Z45" s="1282">
        <f>30156.93-5000-7386.93-9200-8570</f>
        <v>0</v>
      </c>
      <c r="AA45" s="1282">
        <f>23271.469-1028.741-2632.785-4500-5909.943-9200</f>
        <v>0</v>
      </c>
      <c r="AB45" s="1282">
        <f>59014.887-1264.764-4207.84-4450-6300-9250-25000-8542.283</f>
        <v>0</v>
      </c>
      <c r="AC45" s="1282">
        <f>48301.013-8450-20450-1614.598-2120.268-2865.57-6050.577-6750</f>
        <v>0</v>
      </c>
      <c r="AD45" s="1282">
        <f>23969.812-809.755-2409.743-2716.765-5451.89-5886.924-6694.735</f>
        <v>0</v>
      </c>
      <c r="AE45" s="1282">
        <f>41203.832-788.475-1496.578-2818.386-6340.393-9300-20460</f>
        <v>0</v>
      </c>
      <c r="AF45" s="1282">
        <f>102032.625-4576.895-8841.1-3641.129-3939.231-4116.475-4983.099-5338.991-6437.88-6606.51-7694.597-25500-1701.915-9391.399-9263.404</f>
        <v>-1.4551915228366852E-11</v>
      </c>
      <c r="AG45" s="1282">
        <f>61703.682-2574.208-4372.895-4446.085-4627.059-4998.856-5000-6318.742-6669.434-7454.771-8500-6150</f>
        <v>591.63199999999779</v>
      </c>
      <c r="AH45" s="1227">
        <f t="shared" si="9"/>
        <v>591.63199999998324</v>
      </c>
      <c r="AI45" s="1283">
        <f>+AH45+AH44</f>
        <v>591.63199999998324</v>
      </c>
      <c r="AJ45" s="1283"/>
      <c r="AN45" s="1280">
        <v>788.89499999999998</v>
      </c>
    </row>
    <row r="46" spans="1:40" x14ac:dyDescent="0.2">
      <c r="A46" s="1274" t="s">
        <v>704</v>
      </c>
      <c r="B46" s="1237"/>
      <c r="C46" s="1282"/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  <c r="O46" s="1282"/>
      <c r="P46" s="1282"/>
      <c r="Q46" s="1282"/>
      <c r="R46" s="1282"/>
      <c r="S46" s="1282"/>
      <c r="T46" s="1282"/>
      <c r="U46" s="1282"/>
      <c r="V46" s="1282"/>
      <c r="W46" s="1282"/>
      <c r="X46" s="1282"/>
      <c r="Y46" s="1282"/>
      <c r="Z46" s="1282"/>
      <c r="AA46" s="1282"/>
      <c r="AB46" s="1282"/>
      <c r="AC46" s="1282"/>
      <c r="AD46" s="1282"/>
      <c r="AE46" s="1282"/>
      <c r="AF46" s="1282"/>
      <c r="AG46" s="1282"/>
      <c r="AH46" s="1227">
        <f t="shared" si="9"/>
        <v>0</v>
      </c>
      <c r="AN46" s="1280"/>
    </row>
    <row r="47" spans="1:40" x14ac:dyDescent="0.2">
      <c r="A47" s="1274" t="s">
        <v>705</v>
      </c>
      <c r="B47" s="1237"/>
      <c r="C47" s="1284"/>
      <c r="D47" s="1284"/>
      <c r="E47" s="1284"/>
      <c r="F47" s="1284"/>
      <c r="G47" s="1284"/>
      <c r="H47" s="1284"/>
      <c r="I47" s="1284"/>
      <c r="J47" s="1284"/>
      <c r="K47" s="1284"/>
      <c r="L47" s="1284"/>
      <c r="M47" s="1284"/>
      <c r="N47" s="1284"/>
      <c r="O47" s="1284"/>
      <c r="P47" s="1284"/>
      <c r="Q47" s="1284"/>
      <c r="R47" s="1284"/>
      <c r="S47" s="1284"/>
      <c r="T47" s="1284"/>
      <c r="U47" s="1284"/>
      <c r="V47" s="1284">
        <f>24442.09-24442.09</f>
        <v>0</v>
      </c>
      <c r="W47" s="1284"/>
      <c r="X47" s="1284"/>
      <c r="Y47" s="1284"/>
      <c r="Z47" s="1284"/>
      <c r="AA47" s="1284"/>
      <c r="AB47" s="1284"/>
      <c r="AC47" s="1284"/>
      <c r="AD47" s="1284"/>
      <c r="AE47" s="1284"/>
      <c r="AF47" s="1284"/>
      <c r="AG47" s="1284"/>
      <c r="AH47" s="1227">
        <f t="shared" si="9"/>
        <v>0</v>
      </c>
      <c r="AI47" s="1283"/>
      <c r="AJ47" s="1283"/>
      <c r="AN47" s="1280"/>
    </row>
    <row r="48" spans="1:40" s="1289" customFormat="1" x14ac:dyDescent="0.2">
      <c r="A48" s="1285" t="s">
        <v>10</v>
      </c>
      <c r="B48" s="1286"/>
      <c r="C48" s="1287"/>
      <c r="D48" s="1287"/>
      <c r="E48" s="1287"/>
      <c r="F48" s="1287"/>
      <c r="G48" s="1287"/>
      <c r="H48" s="1287"/>
      <c r="I48" s="1287"/>
      <c r="J48" s="1287"/>
      <c r="K48" s="1287"/>
      <c r="L48" s="1287"/>
      <c r="M48" s="1287">
        <v>-254385</v>
      </c>
      <c r="N48" s="1287"/>
      <c r="O48" s="1287"/>
      <c r="P48" s="1287"/>
      <c r="Q48" s="1287"/>
      <c r="R48" s="1287"/>
      <c r="S48" s="1287"/>
      <c r="T48" s="1287"/>
      <c r="U48" s="1287"/>
      <c r="V48" s="1287"/>
      <c r="W48" s="1287"/>
      <c r="X48" s="1287"/>
      <c r="Y48" s="1287"/>
      <c r="Z48" s="1287"/>
      <c r="AA48" s="1287"/>
      <c r="AB48" s="1287"/>
      <c r="AC48" s="1287"/>
      <c r="AD48" s="1287"/>
      <c r="AE48" s="1287"/>
      <c r="AF48" s="1287"/>
      <c r="AG48" s="1287"/>
      <c r="AH48" s="1231">
        <f t="shared" si="9"/>
        <v>-254385</v>
      </c>
      <c r="AI48" s="1288"/>
      <c r="AN48" s="1290">
        <v>6347.85</v>
      </c>
    </row>
    <row r="49" spans="1:40" s="1289" customFormat="1" x14ac:dyDescent="0.2">
      <c r="A49" s="1285" t="s">
        <v>356</v>
      </c>
      <c r="B49" s="1291"/>
      <c r="C49" s="1292"/>
      <c r="D49" s="1292"/>
      <c r="E49" s="1292"/>
      <c r="F49" s="1292"/>
      <c r="G49" s="1292"/>
      <c r="H49" s="1292"/>
      <c r="I49" s="1292"/>
      <c r="J49" s="1292"/>
      <c r="K49" s="1292"/>
      <c r="L49" s="1292"/>
      <c r="M49" s="1292">
        <v>254385.35800000001</v>
      </c>
      <c r="N49" s="1292"/>
      <c r="O49" s="1292"/>
      <c r="P49" s="1292"/>
      <c r="Q49" s="1292"/>
      <c r="R49" s="1292"/>
      <c r="S49" s="1292"/>
      <c r="T49" s="1292"/>
      <c r="U49" s="1292"/>
      <c r="V49" s="1292"/>
      <c r="W49" s="1292"/>
      <c r="X49" s="1292"/>
      <c r="Y49" s="1292"/>
      <c r="Z49" s="1292"/>
      <c r="AA49" s="1292"/>
      <c r="AB49" s="1292"/>
      <c r="AC49" s="1292"/>
      <c r="AD49" s="1292"/>
      <c r="AE49" s="1292"/>
      <c r="AF49" s="1292"/>
      <c r="AG49" s="1292"/>
      <c r="AH49" s="1231">
        <f t="shared" si="9"/>
        <v>254385.35800000001</v>
      </c>
      <c r="AN49" s="1290">
        <v>6249.5020000000004</v>
      </c>
    </row>
    <row r="50" spans="1:40" x14ac:dyDescent="0.2">
      <c r="A50" s="1274" t="s">
        <v>357</v>
      </c>
      <c r="B50" s="1237"/>
      <c r="C50" s="1293"/>
      <c r="D50" s="1293"/>
      <c r="E50" s="1293"/>
      <c r="F50" s="1293"/>
      <c r="G50" s="1293"/>
      <c r="H50" s="1293"/>
      <c r="I50" s="1293"/>
      <c r="J50" s="1293"/>
      <c r="K50" s="1293"/>
      <c r="L50" s="1293"/>
      <c r="M50" s="1293"/>
      <c r="N50" s="1293"/>
      <c r="O50" s="1293"/>
      <c r="P50" s="1293"/>
      <c r="Q50" s="1293"/>
      <c r="R50" s="1293"/>
      <c r="S50" s="1293"/>
      <c r="T50" s="1293"/>
      <c r="U50" s="1293"/>
      <c r="V50" s="1293"/>
      <c r="W50" s="1293"/>
      <c r="X50" s="1293"/>
      <c r="Y50" s="1293"/>
      <c r="Z50" s="1293"/>
      <c r="AA50" s="1293"/>
      <c r="AB50" s="1293"/>
      <c r="AC50" s="1293"/>
      <c r="AD50" s="1293"/>
      <c r="AE50" s="1293"/>
      <c r="AF50" s="1293"/>
      <c r="AG50" s="1293"/>
      <c r="AH50" s="1227">
        <f t="shared" si="9"/>
        <v>0</v>
      </c>
      <c r="AN50" s="1280">
        <v>2246.556</v>
      </c>
    </row>
    <row r="51" spans="1:40" x14ac:dyDescent="0.2">
      <c r="A51" s="1274" t="s">
        <v>41</v>
      </c>
      <c r="B51" s="1237"/>
      <c r="C51" s="1282"/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  <c r="O51" s="1282"/>
      <c r="P51" s="1282"/>
      <c r="Q51" s="1282"/>
      <c r="R51" s="1282"/>
      <c r="S51" s="1282"/>
      <c r="T51" s="1282"/>
      <c r="U51" s="1282"/>
      <c r="V51" s="1282"/>
      <c r="W51" s="1282"/>
      <c r="X51" s="1282"/>
      <c r="Y51" s="1282"/>
      <c r="Z51" s="1282"/>
      <c r="AA51" s="1282"/>
      <c r="AB51" s="1282"/>
      <c r="AC51" s="1282"/>
      <c r="AD51" s="1282"/>
      <c r="AE51" s="1282"/>
      <c r="AF51" s="1282"/>
      <c r="AG51" s="1282"/>
      <c r="AH51" s="1227">
        <f t="shared" si="9"/>
        <v>0</v>
      </c>
      <c r="AN51" s="1280"/>
    </row>
    <row r="52" spans="1:40" x14ac:dyDescent="0.2">
      <c r="A52" s="1274" t="s">
        <v>11</v>
      </c>
      <c r="B52" s="1237"/>
      <c r="C52" s="1293"/>
      <c r="D52" s="1293"/>
      <c r="E52" s="1293"/>
      <c r="F52" s="1293"/>
      <c r="G52" s="1293"/>
      <c r="H52" s="1293"/>
      <c r="I52" s="1293"/>
      <c r="J52" s="1293"/>
      <c r="K52" s="1293"/>
      <c r="L52" s="1293"/>
      <c r="M52" s="1293"/>
      <c r="N52" s="1293"/>
      <c r="O52" s="1293"/>
      <c r="P52" s="1293"/>
      <c r="Q52" s="1293"/>
      <c r="R52" s="1293"/>
      <c r="S52" s="1293"/>
      <c r="T52" s="1293"/>
      <c r="U52" s="1293"/>
      <c r="V52" s="1293"/>
      <c r="W52" s="1293"/>
      <c r="X52" s="1293"/>
      <c r="Y52" s="1293"/>
      <c r="Z52" s="1293"/>
      <c r="AA52" s="1293"/>
      <c r="AB52" s="1293"/>
      <c r="AC52" s="1293"/>
      <c r="AD52" s="1293"/>
      <c r="AE52" s="1293"/>
      <c r="AF52" s="1293"/>
      <c r="AG52" s="1293"/>
      <c r="AH52" s="1227">
        <f t="shared" si="9"/>
        <v>0</v>
      </c>
      <c r="AN52" s="1280">
        <v>4028.1610000000001</v>
      </c>
    </row>
    <row r="53" spans="1:40" ht="13.5" thickBot="1" x14ac:dyDescent="0.25">
      <c r="A53" s="1294"/>
      <c r="B53" s="1237"/>
      <c r="C53" s="1295"/>
      <c r="D53" s="1295"/>
      <c r="E53" s="1295"/>
      <c r="F53" s="1295"/>
      <c r="G53" s="1295"/>
      <c r="H53" s="1295"/>
      <c r="I53" s="1295"/>
      <c r="J53" s="1295"/>
      <c r="K53" s="1295"/>
      <c r="L53" s="1295"/>
      <c r="M53" s="1295"/>
      <c r="N53" s="1295"/>
      <c r="O53" s="1295"/>
      <c r="P53" s="1295"/>
      <c r="Q53" s="1295"/>
      <c r="R53" s="1295"/>
      <c r="S53" s="1295"/>
      <c r="T53" s="1295"/>
      <c r="U53" s="1295"/>
      <c r="V53" s="1295"/>
      <c r="W53" s="1295"/>
      <c r="X53" s="1295"/>
      <c r="Y53" s="1295"/>
      <c r="Z53" s="1295"/>
      <c r="AA53" s="1295"/>
      <c r="AB53" s="1295"/>
      <c r="AC53" s="1295"/>
      <c r="AD53" s="1295"/>
      <c r="AE53" s="1295"/>
      <c r="AF53" s="1295"/>
      <c r="AG53" s="1295"/>
      <c r="AH53" s="1227">
        <f t="shared" si="9"/>
        <v>0</v>
      </c>
      <c r="AI53" s="1283"/>
      <c r="AJ53" s="1289"/>
      <c r="AN53" s="1280">
        <v>5501.3969999999999</v>
      </c>
    </row>
    <row r="54" spans="1:40" x14ac:dyDescent="0.2">
      <c r="A54" s="1269"/>
      <c r="B54" s="1237"/>
      <c r="C54" s="1296"/>
      <c r="D54" s="1297"/>
      <c r="E54" s="1297"/>
      <c r="F54" s="1298"/>
      <c r="G54" s="1298"/>
      <c r="H54" s="1298"/>
      <c r="I54" s="1298"/>
      <c r="J54" s="1298"/>
      <c r="K54" s="1298"/>
      <c r="L54" s="1298"/>
      <c r="M54" s="1298"/>
      <c r="N54" s="1298"/>
      <c r="O54" s="1298"/>
      <c r="P54" s="1299"/>
      <c r="Q54" s="1298"/>
      <c r="R54" s="1298"/>
      <c r="S54" s="1298"/>
      <c r="T54" s="1298"/>
      <c r="U54" s="1298"/>
      <c r="V54" s="1298"/>
      <c r="W54" s="1298"/>
      <c r="X54" s="1298"/>
      <c r="Y54" s="1298"/>
      <c r="Z54" s="1298"/>
      <c r="AA54" s="1298"/>
      <c r="AB54" s="1298"/>
      <c r="AC54" s="1298"/>
      <c r="AD54" s="1298"/>
      <c r="AE54" s="1298"/>
      <c r="AF54" s="1298"/>
      <c r="AG54" s="1298"/>
      <c r="AH54" s="1227">
        <f t="shared" si="9"/>
        <v>0</v>
      </c>
      <c r="AJ54" s="1289"/>
      <c r="AN54" s="1280">
        <v>3325.74</v>
      </c>
    </row>
    <row r="55" spans="1:40" ht="13.5" thickBot="1" x14ac:dyDescent="0.25">
      <c r="A55" s="1274" t="s">
        <v>12</v>
      </c>
      <c r="B55" s="1237"/>
      <c r="C55" s="1275">
        <f t="shared" ref="C55:AG55" si="11">C56</f>
        <v>0</v>
      </c>
      <c r="D55" s="1275">
        <f t="shared" si="11"/>
        <v>0</v>
      </c>
      <c r="E55" s="1275">
        <f t="shared" si="11"/>
        <v>0</v>
      </c>
      <c r="F55" s="1275">
        <f t="shared" si="11"/>
        <v>0</v>
      </c>
      <c r="G55" s="1275">
        <f t="shared" si="11"/>
        <v>0</v>
      </c>
      <c r="H55" s="1275">
        <f t="shared" si="11"/>
        <v>0</v>
      </c>
      <c r="I55" s="1275">
        <f t="shared" si="11"/>
        <v>0</v>
      </c>
      <c r="J55" s="1275">
        <f t="shared" si="11"/>
        <v>0</v>
      </c>
      <c r="K55" s="1275">
        <f t="shared" si="11"/>
        <v>0</v>
      </c>
      <c r="L55" s="1275">
        <f t="shared" si="11"/>
        <v>0</v>
      </c>
      <c r="M55" s="1276">
        <f t="shared" si="11"/>
        <v>0</v>
      </c>
      <c r="N55" s="1276">
        <f t="shared" si="11"/>
        <v>0</v>
      </c>
      <c r="O55" s="1276">
        <f t="shared" si="11"/>
        <v>0</v>
      </c>
      <c r="P55" s="1276">
        <f t="shared" si="11"/>
        <v>0</v>
      </c>
      <c r="Q55" s="1275">
        <f t="shared" si="11"/>
        <v>0</v>
      </c>
      <c r="R55" s="1275">
        <f t="shared" si="11"/>
        <v>0</v>
      </c>
      <c r="S55" s="1275">
        <f t="shared" si="11"/>
        <v>0</v>
      </c>
      <c r="T55" s="1275">
        <f t="shared" si="11"/>
        <v>0</v>
      </c>
      <c r="U55" s="1275">
        <f t="shared" si="11"/>
        <v>0</v>
      </c>
      <c r="V55" s="1275">
        <f t="shared" si="11"/>
        <v>0</v>
      </c>
      <c r="W55" s="1275">
        <f t="shared" si="11"/>
        <v>0</v>
      </c>
      <c r="X55" s="1275">
        <f t="shared" si="11"/>
        <v>0</v>
      </c>
      <c r="Y55" s="1275">
        <f t="shared" si="11"/>
        <v>0</v>
      </c>
      <c r="Z55" s="1275">
        <f t="shared" si="11"/>
        <v>0</v>
      </c>
      <c r="AA55" s="1275">
        <f t="shared" si="11"/>
        <v>0</v>
      </c>
      <c r="AB55" s="1275">
        <f t="shared" si="11"/>
        <v>0</v>
      </c>
      <c r="AC55" s="1275">
        <f t="shared" si="11"/>
        <v>0</v>
      </c>
      <c r="AD55" s="1275">
        <f t="shared" si="11"/>
        <v>0</v>
      </c>
      <c r="AE55" s="1275">
        <f t="shared" si="11"/>
        <v>0</v>
      </c>
      <c r="AF55" s="1275">
        <f t="shared" si="11"/>
        <v>0</v>
      </c>
      <c r="AG55" s="1275">
        <f t="shared" si="11"/>
        <v>0</v>
      </c>
      <c r="AH55" s="1227">
        <f t="shared" si="9"/>
        <v>0</v>
      </c>
      <c r="AN55" s="1280">
        <v>9717.5709999999999</v>
      </c>
    </row>
    <row r="56" spans="1:40" x14ac:dyDescent="0.2">
      <c r="A56" s="1274" t="s">
        <v>8</v>
      </c>
      <c r="B56" s="1237"/>
      <c r="C56" s="1282"/>
      <c r="D56" s="1282"/>
      <c r="E56" s="1282"/>
      <c r="F56" s="1282"/>
      <c r="G56" s="1282"/>
      <c r="H56" s="1282"/>
      <c r="I56" s="1282"/>
      <c r="J56" s="1282"/>
      <c r="K56" s="1282"/>
      <c r="L56" s="1282"/>
      <c r="M56" s="1282"/>
      <c r="N56" s="1282"/>
      <c r="O56" s="1282"/>
      <c r="P56" s="1282"/>
      <c r="Q56" s="1282"/>
      <c r="R56" s="1282"/>
      <c r="S56" s="1282"/>
      <c r="T56" s="1282"/>
      <c r="U56" s="1282"/>
      <c r="V56" s="1282"/>
      <c r="W56" s="1282"/>
      <c r="X56" s="1282"/>
      <c r="Y56" s="1282"/>
      <c r="Z56" s="1282"/>
      <c r="AA56" s="1282"/>
      <c r="AB56" s="1282"/>
      <c r="AC56" s="1282"/>
      <c r="AD56" s="1282"/>
      <c r="AE56" s="1282"/>
      <c r="AF56" s="1282"/>
      <c r="AG56" s="1282"/>
      <c r="AH56" s="1227">
        <f t="shared" si="9"/>
        <v>0</v>
      </c>
      <c r="AN56" s="1280">
        <v>673.17700000000002</v>
      </c>
    </row>
    <row r="57" spans="1:40" x14ac:dyDescent="0.2">
      <c r="A57" s="1274" t="s">
        <v>215</v>
      </c>
      <c r="B57" s="1237"/>
      <c r="C57" s="1282">
        <v>11180</v>
      </c>
      <c r="D57" s="1282">
        <v>1000</v>
      </c>
      <c r="E57" s="1282">
        <v>3172.444</v>
      </c>
      <c r="F57" s="1282">
        <v>5250</v>
      </c>
      <c r="G57" s="1282">
        <v>4917.0450000000001</v>
      </c>
      <c r="H57" s="1282">
        <v>4893.4030000000002</v>
      </c>
      <c r="I57" s="1282">
        <v>1000</v>
      </c>
      <c r="J57" s="1282">
        <v>12232.64</v>
      </c>
      <c r="K57" s="1282"/>
      <c r="L57" s="1282">
        <v>11342.708999999999</v>
      </c>
      <c r="M57" s="1282">
        <v>12665.78</v>
      </c>
      <c r="N57" s="1282">
        <v>9913.36</v>
      </c>
      <c r="O57" s="1282">
        <v>5097.8150000000005</v>
      </c>
      <c r="P57" s="1282">
        <v>3136.7860000000001</v>
      </c>
      <c r="Q57" s="1282">
        <v>23133.735000000001</v>
      </c>
      <c r="R57" s="1282">
        <v>3639.9340000000002</v>
      </c>
      <c r="S57" s="1282">
        <v>1000</v>
      </c>
      <c r="T57" s="1282">
        <v>5560.59</v>
      </c>
      <c r="U57" s="1282">
        <v>3660</v>
      </c>
      <c r="V57" s="1282">
        <v>38014.26</v>
      </c>
      <c r="W57" s="1282"/>
      <c r="X57" s="1282">
        <v>9208.9840000000004</v>
      </c>
      <c r="Y57" s="1282">
        <v>1970.5889999999999</v>
      </c>
      <c r="Z57" s="1282">
        <v>3100</v>
      </c>
      <c r="AA57" s="1282">
        <v>25532.272000000001</v>
      </c>
      <c r="AB57" s="1282">
        <v>4216.4979999999996</v>
      </c>
      <c r="AC57" s="1282">
        <v>7429.9969999999994</v>
      </c>
      <c r="AD57" s="1282">
        <v>2729.7870000000003</v>
      </c>
      <c r="AE57" s="1282">
        <v>9260.4840000000004</v>
      </c>
      <c r="AF57" s="1282">
        <v>12434.481</v>
      </c>
      <c r="AG57" s="1282">
        <v>93515.853000000003</v>
      </c>
      <c r="AH57" s="1227">
        <f t="shared" si="9"/>
        <v>330209.446</v>
      </c>
      <c r="AI57" s="1283"/>
      <c r="AN57" s="1280">
        <v>4534.4949999999999</v>
      </c>
    </row>
    <row r="58" spans="1:40" ht="13.5" thickBot="1" x14ac:dyDescent="0.25">
      <c r="A58" s="1294"/>
      <c r="B58" s="1237"/>
      <c r="C58" s="1295"/>
      <c r="D58" s="1295"/>
      <c r="E58" s="1295"/>
      <c r="F58" s="1295"/>
      <c r="G58" s="1295"/>
      <c r="H58" s="1295"/>
      <c r="I58" s="1295"/>
      <c r="J58" s="1295"/>
      <c r="K58" s="1295"/>
      <c r="L58" s="1295"/>
      <c r="M58" s="1295"/>
      <c r="N58" s="1295"/>
      <c r="O58" s="1295"/>
      <c r="P58" s="1295"/>
      <c r="Q58" s="1295"/>
      <c r="R58" s="1295"/>
      <c r="S58" s="1295"/>
      <c r="T58" s="1295"/>
      <c r="U58" s="1295"/>
      <c r="V58" s="1295"/>
      <c r="W58" s="1295"/>
      <c r="X58" s="1295"/>
      <c r="Y58" s="1295"/>
      <c r="Z58" s="1295"/>
      <c r="AA58" s="1295"/>
      <c r="AB58" s="1295"/>
      <c r="AC58" s="1295"/>
      <c r="AD58" s="1295"/>
      <c r="AE58" s="1295"/>
      <c r="AF58" s="1295"/>
      <c r="AG58" s="1295"/>
      <c r="AH58" s="1227">
        <f t="shared" si="9"/>
        <v>0</v>
      </c>
      <c r="AN58" s="1280">
        <v>2827.3519999999999</v>
      </c>
    </row>
    <row r="59" spans="1:40" x14ac:dyDescent="0.2">
      <c r="A59" s="1269"/>
      <c r="B59" s="1237"/>
      <c r="C59" s="1296"/>
      <c r="D59" s="1297"/>
      <c r="E59" s="1297"/>
      <c r="F59" s="1298"/>
      <c r="G59" s="1298"/>
      <c r="H59" s="1298"/>
      <c r="I59" s="1298"/>
      <c r="J59" s="1298"/>
      <c r="K59" s="1298"/>
      <c r="L59" s="1298"/>
      <c r="M59" s="1298"/>
      <c r="N59" s="1298"/>
      <c r="O59" s="1298"/>
      <c r="P59" s="1299"/>
      <c r="Q59" s="1298"/>
      <c r="R59" s="1298"/>
      <c r="S59" s="1298"/>
      <c r="T59" s="1298"/>
      <c r="U59" s="1298"/>
      <c r="V59" s="1298"/>
      <c r="W59" s="1298"/>
      <c r="X59" s="1298"/>
      <c r="Y59" s="1298"/>
      <c r="Z59" s="1298"/>
      <c r="AA59" s="1298"/>
      <c r="AB59" s="1298"/>
      <c r="AC59" s="1298"/>
      <c r="AD59" s="1298"/>
      <c r="AE59" s="1298"/>
      <c r="AF59" s="1298"/>
      <c r="AG59" s="1298"/>
      <c r="AH59" s="1207"/>
      <c r="AJ59" s="1209">
        <f>18755+17890+17700+17800</f>
        <v>72145</v>
      </c>
      <c r="AN59" s="1280">
        <v>1850.7819999999999</v>
      </c>
    </row>
    <row r="60" spans="1:40" x14ac:dyDescent="0.2">
      <c r="A60" s="1274" t="s">
        <v>915</v>
      </c>
      <c r="B60" s="1237"/>
      <c r="C60" s="1300">
        <f t="shared" ref="C60:AG60" si="12">C55-C43</f>
        <v>0</v>
      </c>
      <c r="D60" s="1300">
        <f t="shared" si="12"/>
        <v>0</v>
      </c>
      <c r="E60" s="1300">
        <f t="shared" si="12"/>
        <v>0</v>
      </c>
      <c r="F60" s="1300">
        <f t="shared" si="12"/>
        <v>0</v>
      </c>
      <c r="G60" s="1300">
        <f t="shared" si="12"/>
        <v>0</v>
      </c>
      <c r="H60" s="1300">
        <f t="shared" si="12"/>
        <v>0</v>
      </c>
      <c r="I60" s="1300">
        <f t="shared" si="12"/>
        <v>0</v>
      </c>
      <c r="J60" s="1300">
        <f t="shared" si="12"/>
        <v>0</v>
      </c>
      <c r="K60" s="1300">
        <f t="shared" si="12"/>
        <v>0</v>
      </c>
      <c r="L60" s="1300">
        <f t="shared" si="12"/>
        <v>0</v>
      </c>
      <c r="M60" s="1300">
        <f t="shared" si="12"/>
        <v>-0.35800000000745058</v>
      </c>
      <c r="N60" s="1300">
        <f t="shared" si="12"/>
        <v>0</v>
      </c>
      <c r="O60" s="1300">
        <f t="shared" si="12"/>
        <v>0</v>
      </c>
      <c r="P60" s="1301">
        <f t="shared" si="12"/>
        <v>0</v>
      </c>
      <c r="Q60" s="1300">
        <f t="shared" si="12"/>
        <v>0</v>
      </c>
      <c r="R60" s="1300">
        <f t="shared" si="12"/>
        <v>0</v>
      </c>
      <c r="S60" s="1300">
        <f t="shared" si="12"/>
        <v>0</v>
      </c>
      <c r="T60" s="1300">
        <f t="shared" si="12"/>
        <v>0</v>
      </c>
      <c r="U60" s="1300">
        <f t="shared" si="12"/>
        <v>0</v>
      </c>
      <c r="V60" s="1300">
        <f t="shared" si="12"/>
        <v>0</v>
      </c>
      <c r="W60" s="1300">
        <f t="shared" si="12"/>
        <v>0</v>
      </c>
      <c r="X60" s="1300">
        <f t="shared" si="12"/>
        <v>0</v>
      </c>
      <c r="Y60" s="1300">
        <f t="shared" si="12"/>
        <v>0</v>
      </c>
      <c r="Z60" s="1300">
        <f t="shared" si="12"/>
        <v>0</v>
      </c>
      <c r="AA60" s="1300">
        <f t="shared" si="12"/>
        <v>0</v>
      </c>
      <c r="AB60" s="1300">
        <f t="shared" si="12"/>
        <v>0</v>
      </c>
      <c r="AC60" s="1300">
        <f t="shared" si="12"/>
        <v>0</v>
      </c>
      <c r="AD60" s="1300">
        <f t="shared" si="12"/>
        <v>0</v>
      </c>
      <c r="AE60" s="1300">
        <f t="shared" si="12"/>
        <v>0</v>
      </c>
      <c r="AF60" s="1300">
        <f t="shared" si="12"/>
        <v>1.4551915228366852E-11</v>
      </c>
      <c r="AG60" s="1300">
        <f t="shared" si="12"/>
        <v>-591.63199999999779</v>
      </c>
      <c r="AH60" s="1207"/>
      <c r="AJ60" s="1209">
        <f>AJ59+67000</f>
        <v>139145</v>
      </c>
      <c r="AL60" s="1283"/>
      <c r="AN60" s="1280">
        <v>915.26599999999996</v>
      </c>
    </row>
    <row r="61" spans="1:40" ht="13.5" thickBot="1" x14ac:dyDescent="0.25">
      <c r="A61" s="1274"/>
      <c r="B61" s="1237"/>
      <c r="C61" s="1300"/>
      <c r="D61" s="1302"/>
      <c r="E61" s="1302"/>
      <c r="F61" s="1303"/>
      <c r="G61" s="1303"/>
      <c r="H61" s="1303"/>
      <c r="I61" s="1303"/>
      <c r="J61" s="1303"/>
      <c r="K61" s="1303"/>
      <c r="L61" s="1303"/>
      <c r="M61" s="1303"/>
      <c r="N61" s="1303"/>
      <c r="O61" s="1303"/>
      <c r="P61" s="1304"/>
      <c r="Q61" s="1303"/>
      <c r="R61" s="1303"/>
      <c r="S61" s="1303"/>
      <c r="T61" s="1303"/>
      <c r="U61" s="1303"/>
      <c r="V61" s="1303"/>
      <c r="W61" s="1303"/>
      <c r="X61" s="1303"/>
      <c r="Y61" s="1303"/>
      <c r="Z61" s="1303"/>
      <c r="AA61" s="1303"/>
      <c r="AB61" s="1303"/>
      <c r="AC61" s="1303"/>
      <c r="AD61" s="1303"/>
      <c r="AE61" s="1303"/>
      <c r="AF61" s="1303"/>
      <c r="AG61" s="1303"/>
      <c r="AH61" s="1207"/>
      <c r="AN61" s="1280">
        <v>15000</v>
      </c>
    </row>
    <row r="62" spans="1:40" x14ac:dyDescent="0.2">
      <c r="A62" s="1233"/>
      <c r="B62" s="1234"/>
      <c r="C62" s="1305"/>
      <c r="D62" s="1297"/>
      <c r="E62" s="1297"/>
      <c r="F62" s="1298"/>
      <c r="G62" s="1298"/>
      <c r="H62" s="1298"/>
      <c r="I62" s="1298"/>
      <c r="J62" s="1298"/>
      <c r="K62" s="1298"/>
      <c r="L62" s="1298"/>
      <c r="M62" s="1298"/>
      <c r="N62" s="1298"/>
      <c r="O62" s="1298"/>
      <c r="P62" s="1299"/>
      <c r="Q62" s="1298"/>
      <c r="R62" s="1298"/>
      <c r="S62" s="1298"/>
      <c r="T62" s="1298"/>
      <c r="U62" s="1298"/>
      <c r="V62" s="1298"/>
      <c r="W62" s="1298"/>
      <c r="X62" s="1298"/>
      <c r="Y62" s="1298"/>
      <c r="Z62" s="1298"/>
      <c r="AA62" s="1298"/>
      <c r="AB62" s="1298"/>
      <c r="AC62" s="1298"/>
      <c r="AD62" s="1298"/>
      <c r="AE62" s="1298"/>
      <c r="AF62" s="1298"/>
      <c r="AG62" s="1298"/>
      <c r="AH62" s="1207"/>
      <c r="AN62" s="1280">
        <v>14101.822</v>
      </c>
    </row>
    <row r="63" spans="1:40" x14ac:dyDescent="0.2">
      <c r="A63" s="1236" t="s">
        <v>15</v>
      </c>
      <c r="B63" s="1237"/>
      <c r="C63" s="1302">
        <f>B40+C60</f>
        <v>-429503.41600000003</v>
      </c>
      <c r="D63" s="1302">
        <f t="shared" ref="D63:AG63" si="13">C70+D60</f>
        <v>-429503.41600000003</v>
      </c>
      <c r="E63" s="1302">
        <f t="shared" si="13"/>
        <v>-429503.41600000003</v>
      </c>
      <c r="F63" s="1302">
        <f t="shared" si="13"/>
        <v>-429503.41600000003</v>
      </c>
      <c r="G63" s="1302">
        <f t="shared" si="13"/>
        <v>-429503.41600000003</v>
      </c>
      <c r="H63" s="1302">
        <f t="shared" si="13"/>
        <v>-429503.41600000003</v>
      </c>
      <c r="I63" s="1302">
        <f t="shared" si="13"/>
        <v>-429503.41600000003</v>
      </c>
      <c r="J63" s="1302">
        <f t="shared" si="13"/>
        <v>-429503.41600000003</v>
      </c>
      <c r="K63" s="1302">
        <f t="shared" si="13"/>
        <v>-429503.41600000003</v>
      </c>
      <c r="L63" s="1302">
        <f t="shared" si="13"/>
        <v>-429503.41600000003</v>
      </c>
      <c r="M63" s="1302">
        <f t="shared" si="13"/>
        <v>-429503.77400000003</v>
      </c>
      <c r="N63" s="1302">
        <f t="shared" si="13"/>
        <v>-429503.77400000003</v>
      </c>
      <c r="O63" s="1302">
        <f t="shared" si="13"/>
        <v>-429503.77400000003</v>
      </c>
      <c r="P63" s="1306">
        <f t="shared" si="13"/>
        <v>-429503.77400000003</v>
      </c>
      <c r="Q63" s="1302">
        <f t="shared" si="13"/>
        <v>-429503.77400000003</v>
      </c>
      <c r="R63" s="1302">
        <f t="shared" si="13"/>
        <v>-429503.77400000003</v>
      </c>
      <c r="S63" s="1302">
        <f t="shared" si="13"/>
        <v>-429503.77400000003</v>
      </c>
      <c r="T63" s="1302">
        <f t="shared" si="13"/>
        <v>-429503.77400000003</v>
      </c>
      <c r="U63" s="1302">
        <f t="shared" si="13"/>
        <v>-429503.77400000003</v>
      </c>
      <c r="V63" s="1302">
        <f t="shared" si="13"/>
        <v>-429503.77400000003</v>
      </c>
      <c r="W63" s="1302">
        <f t="shared" si="13"/>
        <v>-429503.77400000003</v>
      </c>
      <c r="X63" s="1302">
        <f t="shared" si="13"/>
        <v>-429503.77400000003</v>
      </c>
      <c r="Y63" s="1302">
        <f t="shared" si="13"/>
        <v>-429503.77400000003</v>
      </c>
      <c r="Z63" s="1302">
        <f t="shared" si="13"/>
        <v>-429503.77400000003</v>
      </c>
      <c r="AA63" s="1302">
        <f t="shared" si="13"/>
        <v>-429503.77400000003</v>
      </c>
      <c r="AB63" s="1302">
        <f t="shared" si="13"/>
        <v>-429503.77400000003</v>
      </c>
      <c r="AC63" s="1302">
        <f t="shared" si="13"/>
        <v>-429503.77400000003</v>
      </c>
      <c r="AD63" s="1302">
        <f t="shared" si="13"/>
        <v>-429503.77400000003</v>
      </c>
      <c r="AE63" s="1302">
        <f t="shared" si="13"/>
        <v>-429503.77400000003</v>
      </c>
      <c r="AF63" s="1302">
        <f t="shared" si="13"/>
        <v>-429503.77400000003</v>
      </c>
      <c r="AG63" s="1302">
        <f t="shared" si="13"/>
        <v>-430095.40600000002</v>
      </c>
      <c r="AH63" s="1207"/>
      <c r="AN63" s="1280">
        <v>1397.2449999999999</v>
      </c>
    </row>
    <row r="64" spans="1:40" ht="13.5" thickBot="1" x14ac:dyDescent="0.25">
      <c r="A64" s="1250"/>
      <c r="B64" s="1307"/>
      <c r="C64" s="1308"/>
      <c r="D64" s="1308"/>
      <c r="E64" s="1308"/>
      <c r="F64" s="1309"/>
      <c r="G64" s="1309"/>
      <c r="H64" s="1309"/>
      <c r="I64" s="1309"/>
      <c r="J64" s="1309"/>
      <c r="K64" s="1309"/>
      <c r="L64" s="1309"/>
      <c r="M64" s="1309"/>
      <c r="N64" s="1309"/>
      <c r="O64" s="1309"/>
      <c r="P64" s="1310"/>
      <c r="Q64" s="1309"/>
      <c r="R64" s="1309"/>
      <c r="S64" s="1309"/>
      <c r="T64" s="1309"/>
      <c r="U64" s="1309"/>
      <c r="V64" s="1309"/>
      <c r="W64" s="1309"/>
      <c r="X64" s="1309"/>
      <c r="Y64" s="1309"/>
      <c r="Z64" s="1309"/>
      <c r="AA64" s="1309"/>
      <c r="AB64" s="1309"/>
      <c r="AC64" s="1309"/>
      <c r="AD64" s="1309"/>
      <c r="AE64" s="1309"/>
      <c r="AF64" s="1309"/>
      <c r="AG64" s="1309"/>
      <c r="AH64" s="1207"/>
      <c r="AN64" s="1280">
        <v>1322.63</v>
      </c>
    </row>
    <row r="65" spans="1:40" x14ac:dyDescent="0.2">
      <c r="A65" s="1233"/>
      <c r="B65" s="1234"/>
      <c r="C65" s="1297"/>
      <c r="D65" s="1297"/>
      <c r="E65" s="1297"/>
      <c r="F65" s="1298"/>
      <c r="G65" s="1298"/>
      <c r="H65" s="1298"/>
      <c r="I65" s="1298"/>
      <c r="J65" s="1298"/>
      <c r="K65" s="1298"/>
      <c r="L65" s="1298"/>
      <c r="M65" s="1298"/>
      <c r="N65" s="1298"/>
      <c r="O65" s="1298"/>
      <c r="P65" s="1299"/>
      <c r="Q65" s="1298"/>
      <c r="R65" s="1298"/>
      <c r="S65" s="1298"/>
      <c r="T65" s="1298"/>
      <c r="U65" s="1298"/>
      <c r="V65" s="1298"/>
      <c r="W65" s="1298"/>
      <c r="X65" s="1298"/>
      <c r="Y65" s="1298"/>
      <c r="Z65" s="1298"/>
      <c r="AA65" s="1298"/>
      <c r="AB65" s="1298"/>
      <c r="AC65" s="1298"/>
      <c r="AD65" s="1298"/>
      <c r="AE65" s="1298"/>
      <c r="AF65" s="1298"/>
      <c r="AG65" s="1298"/>
      <c r="AH65" s="1227">
        <f>SUM(C65:AG65)</f>
        <v>0</v>
      </c>
      <c r="AN65" s="1280">
        <v>1747.816</v>
      </c>
    </row>
    <row r="66" spans="1:40" x14ac:dyDescent="0.2">
      <c r="A66" s="1236" t="s">
        <v>82</v>
      </c>
      <c r="B66" s="1237"/>
      <c r="C66" s="1302">
        <f t="shared" ref="C66:AG67" si="14">C74</f>
        <v>0</v>
      </c>
      <c r="D66" s="1302">
        <f t="shared" si="14"/>
        <v>0</v>
      </c>
      <c r="E66" s="1302">
        <f t="shared" si="14"/>
        <v>0</v>
      </c>
      <c r="F66" s="1302">
        <f t="shared" si="14"/>
        <v>0</v>
      </c>
      <c r="G66" s="1302">
        <f t="shared" si="14"/>
        <v>0</v>
      </c>
      <c r="H66" s="1302">
        <f t="shared" si="14"/>
        <v>0</v>
      </c>
      <c r="I66" s="1302">
        <f t="shared" si="14"/>
        <v>0</v>
      </c>
      <c r="J66" s="1302">
        <f t="shared" si="14"/>
        <v>0</v>
      </c>
      <c r="K66" s="1302">
        <f t="shared" si="14"/>
        <v>0</v>
      </c>
      <c r="L66" s="1302">
        <f t="shared" si="14"/>
        <v>0</v>
      </c>
      <c r="M66" s="1302">
        <f t="shared" si="14"/>
        <v>0</v>
      </c>
      <c r="N66" s="1302">
        <f t="shared" si="14"/>
        <v>0</v>
      </c>
      <c r="O66" s="1302">
        <f t="shared" si="14"/>
        <v>0</v>
      </c>
      <c r="P66" s="1306">
        <f t="shared" si="14"/>
        <v>0</v>
      </c>
      <c r="Q66" s="1302">
        <f t="shared" si="14"/>
        <v>0</v>
      </c>
      <c r="R66" s="1302">
        <f t="shared" si="14"/>
        <v>0</v>
      </c>
      <c r="S66" s="1302">
        <f t="shared" si="14"/>
        <v>0</v>
      </c>
      <c r="T66" s="1302">
        <f t="shared" si="14"/>
        <v>0</v>
      </c>
      <c r="U66" s="1302">
        <f t="shared" si="14"/>
        <v>0</v>
      </c>
      <c r="V66" s="1302">
        <f t="shared" si="14"/>
        <v>0</v>
      </c>
      <c r="W66" s="1302">
        <f t="shared" si="14"/>
        <v>0</v>
      </c>
      <c r="X66" s="1302">
        <f t="shared" si="14"/>
        <v>0</v>
      </c>
      <c r="Y66" s="1302">
        <f t="shared" si="14"/>
        <v>0</v>
      </c>
      <c r="Z66" s="1302">
        <f t="shared" si="14"/>
        <v>0</v>
      </c>
      <c r="AA66" s="1302">
        <f t="shared" si="14"/>
        <v>0</v>
      </c>
      <c r="AB66" s="1302">
        <f t="shared" si="14"/>
        <v>0</v>
      </c>
      <c r="AC66" s="1302">
        <f t="shared" si="14"/>
        <v>0</v>
      </c>
      <c r="AD66" s="1302">
        <f t="shared" si="14"/>
        <v>0</v>
      </c>
      <c r="AE66" s="1302">
        <f t="shared" si="14"/>
        <v>0</v>
      </c>
      <c r="AF66" s="1302">
        <f t="shared" si="14"/>
        <v>0</v>
      </c>
      <c r="AG66" s="1302">
        <f t="shared" si="14"/>
        <v>0</v>
      </c>
      <c r="AH66" s="1207"/>
      <c r="AN66" s="1280">
        <v>1021.722</v>
      </c>
    </row>
    <row r="67" spans="1:40" x14ac:dyDescent="0.2">
      <c r="A67" s="1236" t="s">
        <v>83</v>
      </c>
      <c r="B67" s="1237"/>
      <c r="C67" s="1306">
        <f t="shared" si="14"/>
        <v>0</v>
      </c>
      <c r="D67" s="1306">
        <f t="shared" si="14"/>
        <v>0</v>
      </c>
      <c r="E67" s="1306">
        <f t="shared" si="14"/>
        <v>0</v>
      </c>
      <c r="F67" s="1306">
        <f t="shared" si="14"/>
        <v>0</v>
      </c>
      <c r="G67" s="1306">
        <f t="shared" si="14"/>
        <v>0</v>
      </c>
      <c r="H67" s="1306">
        <f t="shared" si="14"/>
        <v>0</v>
      </c>
      <c r="I67" s="1306">
        <f t="shared" si="14"/>
        <v>0</v>
      </c>
      <c r="J67" s="1306">
        <f t="shared" si="14"/>
        <v>0</v>
      </c>
      <c r="K67" s="1306">
        <f t="shared" si="14"/>
        <v>0</v>
      </c>
      <c r="L67" s="1306">
        <f t="shared" si="14"/>
        <v>0</v>
      </c>
      <c r="M67" s="1306">
        <f t="shared" si="14"/>
        <v>0</v>
      </c>
      <c r="N67" s="1306">
        <f t="shared" si="14"/>
        <v>0</v>
      </c>
      <c r="O67" s="1306">
        <f t="shared" si="14"/>
        <v>0</v>
      </c>
      <c r="P67" s="1306">
        <f t="shared" si="14"/>
        <v>0</v>
      </c>
      <c r="Q67" s="1306">
        <f t="shared" si="14"/>
        <v>0</v>
      </c>
      <c r="R67" s="1306">
        <f t="shared" si="14"/>
        <v>0</v>
      </c>
      <c r="S67" s="1306">
        <f t="shared" si="14"/>
        <v>0</v>
      </c>
      <c r="T67" s="1306">
        <f t="shared" si="14"/>
        <v>0</v>
      </c>
      <c r="U67" s="1306">
        <f t="shared" si="14"/>
        <v>0</v>
      </c>
      <c r="V67" s="1306">
        <f t="shared" si="14"/>
        <v>0</v>
      </c>
      <c r="W67" s="1306">
        <f t="shared" si="14"/>
        <v>0</v>
      </c>
      <c r="X67" s="1306">
        <f t="shared" si="14"/>
        <v>0</v>
      </c>
      <c r="Y67" s="1306">
        <f t="shared" si="14"/>
        <v>0</v>
      </c>
      <c r="Z67" s="1306">
        <f t="shared" si="14"/>
        <v>0</v>
      </c>
      <c r="AA67" s="1306">
        <f t="shared" si="14"/>
        <v>0</v>
      </c>
      <c r="AB67" s="1306">
        <f t="shared" si="14"/>
        <v>0</v>
      </c>
      <c r="AC67" s="1306">
        <f t="shared" si="14"/>
        <v>0</v>
      </c>
      <c r="AD67" s="1306">
        <f t="shared" si="14"/>
        <v>0</v>
      </c>
      <c r="AE67" s="1306">
        <f t="shared" si="14"/>
        <v>0</v>
      </c>
      <c r="AF67" s="1306">
        <f t="shared" si="14"/>
        <v>0</v>
      </c>
      <c r="AG67" s="1306">
        <f t="shared" si="14"/>
        <v>0</v>
      </c>
      <c r="AH67" s="1207"/>
      <c r="AN67" s="1280">
        <v>4000</v>
      </c>
    </row>
    <row r="68" spans="1:40" ht="13.5" thickBot="1" x14ac:dyDescent="0.25">
      <c r="A68" s="1250"/>
      <c r="B68" s="1307"/>
      <c r="C68" s="1308"/>
      <c r="D68" s="1308"/>
      <c r="E68" s="1308"/>
      <c r="F68" s="1309"/>
      <c r="G68" s="1309"/>
      <c r="H68" s="1309"/>
      <c r="I68" s="1309"/>
      <c r="J68" s="1309"/>
      <c r="K68" s="1309"/>
      <c r="L68" s="1309"/>
      <c r="M68" s="1309"/>
      <c r="N68" s="1309"/>
      <c r="O68" s="1309"/>
      <c r="P68" s="1310"/>
      <c r="Q68" s="1309"/>
      <c r="R68" s="1309"/>
      <c r="S68" s="1309"/>
      <c r="T68" s="1309"/>
      <c r="U68" s="1309"/>
      <c r="V68" s="1309"/>
      <c r="W68" s="1309"/>
      <c r="X68" s="1309"/>
      <c r="Y68" s="1309"/>
      <c r="Z68" s="1309"/>
      <c r="AA68" s="1309"/>
      <c r="AB68" s="1309"/>
      <c r="AC68" s="1309"/>
      <c r="AD68" s="1309"/>
      <c r="AE68" s="1309"/>
      <c r="AF68" s="1309"/>
      <c r="AG68" s="1309"/>
      <c r="AH68" s="1207"/>
      <c r="AN68" s="1280"/>
    </row>
    <row r="69" spans="1:40" x14ac:dyDescent="0.2">
      <c r="A69" s="1236"/>
      <c r="B69" s="1237"/>
      <c r="C69" s="1302"/>
      <c r="D69" s="1302"/>
      <c r="E69" s="1302"/>
      <c r="F69" s="1303"/>
      <c r="G69" s="1303"/>
      <c r="H69" s="1303"/>
      <c r="I69" s="1303"/>
      <c r="J69" s="1303"/>
      <c r="K69" s="1303"/>
      <c r="L69" s="1303"/>
      <c r="M69" s="1303"/>
      <c r="N69" s="1303"/>
      <c r="O69" s="1303"/>
      <c r="P69" s="1304"/>
      <c r="Q69" s="1303"/>
      <c r="R69" s="1303"/>
      <c r="S69" s="1303"/>
      <c r="T69" s="1303"/>
      <c r="U69" s="1303"/>
      <c r="V69" s="1303"/>
      <c r="W69" s="1303"/>
      <c r="X69" s="1303"/>
      <c r="Y69" s="1303"/>
      <c r="Z69" s="1303"/>
      <c r="AA69" s="1303"/>
      <c r="AB69" s="1303"/>
      <c r="AC69" s="1303"/>
      <c r="AD69" s="1303"/>
      <c r="AE69" s="1303"/>
      <c r="AF69" s="1303"/>
      <c r="AG69" s="1303"/>
      <c r="AH69" s="1207"/>
      <c r="AN69" s="1280">
        <v>1616.846</v>
      </c>
    </row>
    <row r="70" spans="1:40" x14ac:dyDescent="0.2">
      <c r="A70" s="1236" t="s">
        <v>14</v>
      </c>
      <c r="B70" s="1237"/>
      <c r="C70" s="1302">
        <f t="shared" ref="C70:AG70" si="15">C63+C66+C67</f>
        <v>-429503.41600000003</v>
      </c>
      <c r="D70" s="1302">
        <f t="shared" si="15"/>
        <v>-429503.41600000003</v>
      </c>
      <c r="E70" s="1302">
        <f t="shared" si="15"/>
        <v>-429503.41600000003</v>
      </c>
      <c r="F70" s="1302">
        <f t="shared" si="15"/>
        <v>-429503.41600000003</v>
      </c>
      <c r="G70" s="1302">
        <f t="shared" si="15"/>
        <v>-429503.41600000003</v>
      </c>
      <c r="H70" s="1302">
        <f t="shared" si="15"/>
        <v>-429503.41600000003</v>
      </c>
      <c r="I70" s="1302">
        <f t="shared" si="15"/>
        <v>-429503.41600000003</v>
      </c>
      <c r="J70" s="1302">
        <f t="shared" si="15"/>
        <v>-429503.41600000003</v>
      </c>
      <c r="K70" s="1302">
        <f t="shared" si="15"/>
        <v>-429503.41600000003</v>
      </c>
      <c r="L70" s="1302">
        <f t="shared" si="15"/>
        <v>-429503.41600000003</v>
      </c>
      <c r="M70" s="1302">
        <f t="shared" si="15"/>
        <v>-429503.77400000003</v>
      </c>
      <c r="N70" s="1302">
        <f t="shared" si="15"/>
        <v>-429503.77400000003</v>
      </c>
      <c r="O70" s="1302">
        <f t="shared" si="15"/>
        <v>-429503.77400000003</v>
      </c>
      <c r="P70" s="1306">
        <f t="shared" si="15"/>
        <v>-429503.77400000003</v>
      </c>
      <c r="Q70" s="1302">
        <f t="shared" si="15"/>
        <v>-429503.77400000003</v>
      </c>
      <c r="R70" s="1302">
        <f t="shared" si="15"/>
        <v>-429503.77400000003</v>
      </c>
      <c r="S70" s="1302">
        <f t="shared" si="15"/>
        <v>-429503.77400000003</v>
      </c>
      <c r="T70" s="1302">
        <f t="shared" si="15"/>
        <v>-429503.77400000003</v>
      </c>
      <c r="U70" s="1302">
        <f t="shared" si="15"/>
        <v>-429503.77400000003</v>
      </c>
      <c r="V70" s="1302">
        <f t="shared" si="15"/>
        <v>-429503.77400000003</v>
      </c>
      <c r="W70" s="1302">
        <f t="shared" si="15"/>
        <v>-429503.77400000003</v>
      </c>
      <c r="X70" s="1302">
        <f t="shared" si="15"/>
        <v>-429503.77400000003</v>
      </c>
      <c r="Y70" s="1302">
        <f t="shared" si="15"/>
        <v>-429503.77400000003</v>
      </c>
      <c r="Z70" s="1302">
        <f t="shared" si="15"/>
        <v>-429503.77400000003</v>
      </c>
      <c r="AA70" s="1302">
        <f t="shared" si="15"/>
        <v>-429503.77400000003</v>
      </c>
      <c r="AB70" s="1302">
        <f t="shared" si="15"/>
        <v>-429503.77400000003</v>
      </c>
      <c r="AC70" s="1302">
        <f t="shared" si="15"/>
        <v>-429503.77400000003</v>
      </c>
      <c r="AD70" s="1302">
        <f t="shared" si="15"/>
        <v>-429503.77400000003</v>
      </c>
      <c r="AE70" s="1302">
        <f t="shared" si="15"/>
        <v>-429503.77400000003</v>
      </c>
      <c r="AF70" s="1302">
        <f t="shared" si="15"/>
        <v>-429503.77400000003</v>
      </c>
      <c r="AG70" s="1302">
        <f t="shared" si="15"/>
        <v>-430095.40600000002</v>
      </c>
      <c r="AH70" s="1311"/>
      <c r="AN70" s="1280">
        <v>7523.0129999999999</v>
      </c>
    </row>
    <row r="71" spans="1:40" x14ac:dyDescent="0.2">
      <c r="A71" s="1236"/>
      <c r="B71" s="1237"/>
      <c r="C71" s="1302"/>
      <c r="D71" s="1302"/>
      <c r="E71" s="1302"/>
      <c r="F71" s="1303"/>
      <c r="G71" s="1303"/>
      <c r="H71" s="1303"/>
      <c r="I71" s="1303"/>
      <c r="J71" s="1303"/>
      <c r="K71" s="1303"/>
      <c r="L71" s="1303"/>
      <c r="M71" s="1303"/>
      <c r="N71" s="1303"/>
      <c r="O71" s="1303"/>
      <c r="P71" s="1304"/>
      <c r="Q71" s="1303"/>
      <c r="R71" s="1303"/>
      <c r="S71" s="1303"/>
      <c r="T71" s="1303"/>
      <c r="U71" s="1303"/>
      <c r="V71" s="1303"/>
      <c r="W71" s="1303"/>
      <c r="X71" s="1303"/>
      <c r="Y71" s="1303"/>
      <c r="Z71" s="1303"/>
      <c r="AA71" s="1303"/>
      <c r="AB71" s="1303"/>
      <c r="AC71" s="1303"/>
      <c r="AD71" s="1303"/>
      <c r="AE71" s="1303"/>
      <c r="AF71" s="1303"/>
      <c r="AG71" s="1303"/>
      <c r="AH71" s="1207"/>
      <c r="AN71" s="1280">
        <v>716.57600000000002</v>
      </c>
    </row>
    <row r="72" spans="1:40" ht="13.5" thickBot="1" x14ac:dyDescent="0.25">
      <c r="A72" s="1250"/>
      <c r="B72" s="1307"/>
      <c r="C72" s="1312"/>
      <c r="D72" s="1312"/>
      <c r="E72" s="1312"/>
      <c r="F72" s="1313"/>
      <c r="G72" s="1313"/>
      <c r="H72" s="1313"/>
      <c r="I72" s="1313"/>
      <c r="J72" s="1313"/>
      <c r="K72" s="1313"/>
      <c r="L72" s="1313"/>
      <c r="M72" s="1313"/>
      <c r="N72" s="1313"/>
      <c r="O72" s="1313"/>
      <c r="P72" s="1314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3"/>
      <c r="AH72" s="1207"/>
      <c r="AN72" s="1315">
        <v>1326.8</v>
      </c>
    </row>
    <row r="73" spans="1:40" x14ac:dyDescent="0.2">
      <c r="A73" s="1316"/>
      <c r="B73" s="1207"/>
      <c r="C73" s="1227"/>
      <c r="D73" s="1227"/>
      <c r="E73" s="1227"/>
      <c r="F73" s="1227"/>
      <c r="G73" s="1227"/>
      <c r="H73" s="1317"/>
      <c r="I73" s="1317"/>
      <c r="J73" s="1317"/>
      <c r="K73" s="1317"/>
      <c r="L73" s="1317"/>
      <c r="M73" s="1317"/>
      <c r="N73" s="1317"/>
      <c r="O73" s="1317"/>
      <c r="P73" s="1318"/>
      <c r="Q73" s="1317"/>
      <c r="R73" s="1317"/>
      <c r="S73" s="1317"/>
      <c r="T73" s="1317"/>
      <c r="U73" s="1317"/>
      <c r="V73" s="1317"/>
      <c r="W73" s="1317"/>
      <c r="X73" s="1317"/>
      <c r="Y73" s="1317"/>
      <c r="Z73" s="1317"/>
      <c r="AA73" s="1317"/>
      <c r="AB73" s="1317"/>
      <c r="AC73" s="1317"/>
      <c r="AD73" s="1317"/>
      <c r="AE73" s="1317"/>
      <c r="AF73" s="1317"/>
      <c r="AG73" s="1317"/>
      <c r="AH73" s="1207"/>
      <c r="AN73" s="1315">
        <v>4180.9530000000004</v>
      </c>
    </row>
    <row r="74" spans="1:40" x14ac:dyDescent="0.2">
      <c r="A74" s="1316" t="s">
        <v>40</v>
      </c>
      <c r="B74" s="1207"/>
      <c r="C74" s="1303"/>
      <c r="D74" s="1303"/>
      <c r="E74" s="1303"/>
      <c r="F74" s="1319"/>
      <c r="G74" s="1319"/>
      <c r="H74" s="1319"/>
      <c r="I74" s="1319"/>
      <c r="J74" s="1319"/>
      <c r="K74" s="1319"/>
      <c r="L74" s="1319"/>
      <c r="M74" s="1319"/>
      <c r="N74" s="1319"/>
      <c r="O74" s="1319"/>
      <c r="P74" s="1319"/>
      <c r="Q74" s="1319"/>
      <c r="R74" s="1319"/>
      <c r="S74" s="1319"/>
      <c r="T74" s="1319"/>
      <c r="U74" s="1319"/>
      <c r="V74" s="1319"/>
      <c r="W74" s="1319"/>
      <c r="X74" s="1319"/>
      <c r="Y74" s="1319"/>
      <c r="Z74" s="1319"/>
      <c r="AA74" s="1319"/>
      <c r="AB74" s="1319"/>
      <c r="AC74" s="1319"/>
      <c r="AD74" s="1319"/>
      <c r="AE74" s="1319"/>
      <c r="AF74" s="1319"/>
      <c r="AG74" s="1319"/>
      <c r="AH74" s="1227">
        <f>SUM(C74:AG74)</f>
        <v>0</v>
      </c>
      <c r="AI74" s="1320"/>
      <c r="AJ74" s="1320"/>
      <c r="AK74" s="1321"/>
      <c r="AN74" s="1315">
        <v>2761.194</v>
      </c>
    </row>
    <row r="75" spans="1:40" x14ac:dyDescent="0.2">
      <c r="A75" s="1316" t="s">
        <v>42</v>
      </c>
      <c r="B75" s="1207"/>
      <c r="C75" s="1303"/>
      <c r="D75" s="1303"/>
      <c r="E75" s="1303"/>
      <c r="F75" s="1319"/>
      <c r="G75" s="1319"/>
      <c r="H75" s="1319"/>
      <c r="I75" s="1319"/>
      <c r="J75" s="1319"/>
      <c r="K75" s="1319"/>
      <c r="L75" s="1319"/>
      <c r="M75" s="1319"/>
      <c r="N75" s="1319"/>
      <c r="O75" s="1319">
        <f>+K57</f>
        <v>0</v>
      </c>
      <c r="P75" s="1319"/>
      <c r="Q75" s="1319"/>
      <c r="R75" s="1319"/>
      <c r="S75" s="1319"/>
      <c r="T75" s="1319"/>
      <c r="U75" s="1319"/>
      <c r="V75" s="1319"/>
      <c r="W75" s="1319"/>
      <c r="X75" s="1319"/>
      <c r="Y75" s="1319"/>
      <c r="Z75" s="1319"/>
      <c r="AA75" s="1319">
        <f>+W57</f>
        <v>0</v>
      </c>
      <c r="AB75" s="1319"/>
      <c r="AC75" s="1319"/>
      <c r="AD75" s="1319"/>
      <c r="AE75" s="1319"/>
      <c r="AF75" s="1319"/>
      <c r="AG75" s="1319"/>
      <c r="AH75" s="1227">
        <f>SUM(C75:AG75)</f>
        <v>0</v>
      </c>
      <c r="AI75" s="1320"/>
      <c r="AJ75" s="1320"/>
      <c r="AK75" s="1321"/>
      <c r="AN75" s="1315">
        <v>6804.6840000000002</v>
      </c>
    </row>
    <row r="76" spans="1:40" ht="13.5" thickBot="1" x14ac:dyDescent="0.25">
      <c r="A76" s="1316"/>
      <c r="B76" s="1207"/>
      <c r="C76" s="1219"/>
      <c r="D76" s="1219"/>
      <c r="E76" s="1219"/>
      <c r="F76" s="1219"/>
      <c r="G76" s="1220"/>
      <c r="H76" s="1322"/>
      <c r="I76" s="1219"/>
      <c r="J76" s="1219"/>
      <c r="K76" s="1219"/>
      <c r="L76" s="1219"/>
      <c r="M76" s="1219"/>
      <c r="N76" s="1219"/>
      <c r="O76" s="1219"/>
      <c r="P76" s="1221"/>
      <c r="Q76" s="1219"/>
      <c r="R76" s="1219"/>
      <c r="S76" s="1219"/>
      <c r="T76" s="1219"/>
      <c r="U76" s="1219"/>
      <c r="V76" s="1322"/>
      <c r="W76" s="1322"/>
      <c r="X76" s="1219"/>
      <c r="Y76" s="1219"/>
      <c r="Z76" s="1219"/>
      <c r="AA76" s="1219"/>
      <c r="AB76" s="1219"/>
      <c r="AC76" s="1219"/>
      <c r="AD76" s="1219"/>
      <c r="AE76" s="1219"/>
      <c r="AF76" s="1219"/>
      <c r="AG76" s="1219"/>
      <c r="AH76" s="1207"/>
      <c r="AI76" s="1320"/>
      <c r="AJ76" s="1320"/>
      <c r="AK76" s="1321"/>
      <c r="AN76" s="1315">
        <v>14590.134</v>
      </c>
    </row>
    <row r="77" spans="1:40" x14ac:dyDescent="0.2">
      <c r="A77" s="1323" t="s">
        <v>495</v>
      </c>
      <c r="B77" s="1324" t="s">
        <v>509</v>
      </c>
      <c r="C77" s="1325"/>
      <c r="D77" s="1326"/>
      <c r="E77" s="1326"/>
      <c r="F77" s="1326"/>
      <c r="G77" s="1327"/>
      <c r="H77" s="1328"/>
      <c r="I77" s="1326"/>
      <c r="J77" s="1326"/>
      <c r="K77" s="1326"/>
      <c r="L77" s="1326"/>
      <c r="M77" s="1326"/>
      <c r="N77" s="1326"/>
      <c r="O77" s="1326"/>
      <c r="P77" s="1329"/>
      <c r="Q77" s="1326"/>
      <c r="R77" s="1326"/>
      <c r="S77" s="1326"/>
      <c r="T77" s="1326"/>
      <c r="U77" s="1326"/>
      <c r="V77" s="1328"/>
      <c r="W77" s="1328"/>
      <c r="X77" s="1326"/>
      <c r="Y77" s="1326"/>
      <c r="Z77" s="1326"/>
      <c r="AA77" s="1326"/>
      <c r="AB77" s="1326"/>
      <c r="AC77" s="1326"/>
      <c r="AD77" s="1326"/>
      <c r="AE77" s="1326"/>
      <c r="AF77" s="1326"/>
      <c r="AG77" s="1326"/>
      <c r="AH77" s="1330">
        <f>SUM(C77:AG77)</f>
        <v>0</v>
      </c>
      <c r="AI77" s="1320"/>
      <c r="AJ77" s="1320"/>
      <c r="AK77" s="1321"/>
      <c r="AN77" s="1280">
        <v>1034.9559999999999</v>
      </c>
    </row>
    <row r="78" spans="1:40" ht="13.5" thickBot="1" x14ac:dyDescent="0.25">
      <c r="A78" s="1331" t="s">
        <v>697</v>
      </c>
      <c r="B78" s="1332" t="s">
        <v>510</v>
      </c>
      <c r="C78" s="1333"/>
      <c r="D78" s="1334"/>
      <c r="E78" s="1334"/>
      <c r="F78" s="1334"/>
      <c r="G78" s="1334"/>
      <c r="H78" s="1335"/>
      <c r="I78" s="1336"/>
      <c r="J78" s="1334"/>
      <c r="K78" s="1334"/>
      <c r="L78" s="1335"/>
      <c r="M78" s="1334"/>
      <c r="N78" s="1334"/>
      <c r="O78" s="1334"/>
      <c r="P78" s="1337"/>
      <c r="Q78" s="1335"/>
      <c r="R78" s="1334"/>
      <c r="S78" s="1334"/>
      <c r="T78" s="1334"/>
      <c r="U78" s="1334"/>
      <c r="V78" s="1335"/>
      <c r="W78" s="1334"/>
      <c r="X78" s="1334"/>
      <c r="Y78" s="1334"/>
      <c r="Z78" s="1334"/>
      <c r="AA78" s="1335"/>
      <c r="AB78" s="1334"/>
      <c r="AC78" s="1334"/>
      <c r="AD78" s="1334"/>
      <c r="AE78" s="1334"/>
      <c r="AF78" s="1334"/>
      <c r="AG78" s="1334"/>
      <c r="AH78" s="1338">
        <f>SUM(C78:AG78)</f>
        <v>0</v>
      </c>
      <c r="AI78" s="1320"/>
      <c r="AJ78" s="1320"/>
      <c r="AK78" s="1321"/>
      <c r="AN78" s="1280"/>
    </row>
    <row r="79" spans="1:40" x14ac:dyDescent="0.2">
      <c r="A79" s="1323" t="s">
        <v>495</v>
      </c>
      <c r="B79" s="1324" t="s">
        <v>509</v>
      </c>
      <c r="C79" s="1339"/>
      <c r="D79" s="1339"/>
      <c r="E79" s="1339"/>
      <c r="F79" s="1339"/>
      <c r="G79" s="1339"/>
      <c r="H79" s="1340"/>
      <c r="I79" s="1341"/>
      <c r="J79" s="1339"/>
      <c r="K79" s="1339"/>
      <c r="L79" s="1340"/>
      <c r="M79" s="1339"/>
      <c r="N79" s="1339"/>
      <c r="O79" s="1339"/>
      <c r="P79" s="1342"/>
      <c r="Q79" s="1340"/>
      <c r="R79" s="1339"/>
      <c r="S79" s="1339"/>
      <c r="T79" s="1339"/>
      <c r="U79" s="1339"/>
      <c r="V79" s="1340"/>
      <c r="W79" s="1339"/>
      <c r="X79" s="1339"/>
      <c r="Y79" s="1339"/>
      <c r="Z79" s="1339"/>
      <c r="AA79" s="1340"/>
      <c r="AB79" s="1339"/>
      <c r="AC79" s="1339"/>
      <c r="AD79" s="1339"/>
      <c r="AE79" s="1339"/>
      <c r="AF79" s="1339"/>
      <c r="AG79" s="1339"/>
      <c r="AH79" s="1330">
        <f>SUM(C79:AG79)</f>
        <v>0</v>
      </c>
      <c r="AI79" s="1320"/>
      <c r="AJ79" s="1320"/>
      <c r="AK79" s="1321"/>
      <c r="AN79" s="1280"/>
    </row>
    <row r="80" spans="1:40" ht="13.5" thickBot="1" x14ac:dyDescent="0.25">
      <c r="A80" s="1331" t="s">
        <v>696</v>
      </c>
      <c r="B80" s="1332" t="s">
        <v>510</v>
      </c>
      <c r="C80" s="1339"/>
      <c r="D80" s="1339"/>
      <c r="E80" s="1339"/>
      <c r="F80" s="1339"/>
      <c r="G80" s="1339"/>
      <c r="H80" s="1340"/>
      <c r="I80" s="1341"/>
      <c r="J80" s="1339"/>
      <c r="K80" s="1339"/>
      <c r="L80" s="1340"/>
      <c r="M80" s="1339"/>
      <c r="N80" s="1339"/>
      <c r="O80" s="1339"/>
      <c r="P80" s="1342"/>
      <c r="Q80" s="1340"/>
      <c r="R80" s="1339"/>
      <c r="S80" s="1339"/>
      <c r="T80" s="1339"/>
      <c r="U80" s="1339"/>
      <c r="V80" s="1340"/>
      <c r="W80" s="1339"/>
      <c r="X80" s="1339"/>
      <c r="Y80" s="1339"/>
      <c r="Z80" s="1339"/>
      <c r="AA80" s="1340"/>
      <c r="AB80" s="1339"/>
      <c r="AC80" s="1339"/>
      <c r="AD80" s="1339"/>
      <c r="AE80" s="1339"/>
      <c r="AF80" s="1339"/>
      <c r="AG80" s="1339"/>
      <c r="AH80" s="1343"/>
      <c r="AI80" s="1320"/>
      <c r="AJ80" s="1320"/>
      <c r="AK80" s="1321"/>
      <c r="AN80" s="1280"/>
    </row>
    <row r="81" spans="1:43" x14ac:dyDescent="0.2">
      <c r="A81" s="1344"/>
      <c r="B81" s="1230"/>
      <c r="C81" s="1228"/>
      <c r="D81" s="1228"/>
      <c r="E81" s="1228"/>
      <c r="F81" s="1228"/>
      <c r="G81" s="1228"/>
      <c r="H81" s="1228"/>
      <c r="I81" s="1228"/>
      <c r="J81" s="1228"/>
      <c r="K81" s="1228"/>
      <c r="L81" s="1228"/>
      <c r="M81" s="1228"/>
      <c r="N81" s="1228"/>
      <c r="O81" s="1228"/>
      <c r="P81" s="1229"/>
      <c r="Q81" s="1228"/>
      <c r="R81" s="1228"/>
      <c r="S81" s="1228"/>
      <c r="T81" s="1228"/>
      <c r="U81" s="1228"/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320"/>
      <c r="AJ81" s="1320"/>
      <c r="AK81" s="1321"/>
      <c r="AN81" s="1280">
        <v>2000</v>
      </c>
    </row>
    <row r="82" spans="1:43" s="1321" customFormat="1" x14ac:dyDescent="0.2">
      <c r="A82" s="1236" t="s">
        <v>2</v>
      </c>
      <c r="B82" s="1207"/>
      <c r="C82" s="1345">
        <f>SUM(C84:C121)</f>
        <v>0</v>
      </c>
      <c r="D82" s="1227"/>
      <c r="E82" s="1346"/>
      <c r="F82" s="1227"/>
      <c r="G82" s="1347"/>
      <c r="H82" s="1228"/>
      <c r="I82" s="1227"/>
      <c r="J82" s="1227"/>
      <c r="K82" s="1227"/>
      <c r="L82" s="1227"/>
      <c r="M82" s="1228"/>
      <c r="N82" s="1228"/>
      <c r="O82" s="1228"/>
      <c r="P82" s="1229"/>
      <c r="Q82" s="1228"/>
      <c r="R82" s="1228"/>
      <c r="S82" s="1228"/>
      <c r="T82" s="1227"/>
      <c r="U82" s="1227"/>
      <c r="V82" s="1227"/>
      <c r="W82" s="1227"/>
      <c r="X82" s="1227"/>
      <c r="Y82" s="1227"/>
      <c r="Z82" s="1227"/>
      <c r="AA82" s="1227"/>
      <c r="AB82" s="1227"/>
      <c r="AC82" s="1227"/>
      <c r="AD82" s="1227"/>
      <c r="AE82" s="1228"/>
      <c r="AF82" s="1227"/>
      <c r="AG82" s="1227"/>
      <c r="AH82" s="1207"/>
      <c r="AN82" s="1348">
        <v>2358.498</v>
      </c>
    </row>
    <row r="83" spans="1:43" s="1321" customFormat="1" x14ac:dyDescent="0.2">
      <c r="A83" s="1237"/>
      <c r="B83" s="1207"/>
      <c r="C83" s="1345"/>
      <c r="D83" s="1207"/>
      <c r="E83" s="1207"/>
      <c r="F83" s="1207"/>
      <c r="G83" s="1349"/>
      <c r="H83" s="1207"/>
      <c r="I83" s="1207"/>
      <c r="J83" s="1207"/>
      <c r="K83" s="1207"/>
      <c r="L83" s="1207"/>
      <c r="M83" s="1207"/>
      <c r="N83" s="1207"/>
      <c r="O83" s="1207"/>
      <c r="P83" s="1208"/>
      <c r="Q83" s="1207"/>
      <c r="R83" s="1207"/>
      <c r="S83" s="1207"/>
      <c r="T83" s="1207"/>
      <c r="U83" s="1207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N83" s="1348">
        <v>1458.3630000000001</v>
      </c>
    </row>
    <row r="84" spans="1:43" s="1321" customFormat="1" x14ac:dyDescent="0.2">
      <c r="A84" s="1207" t="s">
        <v>30</v>
      </c>
      <c r="B84" s="1350">
        <v>42396</v>
      </c>
      <c r="C84" s="1351"/>
      <c r="D84" s="1208"/>
      <c r="E84" s="1207"/>
      <c r="F84" s="1207"/>
      <c r="G84" s="1349"/>
      <c r="H84" s="1207"/>
      <c r="I84" s="1207"/>
      <c r="J84" s="1207"/>
      <c r="K84" s="1352"/>
      <c r="L84" s="1208"/>
      <c r="M84" s="1229"/>
      <c r="N84" s="1207"/>
      <c r="O84" s="1207"/>
      <c r="P84" s="1208"/>
      <c r="Q84" s="1207"/>
      <c r="R84" s="1207"/>
      <c r="S84" s="1207"/>
      <c r="T84" s="1207"/>
      <c r="U84" s="1207"/>
      <c r="V84" s="1207"/>
      <c r="W84" s="1207"/>
      <c r="X84" s="1207"/>
      <c r="Y84" s="1207"/>
      <c r="Z84" s="1207"/>
      <c r="AA84" s="1207"/>
      <c r="AB84" s="1207"/>
      <c r="AC84" s="1207"/>
      <c r="AD84" s="1207"/>
      <c r="AE84" s="1207"/>
      <c r="AF84" s="1207"/>
      <c r="AG84" s="1207"/>
      <c r="AH84" s="1207"/>
      <c r="AN84" s="1315">
        <v>718.548</v>
      </c>
    </row>
    <row r="85" spans="1:43" s="1321" customFormat="1" x14ac:dyDescent="0.2">
      <c r="A85" s="1207"/>
      <c r="B85" s="1350">
        <v>42255</v>
      </c>
      <c r="C85" s="1351"/>
      <c r="D85" s="1208"/>
      <c r="F85" s="1207"/>
      <c r="G85" s="1353"/>
      <c r="H85" s="1207"/>
      <c r="I85" s="1207"/>
      <c r="J85" s="1207"/>
      <c r="K85" s="1208"/>
      <c r="L85" s="1208"/>
      <c r="M85" s="1208"/>
      <c r="N85" s="1207"/>
      <c r="O85" s="1207"/>
      <c r="P85" s="1208"/>
      <c r="Q85" s="1207"/>
      <c r="R85" s="1207"/>
      <c r="S85" s="1207"/>
      <c r="T85" s="1207"/>
      <c r="U85" s="1207"/>
      <c r="V85" s="1207"/>
      <c r="W85" s="1207"/>
      <c r="X85" s="1207"/>
      <c r="Y85" s="1207"/>
      <c r="Z85" s="1207"/>
      <c r="AA85" s="1207"/>
      <c r="AB85" s="1207"/>
      <c r="AC85" s="1207"/>
      <c r="AD85" s="1207"/>
      <c r="AE85" s="1207"/>
      <c r="AF85" s="1207"/>
      <c r="AG85" s="1207"/>
      <c r="AH85" s="1207"/>
      <c r="AN85" s="1315">
        <v>1820.952</v>
      </c>
    </row>
    <row r="86" spans="1:43" x14ac:dyDescent="0.2">
      <c r="A86" s="1207"/>
      <c r="B86" s="1350">
        <v>42248</v>
      </c>
      <c r="C86" s="1345"/>
      <c r="D86" s="1354"/>
      <c r="E86" s="1207"/>
      <c r="F86" s="1207"/>
      <c r="G86" s="1353"/>
      <c r="H86" s="1207"/>
      <c r="I86" s="1207"/>
      <c r="J86" s="1207"/>
      <c r="K86" s="1352"/>
      <c r="L86" s="1208"/>
      <c r="M86" s="1208"/>
      <c r="N86" s="1207"/>
      <c r="O86" s="1207"/>
      <c r="P86" s="1208"/>
      <c r="Q86" s="1207"/>
      <c r="R86" s="1207"/>
      <c r="S86" s="1207"/>
      <c r="T86" s="1207"/>
      <c r="U86" s="1207"/>
      <c r="V86" s="1207"/>
      <c r="W86" s="1207"/>
      <c r="X86" s="1207"/>
      <c r="Y86" s="1207"/>
      <c r="Z86" s="1207"/>
      <c r="AA86" s="1207"/>
      <c r="AB86" s="1207"/>
      <c r="AC86" s="1207"/>
      <c r="AD86" s="1207"/>
      <c r="AE86" s="1207"/>
      <c r="AF86" s="1207"/>
      <c r="AG86" s="1207"/>
      <c r="AH86" s="1207"/>
      <c r="AI86" s="1355"/>
      <c r="AJ86" s="1320"/>
      <c r="AN86" s="1315">
        <v>2110.3739999999998</v>
      </c>
      <c r="AP86" s="1209">
        <v>1701.6279999999999</v>
      </c>
      <c r="AQ86" s="1209" t="s">
        <v>491</v>
      </c>
    </row>
    <row r="87" spans="1:43" x14ac:dyDescent="0.2">
      <c r="A87" s="1207"/>
      <c r="B87" s="1350">
        <v>42248</v>
      </c>
      <c r="C87" s="1356"/>
      <c r="D87" s="1345"/>
      <c r="E87" s="1357"/>
      <c r="F87" s="1207"/>
      <c r="G87" s="1349"/>
      <c r="H87" s="1207"/>
      <c r="I87" s="1207"/>
      <c r="J87" s="1207"/>
      <c r="K87" s="1207"/>
      <c r="L87" s="1207"/>
      <c r="M87" s="1207"/>
      <c r="N87" s="1207"/>
      <c r="O87" s="1207"/>
      <c r="P87" s="1208"/>
      <c r="Q87" s="1207"/>
      <c r="R87" s="1207"/>
      <c r="S87" s="1207"/>
      <c r="T87" s="1207"/>
      <c r="U87" s="1207"/>
      <c r="V87" s="1207"/>
      <c r="W87" s="1207"/>
      <c r="X87" s="1207"/>
      <c r="Y87" s="1207"/>
      <c r="Z87" s="1207"/>
      <c r="AA87" s="1207"/>
      <c r="AB87" s="1207"/>
      <c r="AC87" s="1207"/>
      <c r="AD87" s="1207"/>
      <c r="AE87" s="1207"/>
      <c r="AF87" s="1207"/>
      <c r="AG87" s="1207"/>
      <c r="AH87" s="1207"/>
      <c r="AI87" s="1280"/>
      <c r="AN87" s="1315">
        <v>2000</v>
      </c>
      <c r="AP87" s="1209">
        <v>5818.643</v>
      </c>
      <c r="AQ87" s="1209" t="s">
        <v>492</v>
      </c>
    </row>
    <row r="88" spans="1:43" x14ac:dyDescent="0.2">
      <c r="A88" s="1207" t="s">
        <v>31</v>
      </c>
      <c r="B88" s="1350">
        <v>42397</v>
      </c>
      <c r="C88" s="1358"/>
      <c r="D88" s="1354"/>
      <c r="E88" s="1354"/>
      <c r="F88" s="1354"/>
      <c r="G88" s="1349"/>
      <c r="H88" s="1207"/>
      <c r="I88" s="1207"/>
      <c r="J88" s="1207"/>
      <c r="K88" s="1207"/>
      <c r="L88" s="1207"/>
      <c r="M88" s="1207"/>
      <c r="N88" s="1207"/>
      <c r="O88" s="1207"/>
      <c r="P88" s="1208"/>
      <c r="Q88" s="1207"/>
      <c r="R88" s="1207"/>
      <c r="S88" s="1207"/>
      <c r="T88" s="1207"/>
      <c r="U88" s="1207"/>
      <c r="V88" s="1207"/>
      <c r="W88" s="1207"/>
      <c r="X88" s="1207"/>
      <c r="Y88" s="1207"/>
      <c r="Z88" s="1207"/>
      <c r="AA88" s="1207"/>
      <c r="AB88" s="1207"/>
      <c r="AC88" s="1207"/>
      <c r="AD88" s="1207"/>
      <c r="AE88" s="1207"/>
      <c r="AF88" s="1207"/>
      <c r="AG88" s="1207"/>
      <c r="AH88" s="1207"/>
      <c r="AI88" s="1280"/>
      <c r="AN88" s="1315">
        <v>1841.7439999999999</v>
      </c>
    </row>
    <row r="89" spans="1:43" x14ac:dyDescent="0.2">
      <c r="A89" s="1207"/>
      <c r="B89" s="1350">
        <v>42398</v>
      </c>
      <c r="C89" s="1354"/>
      <c r="D89" s="1354"/>
      <c r="E89" s="1354"/>
      <c r="F89" s="1207"/>
      <c r="G89" s="1353"/>
      <c r="H89" s="1207"/>
      <c r="I89" s="1207"/>
      <c r="J89" s="1207"/>
      <c r="K89" s="1207"/>
      <c r="L89" s="1207"/>
      <c r="M89" s="1207"/>
      <c r="N89" s="1207"/>
      <c r="O89" s="1207"/>
      <c r="P89" s="1208"/>
      <c r="Q89" s="1207"/>
      <c r="R89" s="1207"/>
      <c r="S89" s="1207"/>
      <c r="T89" s="1207"/>
      <c r="U89" s="1207"/>
      <c r="V89" s="1207"/>
      <c r="W89" s="1207"/>
      <c r="X89" s="1207"/>
      <c r="Y89" s="1207"/>
      <c r="Z89" s="1207"/>
      <c r="AA89" s="1207"/>
      <c r="AB89" s="1207"/>
      <c r="AC89" s="1207"/>
      <c r="AD89" s="1207"/>
      <c r="AE89" s="1207"/>
      <c r="AF89" s="1207"/>
      <c r="AG89" s="1207"/>
      <c r="AH89" s="1207"/>
      <c r="AI89" s="1280"/>
      <c r="AN89" s="1315">
        <v>747.24800000000005</v>
      </c>
    </row>
    <row r="90" spans="1:43" x14ac:dyDescent="0.2">
      <c r="A90" s="1207"/>
      <c r="B90" s="1350"/>
      <c r="C90" s="1359">
        <f>6578.911-4443.243-2135.668</f>
        <v>0</v>
      </c>
      <c r="D90" s="1354"/>
      <c r="E90" s="1357"/>
      <c r="F90" s="1207"/>
      <c r="G90" s="1360"/>
      <c r="H90" s="1207"/>
      <c r="I90" s="1207"/>
      <c r="J90" s="1207"/>
      <c r="K90" s="1207"/>
      <c r="L90" s="1207"/>
      <c r="M90" s="1207"/>
      <c r="N90" s="1207"/>
      <c r="O90" s="1207"/>
      <c r="P90" s="1208"/>
      <c r="Q90" s="1207"/>
      <c r="R90" s="1207"/>
      <c r="S90" s="1207"/>
      <c r="T90" s="1207"/>
      <c r="U90" s="1207"/>
      <c r="V90" s="1207"/>
      <c r="W90" s="1207"/>
      <c r="X90" s="1207"/>
      <c r="Y90" s="1207"/>
      <c r="Z90" s="1207"/>
      <c r="AA90" s="1207"/>
      <c r="AB90" s="1207"/>
      <c r="AC90" s="1207"/>
      <c r="AD90" s="1207"/>
      <c r="AE90" s="1207"/>
      <c r="AF90" s="1207"/>
      <c r="AG90" s="1207"/>
      <c r="AH90" s="1207"/>
      <c r="AI90" s="1280"/>
      <c r="AN90" s="1315">
        <v>4413.4639999999999</v>
      </c>
    </row>
    <row r="91" spans="1:43" x14ac:dyDescent="0.2">
      <c r="A91" s="1207"/>
      <c r="B91" s="1350">
        <v>42390</v>
      </c>
      <c r="C91" s="1358"/>
      <c r="D91" s="1354"/>
      <c r="E91" s="1354"/>
      <c r="F91" s="1207"/>
      <c r="G91" s="1360"/>
      <c r="H91" s="1207"/>
      <c r="I91" s="1207"/>
      <c r="J91" s="1207"/>
      <c r="K91" s="1207"/>
      <c r="L91" s="1207"/>
      <c r="M91" s="1207"/>
      <c r="N91" s="1207"/>
      <c r="O91" s="1207"/>
      <c r="P91" s="1208"/>
      <c r="Q91" s="1207"/>
      <c r="R91" s="1207"/>
      <c r="S91" s="1207"/>
      <c r="T91" s="1207"/>
      <c r="U91" s="1207"/>
      <c r="V91" s="1207"/>
      <c r="W91" s="1207"/>
      <c r="X91" s="1207"/>
      <c r="Y91" s="1207"/>
      <c r="Z91" s="1207"/>
      <c r="AA91" s="1207"/>
      <c r="AB91" s="1207"/>
      <c r="AC91" s="1207"/>
      <c r="AD91" s="1207"/>
      <c r="AE91" s="1207"/>
      <c r="AF91" s="1207"/>
      <c r="AG91" s="1207"/>
      <c r="AH91" s="1207"/>
      <c r="AN91" s="1315">
        <v>1836.3130000000001</v>
      </c>
    </row>
    <row r="92" spans="1:43" x14ac:dyDescent="0.2">
      <c r="A92" s="1207"/>
      <c r="B92" s="1350">
        <v>42391</v>
      </c>
      <c r="C92" s="1358"/>
      <c r="D92" s="1354"/>
      <c r="E92" s="1354"/>
      <c r="F92" s="1207"/>
      <c r="G92" s="1207"/>
      <c r="H92" s="1207"/>
      <c r="I92" s="1207"/>
      <c r="J92" s="1207"/>
      <c r="K92" s="1207"/>
      <c r="L92" s="1207"/>
      <c r="M92" s="1207"/>
      <c r="N92" s="1207"/>
      <c r="O92" s="1207"/>
      <c r="P92" s="1208"/>
      <c r="Q92" s="1207"/>
      <c r="R92" s="1207"/>
      <c r="S92" s="1207"/>
      <c r="T92" s="1207"/>
      <c r="U92" s="1207"/>
      <c r="V92" s="1207"/>
      <c r="W92" s="1207"/>
      <c r="X92" s="1207"/>
      <c r="Y92" s="1207"/>
      <c r="Z92" s="1207"/>
      <c r="AA92" s="1207"/>
      <c r="AB92" s="1207"/>
      <c r="AC92" s="1207"/>
      <c r="AD92" s="1207"/>
      <c r="AE92" s="1207"/>
      <c r="AF92" s="1207"/>
      <c r="AG92" s="1207"/>
      <c r="AH92" s="1207"/>
      <c r="AN92" s="1315">
        <v>8000</v>
      </c>
    </row>
    <row r="93" spans="1:43" x14ac:dyDescent="0.2">
      <c r="A93" s="1207"/>
      <c r="B93" s="1350">
        <v>42396</v>
      </c>
      <c r="C93" s="1363"/>
      <c r="D93" s="1354"/>
      <c r="E93" s="1354"/>
      <c r="F93" s="1207"/>
      <c r="G93" s="1207"/>
      <c r="H93" s="1207"/>
      <c r="I93" s="1207"/>
      <c r="J93" s="1207"/>
      <c r="K93" s="1207"/>
      <c r="L93" s="1207"/>
      <c r="M93" s="1207"/>
      <c r="N93" s="1207"/>
      <c r="O93" s="1207"/>
      <c r="P93" s="1208"/>
      <c r="Q93" s="1207"/>
      <c r="R93" s="1207"/>
      <c r="S93" s="1207"/>
      <c r="T93" s="1207"/>
      <c r="U93" s="1207"/>
      <c r="V93" s="1207"/>
      <c r="W93" s="1207"/>
      <c r="X93" s="1207"/>
      <c r="Y93" s="1207"/>
      <c r="Z93" s="1207"/>
      <c r="AA93" s="1207"/>
      <c r="AB93" s="1207"/>
      <c r="AC93" s="1207"/>
      <c r="AD93" s="1207"/>
      <c r="AE93" s="1207"/>
      <c r="AF93" s="1207"/>
      <c r="AG93" s="1207"/>
      <c r="AH93" s="1207"/>
      <c r="AN93" s="1280">
        <f>SUM(AN44:AN92)</f>
        <v>167376.80400000003</v>
      </c>
      <c r="AP93" s="1361">
        <f>AN93+AP86+AP87</f>
        <v>174897.07500000004</v>
      </c>
    </row>
    <row r="94" spans="1:43" x14ac:dyDescent="0.2">
      <c r="A94" s="1207"/>
      <c r="B94" s="1350">
        <v>42392</v>
      </c>
      <c r="C94" s="1363"/>
      <c r="D94" s="1354"/>
      <c r="E94" s="1354"/>
      <c r="F94" s="1207"/>
      <c r="G94" s="1207"/>
      <c r="H94" s="1207"/>
      <c r="I94" s="1207"/>
      <c r="J94" s="1207"/>
      <c r="K94" s="1207"/>
      <c r="L94" s="1207"/>
      <c r="M94" s="1207"/>
      <c r="N94" s="1207"/>
      <c r="O94" s="1207"/>
      <c r="P94" s="1208"/>
      <c r="Q94" s="1207"/>
      <c r="R94" s="1207"/>
      <c r="S94" s="1207"/>
      <c r="T94" s="1207"/>
      <c r="U94" s="1207"/>
      <c r="V94" s="1207"/>
      <c r="W94" s="1207"/>
      <c r="X94" s="1207"/>
      <c r="Y94" s="1207"/>
      <c r="Z94" s="1207"/>
      <c r="AA94" s="1207"/>
      <c r="AB94" s="1207"/>
      <c r="AC94" s="1207"/>
      <c r="AD94" s="1207"/>
      <c r="AE94" s="1207"/>
      <c r="AF94" s="1207"/>
      <c r="AG94" s="1207"/>
      <c r="AH94" s="1207"/>
      <c r="AN94" s="1280"/>
      <c r="AP94" s="1361"/>
    </row>
    <row r="95" spans="1:43" x14ac:dyDescent="0.2">
      <c r="A95" s="1207"/>
      <c r="B95" s="1350">
        <v>42393</v>
      </c>
      <c r="C95" s="1363"/>
      <c r="D95" s="1354"/>
      <c r="E95" s="1354"/>
      <c r="F95" s="1207"/>
      <c r="G95" s="1207"/>
      <c r="H95" s="1207"/>
      <c r="I95" s="1207"/>
      <c r="J95" s="1207"/>
      <c r="K95" s="1207"/>
      <c r="L95" s="1207"/>
      <c r="M95" s="1207"/>
      <c r="N95" s="1207"/>
      <c r="O95" s="1207"/>
      <c r="P95" s="1208"/>
      <c r="Q95" s="1207"/>
      <c r="R95" s="1207"/>
      <c r="S95" s="1207"/>
      <c r="T95" s="1207"/>
      <c r="U95" s="1207"/>
      <c r="V95" s="1207"/>
      <c r="W95" s="1207"/>
      <c r="X95" s="1207"/>
      <c r="Y95" s="1207"/>
      <c r="Z95" s="1207"/>
      <c r="AA95" s="1207"/>
      <c r="AB95" s="1207"/>
      <c r="AC95" s="1207"/>
      <c r="AD95" s="1207"/>
      <c r="AE95" s="1207"/>
      <c r="AF95" s="1207"/>
      <c r="AG95" s="1207"/>
      <c r="AH95" s="1207"/>
      <c r="AN95" s="1280"/>
      <c r="AP95" s="1361"/>
    </row>
    <row r="96" spans="1:43" x14ac:dyDescent="0.2">
      <c r="A96" s="1207"/>
      <c r="B96" s="1350">
        <v>42394</v>
      </c>
      <c r="C96" s="1363"/>
      <c r="D96" s="1354"/>
      <c r="E96" s="1354"/>
      <c r="F96" s="1207"/>
      <c r="G96" s="1207"/>
      <c r="H96" s="1207"/>
      <c r="I96" s="1207"/>
      <c r="J96" s="1207"/>
      <c r="K96" s="1207"/>
      <c r="L96" s="1207"/>
      <c r="M96" s="1207"/>
      <c r="N96" s="1207"/>
      <c r="O96" s="1207"/>
      <c r="P96" s="1208"/>
      <c r="Q96" s="1207"/>
      <c r="R96" s="1207"/>
      <c r="S96" s="1207"/>
      <c r="T96" s="1207"/>
      <c r="U96" s="1207"/>
      <c r="V96" s="1207"/>
      <c r="W96" s="1207"/>
      <c r="X96" s="1207"/>
      <c r="Y96" s="1207"/>
      <c r="Z96" s="1207"/>
      <c r="AA96" s="1207"/>
      <c r="AB96" s="1207"/>
      <c r="AC96" s="1207"/>
      <c r="AD96" s="1207"/>
      <c r="AE96" s="1207"/>
      <c r="AF96" s="1207"/>
      <c r="AG96" s="1207"/>
      <c r="AH96" s="1207"/>
      <c r="AN96" s="1280"/>
      <c r="AP96" s="1361"/>
    </row>
    <row r="97" spans="1:42" x14ac:dyDescent="0.2">
      <c r="A97" s="1207"/>
      <c r="B97" s="1350">
        <v>42391</v>
      </c>
      <c r="C97" s="1363"/>
      <c r="D97" s="1354"/>
      <c r="E97" s="1354"/>
      <c r="F97" s="1207"/>
      <c r="G97" s="1207"/>
      <c r="H97" s="1207"/>
      <c r="I97" s="1207"/>
      <c r="J97" s="1207"/>
      <c r="K97" s="1207"/>
      <c r="L97" s="1207"/>
      <c r="M97" s="1207"/>
      <c r="N97" s="1207"/>
      <c r="O97" s="1207"/>
      <c r="P97" s="1208"/>
      <c r="Q97" s="1207"/>
      <c r="R97" s="1207"/>
      <c r="S97" s="1207"/>
      <c r="T97" s="1207"/>
      <c r="U97" s="1207"/>
      <c r="V97" s="1207"/>
      <c r="W97" s="1207"/>
      <c r="X97" s="1207"/>
      <c r="Y97" s="1207"/>
      <c r="Z97" s="1207"/>
      <c r="AA97" s="1207"/>
      <c r="AB97" s="1207"/>
      <c r="AC97" s="1207"/>
      <c r="AD97" s="1207"/>
      <c r="AE97" s="1207"/>
      <c r="AF97" s="1207"/>
      <c r="AG97" s="1207"/>
      <c r="AH97" s="1207"/>
      <c r="AN97" s="1280"/>
      <c r="AP97" s="1361"/>
    </row>
    <row r="98" spans="1:42" x14ac:dyDescent="0.2">
      <c r="A98" s="1207"/>
      <c r="B98" s="1350">
        <v>42390</v>
      </c>
      <c r="C98" s="1363"/>
      <c r="D98" s="1354"/>
      <c r="E98" s="1354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8"/>
      <c r="Q98" s="1207"/>
      <c r="R98" s="1207"/>
      <c r="S98" s="1207"/>
      <c r="T98" s="1207"/>
      <c r="U98" s="1207"/>
      <c r="V98" s="1207"/>
      <c r="W98" s="1207"/>
      <c r="X98" s="1207"/>
      <c r="Y98" s="1207"/>
      <c r="Z98" s="1207"/>
      <c r="AA98" s="1207"/>
      <c r="AB98" s="1207"/>
      <c r="AC98" s="1207"/>
      <c r="AD98" s="1207"/>
      <c r="AE98" s="1207"/>
      <c r="AF98" s="1207"/>
      <c r="AG98" s="1207"/>
      <c r="AH98" s="1207"/>
      <c r="AN98" s="1280"/>
      <c r="AP98" s="1361"/>
    </row>
    <row r="99" spans="1:42" x14ac:dyDescent="0.2">
      <c r="A99" s="1207"/>
      <c r="B99" s="1350">
        <v>42395</v>
      </c>
      <c r="C99" s="1363"/>
      <c r="D99" s="1354"/>
      <c r="E99" s="1354"/>
      <c r="F99" s="1207"/>
      <c r="G99" s="1207"/>
      <c r="H99" s="1207"/>
      <c r="I99" s="1207"/>
      <c r="J99" s="1207"/>
      <c r="K99" s="1207"/>
      <c r="L99" s="1207"/>
      <c r="M99" s="1207"/>
      <c r="N99" s="1207"/>
      <c r="O99" s="1207"/>
      <c r="P99" s="1208"/>
      <c r="Q99" s="1207"/>
      <c r="R99" s="1207"/>
      <c r="S99" s="1207"/>
      <c r="T99" s="1207"/>
      <c r="U99" s="1207"/>
      <c r="V99" s="1207"/>
      <c r="W99" s="1207"/>
      <c r="X99" s="1207"/>
      <c r="Y99" s="1207"/>
      <c r="Z99" s="1207"/>
      <c r="AA99" s="1207"/>
      <c r="AB99" s="1207"/>
      <c r="AC99" s="1207"/>
      <c r="AD99" s="1207"/>
      <c r="AE99" s="1207"/>
      <c r="AF99" s="1207"/>
      <c r="AG99" s="1207"/>
      <c r="AH99" s="1207"/>
      <c r="AN99" s="1280"/>
      <c r="AP99" s="1361"/>
    </row>
    <row r="100" spans="1:42" x14ac:dyDescent="0.2">
      <c r="A100" s="1207"/>
      <c r="B100" s="1350">
        <v>42397</v>
      </c>
      <c r="C100" s="1363"/>
      <c r="D100" s="1354"/>
      <c r="E100" s="1354"/>
      <c r="F100" s="1207"/>
      <c r="G100" s="1207"/>
      <c r="H100" s="1207"/>
      <c r="I100" s="1207"/>
      <c r="J100" s="1207"/>
      <c r="K100" s="1207"/>
      <c r="L100" s="1207"/>
      <c r="M100" s="1207"/>
      <c r="N100" s="1207"/>
      <c r="O100" s="1207"/>
      <c r="P100" s="1208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07"/>
      <c r="AA100" s="1207"/>
      <c r="AB100" s="1207"/>
      <c r="AC100" s="1207"/>
      <c r="AD100" s="1207"/>
      <c r="AE100" s="1207"/>
      <c r="AF100" s="1207"/>
      <c r="AG100" s="1207"/>
      <c r="AH100" s="1207"/>
      <c r="AN100" s="1280"/>
      <c r="AP100" s="1361"/>
    </row>
    <row r="101" spans="1:42" x14ac:dyDescent="0.2">
      <c r="A101" s="1207"/>
      <c r="B101" s="1350">
        <v>42398</v>
      </c>
      <c r="C101" s="1363"/>
      <c r="D101" s="1354"/>
      <c r="E101" s="1354"/>
      <c r="F101" s="1207"/>
      <c r="G101" s="1207"/>
      <c r="H101" s="1207"/>
      <c r="I101" s="1207"/>
      <c r="J101" s="1207"/>
      <c r="K101" s="1207"/>
      <c r="L101" s="1207"/>
      <c r="M101" s="1207"/>
      <c r="N101" s="1207"/>
      <c r="O101" s="1207"/>
      <c r="P101" s="1208"/>
      <c r="Q101" s="1207"/>
      <c r="R101" s="1207"/>
      <c r="S101" s="1207"/>
      <c r="T101" s="1207"/>
      <c r="U101" s="1207"/>
      <c r="V101" s="1207"/>
      <c r="W101" s="1207"/>
      <c r="X101" s="1207"/>
      <c r="Y101" s="1207"/>
      <c r="Z101" s="1207"/>
      <c r="AA101" s="1207"/>
      <c r="AB101" s="1207"/>
      <c r="AC101" s="1207"/>
      <c r="AD101" s="1207"/>
      <c r="AE101" s="1207"/>
      <c r="AF101" s="1207"/>
      <c r="AG101" s="1207"/>
      <c r="AH101" s="1207"/>
      <c r="AN101" s="1280"/>
      <c r="AP101" s="1361"/>
    </row>
    <row r="102" spans="1:42" x14ac:dyDescent="0.2">
      <c r="A102" s="1207"/>
      <c r="B102" s="1350">
        <v>42399</v>
      </c>
      <c r="C102" s="1363"/>
      <c r="D102" s="1354"/>
      <c r="E102" s="1354"/>
      <c r="F102" s="1207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8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07"/>
      <c r="AA102" s="1207"/>
      <c r="AB102" s="1207"/>
      <c r="AC102" s="1207"/>
      <c r="AD102" s="1207"/>
      <c r="AE102" s="1207"/>
      <c r="AF102" s="1207"/>
      <c r="AG102" s="1207"/>
      <c r="AH102" s="1207"/>
      <c r="AN102" s="1280"/>
      <c r="AP102" s="1361"/>
    </row>
    <row r="103" spans="1:42" x14ac:dyDescent="0.2">
      <c r="A103" s="1207"/>
      <c r="B103" s="1350">
        <v>42400</v>
      </c>
      <c r="C103" s="1363"/>
      <c r="D103" s="1354"/>
      <c r="E103" s="1354"/>
      <c r="F103" s="1207"/>
      <c r="G103" s="1207"/>
      <c r="H103" s="1207"/>
      <c r="I103" s="1207"/>
      <c r="J103" s="1207"/>
      <c r="K103" s="1207"/>
      <c r="L103" s="1207"/>
      <c r="M103" s="1207"/>
      <c r="N103" s="1207"/>
      <c r="O103" s="1207"/>
      <c r="P103" s="1208"/>
      <c r="Q103" s="1207"/>
      <c r="R103" s="1207"/>
      <c r="S103" s="1207"/>
      <c r="T103" s="1207"/>
      <c r="U103" s="1207"/>
      <c r="V103" s="1207"/>
      <c r="W103" s="1207"/>
      <c r="X103" s="1207"/>
      <c r="Y103" s="1207"/>
      <c r="Z103" s="1207"/>
      <c r="AA103" s="1207"/>
      <c r="AB103" s="1207"/>
      <c r="AC103" s="1207"/>
      <c r="AD103" s="1207"/>
      <c r="AE103" s="1207"/>
      <c r="AF103" s="1207"/>
      <c r="AG103" s="1207"/>
      <c r="AH103" s="1207"/>
      <c r="AN103" s="1280"/>
      <c r="AP103" s="1361"/>
    </row>
    <row r="104" spans="1:42" x14ac:dyDescent="0.2">
      <c r="A104" s="1207"/>
      <c r="B104" s="1350">
        <v>42382</v>
      </c>
      <c r="C104" s="1363"/>
      <c r="D104" s="1354"/>
      <c r="E104" s="1354"/>
      <c r="F104" s="1207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8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07"/>
      <c r="AA104" s="1207"/>
      <c r="AB104" s="1207"/>
      <c r="AC104" s="1207"/>
      <c r="AD104" s="1207"/>
      <c r="AE104" s="1207"/>
      <c r="AF104" s="1207"/>
      <c r="AG104" s="1207"/>
      <c r="AH104" s="1207"/>
      <c r="AN104" s="1280"/>
      <c r="AP104" s="1361"/>
    </row>
    <row r="105" spans="1:42" x14ac:dyDescent="0.2">
      <c r="A105" s="1207"/>
      <c r="B105" s="1350">
        <v>42380</v>
      </c>
      <c r="C105" s="1363"/>
      <c r="D105" s="1354"/>
      <c r="E105" s="1354"/>
      <c r="F105" s="1207"/>
      <c r="G105" s="1207"/>
      <c r="H105" s="1207"/>
      <c r="I105" s="1207"/>
      <c r="J105" s="1207"/>
      <c r="K105" s="1207"/>
      <c r="L105" s="1207"/>
      <c r="M105" s="1207"/>
      <c r="N105" s="1207"/>
      <c r="O105" s="1207"/>
      <c r="P105" s="1208"/>
      <c r="Q105" s="1207"/>
      <c r="R105" s="1207"/>
      <c r="S105" s="1207"/>
      <c r="T105" s="1207"/>
      <c r="U105" s="1207"/>
      <c r="V105" s="1207"/>
      <c r="W105" s="1207"/>
      <c r="X105" s="1207"/>
      <c r="Y105" s="1207"/>
      <c r="Z105" s="1207"/>
      <c r="AA105" s="1207"/>
      <c r="AB105" s="1207"/>
      <c r="AC105" s="1207"/>
      <c r="AD105" s="1207"/>
      <c r="AE105" s="1207"/>
      <c r="AF105" s="1207"/>
      <c r="AG105" s="1207"/>
      <c r="AH105" s="1207"/>
      <c r="AN105" s="1280"/>
      <c r="AP105" s="1361"/>
    </row>
    <row r="106" spans="1:42" x14ac:dyDescent="0.2">
      <c r="A106" s="1207"/>
      <c r="B106" s="1350">
        <v>42381</v>
      </c>
      <c r="C106" s="1363"/>
      <c r="D106" s="1354"/>
      <c r="E106" s="1354"/>
      <c r="F106" s="1207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8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07"/>
      <c r="AA106" s="1207"/>
      <c r="AB106" s="1207"/>
      <c r="AC106" s="1207"/>
      <c r="AD106" s="1207"/>
      <c r="AE106" s="1207"/>
      <c r="AF106" s="1207"/>
      <c r="AG106" s="1207"/>
      <c r="AH106" s="1207"/>
      <c r="AN106" s="1280"/>
      <c r="AP106" s="1361"/>
    </row>
    <row r="107" spans="1:42" x14ac:dyDescent="0.2">
      <c r="A107" s="1207"/>
      <c r="B107" s="1350">
        <v>42384</v>
      </c>
      <c r="C107" s="1363"/>
      <c r="D107" s="1354" t="s">
        <v>813</v>
      </c>
      <c r="E107" s="1354"/>
      <c r="F107" s="1207"/>
      <c r="G107" s="1207"/>
      <c r="H107" s="1207"/>
      <c r="I107" s="1207"/>
      <c r="J107" s="1207"/>
      <c r="K107" s="1207"/>
      <c r="L107" s="1207"/>
      <c r="M107" s="1207"/>
      <c r="N107" s="1207"/>
      <c r="O107" s="1207"/>
      <c r="P107" s="1208"/>
      <c r="Q107" s="1207"/>
      <c r="R107" s="1207"/>
      <c r="S107" s="1207"/>
      <c r="T107" s="1207"/>
      <c r="U107" s="1207"/>
      <c r="V107" s="1207"/>
      <c r="W107" s="1207"/>
      <c r="X107" s="1207"/>
      <c r="Y107" s="1207"/>
      <c r="Z107" s="1207"/>
      <c r="AA107" s="1207"/>
      <c r="AB107" s="1207"/>
      <c r="AC107" s="1207"/>
      <c r="AD107" s="1207"/>
      <c r="AE107" s="1207"/>
      <c r="AF107" s="1207"/>
      <c r="AG107" s="1207"/>
      <c r="AH107" s="1207"/>
      <c r="AN107" s="1280"/>
      <c r="AP107" s="1361"/>
    </row>
    <row r="108" spans="1:42" x14ac:dyDescent="0.2">
      <c r="A108" s="1207" t="s">
        <v>436</v>
      </c>
      <c r="B108" s="1350">
        <v>42349</v>
      </c>
      <c r="C108" s="1358"/>
      <c r="D108" s="1354"/>
      <c r="E108" s="1207"/>
      <c r="F108" s="1207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8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07"/>
      <c r="AA108" s="1207"/>
      <c r="AB108" s="1207"/>
      <c r="AC108" s="1207"/>
      <c r="AD108" s="1207"/>
      <c r="AE108" s="1207"/>
      <c r="AF108" s="1207"/>
      <c r="AG108" s="1207"/>
      <c r="AH108" s="1207"/>
      <c r="AN108" s="1280"/>
    </row>
    <row r="109" spans="1:42" x14ac:dyDescent="0.2">
      <c r="A109" s="1365" t="s">
        <v>32</v>
      </c>
      <c r="B109" s="1350">
        <v>42394</v>
      </c>
      <c r="C109" s="1351">
        <f>141432.65-66658.159-27227.396-24249.185-23297.91</f>
        <v>0</v>
      </c>
      <c r="D109" s="1354"/>
      <c r="E109" s="1207"/>
      <c r="F109" s="1207"/>
      <c r="G109" s="1346"/>
      <c r="H109" s="1354"/>
      <c r="I109" s="1207"/>
      <c r="J109" s="1207"/>
      <c r="K109" s="1207"/>
      <c r="L109" s="1207"/>
      <c r="M109" s="1207"/>
      <c r="N109" s="1207"/>
      <c r="O109" s="1207"/>
      <c r="P109" s="1208"/>
      <c r="Q109" s="1207"/>
      <c r="R109" s="1207"/>
      <c r="S109" s="1207"/>
      <c r="T109" s="1207"/>
      <c r="U109" s="1207"/>
      <c r="V109" s="1207"/>
      <c r="W109" s="1207"/>
      <c r="X109" s="1207"/>
      <c r="Y109" s="1207"/>
      <c r="Z109" s="1207"/>
      <c r="AA109" s="1207"/>
      <c r="AB109" s="1207"/>
      <c r="AC109" s="1207"/>
      <c r="AD109" s="1207"/>
      <c r="AE109" s="1207"/>
      <c r="AF109" s="1207"/>
      <c r="AG109" s="1207"/>
      <c r="AH109" s="1207"/>
      <c r="AN109" s="1280">
        <v>222914.55799999999</v>
      </c>
    </row>
    <row r="110" spans="1:42" x14ac:dyDescent="0.2">
      <c r="A110" s="1365" t="s">
        <v>33</v>
      </c>
      <c r="B110" s="1350">
        <v>42394</v>
      </c>
      <c r="C110" s="1351"/>
      <c r="D110" s="1354"/>
      <c r="E110" s="1351"/>
      <c r="F110" s="121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8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07"/>
      <c r="AA110" s="1207"/>
      <c r="AB110" s="1207"/>
      <c r="AC110" s="1207"/>
      <c r="AD110" s="1207"/>
      <c r="AE110" s="1207"/>
      <c r="AF110" s="1207"/>
      <c r="AG110" s="1207"/>
      <c r="AH110" s="1207"/>
    </row>
    <row r="111" spans="1:42" x14ac:dyDescent="0.2">
      <c r="A111" s="1365" t="s">
        <v>1272</v>
      </c>
      <c r="B111" s="1350">
        <v>42389</v>
      </c>
      <c r="C111" s="1351">
        <f>2132.391-500-632.391-1000</f>
        <v>0</v>
      </c>
      <c r="D111" s="1207"/>
      <c r="E111" s="1350"/>
      <c r="F111" s="1219"/>
      <c r="G111" s="1207"/>
      <c r="H111" s="1207"/>
      <c r="I111" s="1207"/>
      <c r="J111" s="1207"/>
      <c r="K111" s="1207"/>
      <c r="L111" s="1207"/>
      <c r="M111" s="1207"/>
      <c r="N111" s="1207"/>
      <c r="O111" s="1207"/>
      <c r="P111" s="1208"/>
      <c r="Q111" s="1207"/>
      <c r="R111" s="1207"/>
      <c r="S111" s="1207"/>
      <c r="T111" s="1207"/>
      <c r="U111" s="1207"/>
      <c r="V111" s="1207"/>
      <c r="W111" s="1207"/>
      <c r="X111" s="1207"/>
      <c r="Y111" s="1207"/>
      <c r="Z111" s="1207"/>
      <c r="AA111" s="1207"/>
      <c r="AB111" s="1207"/>
      <c r="AC111" s="1207"/>
      <c r="AD111" s="1207"/>
      <c r="AE111" s="1207"/>
      <c r="AF111" s="1207"/>
      <c r="AG111" s="1207"/>
      <c r="AH111" s="1207"/>
      <c r="AN111" s="1361">
        <f>AN109-AN93</f>
        <v>55537.753999999957</v>
      </c>
    </row>
    <row r="112" spans="1:42" x14ac:dyDescent="0.2">
      <c r="A112" s="1365" t="s">
        <v>33</v>
      </c>
      <c r="B112" s="1350">
        <v>42395</v>
      </c>
      <c r="C112" s="1351"/>
      <c r="D112" s="1207"/>
      <c r="E112" s="1350"/>
      <c r="F112" s="121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8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07"/>
      <c r="AA112" s="1207"/>
      <c r="AB112" s="1207"/>
      <c r="AC112" s="1207"/>
      <c r="AD112" s="1207"/>
      <c r="AE112" s="1207"/>
      <c r="AF112" s="1207"/>
      <c r="AG112" s="1207"/>
      <c r="AH112" s="1207"/>
    </row>
    <row r="113" spans="1:34" x14ac:dyDescent="0.2">
      <c r="A113" s="1365" t="s">
        <v>33</v>
      </c>
      <c r="B113" s="1350">
        <v>42396</v>
      </c>
      <c r="C113" s="1351">
        <f>28337.732-14838.69-13499.042</f>
        <v>0</v>
      </c>
      <c r="D113" s="1207"/>
      <c r="E113" s="1207"/>
      <c r="F113" s="1207"/>
      <c r="G113" s="1207"/>
      <c r="H113" s="1207"/>
      <c r="I113" s="1207"/>
      <c r="J113" s="1207"/>
      <c r="K113" s="1207"/>
      <c r="L113" s="1207"/>
      <c r="M113" s="1207"/>
      <c r="N113" s="1207"/>
      <c r="O113" s="1207"/>
      <c r="P113" s="1208"/>
      <c r="Q113" s="1207"/>
      <c r="R113" s="1207"/>
      <c r="S113" s="1207"/>
      <c r="T113" s="1207"/>
      <c r="U113" s="1207"/>
      <c r="V113" s="1207"/>
      <c r="W113" s="1207"/>
      <c r="X113" s="1207"/>
      <c r="Y113" s="1207"/>
      <c r="Z113" s="1207"/>
      <c r="AA113" s="1207"/>
      <c r="AB113" s="1207"/>
      <c r="AC113" s="1207"/>
      <c r="AD113" s="1207"/>
      <c r="AE113" s="1207"/>
      <c r="AF113" s="1207"/>
      <c r="AG113" s="1207"/>
      <c r="AH113" s="1207"/>
    </row>
    <row r="114" spans="1:34" x14ac:dyDescent="0.2">
      <c r="A114" s="1365" t="s">
        <v>33</v>
      </c>
      <c r="B114" s="1350">
        <v>42398</v>
      </c>
      <c r="C114" s="1351"/>
      <c r="D114" s="1207"/>
      <c r="E114" s="1354"/>
      <c r="F114" s="1207"/>
      <c r="G114" s="1207"/>
      <c r="H114" s="1207"/>
      <c r="I114" s="1207"/>
      <c r="J114" s="1207"/>
      <c r="K114" s="1207"/>
      <c r="L114" s="1207"/>
      <c r="M114" s="1207"/>
      <c r="N114" s="1207"/>
      <c r="O114" s="1207"/>
      <c r="P114" s="1208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07"/>
      <c r="AA114" s="1207"/>
      <c r="AB114" s="1207"/>
      <c r="AC114" s="1207"/>
      <c r="AD114" s="1207"/>
      <c r="AE114" s="1207"/>
      <c r="AF114" s="1207"/>
      <c r="AG114" s="1207"/>
      <c r="AH114" s="1207"/>
    </row>
    <row r="115" spans="1:34" x14ac:dyDescent="0.2">
      <c r="A115" s="1365" t="s">
        <v>33</v>
      </c>
      <c r="B115" s="1350">
        <v>42380</v>
      </c>
      <c r="C115" s="1351"/>
      <c r="D115" s="1354"/>
      <c r="E115" s="1354"/>
      <c r="F115" s="1207"/>
      <c r="G115" s="1207"/>
      <c r="H115" s="1207"/>
      <c r="I115" s="1207"/>
      <c r="J115" s="1207"/>
      <c r="K115" s="1207"/>
      <c r="L115" s="1207"/>
      <c r="M115" s="1207"/>
      <c r="N115" s="1207"/>
      <c r="O115" s="1207"/>
      <c r="P115" s="1208"/>
      <c r="Q115" s="1207"/>
      <c r="R115" s="1207"/>
      <c r="S115" s="1207"/>
      <c r="T115" s="1207"/>
      <c r="U115" s="1207"/>
      <c r="V115" s="1207"/>
      <c r="W115" s="1207"/>
      <c r="X115" s="1207"/>
      <c r="Y115" s="1207"/>
      <c r="Z115" s="1207"/>
      <c r="AA115" s="1207"/>
      <c r="AB115" s="1207"/>
      <c r="AC115" s="1207"/>
      <c r="AD115" s="1207"/>
      <c r="AE115" s="1207"/>
      <c r="AF115" s="1207"/>
      <c r="AG115" s="1207"/>
      <c r="AH115" s="1207"/>
    </row>
    <row r="116" spans="1:34" x14ac:dyDescent="0.2">
      <c r="A116" s="1365" t="s">
        <v>33</v>
      </c>
      <c r="B116" s="1350">
        <v>42248</v>
      </c>
      <c r="C116" s="1351"/>
      <c r="D116" s="1207"/>
      <c r="E116" s="1207"/>
      <c r="F116" s="1207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8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07"/>
      <c r="AA116" s="1207"/>
      <c r="AB116" s="1207"/>
      <c r="AC116" s="1207"/>
      <c r="AD116" s="1207"/>
      <c r="AE116" s="1207"/>
      <c r="AF116" s="1207"/>
      <c r="AG116" s="1207"/>
      <c r="AH116" s="1207"/>
    </row>
    <row r="117" spans="1:34" x14ac:dyDescent="0.2">
      <c r="A117" s="1365" t="s">
        <v>33</v>
      </c>
      <c r="B117" s="1350">
        <v>42248</v>
      </c>
      <c r="C117" s="1351"/>
      <c r="D117" s="1207"/>
      <c r="E117" s="1354"/>
      <c r="F117" s="1207"/>
      <c r="G117" s="1207"/>
      <c r="H117" s="1207"/>
      <c r="I117" s="1207"/>
      <c r="J117" s="1207"/>
      <c r="K117" s="1207"/>
      <c r="L117" s="1207"/>
      <c r="M117" s="1207"/>
      <c r="N117" s="1207"/>
      <c r="O117" s="1207"/>
      <c r="P117" s="1208"/>
      <c r="Q117" s="1207"/>
      <c r="R117" s="1207"/>
      <c r="S117" s="1207"/>
      <c r="T117" s="1207"/>
      <c r="U117" s="1207"/>
      <c r="V117" s="1207"/>
      <c r="W117" s="1207"/>
      <c r="X117" s="1207"/>
      <c r="Y117" s="1207"/>
      <c r="Z117" s="1207"/>
      <c r="AA117" s="1207"/>
      <c r="AB117" s="1207"/>
      <c r="AC117" s="1207"/>
      <c r="AD117" s="1207"/>
      <c r="AE117" s="1207"/>
      <c r="AF117" s="1207"/>
      <c r="AG117" s="1207"/>
      <c r="AH117" s="1207"/>
    </row>
    <row r="118" spans="1:34" x14ac:dyDescent="0.2">
      <c r="A118" s="1365" t="s">
        <v>33</v>
      </c>
      <c r="B118" s="1350">
        <v>42248</v>
      </c>
      <c r="C118" s="1351"/>
      <c r="D118" s="1207"/>
      <c r="E118" s="1207"/>
      <c r="F118" s="1207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8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07"/>
      <c r="AA118" s="1207"/>
      <c r="AB118" s="1207"/>
      <c r="AC118" s="1207"/>
      <c r="AD118" s="1207"/>
      <c r="AE118" s="1207"/>
      <c r="AF118" s="1207"/>
      <c r="AG118" s="1207"/>
      <c r="AH118" s="1207"/>
    </row>
    <row r="119" spans="1:34" x14ac:dyDescent="0.2">
      <c r="A119" s="1365" t="s">
        <v>33</v>
      </c>
      <c r="B119" s="1350">
        <v>42248</v>
      </c>
      <c r="C119" s="1351"/>
      <c r="D119" s="1207"/>
      <c r="E119" s="1366"/>
      <c r="F119" s="1207"/>
      <c r="G119" s="1207"/>
      <c r="H119" s="1207"/>
      <c r="I119" s="1207"/>
      <c r="J119" s="1207"/>
      <c r="K119" s="1207"/>
      <c r="L119" s="1207"/>
      <c r="M119" s="1207"/>
      <c r="N119" s="1207"/>
      <c r="O119" s="1207"/>
      <c r="P119" s="1208"/>
      <c r="Q119" s="1207"/>
      <c r="R119" s="1207"/>
      <c r="S119" s="1207"/>
      <c r="T119" s="1207"/>
      <c r="U119" s="1207"/>
      <c r="V119" s="1207"/>
      <c r="W119" s="1207"/>
      <c r="X119" s="1207"/>
      <c r="Y119" s="1207"/>
      <c r="Z119" s="1207"/>
      <c r="AA119" s="1207"/>
      <c r="AB119" s="1207"/>
      <c r="AC119" s="1207"/>
      <c r="AD119" s="1207"/>
      <c r="AE119" s="1207"/>
      <c r="AF119" s="1207"/>
      <c r="AG119" s="1207"/>
      <c r="AH119" s="1207"/>
    </row>
    <row r="120" spans="1:34" x14ac:dyDescent="0.2">
      <c r="A120" s="1365" t="s">
        <v>32</v>
      </c>
      <c r="B120" s="1350">
        <v>42251</v>
      </c>
      <c r="C120" s="1367"/>
      <c r="D120" s="1207"/>
      <c r="E120" s="1354"/>
      <c r="F120" s="1207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8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</row>
    <row r="121" spans="1:34" x14ac:dyDescent="0.2">
      <c r="A121" s="1316" t="s">
        <v>33</v>
      </c>
      <c r="B121" s="1350">
        <v>42342</v>
      </c>
      <c r="C121" s="1351"/>
      <c r="D121" s="1207"/>
      <c r="E121" s="1207"/>
      <c r="F121" s="1207"/>
      <c r="G121" s="1354"/>
      <c r="H121" s="1354"/>
      <c r="I121" s="1207"/>
      <c r="J121" s="1207"/>
      <c r="K121" s="1207"/>
      <c r="L121" s="1207"/>
      <c r="M121" s="1207"/>
      <c r="N121" s="1207"/>
      <c r="O121" s="1207"/>
      <c r="P121" s="1208"/>
      <c r="Q121" s="1207"/>
      <c r="R121" s="1207"/>
      <c r="S121" s="1207"/>
      <c r="T121" s="1207"/>
      <c r="U121" s="1207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</row>
    <row r="122" spans="1:34" x14ac:dyDescent="0.2">
      <c r="A122" s="1207"/>
      <c r="B122" s="1350"/>
      <c r="C122" s="1345"/>
      <c r="D122" s="1207"/>
      <c r="E122" s="1207"/>
      <c r="F122" s="1207"/>
      <c r="G122" s="1354"/>
      <c r="H122" s="1207"/>
      <c r="I122" s="1207"/>
      <c r="J122" s="1207"/>
      <c r="K122" s="1207"/>
      <c r="L122" s="1207"/>
      <c r="M122" s="1207"/>
      <c r="N122" s="1207"/>
      <c r="O122" s="1207"/>
      <c r="P122" s="1208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07"/>
      <c r="AA122" s="1207"/>
      <c r="AB122" s="1207"/>
      <c r="AC122" s="1207"/>
      <c r="AD122" s="1207"/>
      <c r="AE122" s="1207"/>
      <c r="AF122" s="1207"/>
      <c r="AG122" s="1207"/>
      <c r="AH122" s="1207"/>
    </row>
    <row r="123" spans="1:34" x14ac:dyDescent="0.2">
      <c r="A123" s="1207"/>
      <c r="B123" s="1350"/>
      <c r="C123" s="1207"/>
      <c r="D123" s="1207"/>
      <c r="E123" s="1207"/>
      <c r="F123" s="1207"/>
      <c r="G123" s="1207"/>
      <c r="H123" s="1367"/>
      <c r="I123" s="1207"/>
      <c r="J123" s="1207"/>
      <c r="K123" s="1207"/>
      <c r="L123" s="1207"/>
      <c r="M123" s="1207"/>
      <c r="N123" s="1207"/>
      <c r="O123" s="1207"/>
      <c r="P123" s="1208"/>
      <c r="Q123" s="1207"/>
      <c r="R123" s="1207"/>
      <c r="S123" s="1207"/>
      <c r="T123" s="1207"/>
      <c r="U123" s="1207"/>
      <c r="V123" s="1207"/>
      <c r="W123" s="1207"/>
      <c r="X123" s="1207"/>
      <c r="Y123" s="1207"/>
      <c r="Z123" s="1207"/>
      <c r="AA123" s="1207"/>
      <c r="AB123" s="1207"/>
      <c r="AC123" s="1207"/>
      <c r="AD123" s="1207"/>
      <c r="AE123" s="1207"/>
      <c r="AF123" s="1207"/>
      <c r="AG123" s="1207"/>
      <c r="AH123" s="1207"/>
    </row>
    <row r="124" spans="1:34" x14ac:dyDescent="0.2">
      <c r="A124" s="1207"/>
      <c r="B124" s="1350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8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07"/>
      <c r="AA124" s="1207"/>
      <c r="AB124" s="1207"/>
      <c r="AC124" s="1207"/>
      <c r="AD124" s="1207"/>
      <c r="AE124" s="1207"/>
      <c r="AF124" s="1207"/>
      <c r="AG124" s="1207"/>
      <c r="AH124" s="1207"/>
    </row>
    <row r="125" spans="1:34" x14ac:dyDescent="0.2">
      <c r="A125" s="1316"/>
      <c r="B125" s="1350"/>
      <c r="C125" s="1345"/>
      <c r="D125" s="1207"/>
      <c r="E125" s="1207"/>
      <c r="F125" s="1207"/>
      <c r="G125" s="1207"/>
      <c r="H125" s="1207"/>
      <c r="I125" s="1207"/>
      <c r="J125" s="1207"/>
      <c r="K125" s="1207"/>
      <c r="L125" s="1207"/>
      <c r="M125" s="1207"/>
      <c r="N125" s="1207"/>
      <c r="O125" s="1207"/>
      <c r="P125" s="1208"/>
      <c r="Q125" s="1207"/>
      <c r="R125" s="1207"/>
      <c r="S125" s="1207"/>
      <c r="T125" s="1207"/>
      <c r="U125" s="1207"/>
      <c r="V125" s="1207"/>
      <c r="W125" s="1207"/>
      <c r="X125" s="1207"/>
      <c r="Y125" s="1207"/>
      <c r="Z125" s="1207"/>
      <c r="AA125" s="1207"/>
      <c r="AB125" s="1207"/>
      <c r="AC125" s="1207"/>
      <c r="AD125" s="1207"/>
      <c r="AE125" s="1207"/>
      <c r="AF125" s="1207"/>
      <c r="AG125" s="1207"/>
      <c r="AH125" s="1207"/>
    </row>
    <row r="126" spans="1:34" x14ac:dyDescent="0.2">
      <c r="A126" s="1316"/>
      <c r="B126" s="1350"/>
      <c r="C126" s="1345"/>
      <c r="D126" s="1207"/>
      <c r="E126" s="1207"/>
      <c r="F126" s="1207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8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07"/>
      <c r="AA126" s="1207"/>
      <c r="AB126" s="1207"/>
      <c r="AC126" s="1207"/>
      <c r="AD126" s="1207"/>
      <c r="AE126" s="1207"/>
      <c r="AF126" s="1207"/>
      <c r="AG126" s="1207"/>
      <c r="AH126" s="1207"/>
    </row>
    <row r="127" spans="1:34" x14ac:dyDescent="0.2">
      <c r="A127" s="1207"/>
      <c r="B127" s="1207"/>
      <c r="C127" s="1207"/>
      <c r="D127" s="1207"/>
      <c r="E127" s="1207"/>
      <c r="F127" s="1207"/>
      <c r="G127" s="1207"/>
      <c r="H127" s="1207"/>
      <c r="I127" s="1207"/>
      <c r="J127" s="1207"/>
      <c r="K127" s="1207"/>
      <c r="L127" s="1207"/>
      <c r="M127" s="1207"/>
      <c r="N127" s="1207"/>
      <c r="O127" s="1207"/>
      <c r="P127" s="1208"/>
      <c r="Q127" s="1207"/>
      <c r="R127" s="1207"/>
      <c r="S127" s="1207"/>
      <c r="T127" s="1207"/>
      <c r="U127" s="1207"/>
      <c r="V127" s="1207"/>
      <c r="W127" s="1207"/>
      <c r="X127" s="1207"/>
      <c r="Y127" s="1207"/>
      <c r="Z127" s="1207"/>
      <c r="AA127" s="1207"/>
      <c r="AB127" s="1207"/>
      <c r="AC127" s="1207"/>
      <c r="AD127" s="1207"/>
      <c r="AE127" s="1207"/>
      <c r="AF127" s="1207"/>
      <c r="AG127" s="1207"/>
      <c r="AH127" s="1207"/>
    </row>
    <row r="128" spans="1:34" x14ac:dyDescent="0.2">
      <c r="A128" s="1207"/>
      <c r="B128" s="1207"/>
      <c r="C128" s="1207"/>
      <c r="D128" s="1207"/>
      <c r="E128" s="1207"/>
      <c r="F128" s="1207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8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07"/>
      <c r="AA128" s="1207"/>
      <c r="AB128" s="1207"/>
      <c r="AC128" s="1207"/>
      <c r="AD128" s="1207"/>
      <c r="AE128" s="1207"/>
      <c r="AF128" s="1207"/>
      <c r="AG128" s="1207"/>
      <c r="AH128" s="1207"/>
    </row>
    <row r="129" spans="1:34" x14ac:dyDescent="0.2">
      <c r="A129" s="1207"/>
      <c r="B129" s="1207"/>
      <c r="C129" s="1207"/>
      <c r="D129" s="1207"/>
      <c r="E129" s="1207"/>
      <c r="F129" s="1207"/>
      <c r="G129" s="1207"/>
      <c r="H129" s="1207"/>
      <c r="I129" s="1207"/>
      <c r="J129" s="1207"/>
      <c r="K129" s="1207"/>
      <c r="L129" s="1207"/>
      <c r="M129" s="1207"/>
      <c r="N129" s="1207"/>
      <c r="O129" s="1207"/>
      <c r="P129" s="1208"/>
      <c r="Q129" s="1207"/>
      <c r="R129" s="1207"/>
      <c r="S129" s="1207"/>
      <c r="T129" s="1207"/>
      <c r="U129" s="1207"/>
      <c r="V129" s="1207"/>
      <c r="W129" s="1207"/>
      <c r="X129" s="1207"/>
      <c r="Y129" s="1207"/>
      <c r="Z129" s="1207"/>
      <c r="AA129" s="1207"/>
      <c r="AB129" s="1207"/>
      <c r="AC129" s="1207"/>
      <c r="AD129" s="1207"/>
      <c r="AE129" s="1207"/>
      <c r="AF129" s="1207"/>
      <c r="AG129" s="1207"/>
      <c r="AH129" s="1207"/>
    </row>
    <row r="130" spans="1:34" x14ac:dyDescent="0.2">
      <c r="A130" s="1207"/>
      <c r="B130" s="1207"/>
      <c r="C130" s="1207"/>
      <c r="D130" s="1207"/>
      <c r="E130" s="1207"/>
      <c r="F130" s="1207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8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07"/>
      <c r="AA130" s="1207"/>
      <c r="AB130" s="1207"/>
      <c r="AC130" s="1207"/>
      <c r="AD130" s="1207"/>
      <c r="AE130" s="1207"/>
      <c r="AF130" s="1207"/>
      <c r="AG130" s="1207"/>
      <c r="AH130" s="1207"/>
    </row>
    <row r="131" spans="1:34" ht="13.5" thickBot="1" x14ac:dyDescent="0.25">
      <c r="A131" s="1207"/>
      <c r="B131" s="1207"/>
      <c r="C131" s="1207"/>
      <c r="D131" s="1207"/>
      <c r="E131" s="1207"/>
      <c r="F131" s="1207"/>
      <c r="G131" s="1207"/>
      <c r="H131" s="1207"/>
      <c r="I131" s="1207"/>
      <c r="J131" s="1207"/>
      <c r="K131" s="1207"/>
      <c r="L131" s="1207"/>
      <c r="M131" s="1207"/>
      <c r="N131" s="1207"/>
      <c r="O131" s="1207"/>
      <c r="P131" s="1208"/>
      <c r="Q131" s="1207"/>
      <c r="R131" s="1207"/>
      <c r="S131" s="1207"/>
      <c r="T131" s="1207"/>
      <c r="U131" s="1207"/>
      <c r="V131" s="1207"/>
      <c r="W131" s="1207"/>
      <c r="X131" s="1207"/>
      <c r="Y131" s="1207"/>
      <c r="Z131" s="1207"/>
      <c r="AA131" s="1207"/>
      <c r="AB131" s="1207"/>
      <c r="AC131" s="1207"/>
      <c r="AD131" s="1207"/>
      <c r="AE131" s="1207"/>
      <c r="AF131" s="1207"/>
      <c r="AG131" s="1207"/>
      <c r="AH131" s="1207"/>
    </row>
    <row r="132" spans="1:34" x14ac:dyDescent="0.2">
      <c r="A132" s="1233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34"/>
      <c r="O132" s="1234"/>
      <c r="P132" s="1235"/>
      <c r="Q132" s="1234"/>
      <c r="R132" s="1234"/>
      <c r="S132" s="1234"/>
      <c r="T132" s="1234"/>
      <c r="U132" s="1234"/>
      <c r="V132" s="1234"/>
      <c r="W132" s="1234"/>
      <c r="X132" s="1234"/>
      <c r="Y132" s="1234"/>
      <c r="Z132" s="1234"/>
      <c r="AA132" s="1234"/>
      <c r="AB132" s="1234"/>
      <c r="AC132" s="1234"/>
      <c r="AD132" s="1234"/>
      <c r="AE132" s="1234"/>
      <c r="AF132" s="1234"/>
      <c r="AG132" s="1234"/>
      <c r="AH132" s="1207"/>
    </row>
    <row r="133" spans="1:34" x14ac:dyDescent="0.2">
      <c r="A133" s="1236"/>
      <c r="B133" s="1237" t="s">
        <v>37</v>
      </c>
      <c r="C133" s="1237"/>
      <c r="D133" s="1237"/>
      <c r="E133" s="1238" t="s">
        <v>910</v>
      </c>
      <c r="F133" s="1239" t="s">
        <v>95</v>
      </c>
      <c r="G133" s="1211" t="s">
        <v>6</v>
      </c>
      <c r="H133" s="1239"/>
      <c r="I133" s="1239"/>
      <c r="J133" s="1239"/>
      <c r="K133" s="1239"/>
      <c r="L133" s="1239"/>
      <c r="M133" s="1239"/>
      <c r="N133" s="1239"/>
      <c r="O133" s="1239"/>
      <c r="P133" s="1240"/>
      <c r="Q133" s="1239"/>
      <c r="R133" s="1239"/>
      <c r="S133" s="1239"/>
      <c r="T133" s="1239"/>
      <c r="U133" s="1239"/>
      <c r="V133" s="1239"/>
      <c r="W133" s="1239"/>
      <c r="X133" s="1239"/>
      <c r="Y133" s="1239"/>
      <c r="Z133" s="1239"/>
      <c r="AA133" s="1239"/>
      <c r="AB133" s="1239"/>
      <c r="AC133" s="1239"/>
      <c r="AD133" s="1239"/>
      <c r="AE133" s="1239"/>
      <c r="AF133" s="1239"/>
      <c r="AG133" s="1239"/>
      <c r="AH133" s="1207"/>
    </row>
    <row r="134" spans="1:34" x14ac:dyDescent="0.2">
      <c r="A134" s="1236"/>
      <c r="B134" s="1237"/>
      <c r="C134" s="1237"/>
      <c r="D134" s="1239"/>
      <c r="E134" s="1237"/>
      <c r="F134" s="1237"/>
      <c r="G134" s="1237"/>
      <c r="H134" s="1237"/>
      <c r="I134" s="1237"/>
      <c r="J134" s="1237"/>
      <c r="K134" s="1237"/>
      <c r="L134" s="1237"/>
      <c r="M134" s="1237"/>
      <c r="N134" s="1237"/>
      <c r="O134" s="1237"/>
      <c r="P134" s="1241"/>
      <c r="Q134" s="1237"/>
      <c r="R134" s="1237"/>
      <c r="S134" s="1237"/>
      <c r="T134" s="1237"/>
      <c r="U134" s="1237"/>
      <c r="V134" s="1237"/>
      <c r="W134" s="1237"/>
      <c r="X134" s="1237"/>
      <c r="Y134" s="1237"/>
      <c r="Z134" s="1237"/>
      <c r="AA134" s="1237"/>
      <c r="AB134" s="1237"/>
      <c r="AC134" s="1237"/>
      <c r="AD134" s="1237"/>
      <c r="AE134" s="1237"/>
      <c r="AF134" s="1237"/>
      <c r="AG134" s="1237"/>
      <c r="AH134" s="1207"/>
    </row>
    <row r="135" spans="1:34" x14ac:dyDescent="0.2">
      <c r="A135" s="1368"/>
      <c r="B135" s="1237"/>
      <c r="C135" s="1239"/>
      <c r="D135" s="1239">
        <v>42409</v>
      </c>
      <c r="E135" s="1237"/>
      <c r="F135" s="1237"/>
      <c r="G135" s="1237"/>
      <c r="H135" s="1237"/>
      <c r="I135" s="1237"/>
      <c r="J135" s="1237"/>
      <c r="K135" s="1237"/>
      <c r="L135" s="1237"/>
      <c r="M135" s="1237"/>
      <c r="N135" s="1237"/>
      <c r="O135" s="1237"/>
      <c r="P135" s="1241"/>
      <c r="Q135" s="1237"/>
      <c r="R135" s="1237"/>
      <c r="S135" s="1237"/>
      <c r="T135" s="1237"/>
      <c r="U135" s="1237"/>
      <c r="V135" s="1237"/>
      <c r="W135" s="1237"/>
      <c r="X135" s="1237"/>
      <c r="Y135" s="1237"/>
      <c r="Z135" s="1237"/>
      <c r="AA135" s="1237"/>
      <c r="AB135" s="1237"/>
      <c r="AC135" s="1237"/>
      <c r="AD135" s="1237"/>
      <c r="AE135" s="1237"/>
      <c r="AF135" s="1237"/>
      <c r="AG135" s="1237"/>
      <c r="AH135" s="1207"/>
    </row>
    <row r="136" spans="1:34" x14ac:dyDescent="0.2">
      <c r="A136" s="1236"/>
      <c r="B136" s="1237"/>
      <c r="C136" s="1239"/>
      <c r="D136" s="1239"/>
      <c r="E136" s="1237"/>
      <c r="F136" s="1237"/>
      <c r="G136" s="1237"/>
      <c r="H136" s="1237"/>
      <c r="I136" s="1237"/>
      <c r="J136" s="1237"/>
      <c r="K136" s="1237"/>
      <c r="L136" s="1237"/>
      <c r="M136" s="1237"/>
      <c r="N136" s="1237"/>
      <c r="O136" s="1237"/>
      <c r="P136" s="1241"/>
      <c r="Q136" s="1237"/>
      <c r="R136" s="1237"/>
      <c r="S136" s="1237"/>
      <c r="T136" s="1237"/>
      <c r="U136" s="1237"/>
      <c r="V136" s="1237"/>
      <c r="W136" s="1237"/>
      <c r="X136" s="1237"/>
      <c r="Y136" s="1237"/>
      <c r="Z136" s="1237"/>
      <c r="AA136" s="1237"/>
      <c r="AB136" s="1237"/>
      <c r="AC136" s="1237"/>
      <c r="AD136" s="1237"/>
      <c r="AE136" s="1237"/>
      <c r="AF136" s="1237"/>
      <c r="AG136" s="1237"/>
      <c r="AH136" s="1207"/>
    </row>
    <row r="137" spans="1:34" ht="13.5" thickBot="1" x14ac:dyDescent="0.25">
      <c r="A137" s="1236"/>
      <c r="B137" s="1237"/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1237"/>
      <c r="M137" s="1237"/>
      <c r="N137" s="1237"/>
      <c r="O137" s="1237"/>
      <c r="P137" s="1241"/>
      <c r="Q137" s="1237"/>
      <c r="R137" s="1237"/>
      <c r="S137" s="1237"/>
      <c r="T137" s="1237"/>
      <c r="U137" s="1237"/>
      <c r="V137" s="1237"/>
      <c r="W137" s="1237"/>
      <c r="X137" s="1237"/>
      <c r="Y137" s="1237"/>
      <c r="Z137" s="1237"/>
      <c r="AA137" s="1237"/>
      <c r="AB137" s="1237"/>
      <c r="AC137" s="1237"/>
      <c r="AD137" s="1237"/>
      <c r="AE137" s="1237"/>
      <c r="AF137" s="1237"/>
      <c r="AG137" s="1237"/>
      <c r="AH137" s="1207"/>
    </row>
    <row r="138" spans="1:34" ht="13.5" thickBot="1" x14ac:dyDescent="0.25">
      <c r="A138" s="1236"/>
      <c r="B138" s="1237"/>
      <c r="C138" s="1243"/>
      <c r="D138" s="1244" t="s">
        <v>16</v>
      </c>
      <c r="E138" s="1244"/>
      <c r="F138" s="1244"/>
      <c r="G138" s="1244"/>
      <c r="H138" s="1244"/>
      <c r="I138" s="1244"/>
      <c r="J138" s="1244"/>
      <c r="K138" s="1244"/>
      <c r="L138" s="1244"/>
      <c r="M138" s="1244"/>
      <c r="N138" s="1244"/>
      <c r="O138" s="1244"/>
      <c r="P138" s="1245"/>
      <c r="Q138" s="1244"/>
      <c r="R138" s="1244"/>
      <c r="S138" s="1244"/>
      <c r="T138" s="1244"/>
      <c r="U138" s="1244"/>
      <c r="V138" s="1244"/>
      <c r="W138" s="1244"/>
      <c r="X138" s="1244"/>
      <c r="Y138" s="1244"/>
      <c r="Z138" s="1244"/>
      <c r="AA138" s="1244"/>
      <c r="AB138" s="1244"/>
      <c r="AC138" s="1244"/>
      <c r="AD138" s="1244"/>
      <c r="AE138" s="1244"/>
      <c r="AF138" s="1244"/>
      <c r="AG138" s="1244"/>
      <c r="AH138" s="1207"/>
    </row>
    <row r="139" spans="1:34" ht="13.5" thickBot="1" x14ac:dyDescent="0.25">
      <c r="A139" s="1236"/>
      <c r="B139" s="1237"/>
      <c r="C139" s="1246" t="s">
        <v>452</v>
      </c>
      <c r="D139" s="1246" t="s">
        <v>453</v>
      </c>
      <c r="E139" s="1246" t="s">
        <v>434</v>
      </c>
      <c r="F139" s="1246" t="s">
        <v>390</v>
      </c>
      <c r="G139" s="1246" t="s">
        <v>454</v>
      </c>
      <c r="H139" s="1246" t="s">
        <v>455</v>
      </c>
      <c r="I139" s="1246" t="s">
        <v>456</v>
      </c>
      <c r="J139" s="1246" t="s">
        <v>457</v>
      </c>
      <c r="K139" s="1246" t="s">
        <v>458</v>
      </c>
      <c r="L139" s="1246" t="s">
        <v>216</v>
      </c>
      <c r="M139" s="1246" t="s">
        <v>459</v>
      </c>
      <c r="N139" s="1246" t="s">
        <v>297</v>
      </c>
      <c r="O139" s="1246" t="s">
        <v>211</v>
      </c>
      <c r="P139" s="1247" t="s">
        <v>270</v>
      </c>
      <c r="Q139" s="1246">
        <v>15</v>
      </c>
      <c r="R139" s="1246">
        <v>16</v>
      </c>
      <c r="S139" s="1246" t="s">
        <v>461</v>
      </c>
      <c r="T139" s="1246" t="s">
        <v>442</v>
      </c>
      <c r="U139" s="1246" t="s">
        <v>462</v>
      </c>
      <c r="V139" s="1246" t="s">
        <v>470</v>
      </c>
      <c r="W139" s="1246" t="s">
        <v>471</v>
      </c>
      <c r="X139" s="1246" t="s">
        <v>472</v>
      </c>
      <c r="Y139" s="1246" t="s">
        <v>463</v>
      </c>
      <c r="Z139" s="1246" t="s">
        <v>465</v>
      </c>
      <c r="AA139" s="1246" t="s">
        <v>466</v>
      </c>
      <c r="AB139" s="1246" t="s">
        <v>435</v>
      </c>
      <c r="AC139" s="1246" t="s">
        <v>467</v>
      </c>
      <c r="AD139" s="1246" t="s">
        <v>464</v>
      </c>
      <c r="AE139" s="1246" t="s">
        <v>429</v>
      </c>
      <c r="AF139" s="1246" t="s">
        <v>149</v>
      </c>
      <c r="AG139" s="1246" t="s">
        <v>210</v>
      </c>
      <c r="AH139" s="1207"/>
    </row>
    <row r="140" spans="1:34" x14ac:dyDescent="0.2">
      <c r="A140" s="1233"/>
      <c r="B140" s="1248"/>
      <c r="C140" s="1237"/>
      <c r="D140" s="1237"/>
      <c r="E140" s="1237"/>
      <c r="F140" s="1237"/>
      <c r="G140" s="1237"/>
      <c r="H140" s="1237"/>
      <c r="I140" s="1237"/>
      <c r="J140" s="1237"/>
      <c r="K140" s="1237"/>
      <c r="L140" s="1237"/>
      <c r="M140" s="1237"/>
      <c r="N140" s="1237"/>
      <c r="O140" s="1237"/>
      <c r="P140" s="1241"/>
      <c r="Q140" s="1237"/>
      <c r="R140" s="1237"/>
      <c r="S140" s="1237"/>
      <c r="T140" s="1237"/>
      <c r="U140" s="1237"/>
      <c r="V140" s="1237"/>
      <c r="W140" s="1237"/>
      <c r="X140" s="1237"/>
      <c r="Y140" s="1237"/>
      <c r="Z140" s="1237"/>
      <c r="AA140" s="1237"/>
      <c r="AB140" s="1237"/>
      <c r="AC140" s="1237"/>
      <c r="AD140" s="1237"/>
      <c r="AE140" s="1237"/>
      <c r="AF140" s="1237"/>
      <c r="AG140" s="1237"/>
      <c r="AH140" s="1207"/>
    </row>
    <row r="141" spans="1:34" x14ac:dyDescent="0.2">
      <c r="A141" s="1236" t="s">
        <v>0</v>
      </c>
      <c r="B141" s="1249">
        <v>-23631.26</v>
      </c>
      <c r="C141" s="1237"/>
      <c r="D141" s="1237"/>
      <c r="E141" s="1237"/>
      <c r="F141" s="1237"/>
      <c r="G141" s="1237"/>
      <c r="H141" s="1237"/>
      <c r="I141" s="1237"/>
      <c r="J141" s="1237"/>
      <c r="K141" s="1237"/>
      <c r="L141" s="1237"/>
      <c r="M141" s="1237"/>
      <c r="N141" s="1237"/>
      <c r="O141" s="1237"/>
      <c r="P141" s="1241"/>
      <c r="Q141" s="1237"/>
      <c r="R141" s="1237"/>
      <c r="S141" s="1237"/>
      <c r="T141" s="1237"/>
      <c r="U141" s="1237"/>
      <c r="V141" s="1237"/>
      <c r="W141" s="1237"/>
      <c r="X141" s="1237"/>
      <c r="Y141" s="1237"/>
      <c r="Z141" s="1237"/>
      <c r="AA141" s="1237"/>
      <c r="AB141" s="1237"/>
      <c r="AC141" s="1237"/>
      <c r="AD141" s="1237"/>
      <c r="AE141" s="1237"/>
      <c r="AF141" s="1237"/>
      <c r="AG141" s="1237"/>
      <c r="AH141" s="1207"/>
    </row>
    <row r="142" spans="1:34" ht="13.5" thickBot="1" x14ac:dyDescent="0.25">
      <c r="A142" s="1250"/>
      <c r="B142" s="1251"/>
      <c r="C142" s="1237"/>
      <c r="D142" s="1237"/>
      <c r="E142" s="1237"/>
      <c r="F142" s="1237"/>
      <c r="G142" s="1237"/>
      <c r="H142" s="1237"/>
      <c r="I142" s="1237"/>
      <c r="J142" s="1237"/>
      <c r="K142" s="1237"/>
      <c r="L142" s="1237"/>
      <c r="M142" s="1237"/>
      <c r="N142" s="1237"/>
      <c r="O142" s="1237"/>
      <c r="P142" s="1241"/>
      <c r="Q142" s="1237"/>
      <c r="R142" s="1237"/>
      <c r="S142" s="1237"/>
      <c r="T142" s="1237"/>
      <c r="U142" s="1237"/>
      <c r="V142" s="1237"/>
      <c r="W142" s="1237"/>
      <c r="X142" s="1237"/>
      <c r="Y142" s="1237"/>
      <c r="Z142" s="1237"/>
      <c r="AA142" s="1237"/>
      <c r="AB142" s="1237"/>
      <c r="AC142" s="1237"/>
      <c r="AD142" s="1237"/>
      <c r="AE142" s="1237"/>
      <c r="AF142" s="1237"/>
      <c r="AG142" s="1237"/>
      <c r="AH142" s="1207"/>
    </row>
    <row r="143" spans="1:34" x14ac:dyDescent="0.2">
      <c r="A143" s="1233"/>
      <c r="B143" s="1253"/>
      <c r="C143" s="1237"/>
      <c r="D143" s="1237"/>
      <c r="E143" s="1237"/>
      <c r="F143" s="1237"/>
      <c r="G143" s="1237"/>
      <c r="H143" s="1237"/>
      <c r="I143" s="1237"/>
      <c r="J143" s="1237"/>
      <c r="K143" s="1237"/>
      <c r="L143" s="1237"/>
      <c r="M143" s="1237"/>
      <c r="N143" s="1237"/>
      <c r="O143" s="1237"/>
      <c r="P143" s="1241"/>
      <c r="Q143" s="1237"/>
      <c r="R143" s="1237"/>
      <c r="S143" s="1237"/>
      <c r="T143" s="1237"/>
      <c r="U143" s="1237"/>
      <c r="V143" s="1237"/>
      <c r="W143" s="1237"/>
      <c r="X143" s="1237"/>
      <c r="Y143" s="1237"/>
      <c r="Z143" s="1237"/>
      <c r="AA143" s="1237"/>
      <c r="AB143" s="1237"/>
      <c r="AC143" s="1237"/>
      <c r="AD143" s="1237"/>
      <c r="AE143" s="1237"/>
      <c r="AF143" s="1237"/>
      <c r="AG143" s="1237"/>
      <c r="AH143" s="1207"/>
    </row>
    <row r="144" spans="1:34" x14ac:dyDescent="0.2">
      <c r="A144" s="1236" t="s">
        <v>1</v>
      </c>
      <c r="B144" s="1249">
        <f>B145+B146+B147</f>
        <v>0</v>
      </c>
      <c r="C144" s="1237"/>
      <c r="D144" s="1237"/>
      <c r="E144" s="1237"/>
      <c r="F144" s="1237"/>
      <c r="G144" s="1237"/>
      <c r="H144" s="1237"/>
      <c r="I144" s="1237"/>
      <c r="J144" s="1237"/>
      <c r="K144" s="1237"/>
      <c r="L144" s="1237"/>
      <c r="M144" s="1237"/>
      <c r="N144" s="1237"/>
      <c r="O144" s="1237"/>
      <c r="P144" s="1241"/>
      <c r="Q144" s="1237"/>
      <c r="R144" s="1237"/>
      <c r="S144" s="1237"/>
      <c r="T144" s="1237"/>
      <c r="U144" s="1237"/>
      <c r="V144" s="1237"/>
      <c r="W144" s="1237"/>
      <c r="X144" s="1237"/>
      <c r="Y144" s="1237"/>
      <c r="Z144" s="1237"/>
      <c r="AA144" s="1237"/>
      <c r="AB144" s="1237"/>
      <c r="AC144" s="1237"/>
      <c r="AD144" s="1237"/>
      <c r="AE144" s="1237"/>
      <c r="AF144" s="1237"/>
      <c r="AG144" s="1237"/>
      <c r="AH144" s="1207"/>
    </row>
    <row r="145" spans="1:34" x14ac:dyDescent="0.2">
      <c r="A145" s="1236" t="s">
        <v>38</v>
      </c>
      <c r="B145" s="1249">
        <f>C195</f>
        <v>0</v>
      </c>
      <c r="C145" s="1237"/>
      <c r="D145" s="1237"/>
      <c r="E145" s="1237"/>
      <c r="F145" s="1237"/>
      <c r="G145" s="1237"/>
      <c r="H145" s="1237"/>
      <c r="I145" s="1237"/>
      <c r="J145" s="1237"/>
      <c r="K145" s="1237"/>
      <c r="L145" s="1237"/>
      <c r="M145" s="1237"/>
      <c r="N145" s="1237"/>
      <c r="O145" s="1237"/>
      <c r="P145" s="1241"/>
      <c r="Q145" s="1237"/>
      <c r="R145" s="1237"/>
      <c r="S145" s="1237"/>
      <c r="T145" s="1237"/>
      <c r="U145" s="1237"/>
      <c r="V145" s="1237"/>
      <c r="W145" s="1237"/>
      <c r="X145" s="1237"/>
      <c r="Y145" s="1237"/>
      <c r="Z145" s="1237"/>
      <c r="AA145" s="1237"/>
      <c r="AB145" s="1237"/>
      <c r="AC145" s="1237"/>
      <c r="AD145" s="1237"/>
      <c r="AE145" s="1237"/>
      <c r="AF145" s="1237"/>
      <c r="AG145" s="1237"/>
      <c r="AH145" s="1207"/>
    </row>
    <row r="146" spans="1:34" x14ac:dyDescent="0.2">
      <c r="A146" s="1236" t="s">
        <v>39</v>
      </c>
      <c r="B146" s="1249">
        <f>C215</f>
        <v>0</v>
      </c>
      <c r="C146" s="1237"/>
      <c r="D146" s="1237"/>
      <c r="E146" s="1237"/>
      <c r="F146" s="1237"/>
      <c r="G146" s="1237"/>
      <c r="H146" s="1237"/>
      <c r="I146" s="1237"/>
      <c r="J146" s="1237"/>
      <c r="K146" s="1237"/>
      <c r="L146" s="1237"/>
      <c r="M146" s="1237"/>
      <c r="N146" s="1237"/>
      <c r="O146" s="1237"/>
      <c r="P146" s="1241"/>
      <c r="Q146" s="1237"/>
      <c r="R146" s="1237"/>
      <c r="S146" s="1237"/>
      <c r="T146" s="1237"/>
      <c r="U146" s="1237"/>
      <c r="V146" s="1237"/>
      <c r="W146" s="1237"/>
      <c r="X146" s="1237"/>
      <c r="Y146" s="1237"/>
      <c r="Z146" s="1237"/>
      <c r="AA146" s="1237"/>
      <c r="AB146" s="1237"/>
      <c r="AC146" s="1237"/>
      <c r="AD146" s="1237"/>
      <c r="AE146" s="1237"/>
      <c r="AF146" s="1237"/>
      <c r="AG146" s="1237"/>
      <c r="AH146" s="1207"/>
    </row>
    <row r="147" spans="1:34" x14ac:dyDescent="0.2">
      <c r="A147" s="1236" t="s">
        <v>3</v>
      </c>
      <c r="B147" s="1249"/>
      <c r="C147" s="1237"/>
      <c r="D147" s="1237"/>
      <c r="E147" s="1237"/>
      <c r="F147" s="1237"/>
      <c r="G147" s="1237"/>
      <c r="H147" s="1237"/>
      <c r="I147" s="1237"/>
      <c r="J147" s="1237"/>
      <c r="K147" s="1237"/>
      <c r="L147" s="1237"/>
      <c r="M147" s="1237"/>
      <c r="N147" s="1237"/>
      <c r="O147" s="1237"/>
      <c r="P147" s="1241"/>
      <c r="Q147" s="1237"/>
      <c r="R147" s="1237"/>
      <c r="S147" s="1237"/>
      <c r="T147" s="1237"/>
      <c r="U147" s="1237"/>
      <c r="V147" s="1237"/>
      <c r="W147" s="1237"/>
      <c r="X147" s="1237"/>
      <c r="Y147" s="1237"/>
      <c r="Z147" s="1237"/>
      <c r="AA147" s="1237"/>
      <c r="AB147" s="1237"/>
      <c r="AC147" s="1237"/>
      <c r="AD147" s="1237"/>
      <c r="AE147" s="1237"/>
      <c r="AF147" s="1237"/>
      <c r="AG147" s="1237"/>
      <c r="AH147" s="1207"/>
    </row>
    <row r="148" spans="1:34" ht="13.5" thickBot="1" x14ac:dyDescent="0.25">
      <c r="A148" s="1250"/>
      <c r="B148" s="1251"/>
      <c r="C148" s="1237"/>
      <c r="D148" s="1237"/>
      <c r="E148" s="1237"/>
      <c r="F148" s="1237"/>
      <c r="G148" s="1237"/>
      <c r="H148" s="1237"/>
      <c r="I148" s="1237"/>
      <c r="J148" s="1237"/>
      <c r="K148" s="1237"/>
      <c r="L148" s="1237"/>
      <c r="M148" s="1237"/>
      <c r="N148" s="1237"/>
      <c r="O148" s="1237"/>
      <c r="P148" s="1241"/>
      <c r="Q148" s="1237"/>
      <c r="R148" s="1237"/>
      <c r="S148" s="1237"/>
      <c r="T148" s="1237"/>
      <c r="U148" s="1237"/>
      <c r="V148" s="1237"/>
      <c r="W148" s="1237"/>
      <c r="X148" s="1237"/>
      <c r="Y148" s="1237"/>
      <c r="Z148" s="1237"/>
      <c r="AA148" s="1237"/>
      <c r="AB148" s="1237"/>
      <c r="AC148" s="1237"/>
      <c r="AD148" s="1237"/>
      <c r="AE148" s="1237"/>
      <c r="AF148" s="1237"/>
      <c r="AG148" s="1237"/>
      <c r="AH148" s="1207"/>
    </row>
    <row r="149" spans="1:34" x14ac:dyDescent="0.2">
      <c r="A149" s="1233"/>
      <c r="B149" s="1253"/>
      <c r="C149" s="1237"/>
      <c r="D149" s="1237"/>
      <c r="E149" s="1237"/>
      <c r="F149" s="1237"/>
      <c r="G149" s="1237"/>
      <c r="H149" s="1237"/>
      <c r="I149" s="1237"/>
      <c r="J149" s="1237"/>
      <c r="K149" s="1237"/>
      <c r="L149" s="1237"/>
      <c r="M149" s="1237"/>
      <c r="N149" s="1237"/>
      <c r="O149" s="1237"/>
      <c r="P149" s="1241"/>
      <c r="Q149" s="1237"/>
      <c r="R149" s="1237"/>
      <c r="S149" s="1237"/>
      <c r="T149" s="1237"/>
      <c r="U149" s="1237"/>
      <c r="V149" s="1237"/>
      <c r="W149" s="1237"/>
      <c r="X149" s="1237"/>
      <c r="Y149" s="1237"/>
      <c r="Z149" s="1237"/>
      <c r="AA149" s="1237"/>
      <c r="AB149" s="1237"/>
      <c r="AC149" s="1237"/>
      <c r="AD149" s="1237"/>
      <c r="AE149" s="1237"/>
      <c r="AF149" s="1237"/>
      <c r="AG149" s="1237"/>
      <c r="AH149" s="1207"/>
    </row>
    <row r="150" spans="1:34" x14ac:dyDescent="0.2">
      <c r="A150" s="1236" t="s">
        <v>4</v>
      </c>
      <c r="B150" s="1249">
        <f>B141+B144</f>
        <v>-23631.26</v>
      </c>
      <c r="C150" s="1237"/>
      <c r="D150" s="1237"/>
      <c r="E150" s="1237"/>
      <c r="F150" s="1237"/>
      <c r="G150" s="1237"/>
      <c r="H150" s="1237"/>
      <c r="I150" s="1237"/>
      <c r="J150" s="1237"/>
      <c r="K150" s="1237"/>
      <c r="L150" s="1237"/>
      <c r="M150" s="1237"/>
      <c r="N150" s="1237"/>
      <c r="O150" s="1237"/>
      <c r="P150" s="1241"/>
      <c r="Q150" s="1237"/>
      <c r="R150" s="1237"/>
      <c r="S150" s="1237"/>
      <c r="T150" s="1237"/>
      <c r="U150" s="1237"/>
      <c r="V150" s="1237"/>
      <c r="W150" s="1237"/>
      <c r="X150" s="1237"/>
      <c r="Y150" s="1237"/>
      <c r="Z150" s="1237"/>
      <c r="AA150" s="1237"/>
      <c r="AB150" s="1237"/>
      <c r="AC150" s="1237"/>
      <c r="AD150" s="1237"/>
      <c r="AE150" s="1237"/>
      <c r="AF150" s="1237"/>
      <c r="AG150" s="1237"/>
      <c r="AH150" s="1207"/>
    </row>
    <row r="151" spans="1:34" ht="13.5" thickBot="1" x14ac:dyDescent="0.25">
      <c r="A151" s="1250"/>
      <c r="B151" s="1251"/>
      <c r="C151" s="1237"/>
      <c r="D151" s="1237"/>
      <c r="E151" s="1237"/>
      <c r="F151" s="1237"/>
      <c r="G151" s="1237"/>
      <c r="H151" s="1237"/>
      <c r="I151" s="1237"/>
      <c r="J151" s="1237"/>
      <c r="K151" s="1237"/>
      <c r="L151" s="1237"/>
      <c r="M151" s="1237"/>
      <c r="N151" s="1237"/>
      <c r="O151" s="1237"/>
      <c r="P151" s="1241"/>
      <c r="Q151" s="1237"/>
      <c r="R151" s="1237"/>
      <c r="S151" s="1237"/>
      <c r="T151" s="1237"/>
      <c r="U151" s="1237"/>
      <c r="V151" s="1237"/>
      <c r="W151" s="1237"/>
      <c r="X151" s="1237"/>
      <c r="Y151" s="1237"/>
      <c r="Z151" s="1237"/>
      <c r="AA151" s="1237"/>
      <c r="AB151" s="1237"/>
      <c r="AC151" s="1237"/>
      <c r="AD151" s="1237"/>
      <c r="AE151" s="1237"/>
      <c r="AF151" s="1237"/>
      <c r="AG151" s="1237"/>
      <c r="AH151" s="1207"/>
    </row>
    <row r="152" spans="1:34" x14ac:dyDescent="0.2">
      <c r="A152" s="1233"/>
      <c r="B152" s="1253"/>
      <c r="C152" s="1237"/>
      <c r="D152" s="1237"/>
      <c r="E152" s="1237"/>
      <c r="F152" s="1237"/>
      <c r="G152" s="1237"/>
      <c r="H152" s="1237"/>
      <c r="I152" s="1237"/>
      <c r="J152" s="1237"/>
      <c r="K152" s="1237"/>
      <c r="L152" s="1237"/>
      <c r="M152" s="1237"/>
      <c r="N152" s="1237"/>
      <c r="O152" s="1237"/>
      <c r="P152" s="1241"/>
      <c r="Q152" s="1237"/>
      <c r="R152" s="1237"/>
      <c r="S152" s="1237"/>
      <c r="T152" s="1237"/>
      <c r="U152" s="1237"/>
      <c r="V152" s="1237"/>
      <c r="W152" s="1237"/>
      <c r="X152" s="1237"/>
      <c r="Y152" s="1237"/>
      <c r="Z152" s="1237"/>
      <c r="AA152" s="1237"/>
      <c r="AB152" s="1237"/>
      <c r="AC152" s="1237"/>
      <c r="AD152" s="1237"/>
      <c r="AE152" s="1237"/>
      <c r="AF152" s="1237"/>
      <c r="AG152" s="1237"/>
      <c r="AH152" s="1207"/>
    </row>
    <row r="153" spans="1:34" ht="18" x14ac:dyDescent="0.25">
      <c r="A153" s="1236" t="s">
        <v>17</v>
      </c>
      <c r="B153" s="1249"/>
      <c r="C153" s="1237"/>
      <c r="D153" s="1237"/>
      <c r="E153" s="1237"/>
      <c r="F153" s="1237"/>
      <c r="G153" s="1237"/>
      <c r="H153" s="1237"/>
      <c r="I153" s="1749"/>
      <c r="J153" s="1749"/>
      <c r="K153" s="1749"/>
      <c r="L153" s="1749"/>
      <c r="M153" s="1748"/>
      <c r="N153" s="1748"/>
      <c r="O153" s="1748"/>
      <c r="P153" s="1748"/>
      <c r="Q153" s="1748"/>
      <c r="R153" s="1748"/>
      <c r="S153" s="1748"/>
      <c r="T153" s="1748"/>
      <c r="U153" s="1748"/>
      <c r="V153" s="1237"/>
      <c r="W153" s="1237"/>
      <c r="X153" s="1237"/>
      <c r="Y153" s="1237"/>
      <c r="Z153" s="1237"/>
      <c r="AA153" s="1237"/>
      <c r="AB153" s="1237"/>
      <c r="AC153" s="1237"/>
      <c r="AD153" s="1237"/>
      <c r="AE153" s="1237"/>
      <c r="AF153" s="1237"/>
      <c r="AG153" s="1237"/>
      <c r="AH153" s="1207"/>
    </row>
    <row r="154" spans="1:34" ht="13.5" thickBot="1" x14ac:dyDescent="0.25">
      <c r="A154" s="1250"/>
      <c r="B154" s="1251"/>
      <c r="C154" s="1237"/>
      <c r="D154" s="1237"/>
      <c r="E154" s="1237"/>
      <c r="F154" s="1237"/>
      <c r="G154" s="1237"/>
      <c r="H154" s="1237"/>
      <c r="I154" s="1237"/>
      <c r="J154" s="1237"/>
      <c r="K154" s="1237"/>
      <c r="L154" s="1237"/>
      <c r="M154" s="1237"/>
      <c r="N154" s="1237"/>
      <c r="O154" s="1237"/>
      <c r="P154" s="1241"/>
      <c r="Q154" s="1237"/>
      <c r="R154" s="1237"/>
      <c r="S154" s="1237"/>
      <c r="T154" s="1237"/>
      <c r="U154" s="1237"/>
      <c r="V154" s="1237"/>
      <c r="W154" s="1237"/>
      <c r="X154" s="1237"/>
      <c r="Y154" s="1237"/>
      <c r="Z154" s="1237"/>
      <c r="AA154" s="1237"/>
      <c r="AB154" s="1237"/>
      <c r="AC154" s="1237"/>
      <c r="AD154" s="1237"/>
      <c r="AE154" s="1237"/>
      <c r="AF154" s="1237"/>
      <c r="AG154" s="1237"/>
      <c r="AH154" s="1207"/>
    </row>
    <row r="155" spans="1:34" x14ac:dyDescent="0.2">
      <c r="A155" s="1233"/>
      <c r="B155" s="1253"/>
      <c r="C155" s="1237"/>
      <c r="D155" s="1369"/>
      <c r="E155" s="1237"/>
      <c r="F155" s="1237"/>
      <c r="G155" s="1237"/>
      <c r="H155" s="1237"/>
      <c r="I155" s="1237"/>
      <c r="J155" s="1237"/>
      <c r="K155" s="1237"/>
      <c r="L155" s="1237"/>
      <c r="M155" s="1237"/>
      <c r="N155" s="1237"/>
      <c r="O155" s="1237"/>
      <c r="P155" s="1241"/>
      <c r="Q155" s="1237"/>
      <c r="R155" s="1237"/>
      <c r="S155" s="1237"/>
      <c r="T155" s="1237"/>
      <c r="U155" s="1211"/>
      <c r="V155" s="1237"/>
      <c r="W155" s="1237"/>
      <c r="X155" s="1237"/>
      <c r="Y155" s="1237"/>
      <c r="Z155" s="1211"/>
      <c r="AA155" s="1237"/>
      <c r="AB155" s="1237"/>
      <c r="AC155" s="1369"/>
      <c r="AD155" s="1237"/>
      <c r="AF155" s="1237"/>
      <c r="AG155" s="1237"/>
      <c r="AH155" s="1207"/>
    </row>
    <row r="156" spans="1:34" x14ac:dyDescent="0.2">
      <c r="A156" s="1236" t="s">
        <v>5</v>
      </c>
      <c r="B156" s="1249">
        <f>B150-B153</f>
        <v>-23631.26</v>
      </c>
      <c r="C156" s="1211"/>
      <c r="D156" s="1369"/>
      <c r="E156" s="1370" t="s">
        <v>285</v>
      </c>
      <c r="F156" s="1211"/>
      <c r="G156" s="1256"/>
      <c r="H156" s="1211"/>
      <c r="I156" s="1211"/>
      <c r="J156" s="1237"/>
      <c r="K156" s="1211"/>
      <c r="L156" s="1263"/>
      <c r="M156" s="1211"/>
      <c r="N156" s="1237"/>
      <c r="O156" s="1211"/>
      <c r="P156" s="1212"/>
      <c r="Q156" s="1211"/>
      <c r="R156" s="1211"/>
      <c r="S156" s="1211"/>
      <c r="T156" s="1256"/>
      <c r="U156" s="1211"/>
      <c r="V156" s="1211"/>
      <c r="W156" s="1211"/>
      <c r="X156" s="1211"/>
      <c r="Y156" s="1211"/>
      <c r="Z156" s="1211"/>
      <c r="AA156" s="1263"/>
      <c r="AB156" s="1211"/>
      <c r="AC156" s="1371" t="s">
        <v>338</v>
      </c>
      <c r="AD156" s="1211"/>
      <c r="AF156" s="1211"/>
      <c r="AG156" s="1211"/>
      <c r="AH156" s="1207"/>
    </row>
    <row r="157" spans="1:34" ht="13.5" thickBot="1" x14ac:dyDescent="0.25">
      <c r="A157" s="1250"/>
      <c r="B157" s="1251"/>
      <c r="C157" s="1237"/>
      <c r="D157" s="1237"/>
      <c r="E157" s="1237"/>
      <c r="F157" s="1237"/>
      <c r="G157" s="1237"/>
      <c r="H157" s="1237"/>
      <c r="I157" s="1237"/>
      <c r="J157" s="1237"/>
      <c r="K157" s="1237"/>
      <c r="L157" s="1237"/>
      <c r="M157" s="1237"/>
      <c r="N157" s="1237"/>
      <c r="O157" s="1237"/>
      <c r="P157" s="1212"/>
      <c r="Q157" s="1211"/>
      <c r="R157" s="1211"/>
      <c r="S157" s="1211"/>
      <c r="T157" s="1211"/>
      <c r="U157" s="1211"/>
      <c r="V157" s="1211"/>
      <c r="W157" s="1211"/>
      <c r="X157" s="1211"/>
      <c r="Y157" s="1211"/>
      <c r="Z157" s="1211"/>
      <c r="AA157" s="1211"/>
      <c r="AB157" s="1211"/>
      <c r="AC157" s="1211"/>
      <c r="AD157" s="1211"/>
      <c r="AE157" s="1211"/>
      <c r="AF157" s="1211"/>
      <c r="AG157" s="1211"/>
      <c r="AH157" s="1207"/>
    </row>
    <row r="158" spans="1:34" x14ac:dyDescent="0.2">
      <c r="A158" s="1269"/>
      <c r="B158" s="1237"/>
      <c r="C158" s="1270"/>
      <c r="D158" s="1272"/>
      <c r="E158" s="1272"/>
      <c r="F158" s="1271"/>
      <c r="G158" s="1271"/>
      <c r="H158" s="1271"/>
      <c r="I158" s="1271"/>
      <c r="J158" s="1271"/>
      <c r="K158" s="1271"/>
      <c r="L158" s="1271"/>
      <c r="M158" s="1271"/>
      <c r="N158" s="1271"/>
      <c r="O158" s="1271"/>
      <c r="P158" s="1273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07"/>
    </row>
    <row r="159" spans="1:34" ht="13.5" thickBot="1" x14ac:dyDescent="0.25">
      <c r="A159" s="1274" t="s">
        <v>7</v>
      </c>
      <c r="B159" s="1237"/>
      <c r="C159" s="1275">
        <f t="shared" ref="C159:AG159" si="16">C160+C161+C162+C166+C165+C163+C164</f>
        <v>0</v>
      </c>
      <c r="D159" s="1275">
        <f t="shared" si="16"/>
        <v>0</v>
      </c>
      <c r="E159" s="1275">
        <f t="shared" si="16"/>
        <v>0</v>
      </c>
      <c r="F159" s="1275">
        <f t="shared" si="16"/>
        <v>0</v>
      </c>
      <c r="G159" s="1275">
        <f t="shared" si="16"/>
        <v>0</v>
      </c>
      <c r="H159" s="1275">
        <f t="shared" si="16"/>
        <v>0</v>
      </c>
      <c r="I159" s="1275">
        <f t="shared" si="16"/>
        <v>0</v>
      </c>
      <c r="J159" s="1275">
        <f t="shared" si="16"/>
        <v>0</v>
      </c>
      <c r="K159" s="1275">
        <f t="shared" si="16"/>
        <v>0</v>
      </c>
      <c r="L159" s="1275">
        <f t="shared" si="16"/>
        <v>0</v>
      </c>
      <c r="M159" s="1275">
        <f t="shared" si="16"/>
        <v>0</v>
      </c>
      <c r="N159" s="1275">
        <f t="shared" si="16"/>
        <v>0</v>
      </c>
      <c r="O159" s="1275">
        <f t="shared" si="16"/>
        <v>0</v>
      </c>
      <c r="P159" s="1276">
        <f t="shared" si="16"/>
        <v>0</v>
      </c>
      <c r="Q159" s="1275">
        <f t="shared" si="16"/>
        <v>0</v>
      </c>
      <c r="R159" s="1275">
        <f t="shared" si="16"/>
        <v>0</v>
      </c>
      <c r="S159" s="1275">
        <f t="shared" si="16"/>
        <v>0</v>
      </c>
      <c r="T159" s="1275">
        <f t="shared" si="16"/>
        <v>0</v>
      </c>
      <c r="U159" s="1275">
        <f t="shared" si="16"/>
        <v>0</v>
      </c>
      <c r="V159" s="1275">
        <f t="shared" si="16"/>
        <v>0</v>
      </c>
      <c r="W159" s="1275">
        <f t="shared" si="16"/>
        <v>0</v>
      </c>
      <c r="X159" s="1275">
        <f t="shared" si="16"/>
        <v>0</v>
      </c>
      <c r="Y159" s="1275">
        <f t="shared" si="16"/>
        <v>0</v>
      </c>
      <c r="Z159" s="1275">
        <f t="shared" si="16"/>
        <v>0</v>
      </c>
      <c r="AA159" s="1275">
        <f t="shared" si="16"/>
        <v>0</v>
      </c>
      <c r="AB159" s="1275">
        <f t="shared" si="16"/>
        <v>0</v>
      </c>
      <c r="AC159" s="1275">
        <f t="shared" si="16"/>
        <v>0.34500000000116415</v>
      </c>
      <c r="AD159" s="1275">
        <f t="shared" si="16"/>
        <v>0</v>
      </c>
      <c r="AE159" s="1275">
        <f t="shared" si="16"/>
        <v>0</v>
      </c>
      <c r="AF159" s="1275">
        <f t="shared" si="16"/>
        <v>0</v>
      </c>
      <c r="AG159" s="1275">
        <f t="shared" si="16"/>
        <v>0</v>
      </c>
      <c r="AH159" s="1227">
        <f t="shared" ref="AH159:AH167" si="17">SUM(C159:AG159)</f>
        <v>0.34500000000116415</v>
      </c>
    </row>
    <row r="160" spans="1:34" x14ac:dyDescent="0.2">
      <c r="A160" s="1274" t="s">
        <v>8</v>
      </c>
      <c r="B160" s="1237"/>
      <c r="C160" s="1302"/>
      <c r="D160" s="1302"/>
      <c r="E160" s="1302"/>
      <c r="F160" s="1303"/>
      <c r="G160" s="1303"/>
      <c r="H160" s="1303"/>
      <c r="I160" s="1303"/>
      <c r="J160" s="1303"/>
      <c r="K160" s="1303"/>
      <c r="L160" s="1303"/>
      <c r="M160" s="1303"/>
      <c r="N160" s="1303"/>
      <c r="O160" s="1303"/>
      <c r="P160" s="1304"/>
      <c r="Q160" s="1303"/>
      <c r="R160" s="1303"/>
      <c r="S160" s="1303"/>
      <c r="T160" s="1303"/>
      <c r="U160" s="1303"/>
      <c r="V160" s="1303"/>
      <c r="W160" s="1303"/>
      <c r="X160" s="1303"/>
      <c r="Y160" s="1303"/>
      <c r="Z160" s="1303"/>
      <c r="AA160" s="1303"/>
      <c r="AB160" s="1303"/>
      <c r="AC160" s="1303"/>
      <c r="AD160" s="1303"/>
      <c r="AE160" s="1303"/>
      <c r="AF160" s="1303"/>
      <c r="AG160" s="1303"/>
      <c r="AH160" s="1227">
        <f t="shared" si="17"/>
        <v>0</v>
      </c>
    </row>
    <row r="161" spans="1:35" x14ac:dyDescent="0.2">
      <c r="A161" s="1274" t="s">
        <v>9</v>
      </c>
      <c r="B161" s="1237"/>
      <c r="C161" s="1302"/>
      <c r="D161" s="1302"/>
      <c r="E161" s="1302"/>
      <c r="F161" s="1303"/>
      <c r="G161" s="1303"/>
      <c r="H161" s="1303"/>
      <c r="I161" s="1303"/>
      <c r="J161" s="1303"/>
      <c r="K161" s="1303"/>
      <c r="L161" s="1303"/>
      <c r="M161" s="1303"/>
      <c r="N161" s="1303"/>
      <c r="O161" s="1303"/>
      <c r="P161" s="1304"/>
      <c r="Q161" s="1303"/>
      <c r="R161" s="1303"/>
      <c r="S161" s="1303"/>
      <c r="T161" s="1303"/>
      <c r="U161" s="1303"/>
      <c r="V161" s="1303"/>
      <c r="W161" s="1303"/>
      <c r="X161" s="1303"/>
      <c r="Y161" s="1303"/>
      <c r="Z161" s="1303"/>
      <c r="AA161" s="1303"/>
      <c r="AB161" s="1303"/>
      <c r="AC161" s="1303"/>
      <c r="AD161" s="1303"/>
      <c r="AE161" s="1303"/>
      <c r="AF161" s="1303"/>
      <c r="AG161" s="1303"/>
      <c r="AH161" s="1227">
        <f t="shared" si="17"/>
        <v>0</v>
      </c>
    </row>
    <row r="162" spans="1:35" s="1289" customFormat="1" x14ac:dyDescent="0.2">
      <c r="A162" s="1285" t="s">
        <v>10</v>
      </c>
      <c r="B162" s="1372"/>
      <c r="C162" s="1373"/>
      <c r="D162" s="1374"/>
      <c r="E162" s="1374"/>
      <c r="F162" s="1375"/>
      <c r="G162" s="1376"/>
      <c r="H162" s="1375"/>
      <c r="I162" s="1375"/>
      <c r="J162" s="1375"/>
      <c r="K162" s="1375"/>
      <c r="L162" s="1377"/>
      <c r="M162" s="1375"/>
      <c r="N162" s="1375"/>
      <c r="O162" s="1375"/>
      <c r="P162" s="1375"/>
      <c r="Q162" s="1375"/>
      <c r="R162" s="1375"/>
      <c r="S162" s="1375"/>
      <c r="T162" s="1376"/>
      <c r="U162" s="1375"/>
      <c r="V162" s="1375"/>
      <c r="W162" s="1375"/>
      <c r="X162" s="1375"/>
      <c r="Y162" s="1375"/>
      <c r="Z162" s="1375"/>
      <c r="AA162" s="1377"/>
      <c r="AB162" s="1375"/>
      <c r="AC162" s="1375"/>
      <c r="AD162" s="1375"/>
      <c r="AE162" s="1378"/>
      <c r="AF162" s="1375"/>
      <c r="AG162" s="1375"/>
      <c r="AH162" s="1231">
        <f t="shared" si="17"/>
        <v>0</v>
      </c>
    </row>
    <row r="163" spans="1:35" s="1289" customFormat="1" x14ac:dyDescent="0.2">
      <c r="A163" s="1285" t="s">
        <v>356</v>
      </c>
      <c r="B163" s="1372"/>
      <c r="C163" s="1379"/>
      <c r="D163" s="1379"/>
      <c r="E163" s="1379"/>
      <c r="F163" s="1379"/>
      <c r="G163" s="1379"/>
      <c r="H163" s="1379"/>
      <c r="I163" s="1379"/>
      <c r="J163" s="1379"/>
      <c r="K163" s="1379"/>
      <c r="L163" s="1379"/>
      <c r="M163" s="1379"/>
      <c r="N163" s="1379"/>
      <c r="O163" s="1379"/>
      <c r="P163" s="1379"/>
      <c r="Q163" s="1379"/>
      <c r="R163" s="1379"/>
      <c r="S163" s="1379"/>
      <c r="T163" s="1379"/>
      <c r="U163" s="1379"/>
      <c r="V163" s="1379"/>
      <c r="W163" s="1379"/>
      <c r="X163" s="1379"/>
      <c r="Y163" s="1379"/>
      <c r="Z163" s="1379"/>
      <c r="AA163" s="1379"/>
      <c r="AB163" s="1379"/>
      <c r="AC163" s="1380">
        <v>45895.345000000001</v>
      </c>
      <c r="AD163" s="1379"/>
      <c r="AE163" s="1379"/>
      <c r="AF163" s="1379"/>
      <c r="AG163" s="1379"/>
      <c r="AH163" s="1231">
        <f t="shared" si="17"/>
        <v>45895.345000000001</v>
      </c>
    </row>
    <row r="164" spans="1:35" x14ac:dyDescent="0.2">
      <c r="A164" s="1274" t="s">
        <v>357</v>
      </c>
      <c r="B164" s="1237"/>
      <c r="C164" s="1306"/>
      <c r="D164" s="1302"/>
      <c r="E164" s="1306"/>
      <c r="F164" s="1303"/>
      <c r="G164" s="1303"/>
      <c r="H164" s="1304"/>
      <c r="I164" s="1304"/>
      <c r="J164" s="1304"/>
      <c r="K164" s="1304"/>
      <c r="L164" s="1304"/>
      <c r="M164" s="1304"/>
      <c r="N164" s="1304"/>
      <c r="O164" s="1304"/>
      <c r="P164" s="1304"/>
      <c r="Q164" s="1304"/>
      <c r="R164" s="1304"/>
      <c r="S164" s="1304"/>
      <c r="T164" s="1304"/>
      <c r="U164" s="1304"/>
      <c r="V164" s="1304"/>
      <c r="W164" s="1304"/>
      <c r="X164" s="1304"/>
      <c r="Y164" s="1304"/>
      <c r="Z164" s="1304"/>
      <c r="AA164" s="1304"/>
      <c r="AB164" s="1304"/>
      <c r="AC164" s="1304">
        <v>-45895</v>
      </c>
      <c r="AD164" s="1304"/>
      <c r="AE164" s="1304"/>
      <c r="AF164" s="1304"/>
      <c r="AG164" s="1304"/>
      <c r="AH164" s="1227">
        <f t="shared" si="17"/>
        <v>-45895</v>
      </c>
    </row>
    <row r="165" spans="1:35" x14ac:dyDescent="0.2">
      <c r="A165" s="1274" t="s">
        <v>41</v>
      </c>
      <c r="B165" s="1237"/>
      <c r="C165" s="1306"/>
      <c r="D165" s="1302"/>
      <c r="E165" s="1306"/>
      <c r="F165" s="1303"/>
      <c r="G165" s="1303"/>
      <c r="H165" s="1304"/>
      <c r="I165" s="1304"/>
      <c r="J165" s="1304"/>
      <c r="K165" s="1304"/>
      <c r="L165" s="1304"/>
      <c r="M165" s="1304"/>
      <c r="N165" s="1304"/>
      <c r="O165" s="1304"/>
      <c r="P165" s="1304"/>
      <c r="Q165" s="1304"/>
      <c r="R165" s="1304"/>
      <c r="S165" s="1304"/>
      <c r="T165" s="1304"/>
      <c r="U165" s="1304"/>
      <c r="V165" s="1304"/>
      <c r="W165" s="1304"/>
      <c r="X165" s="1304"/>
      <c r="Y165" s="1304"/>
      <c r="Z165" s="1304"/>
      <c r="AA165" s="1304"/>
      <c r="AB165" s="1304"/>
      <c r="AC165" s="1304"/>
      <c r="AD165" s="1304"/>
      <c r="AE165" s="1304"/>
      <c r="AF165" s="1304"/>
      <c r="AG165" s="1304"/>
      <c r="AH165" s="1227">
        <f t="shared" si="17"/>
        <v>0</v>
      </c>
    </row>
    <row r="166" spans="1:35" x14ac:dyDescent="0.2">
      <c r="A166" s="1274" t="s">
        <v>11</v>
      </c>
      <c r="B166" s="1237"/>
      <c r="C166" s="1302"/>
      <c r="D166" s="1306"/>
      <c r="E166" s="1306"/>
      <c r="F166" s="1304"/>
      <c r="G166" s="1304"/>
      <c r="H166" s="1304"/>
      <c r="I166" s="1304"/>
      <c r="J166" s="1304"/>
      <c r="K166" s="1304"/>
      <c r="L166" s="1304"/>
      <c r="M166" s="1304"/>
      <c r="N166" s="1304"/>
      <c r="O166" s="1304"/>
      <c r="P166" s="1304"/>
      <c r="Q166" s="1304"/>
      <c r="R166" s="1304"/>
      <c r="S166" s="1304"/>
      <c r="T166" s="1304"/>
      <c r="U166" s="1304"/>
      <c r="V166" s="1304"/>
      <c r="W166" s="1304"/>
      <c r="X166" s="1304"/>
      <c r="Y166" s="1304"/>
      <c r="Z166" s="1304"/>
      <c r="AA166" s="1304"/>
      <c r="AB166" s="1318"/>
      <c r="AC166" s="1304"/>
      <c r="AD166" s="1304"/>
      <c r="AE166" s="1304"/>
      <c r="AF166" s="1304"/>
      <c r="AG166" s="1304"/>
      <c r="AH166" s="1227">
        <f t="shared" si="17"/>
        <v>0</v>
      </c>
    </row>
    <row r="167" spans="1:35" ht="13.5" thickBot="1" x14ac:dyDescent="0.25">
      <c r="A167" s="1294"/>
      <c r="B167" s="1237"/>
      <c r="C167" s="1302"/>
      <c r="D167" s="1302"/>
      <c r="E167" s="1302"/>
      <c r="F167" s="1303"/>
      <c r="G167" s="1303"/>
      <c r="H167" s="1303"/>
      <c r="I167" s="1303"/>
      <c r="J167" s="1303"/>
      <c r="K167" s="1303"/>
      <c r="L167" s="1303"/>
      <c r="M167" s="1303"/>
      <c r="N167" s="1303"/>
      <c r="O167" s="1303"/>
      <c r="P167" s="1304"/>
      <c r="Q167" s="1303"/>
      <c r="R167" s="1303"/>
      <c r="S167" s="1303"/>
      <c r="T167" s="1303"/>
      <c r="U167" s="1303"/>
      <c r="V167" s="1303"/>
      <c r="W167" s="1303"/>
      <c r="X167" s="1303"/>
      <c r="Y167" s="1303"/>
      <c r="Z167" s="1303"/>
      <c r="AA167" s="1303"/>
      <c r="AB167" s="1303"/>
      <c r="AC167" s="1303"/>
      <c r="AD167" s="1303"/>
      <c r="AE167" s="1303"/>
      <c r="AF167" s="1303"/>
      <c r="AG167" s="1303"/>
      <c r="AH167" s="1227">
        <f t="shared" si="17"/>
        <v>0</v>
      </c>
    </row>
    <row r="168" spans="1:35" x14ac:dyDescent="0.2">
      <c r="A168" s="1269"/>
      <c r="B168" s="1237"/>
      <c r="C168" s="1296"/>
      <c r="D168" s="1297"/>
      <c r="E168" s="1297"/>
      <c r="F168" s="1298"/>
      <c r="G168" s="1298"/>
      <c r="H168" s="1298"/>
      <c r="I168" s="1298"/>
      <c r="J168" s="1298"/>
      <c r="K168" s="1298"/>
      <c r="L168" s="1298"/>
      <c r="M168" s="1298"/>
      <c r="N168" s="1298"/>
      <c r="O168" s="1298"/>
      <c r="P168" s="1299"/>
      <c r="Q168" s="1298"/>
      <c r="R168" s="1298"/>
      <c r="S168" s="1298"/>
      <c r="T168" s="1298"/>
      <c r="U168" s="1298"/>
      <c r="V168" s="1298"/>
      <c r="W168" s="1298"/>
      <c r="X168" s="1298"/>
      <c r="Y168" s="1298"/>
      <c r="Z168" s="1298"/>
      <c r="AA168" s="1298"/>
      <c r="AB168" s="1298"/>
      <c r="AC168" s="1298"/>
      <c r="AD168" s="1298"/>
      <c r="AE168" s="1298"/>
      <c r="AF168" s="1298"/>
      <c r="AG168" s="1298"/>
      <c r="AH168" s="1207"/>
    </row>
    <row r="169" spans="1:35" ht="13.5" thickBot="1" x14ac:dyDescent="0.25">
      <c r="A169" s="1274" t="s">
        <v>12</v>
      </c>
      <c r="B169" s="1237"/>
      <c r="C169" s="1275">
        <f t="shared" ref="C169:AG169" si="18">C170</f>
        <v>0</v>
      </c>
      <c r="D169" s="1275">
        <f t="shared" si="18"/>
        <v>0</v>
      </c>
      <c r="E169" s="1275">
        <f t="shared" si="18"/>
        <v>0</v>
      </c>
      <c r="F169" s="1275">
        <f t="shared" si="18"/>
        <v>0</v>
      </c>
      <c r="G169" s="1275">
        <f t="shared" si="18"/>
        <v>0</v>
      </c>
      <c r="H169" s="1275">
        <f t="shared" si="18"/>
        <v>0</v>
      </c>
      <c r="I169" s="1275">
        <f t="shared" si="18"/>
        <v>0</v>
      </c>
      <c r="J169" s="1275">
        <f t="shared" si="18"/>
        <v>0</v>
      </c>
      <c r="K169" s="1275">
        <f t="shared" si="18"/>
        <v>0</v>
      </c>
      <c r="L169" s="1275">
        <f t="shared" si="18"/>
        <v>0</v>
      </c>
      <c r="M169" s="1275">
        <f t="shared" si="18"/>
        <v>0</v>
      </c>
      <c r="N169" s="1275">
        <f t="shared" si="18"/>
        <v>0</v>
      </c>
      <c r="O169" s="1275">
        <f t="shared" si="18"/>
        <v>0</v>
      </c>
      <c r="P169" s="1276">
        <f t="shared" si="18"/>
        <v>0</v>
      </c>
      <c r="Q169" s="1275">
        <f t="shared" si="18"/>
        <v>0</v>
      </c>
      <c r="R169" s="1275">
        <f t="shared" si="18"/>
        <v>0</v>
      </c>
      <c r="S169" s="1275">
        <f t="shared" si="18"/>
        <v>0</v>
      </c>
      <c r="T169" s="1275">
        <f t="shared" si="18"/>
        <v>0</v>
      </c>
      <c r="U169" s="1275">
        <f t="shared" si="18"/>
        <v>0</v>
      </c>
      <c r="V169" s="1275">
        <f t="shared" si="18"/>
        <v>0</v>
      </c>
      <c r="W169" s="1275">
        <f t="shared" si="18"/>
        <v>0</v>
      </c>
      <c r="X169" s="1275">
        <f t="shared" si="18"/>
        <v>0</v>
      </c>
      <c r="Y169" s="1275">
        <f t="shared" si="18"/>
        <v>0</v>
      </c>
      <c r="Z169" s="1275">
        <f t="shared" si="18"/>
        <v>0</v>
      </c>
      <c r="AA169" s="1275">
        <f t="shared" si="18"/>
        <v>0</v>
      </c>
      <c r="AB169" s="1275">
        <f t="shared" si="18"/>
        <v>0</v>
      </c>
      <c r="AC169" s="1275">
        <f t="shared" si="18"/>
        <v>0</v>
      </c>
      <c r="AD169" s="1275">
        <f t="shared" si="18"/>
        <v>0</v>
      </c>
      <c r="AE169" s="1275">
        <f t="shared" si="18"/>
        <v>0</v>
      </c>
      <c r="AF169" s="1275">
        <f t="shared" si="18"/>
        <v>0</v>
      </c>
      <c r="AG169" s="1275">
        <f t="shared" si="18"/>
        <v>0</v>
      </c>
      <c r="AH169" s="1207"/>
    </row>
    <row r="170" spans="1:35" x14ac:dyDescent="0.2">
      <c r="A170" s="1274" t="s">
        <v>8</v>
      </c>
      <c r="B170" s="1237"/>
      <c r="C170" s="1302"/>
      <c r="D170" s="1302"/>
      <c r="E170" s="1302"/>
      <c r="F170" s="1303"/>
      <c r="G170" s="1303"/>
      <c r="H170" s="1303"/>
      <c r="I170" s="1303"/>
      <c r="J170" s="1303"/>
      <c r="K170" s="1303"/>
      <c r="L170" s="1303"/>
      <c r="M170" s="1303"/>
      <c r="N170" s="1303"/>
      <c r="O170" s="1303"/>
      <c r="P170" s="1304"/>
      <c r="Q170" s="1303"/>
      <c r="R170" s="1303"/>
      <c r="S170" s="1303"/>
      <c r="T170" s="1303"/>
      <c r="U170" s="1303"/>
      <c r="V170" s="1303"/>
      <c r="W170" s="1303"/>
      <c r="X170" s="1303"/>
      <c r="Y170" s="1303"/>
      <c r="Z170" s="1303"/>
      <c r="AA170" s="1303"/>
      <c r="AB170" s="1303"/>
      <c r="AC170" s="1303"/>
      <c r="AD170" s="1303"/>
      <c r="AE170" s="1303"/>
      <c r="AF170" s="1303"/>
      <c r="AG170" s="1303"/>
      <c r="AH170" s="1207"/>
    </row>
    <row r="171" spans="1:35" x14ac:dyDescent="0.2">
      <c r="A171" s="1274" t="s">
        <v>775</v>
      </c>
      <c r="B171" s="1237"/>
      <c r="C171" s="1381"/>
      <c r="D171" s="1381"/>
      <c r="E171" s="1381"/>
      <c r="F171" s="1381"/>
      <c r="G171" s="1381"/>
      <c r="H171" s="1381"/>
      <c r="I171" s="1381"/>
      <c r="J171" s="1381"/>
      <c r="K171" s="1381"/>
      <c r="L171" s="1382">
        <v>1229.4570000000001</v>
      </c>
      <c r="M171" s="1382"/>
      <c r="N171" s="1382"/>
      <c r="O171" s="1382"/>
      <c r="P171" s="1382"/>
      <c r="Q171" s="1382">
        <v>845.03899999999999</v>
      </c>
      <c r="R171" s="1382"/>
      <c r="S171" s="1382"/>
      <c r="T171" s="1382">
        <v>999.30899999999997</v>
      </c>
      <c r="U171" s="1382"/>
      <c r="V171" s="1382">
        <v>4688</v>
      </c>
      <c r="W171" s="1382"/>
      <c r="X171" s="1382"/>
      <c r="Y171" s="1382"/>
      <c r="Z171" s="1382"/>
      <c r="AA171" s="1382">
        <v>3531.58</v>
      </c>
      <c r="AB171" s="1382">
        <v>816.702</v>
      </c>
      <c r="AC171" s="1382">
        <v>1000</v>
      </c>
      <c r="AD171" s="1382"/>
      <c r="AE171" s="1382"/>
      <c r="AF171" s="1382">
        <v>3640.2980000000002</v>
      </c>
      <c r="AG171" s="1382">
        <v>848.40300000000002</v>
      </c>
      <c r="AH171" s="1227"/>
    </row>
    <row r="172" spans="1:35" ht="13.5" thickBot="1" x14ac:dyDescent="0.25">
      <c r="A172" s="1294"/>
      <c r="B172" s="1237"/>
      <c r="C172" s="1302"/>
      <c r="D172" s="1302"/>
      <c r="E172" s="1302"/>
      <c r="F172" s="1303"/>
      <c r="G172" s="1303"/>
      <c r="H172" s="1303"/>
      <c r="I172" s="1303"/>
      <c r="J172" s="1303"/>
      <c r="K172" s="1303"/>
      <c r="L172" s="1303"/>
      <c r="M172" s="1303"/>
      <c r="N172" s="1303"/>
      <c r="O172" s="1303"/>
      <c r="P172" s="1304"/>
      <c r="Q172" s="1303"/>
      <c r="R172" s="1303"/>
      <c r="S172" s="1303"/>
      <c r="T172" s="1303"/>
      <c r="U172" s="1303"/>
      <c r="V172" s="1303"/>
      <c r="W172" s="1303"/>
      <c r="X172" s="1303"/>
      <c r="Y172" s="1303"/>
      <c r="Z172" s="1303"/>
      <c r="AA172" s="1303"/>
      <c r="AB172" s="1303"/>
      <c r="AC172" s="1303"/>
      <c r="AD172" s="1303"/>
      <c r="AE172" s="1303"/>
      <c r="AF172" s="1303"/>
      <c r="AG172" s="1303"/>
      <c r="AH172" s="1207"/>
    </row>
    <row r="173" spans="1:35" x14ac:dyDescent="0.2">
      <c r="A173" s="1269"/>
      <c r="B173" s="1237"/>
      <c r="C173" s="1296"/>
      <c r="D173" s="1297"/>
      <c r="E173" s="1297"/>
      <c r="F173" s="1298"/>
      <c r="G173" s="1298"/>
      <c r="H173" s="1298"/>
      <c r="I173" s="1298"/>
      <c r="J173" s="1298"/>
      <c r="K173" s="1298"/>
      <c r="L173" s="1298"/>
      <c r="M173" s="1298"/>
      <c r="N173" s="1298"/>
      <c r="O173" s="1298"/>
      <c r="P173" s="1299"/>
      <c r="Q173" s="1298"/>
      <c r="R173" s="1298"/>
      <c r="S173" s="1298"/>
      <c r="T173" s="1298"/>
      <c r="U173" s="1298"/>
      <c r="V173" s="1298"/>
      <c r="W173" s="1298"/>
      <c r="X173" s="1298"/>
      <c r="Y173" s="1298"/>
      <c r="Z173" s="1298"/>
      <c r="AA173" s="1298"/>
      <c r="AB173" s="1298"/>
      <c r="AC173" s="1298"/>
      <c r="AD173" s="1298"/>
      <c r="AE173" s="1298"/>
      <c r="AF173" s="1298"/>
      <c r="AG173" s="1298"/>
      <c r="AH173" s="1207"/>
    </row>
    <row r="174" spans="1:35" x14ac:dyDescent="0.2">
      <c r="A174" s="1274" t="s">
        <v>13</v>
      </c>
      <c r="B174" s="1237"/>
      <c r="C174" s="1300">
        <f t="shared" ref="C174:AG174" si="19">C169-C159</f>
        <v>0</v>
      </c>
      <c r="D174" s="1300">
        <f t="shared" si="19"/>
        <v>0</v>
      </c>
      <c r="E174" s="1300">
        <f t="shared" si="19"/>
        <v>0</v>
      </c>
      <c r="F174" s="1300">
        <f t="shared" si="19"/>
        <v>0</v>
      </c>
      <c r="G174" s="1300">
        <f t="shared" si="19"/>
        <v>0</v>
      </c>
      <c r="H174" s="1300">
        <f t="shared" si="19"/>
        <v>0</v>
      </c>
      <c r="I174" s="1300">
        <f t="shared" si="19"/>
        <v>0</v>
      </c>
      <c r="J174" s="1300">
        <f t="shared" si="19"/>
        <v>0</v>
      </c>
      <c r="K174" s="1300">
        <f t="shared" si="19"/>
        <v>0</v>
      </c>
      <c r="L174" s="1300">
        <f t="shared" si="19"/>
        <v>0</v>
      </c>
      <c r="M174" s="1300">
        <f t="shared" si="19"/>
        <v>0</v>
      </c>
      <c r="N174" s="1300">
        <f t="shared" si="19"/>
        <v>0</v>
      </c>
      <c r="O174" s="1300">
        <f t="shared" si="19"/>
        <v>0</v>
      </c>
      <c r="P174" s="1301">
        <f t="shared" si="19"/>
        <v>0</v>
      </c>
      <c r="Q174" s="1300">
        <f t="shared" si="19"/>
        <v>0</v>
      </c>
      <c r="R174" s="1300">
        <f t="shared" si="19"/>
        <v>0</v>
      </c>
      <c r="S174" s="1300">
        <f t="shared" si="19"/>
        <v>0</v>
      </c>
      <c r="T174" s="1300">
        <f t="shared" si="19"/>
        <v>0</v>
      </c>
      <c r="U174" s="1300">
        <f t="shared" si="19"/>
        <v>0</v>
      </c>
      <c r="V174" s="1300">
        <f t="shared" si="19"/>
        <v>0</v>
      </c>
      <c r="W174" s="1300">
        <f t="shared" si="19"/>
        <v>0</v>
      </c>
      <c r="X174" s="1300">
        <f t="shared" si="19"/>
        <v>0</v>
      </c>
      <c r="Y174" s="1300">
        <f t="shared" si="19"/>
        <v>0</v>
      </c>
      <c r="Z174" s="1300">
        <f t="shared" si="19"/>
        <v>0</v>
      </c>
      <c r="AA174" s="1300">
        <f t="shared" si="19"/>
        <v>0</v>
      </c>
      <c r="AB174" s="1300">
        <f t="shared" si="19"/>
        <v>0</v>
      </c>
      <c r="AC174" s="1300">
        <f t="shared" si="19"/>
        <v>-0.34500000000116415</v>
      </c>
      <c r="AD174" s="1300">
        <f t="shared" si="19"/>
        <v>0</v>
      </c>
      <c r="AE174" s="1300">
        <f t="shared" si="19"/>
        <v>0</v>
      </c>
      <c r="AF174" s="1300">
        <f t="shared" si="19"/>
        <v>0</v>
      </c>
      <c r="AG174" s="1300">
        <f t="shared" si="19"/>
        <v>0</v>
      </c>
      <c r="AH174" s="1207"/>
    </row>
    <row r="175" spans="1:35" ht="13.5" thickBot="1" x14ac:dyDescent="0.25">
      <c r="A175" s="1274"/>
      <c r="B175" s="1237"/>
      <c r="C175" s="1300"/>
      <c r="D175" s="1302"/>
      <c r="E175" s="1302"/>
      <c r="F175" s="1303"/>
      <c r="G175" s="1303"/>
      <c r="H175" s="1303"/>
      <c r="I175" s="1303"/>
      <c r="J175" s="1303"/>
      <c r="K175" s="1303"/>
      <c r="L175" s="1303"/>
      <c r="M175" s="1303"/>
      <c r="N175" s="1303"/>
      <c r="O175" s="1303"/>
      <c r="P175" s="1304"/>
      <c r="Q175" s="1303"/>
      <c r="R175" s="1303"/>
      <c r="S175" s="1303"/>
      <c r="T175" s="1303"/>
      <c r="U175" s="1303"/>
      <c r="V175" s="1303"/>
      <c r="W175" s="1303"/>
      <c r="X175" s="1303"/>
      <c r="Y175" s="1303"/>
      <c r="Z175" s="1303"/>
      <c r="AA175" s="1303"/>
      <c r="AB175" s="1303"/>
      <c r="AC175" s="1303"/>
      <c r="AD175" s="1303"/>
      <c r="AE175" s="1303"/>
      <c r="AF175" s="1303"/>
      <c r="AG175" s="1303"/>
      <c r="AH175" s="1207"/>
      <c r="AI175" s="1209" t="s">
        <v>813</v>
      </c>
    </row>
    <row r="176" spans="1:35" x14ac:dyDescent="0.2">
      <c r="A176" s="1233"/>
      <c r="B176" s="1234"/>
      <c r="C176" s="1305"/>
      <c r="D176" s="1297"/>
      <c r="E176" s="1297"/>
      <c r="F176" s="1298"/>
      <c r="G176" s="1298"/>
      <c r="H176" s="1298"/>
      <c r="I176" s="1298"/>
      <c r="J176" s="1298"/>
      <c r="K176" s="1298"/>
      <c r="L176" s="1298"/>
      <c r="M176" s="1298"/>
      <c r="N176" s="1298"/>
      <c r="O176" s="1298"/>
      <c r="P176" s="1299"/>
      <c r="Q176" s="1298"/>
      <c r="R176" s="1298"/>
      <c r="S176" s="1298"/>
      <c r="T176" s="1298"/>
      <c r="U176" s="1298"/>
      <c r="V176" s="1298"/>
      <c r="W176" s="1298"/>
      <c r="X176" s="1298"/>
      <c r="Y176" s="1298"/>
      <c r="Z176" s="1298"/>
      <c r="AA176" s="1298"/>
      <c r="AB176" s="1298"/>
      <c r="AC176" s="1298"/>
      <c r="AD176" s="1298"/>
      <c r="AE176" s="1298"/>
      <c r="AF176" s="1298"/>
      <c r="AG176" s="1298"/>
      <c r="AH176" s="1207"/>
    </row>
    <row r="177" spans="1:34" x14ac:dyDescent="0.2">
      <c r="A177" s="1236" t="s">
        <v>15</v>
      </c>
      <c r="B177" s="1237"/>
      <c r="C177" s="1302">
        <f>B156+C174</f>
        <v>-23631.26</v>
      </c>
      <c r="D177" s="1302">
        <f t="shared" ref="D177:AG177" si="20">C184+D174</f>
        <v>-23631.26</v>
      </c>
      <c r="E177" s="1302">
        <f t="shared" si="20"/>
        <v>-23631.26</v>
      </c>
      <c r="F177" s="1302">
        <f t="shared" si="20"/>
        <v>-23631.26</v>
      </c>
      <c r="G177" s="1302">
        <f t="shared" si="20"/>
        <v>-23631.26</v>
      </c>
      <c r="H177" s="1302">
        <f t="shared" si="20"/>
        <v>-23631.26</v>
      </c>
      <c r="I177" s="1302">
        <f t="shared" si="20"/>
        <v>-23631.26</v>
      </c>
      <c r="J177" s="1302">
        <f t="shared" si="20"/>
        <v>-23631.26</v>
      </c>
      <c r="K177" s="1302">
        <f t="shared" si="20"/>
        <v>-23631.26</v>
      </c>
      <c r="L177" s="1302">
        <f t="shared" si="20"/>
        <v>-23631.26</v>
      </c>
      <c r="M177" s="1302">
        <f t="shared" si="20"/>
        <v>-23631.26</v>
      </c>
      <c r="N177" s="1302">
        <f t="shared" si="20"/>
        <v>-23631.26</v>
      </c>
      <c r="O177" s="1302">
        <f t="shared" si="20"/>
        <v>-23631.26</v>
      </c>
      <c r="P177" s="1306">
        <f t="shared" si="20"/>
        <v>-23631.26</v>
      </c>
      <c r="Q177" s="1302">
        <f t="shared" si="20"/>
        <v>-23631.26</v>
      </c>
      <c r="R177" s="1302">
        <f t="shared" si="20"/>
        <v>-23631.26</v>
      </c>
      <c r="S177" s="1302">
        <f t="shared" si="20"/>
        <v>-23631.26</v>
      </c>
      <c r="T177" s="1302">
        <f t="shared" si="20"/>
        <v>-23631.26</v>
      </c>
      <c r="U177" s="1302">
        <f t="shared" si="20"/>
        <v>-23631.26</v>
      </c>
      <c r="V177" s="1302">
        <f t="shared" si="20"/>
        <v>-23631.26</v>
      </c>
      <c r="W177" s="1302">
        <f t="shared" si="20"/>
        <v>-23631.26</v>
      </c>
      <c r="X177" s="1302">
        <f t="shared" si="20"/>
        <v>-23631.26</v>
      </c>
      <c r="Y177" s="1302">
        <f t="shared" si="20"/>
        <v>-23631.26</v>
      </c>
      <c r="Z177" s="1302">
        <f t="shared" si="20"/>
        <v>-23631.26</v>
      </c>
      <c r="AA177" s="1302">
        <f t="shared" si="20"/>
        <v>-23631.26</v>
      </c>
      <c r="AB177" s="1302">
        <f t="shared" si="20"/>
        <v>-23631.26</v>
      </c>
      <c r="AC177" s="1302">
        <f t="shared" si="20"/>
        <v>-23631.605</v>
      </c>
      <c r="AD177" s="1302">
        <f t="shared" si="20"/>
        <v>-23631.605</v>
      </c>
      <c r="AE177" s="1302">
        <f t="shared" si="20"/>
        <v>-23631.605</v>
      </c>
      <c r="AF177" s="1302">
        <f t="shared" si="20"/>
        <v>-23631.605</v>
      </c>
      <c r="AG177" s="1302">
        <f t="shared" si="20"/>
        <v>-23631.605</v>
      </c>
      <c r="AH177" s="1207"/>
    </row>
    <row r="178" spans="1:34" ht="13.5" thickBot="1" x14ac:dyDescent="0.25">
      <c r="A178" s="1250"/>
      <c r="B178" s="1307"/>
      <c r="C178" s="1308"/>
      <c r="D178" s="1308"/>
      <c r="E178" s="1308"/>
      <c r="F178" s="1309"/>
      <c r="G178" s="1309"/>
      <c r="H178" s="1309"/>
      <c r="I178" s="1309"/>
      <c r="J178" s="1309"/>
      <c r="K178" s="1309"/>
      <c r="L178" s="1309"/>
      <c r="M178" s="1309"/>
      <c r="N178" s="1309"/>
      <c r="O178" s="1309"/>
      <c r="P178" s="1310"/>
      <c r="Q178" s="1309"/>
      <c r="R178" s="1309"/>
      <c r="S178" s="1309"/>
      <c r="T178" s="1309"/>
      <c r="U178" s="1309"/>
      <c r="V178" s="1309"/>
      <c r="W178" s="1309"/>
      <c r="X178" s="1309"/>
      <c r="Y178" s="1309"/>
      <c r="Z178" s="1309"/>
      <c r="AA178" s="1309"/>
      <c r="AB178" s="1309"/>
      <c r="AC178" s="1309"/>
      <c r="AD178" s="1309"/>
      <c r="AE178" s="1309"/>
      <c r="AF178" s="1309"/>
      <c r="AG178" s="1309"/>
      <c r="AH178" s="1207"/>
    </row>
    <row r="179" spans="1:34" x14ac:dyDescent="0.2">
      <c r="A179" s="1233"/>
      <c r="B179" s="1234"/>
      <c r="C179" s="1297"/>
      <c r="D179" s="1297"/>
      <c r="E179" s="1297"/>
      <c r="F179" s="1298"/>
      <c r="G179" s="1298"/>
      <c r="H179" s="1298"/>
      <c r="I179" s="1298"/>
      <c r="J179" s="1298"/>
      <c r="K179" s="1298"/>
      <c r="L179" s="1298"/>
      <c r="M179" s="1298"/>
      <c r="N179" s="1298"/>
      <c r="O179" s="1298"/>
      <c r="P179" s="1299"/>
      <c r="Q179" s="1298"/>
      <c r="R179" s="1298"/>
      <c r="S179" s="1298"/>
      <c r="T179" s="1298"/>
      <c r="U179" s="1298"/>
      <c r="V179" s="1298"/>
      <c r="W179" s="1298"/>
      <c r="X179" s="1298"/>
      <c r="Y179" s="1298"/>
      <c r="Z179" s="1298"/>
      <c r="AA179" s="1298"/>
      <c r="AB179" s="1298"/>
      <c r="AC179" s="1298"/>
      <c r="AD179" s="1298"/>
      <c r="AE179" s="1298"/>
      <c r="AF179" s="1298"/>
      <c r="AG179" s="1298"/>
      <c r="AH179" s="1207"/>
    </row>
    <row r="180" spans="1:34" x14ac:dyDescent="0.2">
      <c r="A180" s="1236" t="s">
        <v>82</v>
      </c>
      <c r="B180" s="1237"/>
      <c r="C180" s="1302">
        <f t="shared" ref="C180:AG181" si="21">C188</f>
        <v>0</v>
      </c>
      <c r="D180" s="1302">
        <f t="shared" si="21"/>
        <v>0</v>
      </c>
      <c r="E180" s="1302">
        <f t="shared" si="21"/>
        <v>0</v>
      </c>
      <c r="F180" s="1302">
        <f t="shared" si="21"/>
        <v>0</v>
      </c>
      <c r="G180" s="1302">
        <f t="shared" si="21"/>
        <v>0</v>
      </c>
      <c r="H180" s="1302">
        <f t="shared" si="21"/>
        <v>0</v>
      </c>
      <c r="I180" s="1302">
        <f t="shared" si="21"/>
        <v>0</v>
      </c>
      <c r="J180" s="1302">
        <f t="shared" si="21"/>
        <v>0</v>
      </c>
      <c r="K180" s="1302">
        <f t="shared" si="21"/>
        <v>0</v>
      </c>
      <c r="L180" s="1302">
        <f t="shared" si="21"/>
        <v>0</v>
      </c>
      <c r="M180" s="1302">
        <f t="shared" si="21"/>
        <v>0</v>
      </c>
      <c r="N180" s="1302">
        <f t="shared" si="21"/>
        <v>0</v>
      </c>
      <c r="O180" s="1302">
        <f t="shared" si="21"/>
        <v>0</v>
      </c>
      <c r="P180" s="1306">
        <f t="shared" si="21"/>
        <v>0</v>
      </c>
      <c r="Q180" s="1302">
        <f t="shared" si="21"/>
        <v>0</v>
      </c>
      <c r="R180" s="1302">
        <f t="shared" si="21"/>
        <v>0</v>
      </c>
      <c r="S180" s="1302">
        <f t="shared" si="21"/>
        <v>0</v>
      </c>
      <c r="T180" s="1302">
        <f t="shared" si="21"/>
        <v>0</v>
      </c>
      <c r="U180" s="1302">
        <f t="shared" si="21"/>
        <v>0</v>
      </c>
      <c r="V180" s="1302">
        <f t="shared" si="21"/>
        <v>0</v>
      </c>
      <c r="W180" s="1302">
        <f t="shared" si="21"/>
        <v>0</v>
      </c>
      <c r="X180" s="1302">
        <f t="shared" si="21"/>
        <v>0</v>
      </c>
      <c r="Y180" s="1302">
        <f t="shared" si="21"/>
        <v>0</v>
      </c>
      <c r="Z180" s="1302">
        <f t="shared" si="21"/>
        <v>0</v>
      </c>
      <c r="AA180" s="1302">
        <f t="shared" si="21"/>
        <v>0</v>
      </c>
      <c r="AB180" s="1302">
        <f t="shared" si="21"/>
        <v>0</v>
      </c>
      <c r="AC180" s="1302">
        <f t="shared" si="21"/>
        <v>0</v>
      </c>
      <c r="AD180" s="1302">
        <f t="shared" si="21"/>
        <v>0</v>
      </c>
      <c r="AE180" s="1302">
        <f t="shared" si="21"/>
        <v>0</v>
      </c>
      <c r="AF180" s="1302">
        <f t="shared" si="21"/>
        <v>0</v>
      </c>
      <c r="AG180" s="1302">
        <f t="shared" si="21"/>
        <v>0</v>
      </c>
      <c r="AH180" s="1207"/>
    </row>
    <row r="181" spans="1:34" x14ac:dyDescent="0.2">
      <c r="A181" s="1236" t="s">
        <v>83</v>
      </c>
      <c r="B181" s="1237"/>
      <c r="C181" s="1306">
        <f t="shared" si="21"/>
        <v>0</v>
      </c>
      <c r="D181" s="1306">
        <f t="shared" si="21"/>
        <v>0</v>
      </c>
      <c r="E181" s="1306">
        <f t="shared" si="21"/>
        <v>0</v>
      </c>
      <c r="F181" s="1306">
        <f t="shared" si="21"/>
        <v>0</v>
      </c>
      <c r="G181" s="1306">
        <f t="shared" si="21"/>
        <v>0</v>
      </c>
      <c r="H181" s="1306">
        <f t="shared" si="21"/>
        <v>0</v>
      </c>
      <c r="I181" s="1306">
        <f t="shared" si="21"/>
        <v>0</v>
      </c>
      <c r="J181" s="1306">
        <f t="shared" si="21"/>
        <v>0</v>
      </c>
      <c r="K181" s="1306">
        <f t="shared" si="21"/>
        <v>0</v>
      </c>
      <c r="L181" s="1306">
        <f t="shared" si="21"/>
        <v>0</v>
      </c>
      <c r="M181" s="1306">
        <f t="shared" si="21"/>
        <v>0</v>
      </c>
      <c r="N181" s="1306">
        <f t="shared" si="21"/>
        <v>0</v>
      </c>
      <c r="O181" s="1306">
        <f t="shared" si="21"/>
        <v>0</v>
      </c>
      <c r="P181" s="1306">
        <f t="shared" si="21"/>
        <v>0</v>
      </c>
      <c r="Q181" s="1306">
        <f t="shared" si="21"/>
        <v>0</v>
      </c>
      <c r="R181" s="1306">
        <f t="shared" si="21"/>
        <v>0</v>
      </c>
      <c r="S181" s="1306">
        <f t="shared" si="21"/>
        <v>0</v>
      </c>
      <c r="T181" s="1306">
        <f t="shared" si="21"/>
        <v>0</v>
      </c>
      <c r="U181" s="1306">
        <f t="shared" si="21"/>
        <v>0</v>
      </c>
      <c r="V181" s="1306">
        <f t="shared" si="21"/>
        <v>0</v>
      </c>
      <c r="W181" s="1306">
        <f t="shared" si="21"/>
        <v>0</v>
      </c>
      <c r="X181" s="1306">
        <f t="shared" si="21"/>
        <v>0</v>
      </c>
      <c r="Y181" s="1306">
        <f t="shared" si="21"/>
        <v>0</v>
      </c>
      <c r="Z181" s="1306">
        <f t="shared" si="21"/>
        <v>0</v>
      </c>
      <c r="AA181" s="1306">
        <f t="shared" si="21"/>
        <v>0</v>
      </c>
      <c r="AB181" s="1306">
        <f t="shared" si="21"/>
        <v>0</v>
      </c>
      <c r="AC181" s="1306">
        <f t="shared" si="21"/>
        <v>0</v>
      </c>
      <c r="AD181" s="1306">
        <f t="shared" si="21"/>
        <v>0</v>
      </c>
      <c r="AE181" s="1306">
        <f t="shared" si="21"/>
        <v>0</v>
      </c>
      <c r="AF181" s="1306">
        <f t="shared" si="21"/>
        <v>0</v>
      </c>
      <c r="AG181" s="1306">
        <f t="shared" si="21"/>
        <v>0</v>
      </c>
      <c r="AH181" s="1207"/>
    </row>
    <row r="182" spans="1:34" ht="13.5" thickBot="1" x14ac:dyDescent="0.25">
      <c r="A182" s="1250"/>
      <c r="B182" s="1307"/>
      <c r="C182" s="1308"/>
      <c r="D182" s="1308"/>
      <c r="E182" s="1308"/>
      <c r="F182" s="1309"/>
      <c r="G182" s="1309"/>
      <c r="H182" s="1309"/>
      <c r="I182" s="1309"/>
      <c r="J182" s="1309"/>
      <c r="K182" s="1309"/>
      <c r="L182" s="1309"/>
      <c r="M182" s="1309"/>
      <c r="N182" s="1309"/>
      <c r="O182" s="1309"/>
      <c r="P182" s="1310"/>
      <c r="Q182" s="1309"/>
      <c r="R182" s="1309"/>
      <c r="S182" s="1309"/>
      <c r="T182" s="1309"/>
      <c r="U182" s="1309"/>
      <c r="V182" s="1309"/>
      <c r="W182" s="1309"/>
      <c r="X182" s="1309"/>
      <c r="Y182" s="1309"/>
      <c r="Z182" s="1309"/>
      <c r="AA182" s="1309"/>
      <c r="AB182" s="1309"/>
      <c r="AC182" s="1309"/>
      <c r="AD182" s="1309"/>
      <c r="AE182" s="1309"/>
      <c r="AF182" s="1309"/>
      <c r="AG182" s="1309"/>
      <c r="AH182" s="1207"/>
    </row>
    <row r="183" spans="1:34" x14ac:dyDescent="0.2">
      <c r="A183" s="1236"/>
      <c r="B183" s="1237"/>
      <c r="C183" s="1302"/>
      <c r="D183" s="1302"/>
      <c r="E183" s="1302"/>
      <c r="F183" s="1303"/>
      <c r="G183" s="1303"/>
      <c r="H183" s="1303"/>
      <c r="I183" s="1303"/>
      <c r="J183" s="1303"/>
      <c r="K183" s="1303"/>
      <c r="L183" s="1303"/>
      <c r="M183" s="1303"/>
      <c r="N183" s="1303"/>
      <c r="O183" s="1303"/>
      <c r="P183" s="1304"/>
      <c r="Q183" s="1303"/>
      <c r="R183" s="1303"/>
      <c r="S183" s="1303"/>
      <c r="T183" s="1303"/>
      <c r="U183" s="1303"/>
      <c r="V183" s="1303"/>
      <c r="W183" s="1303"/>
      <c r="X183" s="1303"/>
      <c r="Y183" s="1303"/>
      <c r="Z183" s="1303"/>
      <c r="AA183" s="1303"/>
      <c r="AB183" s="1303"/>
      <c r="AC183" s="1303"/>
      <c r="AD183" s="1303"/>
      <c r="AE183" s="1303"/>
      <c r="AF183" s="1303"/>
      <c r="AG183" s="1303"/>
      <c r="AH183" s="1208"/>
    </row>
    <row r="184" spans="1:34" x14ac:dyDescent="0.2">
      <c r="A184" s="1236" t="s">
        <v>14</v>
      </c>
      <c r="B184" s="1237"/>
      <c r="C184" s="1302">
        <f t="shared" ref="C184:AG184" si="22">C177+C180+C181</f>
        <v>-23631.26</v>
      </c>
      <c r="D184" s="1302">
        <f t="shared" si="22"/>
        <v>-23631.26</v>
      </c>
      <c r="E184" s="1302">
        <f t="shared" si="22"/>
        <v>-23631.26</v>
      </c>
      <c r="F184" s="1302">
        <f t="shared" si="22"/>
        <v>-23631.26</v>
      </c>
      <c r="G184" s="1302">
        <f t="shared" si="22"/>
        <v>-23631.26</v>
      </c>
      <c r="H184" s="1302">
        <f t="shared" si="22"/>
        <v>-23631.26</v>
      </c>
      <c r="I184" s="1302">
        <f t="shared" si="22"/>
        <v>-23631.26</v>
      </c>
      <c r="J184" s="1302">
        <f t="shared" si="22"/>
        <v>-23631.26</v>
      </c>
      <c r="K184" s="1302">
        <f t="shared" si="22"/>
        <v>-23631.26</v>
      </c>
      <c r="L184" s="1302">
        <f t="shared" si="22"/>
        <v>-23631.26</v>
      </c>
      <c r="M184" s="1302">
        <f t="shared" si="22"/>
        <v>-23631.26</v>
      </c>
      <c r="N184" s="1302">
        <f t="shared" si="22"/>
        <v>-23631.26</v>
      </c>
      <c r="O184" s="1302">
        <f t="shared" si="22"/>
        <v>-23631.26</v>
      </c>
      <c r="P184" s="1306">
        <f t="shared" si="22"/>
        <v>-23631.26</v>
      </c>
      <c r="Q184" s="1302">
        <f t="shared" si="22"/>
        <v>-23631.26</v>
      </c>
      <c r="R184" s="1302">
        <f t="shared" si="22"/>
        <v>-23631.26</v>
      </c>
      <c r="S184" s="1302">
        <f t="shared" si="22"/>
        <v>-23631.26</v>
      </c>
      <c r="T184" s="1302">
        <f t="shared" si="22"/>
        <v>-23631.26</v>
      </c>
      <c r="U184" s="1302">
        <f t="shared" si="22"/>
        <v>-23631.26</v>
      </c>
      <c r="V184" s="1302">
        <f t="shared" si="22"/>
        <v>-23631.26</v>
      </c>
      <c r="W184" s="1302">
        <f t="shared" si="22"/>
        <v>-23631.26</v>
      </c>
      <c r="X184" s="1302">
        <f t="shared" si="22"/>
        <v>-23631.26</v>
      </c>
      <c r="Y184" s="1302">
        <f t="shared" si="22"/>
        <v>-23631.26</v>
      </c>
      <c r="Z184" s="1302">
        <f t="shared" si="22"/>
        <v>-23631.26</v>
      </c>
      <c r="AA184" s="1302">
        <f t="shared" si="22"/>
        <v>-23631.26</v>
      </c>
      <c r="AB184" s="1302">
        <f t="shared" si="22"/>
        <v>-23631.26</v>
      </c>
      <c r="AC184" s="1302">
        <f t="shared" si="22"/>
        <v>-23631.605</v>
      </c>
      <c r="AD184" s="1302">
        <f t="shared" si="22"/>
        <v>-23631.605</v>
      </c>
      <c r="AE184" s="1302">
        <f t="shared" si="22"/>
        <v>-23631.605</v>
      </c>
      <c r="AF184" s="1302">
        <f t="shared" si="22"/>
        <v>-23631.605</v>
      </c>
      <c r="AG184" s="1302">
        <f t="shared" si="22"/>
        <v>-23631.605</v>
      </c>
      <c r="AH184" s="1229"/>
    </row>
    <row r="185" spans="1:34" x14ac:dyDescent="0.2">
      <c r="A185" s="1236"/>
      <c r="B185" s="1237"/>
      <c r="C185" s="1302"/>
      <c r="D185" s="1302"/>
      <c r="E185" s="1302"/>
      <c r="F185" s="1303"/>
      <c r="G185" s="1303"/>
      <c r="H185" s="1303"/>
      <c r="I185" s="1303"/>
      <c r="J185" s="1303"/>
      <c r="K185" s="1303"/>
      <c r="L185" s="1303"/>
      <c r="M185" s="1303"/>
      <c r="N185" s="1303"/>
      <c r="O185" s="1303"/>
      <c r="P185" s="1304"/>
      <c r="Q185" s="1303"/>
      <c r="R185" s="1303"/>
      <c r="S185" s="1303"/>
      <c r="T185" s="1303"/>
      <c r="U185" s="1303"/>
      <c r="V185" s="1303"/>
      <c r="W185" s="1303"/>
      <c r="X185" s="1303"/>
      <c r="Y185" s="1303"/>
      <c r="Z185" s="1303"/>
      <c r="AA185" s="1303"/>
      <c r="AB185" s="1303"/>
      <c r="AC185" s="1303"/>
      <c r="AD185" s="1303"/>
      <c r="AE185" s="1303"/>
      <c r="AF185" s="1303"/>
      <c r="AG185" s="1303"/>
      <c r="AH185" s="1208"/>
    </row>
    <row r="186" spans="1:34" ht="13.5" thickBot="1" x14ac:dyDescent="0.25">
      <c r="A186" s="1250"/>
      <c r="B186" s="1307"/>
      <c r="C186" s="1312"/>
      <c r="D186" s="1312"/>
      <c r="E186" s="1312"/>
      <c r="F186" s="1313"/>
      <c r="G186" s="1313"/>
      <c r="H186" s="1313"/>
      <c r="I186" s="1313"/>
      <c r="J186" s="1313"/>
      <c r="K186" s="1313"/>
      <c r="L186" s="1313"/>
      <c r="M186" s="1313"/>
      <c r="N186" s="1313"/>
      <c r="O186" s="1313"/>
      <c r="P186" s="1314"/>
      <c r="Q186" s="1313"/>
      <c r="R186" s="1313"/>
      <c r="S186" s="1313"/>
      <c r="T186" s="1313"/>
      <c r="U186" s="1313"/>
      <c r="V186" s="1313"/>
      <c r="W186" s="1313"/>
      <c r="X186" s="1313"/>
      <c r="Y186" s="1313"/>
      <c r="Z186" s="1313"/>
      <c r="AA186" s="1313"/>
      <c r="AB186" s="1313"/>
      <c r="AC186" s="1313"/>
      <c r="AD186" s="1313"/>
      <c r="AE186" s="1313"/>
      <c r="AF186" s="1313"/>
      <c r="AG186" s="1313"/>
      <c r="AH186" s="1208"/>
    </row>
    <row r="187" spans="1:34" x14ac:dyDescent="0.2">
      <c r="A187" s="1316"/>
      <c r="B187" s="1207"/>
      <c r="C187" s="1227"/>
      <c r="D187" s="1227"/>
      <c r="E187" s="1227"/>
      <c r="F187" s="1227"/>
      <c r="G187" s="1227"/>
      <c r="H187" s="1227"/>
      <c r="I187" s="1227"/>
      <c r="J187" s="1227"/>
      <c r="K187" s="1227"/>
      <c r="L187" s="1227"/>
      <c r="M187" s="1227"/>
      <c r="N187" s="1227"/>
      <c r="O187" s="1227"/>
      <c r="P187" s="1229"/>
      <c r="Q187" s="1227"/>
      <c r="R187" s="1227"/>
      <c r="S187" s="1227"/>
      <c r="T187" s="1227"/>
      <c r="U187" s="1227"/>
      <c r="V187" s="1227"/>
      <c r="W187" s="1227"/>
      <c r="X187" s="1227"/>
      <c r="Y187" s="1227"/>
      <c r="Z187" s="1227"/>
      <c r="AA187" s="1227"/>
      <c r="AB187" s="1227"/>
      <c r="AC187" s="1227"/>
      <c r="AD187" s="1227"/>
      <c r="AE187" s="1227"/>
      <c r="AF187" s="1227"/>
      <c r="AG187" s="1227"/>
      <c r="AH187" s="1208"/>
    </row>
    <row r="188" spans="1:34" x14ac:dyDescent="0.2">
      <c r="A188" s="1344"/>
      <c r="B188" s="1383"/>
      <c r="C188" s="1219"/>
      <c r="D188" s="1219"/>
      <c r="E188" s="1219"/>
      <c r="F188" s="1219"/>
      <c r="G188" s="1219"/>
      <c r="H188" s="1219">
        <f>10528.774-313.077-2821.843-680-1461.65-328.053-2821.843-2102.308</f>
        <v>0</v>
      </c>
      <c r="I188" s="1219"/>
      <c r="J188" s="1219"/>
      <c r="K188" s="1219"/>
      <c r="L188" s="1219"/>
      <c r="M188" s="1219"/>
      <c r="N188" s="1219"/>
      <c r="O188" s="1221"/>
      <c r="P188" s="1221"/>
      <c r="Q188" s="1219"/>
      <c r="R188" s="1219"/>
      <c r="S188" s="1219"/>
      <c r="T188" s="1219"/>
      <c r="U188" s="1219"/>
      <c r="V188" s="1219"/>
      <c r="W188" s="1219"/>
      <c r="X188" s="1219"/>
      <c r="Y188" s="1219"/>
      <c r="Z188" s="1219"/>
      <c r="AA188" s="1384"/>
      <c r="AB188" s="1219"/>
      <c r="AC188" s="1219"/>
      <c r="AD188" s="1219"/>
      <c r="AE188" s="1219"/>
      <c r="AF188" s="1219"/>
      <c r="AG188" s="1219"/>
      <c r="AH188" s="1229"/>
    </row>
    <row r="189" spans="1:34" x14ac:dyDescent="0.2">
      <c r="A189" s="1316"/>
      <c r="B189" s="1207"/>
      <c r="C189" s="1219"/>
      <c r="D189" s="1219"/>
      <c r="E189" s="1219"/>
      <c r="F189" s="1219"/>
      <c r="G189" s="1219"/>
      <c r="H189" s="1219"/>
      <c r="I189" s="1219"/>
      <c r="J189" s="1219"/>
      <c r="K189" s="1219"/>
      <c r="L189" s="1219"/>
      <c r="M189" s="1219"/>
      <c r="N189" s="1219"/>
      <c r="O189" s="1219"/>
      <c r="P189" s="1221"/>
      <c r="Q189" s="1219"/>
      <c r="R189" s="1219"/>
      <c r="S189" s="1219"/>
      <c r="T189" s="1219"/>
      <c r="U189" s="1219"/>
      <c r="V189" s="1219"/>
      <c r="W189" s="1219"/>
      <c r="X189" s="1219"/>
      <c r="Y189" s="1219"/>
      <c r="Z189" s="1219"/>
      <c r="AA189" s="1219"/>
      <c r="AB189" s="1219"/>
      <c r="AC189" s="1219"/>
      <c r="AD189" s="1219"/>
      <c r="AE189" s="1219"/>
      <c r="AF189" s="1219"/>
      <c r="AG189" s="1219"/>
      <c r="AH189" s="1229"/>
    </row>
    <row r="190" spans="1:34" x14ac:dyDescent="0.2">
      <c r="A190" s="1210" t="s">
        <v>415</v>
      </c>
      <c r="B190" s="1215">
        <f>SUM(B191:B194)</f>
        <v>375000</v>
      </c>
      <c r="C190" s="1207"/>
      <c r="D190" s="1207"/>
      <c r="E190" s="1207"/>
      <c r="F190" s="1207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8"/>
      <c r="Q190" s="1207"/>
      <c r="R190" s="1207"/>
      <c r="S190" s="1207"/>
      <c r="T190" s="1385"/>
      <c r="U190" s="1345"/>
      <c r="V190" s="1207"/>
      <c r="W190" s="1207"/>
      <c r="X190" s="1207"/>
      <c r="Y190" s="1207"/>
      <c r="Z190" s="1207"/>
      <c r="AA190" s="1384"/>
      <c r="AB190" s="1207"/>
      <c r="AC190" s="1207"/>
      <c r="AD190" s="1207"/>
      <c r="AE190" s="1207"/>
      <c r="AF190" s="1207"/>
      <c r="AG190" s="1207"/>
      <c r="AH190" s="1207"/>
    </row>
    <row r="191" spans="1:34" x14ac:dyDescent="0.2">
      <c r="A191" s="1365" t="s">
        <v>414</v>
      </c>
      <c r="B191" s="1219">
        <v>25000</v>
      </c>
      <c r="C191" s="1207"/>
      <c r="D191" s="1229"/>
      <c r="E191" s="1207"/>
      <c r="F191" s="1207"/>
      <c r="G191" s="1207"/>
      <c r="H191" s="1207"/>
      <c r="I191" s="1207"/>
      <c r="J191" s="1207"/>
      <c r="K191" s="1207"/>
      <c r="L191" s="1207"/>
      <c r="M191" s="1207"/>
      <c r="N191" s="1207"/>
      <c r="O191" s="1207"/>
      <c r="P191" s="1208"/>
      <c r="Q191" s="1207"/>
      <c r="R191" s="1207"/>
      <c r="S191" s="1219"/>
      <c r="T191" s="1350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</row>
    <row r="192" spans="1:34" x14ac:dyDescent="0.2">
      <c r="A192" s="1365" t="s">
        <v>287</v>
      </c>
      <c r="B192" s="1219">
        <v>200000</v>
      </c>
      <c r="C192" s="1207"/>
      <c r="D192" s="1207"/>
      <c r="E192" s="1207"/>
      <c r="F192" s="1207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8"/>
      <c r="Q192" s="1207"/>
      <c r="R192" s="1207"/>
      <c r="S192" s="1219"/>
      <c r="T192" s="1350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</row>
    <row r="193" spans="1:34" x14ac:dyDescent="0.2">
      <c r="A193" s="1316" t="s">
        <v>413</v>
      </c>
      <c r="B193" s="1386">
        <v>75000</v>
      </c>
      <c r="C193" s="1207"/>
      <c r="D193" s="1207"/>
      <c r="E193" s="1207"/>
      <c r="F193" s="1207"/>
      <c r="G193" s="1207"/>
      <c r="H193" s="1207"/>
      <c r="I193" s="1207"/>
      <c r="J193" s="1207"/>
      <c r="K193" s="1207"/>
      <c r="L193" s="1227"/>
      <c r="M193" s="1207"/>
      <c r="N193" s="1207"/>
      <c r="O193" s="1207"/>
      <c r="P193" s="1208"/>
      <c r="Q193" s="1207"/>
      <c r="R193" s="1207"/>
      <c r="S193" s="1219"/>
      <c r="T193" s="1350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</row>
    <row r="194" spans="1:34" x14ac:dyDescent="0.2">
      <c r="A194" s="1316" t="s">
        <v>441</v>
      </c>
      <c r="B194" s="1219">
        <v>75000</v>
      </c>
      <c r="C194" s="1207"/>
      <c r="D194" s="1207"/>
      <c r="E194" s="1207"/>
      <c r="F194" s="1207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8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</row>
    <row r="195" spans="1:34" x14ac:dyDescent="0.2">
      <c r="A195" s="1207"/>
      <c r="B195" s="1207"/>
      <c r="C195" s="1207"/>
      <c r="D195" s="1207"/>
      <c r="E195" s="1207"/>
      <c r="F195" s="1207"/>
      <c r="G195" s="1207"/>
      <c r="H195" s="1207"/>
      <c r="I195" s="1207"/>
      <c r="J195" s="1207"/>
      <c r="K195" s="1207"/>
      <c r="L195" s="1207"/>
      <c r="M195" s="1207"/>
      <c r="N195" s="1207"/>
      <c r="O195" s="1207"/>
      <c r="P195" s="1208"/>
      <c r="Q195" s="1207"/>
      <c r="R195" s="1207"/>
      <c r="S195" s="1207"/>
      <c r="T195" s="1207"/>
      <c r="U195" s="1207"/>
      <c r="V195" s="1207"/>
      <c r="W195" s="1207"/>
      <c r="X195" s="1207"/>
      <c r="Y195" s="1207"/>
      <c r="Z195" s="1207"/>
      <c r="AA195" s="1207"/>
      <c r="AB195" s="1207"/>
      <c r="AC195" s="1207"/>
      <c r="AD195" s="1207"/>
      <c r="AE195" s="1207"/>
      <c r="AF195" s="1207"/>
      <c r="AG195" s="1207"/>
      <c r="AH195" s="1207"/>
    </row>
    <row r="196" spans="1:34" ht="13.5" thickBot="1" x14ac:dyDescent="0.25">
      <c r="A196" s="1207"/>
      <c r="B196" s="1207"/>
      <c r="C196" s="1207"/>
      <c r="D196" s="1207"/>
      <c r="E196" s="1207"/>
      <c r="F196" s="1207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8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07"/>
      <c r="AA196" s="1207"/>
      <c r="AB196" s="1207"/>
      <c r="AC196" s="1207"/>
      <c r="AD196" s="1207"/>
      <c r="AE196" s="1207"/>
      <c r="AF196" s="1207"/>
      <c r="AG196" s="1207"/>
      <c r="AH196" s="1207"/>
    </row>
    <row r="197" spans="1:34" x14ac:dyDescent="0.2">
      <c r="A197" s="1233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34"/>
      <c r="O197" s="1234"/>
      <c r="P197" s="1235"/>
      <c r="Q197" s="1234"/>
      <c r="R197" s="1234"/>
      <c r="S197" s="1234"/>
      <c r="T197" s="1234"/>
      <c r="U197" s="1234"/>
      <c r="V197" s="1234"/>
      <c r="W197" s="1234"/>
      <c r="X197" s="1234"/>
      <c r="Y197" s="1234"/>
      <c r="Z197" s="1234"/>
      <c r="AA197" s="1234"/>
      <c r="AB197" s="1234"/>
      <c r="AC197" s="1234"/>
      <c r="AD197" s="1234"/>
      <c r="AE197" s="1234"/>
      <c r="AF197" s="1234"/>
      <c r="AG197" s="1234"/>
      <c r="AH197" s="1207"/>
    </row>
    <row r="198" spans="1:34" x14ac:dyDescent="0.2">
      <c r="A198" s="1236"/>
      <c r="B198" s="1237" t="s">
        <v>37</v>
      </c>
      <c r="C198" s="1237"/>
      <c r="D198" s="1237"/>
      <c r="E198" s="1238" t="s">
        <v>910</v>
      </c>
      <c r="F198" s="1239" t="s">
        <v>96</v>
      </c>
      <c r="G198" s="1211"/>
      <c r="H198" s="1239"/>
      <c r="I198" s="1239"/>
      <c r="J198" s="1239"/>
      <c r="K198" s="1239"/>
      <c r="L198" s="1239"/>
      <c r="M198" s="1239"/>
      <c r="N198" s="1239"/>
      <c r="O198" s="1239"/>
      <c r="P198" s="1240"/>
      <c r="Q198" s="1239"/>
      <c r="R198" s="1239"/>
      <c r="S198" s="1239"/>
      <c r="T198" s="1239"/>
      <c r="U198" s="1239"/>
      <c r="V198" s="1239"/>
      <c r="W198" s="1239"/>
      <c r="X198" s="1239"/>
      <c r="Y198" s="1239"/>
      <c r="Z198" s="1239"/>
      <c r="AA198" s="1239"/>
      <c r="AB198" s="1239"/>
      <c r="AC198" s="1239"/>
      <c r="AD198" s="1239"/>
      <c r="AE198" s="1239"/>
      <c r="AF198" s="1239"/>
      <c r="AG198" s="1239"/>
      <c r="AH198" s="1207"/>
    </row>
    <row r="199" spans="1:34" x14ac:dyDescent="0.2">
      <c r="A199" s="1236"/>
      <c r="B199" s="1237"/>
      <c r="C199" s="1237"/>
      <c r="D199" s="1239"/>
      <c r="E199" s="1237"/>
      <c r="F199" s="1237"/>
      <c r="G199" s="1237"/>
      <c r="H199" s="1237"/>
      <c r="I199" s="1237"/>
      <c r="J199" s="1237"/>
      <c r="K199" s="1237"/>
      <c r="L199" s="1237"/>
      <c r="M199" s="1237"/>
      <c r="N199" s="1237"/>
      <c r="O199" s="1237"/>
      <c r="P199" s="1241"/>
      <c r="Q199" s="1237"/>
      <c r="R199" s="1237"/>
      <c r="S199" s="1237"/>
      <c r="T199" s="1237"/>
      <c r="U199" s="1237"/>
      <c r="V199" s="1237"/>
      <c r="W199" s="1237"/>
      <c r="X199" s="1237"/>
      <c r="Y199" s="1237"/>
      <c r="Z199" s="1237"/>
      <c r="AA199" s="1237"/>
      <c r="AB199" s="1237"/>
      <c r="AC199" s="1237"/>
      <c r="AD199" s="1237"/>
      <c r="AE199" s="1237"/>
      <c r="AF199" s="1237"/>
      <c r="AG199" s="1237"/>
      <c r="AH199" s="1207"/>
    </row>
    <row r="200" spans="1:34" x14ac:dyDescent="0.2">
      <c r="A200" s="1236"/>
      <c r="B200" s="1237"/>
      <c r="C200" s="1239"/>
      <c r="D200" s="1239">
        <v>42408</v>
      </c>
      <c r="E200" s="1237"/>
      <c r="F200" s="1237"/>
      <c r="G200" s="1237"/>
      <c r="H200" s="1237"/>
      <c r="I200" s="1237"/>
      <c r="J200" s="1237"/>
      <c r="K200" s="1237"/>
      <c r="L200" s="1237"/>
      <c r="M200" s="1237"/>
      <c r="N200" s="1237"/>
      <c r="O200" s="1237"/>
      <c r="P200" s="1241"/>
      <c r="Q200" s="1237"/>
      <c r="R200" s="1237"/>
      <c r="S200" s="1237"/>
      <c r="T200" s="1237"/>
      <c r="U200" s="1237"/>
      <c r="V200" s="1237"/>
      <c r="W200" s="1237"/>
      <c r="X200" s="1237"/>
      <c r="Y200" s="1237"/>
      <c r="Z200" s="1237"/>
      <c r="AA200" s="1237"/>
      <c r="AB200" s="1237"/>
      <c r="AC200" s="1237"/>
      <c r="AD200" s="1237"/>
      <c r="AE200" s="1237"/>
      <c r="AF200" s="1237"/>
      <c r="AG200" s="1237"/>
      <c r="AH200" s="1207"/>
    </row>
    <row r="201" spans="1:34" x14ac:dyDescent="0.2">
      <c r="A201" s="1236"/>
      <c r="B201" s="1237"/>
      <c r="C201" s="1239"/>
      <c r="D201" s="1239"/>
      <c r="E201" s="1237"/>
      <c r="F201" s="1237"/>
      <c r="G201" s="1237"/>
      <c r="H201" s="1237"/>
      <c r="I201" s="1237"/>
      <c r="J201" s="1237"/>
      <c r="K201" s="1237"/>
      <c r="L201" s="1237"/>
      <c r="M201" s="1237"/>
      <c r="N201" s="1237"/>
      <c r="O201" s="1237"/>
      <c r="P201" s="1241"/>
      <c r="Q201" s="1237"/>
      <c r="R201" s="1237"/>
      <c r="S201" s="1237"/>
      <c r="T201" s="1237"/>
      <c r="U201" s="1237"/>
      <c r="V201" s="1237"/>
      <c r="W201" s="1237"/>
      <c r="X201" s="1237"/>
      <c r="Y201" s="1237"/>
      <c r="Z201" s="1237"/>
      <c r="AA201" s="1237"/>
      <c r="AB201" s="1237"/>
      <c r="AC201" s="1237"/>
      <c r="AD201" s="1237"/>
      <c r="AE201" s="1237"/>
      <c r="AF201" s="1237"/>
      <c r="AG201" s="1237"/>
      <c r="AH201" s="1207"/>
    </row>
    <row r="202" spans="1:34" ht="13.5" thickBot="1" x14ac:dyDescent="0.25">
      <c r="A202" s="1236"/>
      <c r="B202" s="1237"/>
      <c r="C202" s="1237"/>
      <c r="D202" s="1237"/>
      <c r="E202" s="1237"/>
      <c r="F202" s="1237"/>
      <c r="G202" s="1237"/>
      <c r="H202" s="1237"/>
      <c r="I202" s="1237"/>
      <c r="J202" s="1237"/>
      <c r="K202" s="1237"/>
      <c r="L202" s="1237"/>
      <c r="M202" s="1237"/>
      <c r="N202" s="1237"/>
      <c r="O202" s="1237"/>
      <c r="P202" s="1241"/>
      <c r="Q202" s="1237"/>
      <c r="R202" s="1237"/>
      <c r="S202" s="1237"/>
      <c r="T202" s="1237"/>
      <c r="U202" s="1237"/>
      <c r="V202" s="1237"/>
      <c r="W202" s="1237"/>
      <c r="X202" s="1237"/>
      <c r="Y202" s="1237"/>
      <c r="Z202" s="1237"/>
      <c r="AA202" s="1237"/>
      <c r="AB202" s="1237"/>
      <c r="AC202" s="1237"/>
      <c r="AD202" s="1237"/>
      <c r="AE202" s="1237"/>
      <c r="AF202" s="1237"/>
      <c r="AG202" s="1237"/>
      <c r="AH202" s="1207"/>
    </row>
    <row r="203" spans="1:34" ht="13.5" thickBot="1" x14ac:dyDescent="0.25">
      <c r="A203" s="1236"/>
      <c r="B203" s="1237"/>
      <c r="C203" s="1243"/>
      <c r="D203" s="1244" t="s">
        <v>16</v>
      </c>
      <c r="E203" s="1244"/>
      <c r="F203" s="1244"/>
      <c r="G203" s="1244"/>
      <c r="H203" s="1244"/>
      <c r="I203" s="1244"/>
      <c r="J203" s="1244"/>
      <c r="K203" s="1244"/>
      <c r="L203" s="1244"/>
      <c r="M203" s="1244"/>
      <c r="N203" s="1244"/>
      <c r="O203" s="1244"/>
      <c r="P203" s="1245"/>
      <c r="Q203" s="1244"/>
      <c r="R203" s="1244"/>
      <c r="S203" s="1244"/>
      <c r="T203" s="1244"/>
      <c r="U203" s="1244"/>
      <c r="V203" s="1244"/>
      <c r="W203" s="1244"/>
      <c r="X203" s="1244"/>
      <c r="Y203" s="1244"/>
      <c r="Z203" s="1244"/>
      <c r="AA203" s="1244"/>
      <c r="AB203" s="1244"/>
      <c r="AC203" s="1244"/>
      <c r="AD203" s="1244"/>
      <c r="AE203" s="1244"/>
      <c r="AF203" s="1244"/>
      <c r="AG203" s="1244"/>
      <c r="AH203" s="1207"/>
    </row>
    <row r="204" spans="1:34" ht="13.5" thickBot="1" x14ac:dyDescent="0.25">
      <c r="A204" s="1236"/>
      <c r="B204" s="1237"/>
      <c r="C204" s="1246" t="s">
        <v>452</v>
      </c>
      <c r="D204" s="1246" t="s">
        <v>453</v>
      </c>
      <c r="E204" s="1246" t="s">
        <v>434</v>
      </c>
      <c r="F204" s="1246" t="s">
        <v>390</v>
      </c>
      <c r="G204" s="1246" t="s">
        <v>454</v>
      </c>
      <c r="H204" s="1246" t="s">
        <v>455</v>
      </c>
      <c r="I204" s="1246" t="s">
        <v>456</v>
      </c>
      <c r="J204" s="1246" t="s">
        <v>457</v>
      </c>
      <c r="K204" s="1246" t="s">
        <v>458</v>
      </c>
      <c r="L204" s="1246" t="s">
        <v>216</v>
      </c>
      <c r="M204" s="1246" t="s">
        <v>459</v>
      </c>
      <c r="N204" s="1246" t="s">
        <v>297</v>
      </c>
      <c r="O204" s="1246" t="s">
        <v>211</v>
      </c>
      <c r="P204" s="1247" t="s">
        <v>270</v>
      </c>
      <c r="Q204" s="1246">
        <v>15</v>
      </c>
      <c r="R204" s="1246">
        <v>16</v>
      </c>
      <c r="S204" s="1246" t="s">
        <v>461</v>
      </c>
      <c r="T204" s="1246" t="s">
        <v>442</v>
      </c>
      <c r="U204" s="1246" t="s">
        <v>462</v>
      </c>
      <c r="V204" s="1246" t="s">
        <v>470</v>
      </c>
      <c r="W204" s="1246" t="s">
        <v>471</v>
      </c>
      <c r="X204" s="1246" t="s">
        <v>472</v>
      </c>
      <c r="Y204" s="1246" t="s">
        <v>463</v>
      </c>
      <c r="Z204" s="1246" t="s">
        <v>465</v>
      </c>
      <c r="AA204" s="1246" t="s">
        <v>466</v>
      </c>
      <c r="AB204" s="1246" t="s">
        <v>435</v>
      </c>
      <c r="AC204" s="1246" t="s">
        <v>467</v>
      </c>
      <c r="AD204" s="1246" t="s">
        <v>464</v>
      </c>
      <c r="AE204" s="1246" t="s">
        <v>429</v>
      </c>
      <c r="AF204" s="1246" t="s">
        <v>149</v>
      </c>
      <c r="AG204" s="1246" t="s">
        <v>210</v>
      </c>
      <c r="AH204" s="1207"/>
    </row>
    <row r="205" spans="1:34" x14ac:dyDescent="0.2">
      <c r="A205" s="1233"/>
      <c r="B205" s="1248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37"/>
      <c r="O205" s="1237"/>
      <c r="P205" s="1241"/>
      <c r="Q205" s="1237"/>
      <c r="R205" s="1237"/>
      <c r="S205" s="1237"/>
      <c r="T205" s="1237"/>
      <c r="U205" s="1237"/>
      <c r="V205" s="1237"/>
      <c r="W205" s="1237"/>
      <c r="X205" s="1237"/>
      <c r="Y205" s="1237"/>
      <c r="Z205" s="1237"/>
      <c r="AA205" s="1237"/>
      <c r="AB205" s="1237"/>
      <c r="AC205" s="1237"/>
      <c r="AD205" s="1237"/>
      <c r="AE205" s="1237"/>
      <c r="AF205" s="1237"/>
      <c r="AG205" s="1237"/>
      <c r="AH205" s="1207"/>
    </row>
    <row r="206" spans="1:34" x14ac:dyDescent="0.2">
      <c r="A206" s="1236" t="s">
        <v>0</v>
      </c>
      <c r="B206" s="1249">
        <v>-15359.785</v>
      </c>
      <c r="C206" s="1237"/>
      <c r="D206" s="1237"/>
      <c r="E206" s="1237"/>
      <c r="F206" s="1237"/>
      <c r="G206" s="1237"/>
      <c r="H206" s="1237"/>
      <c r="I206" s="1237"/>
      <c r="J206" s="1237"/>
      <c r="K206" s="1237"/>
      <c r="L206" s="1237"/>
      <c r="M206" s="1237"/>
      <c r="N206" s="1237"/>
      <c r="O206" s="1237"/>
      <c r="P206" s="1241"/>
      <c r="Q206" s="1237"/>
      <c r="R206" s="1237"/>
      <c r="S206" s="1237"/>
      <c r="T206" s="1237"/>
      <c r="U206" s="1237"/>
      <c r="V206" s="1237"/>
      <c r="W206" s="1237"/>
      <c r="X206" s="1237"/>
      <c r="Y206" s="1237"/>
      <c r="Z206" s="1237"/>
      <c r="AA206" s="1237"/>
      <c r="AB206" s="1237"/>
      <c r="AC206" s="1237"/>
      <c r="AD206" s="1237"/>
      <c r="AE206" s="1237"/>
      <c r="AF206" s="1237"/>
      <c r="AG206" s="1237"/>
      <c r="AH206" s="1207"/>
    </row>
    <row r="207" spans="1:34" ht="13.5" thickBot="1" x14ac:dyDescent="0.25">
      <c r="A207" s="1250"/>
      <c r="B207" s="1251"/>
      <c r="C207" s="1237"/>
      <c r="D207" s="1237"/>
      <c r="E207" s="1237"/>
      <c r="F207" s="1237"/>
      <c r="G207" s="1237"/>
      <c r="H207" s="1237"/>
      <c r="I207" s="1237"/>
      <c r="J207" s="1237"/>
      <c r="K207" s="1237"/>
      <c r="L207" s="1237"/>
      <c r="M207" s="1237"/>
      <c r="N207" s="1237"/>
      <c r="O207" s="1237"/>
      <c r="P207" s="1241"/>
      <c r="Q207" s="1237"/>
      <c r="R207" s="1237"/>
      <c r="S207" s="1237"/>
      <c r="T207" s="1237"/>
      <c r="U207" s="1237"/>
      <c r="V207" s="1237"/>
      <c r="W207" s="1237"/>
      <c r="X207" s="1237"/>
      <c r="Y207" s="1237"/>
      <c r="Z207" s="1237"/>
      <c r="AA207" s="1237"/>
      <c r="AB207" s="1237"/>
      <c r="AC207" s="1237"/>
      <c r="AD207" s="1237"/>
      <c r="AE207" s="1237"/>
      <c r="AF207" s="1237"/>
      <c r="AG207" s="1237"/>
      <c r="AH207" s="1207"/>
    </row>
    <row r="208" spans="1:34" x14ac:dyDescent="0.2">
      <c r="A208" s="1233"/>
      <c r="B208" s="1253"/>
      <c r="C208" s="1237"/>
      <c r="D208" s="1237"/>
      <c r="E208" s="1237"/>
      <c r="F208" s="1237"/>
      <c r="G208" s="1237"/>
      <c r="H208" s="1237"/>
      <c r="I208" s="1237"/>
      <c r="J208" s="1237"/>
      <c r="K208" s="1237"/>
      <c r="L208" s="1237"/>
      <c r="M208" s="1237"/>
      <c r="N208" s="1237"/>
      <c r="O208" s="1237"/>
      <c r="P208" s="1241"/>
      <c r="Q208" s="1237"/>
      <c r="R208" s="1237"/>
      <c r="S208" s="1237"/>
      <c r="T208" s="1237"/>
      <c r="U208" s="1237"/>
      <c r="V208" s="1237"/>
      <c r="W208" s="1237"/>
      <c r="X208" s="1237"/>
      <c r="Y208" s="1237"/>
      <c r="Z208" s="1237"/>
      <c r="AA208" s="1237"/>
      <c r="AB208" s="1237"/>
      <c r="AC208" s="1237"/>
      <c r="AD208" s="1237"/>
      <c r="AE208" s="1237"/>
      <c r="AF208" s="1237"/>
      <c r="AG208" s="1237"/>
      <c r="AH208" s="1207"/>
    </row>
    <row r="209" spans="1:34" x14ac:dyDescent="0.2">
      <c r="A209" s="1236" t="s">
        <v>1</v>
      </c>
      <c r="B209" s="1249">
        <f>B210+B211+B212</f>
        <v>0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7"/>
      <c r="O209" s="1237"/>
      <c r="P209" s="1241"/>
      <c r="Q209" s="1237"/>
      <c r="R209" s="1237"/>
      <c r="S209" s="1237"/>
      <c r="T209" s="1237"/>
      <c r="U209" s="1237"/>
      <c r="V209" s="1237"/>
      <c r="W209" s="1237"/>
      <c r="X209" s="1237"/>
      <c r="Y209" s="1237"/>
      <c r="Z209" s="1237"/>
      <c r="AA209" s="1237"/>
      <c r="AB209" s="1237"/>
      <c r="AC209" s="1237"/>
      <c r="AD209" s="1237"/>
      <c r="AE209" s="1237"/>
      <c r="AF209" s="1237"/>
      <c r="AG209" s="1237"/>
      <c r="AH209" s="1207"/>
    </row>
    <row r="210" spans="1:34" x14ac:dyDescent="0.2">
      <c r="A210" s="1236" t="s">
        <v>38</v>
      </c>
      <c r="B210" s="1249">
        <f>C258</f>
        <v>0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7"/>
      <c r="O210" s="1237"/>
      <c r="P210" s="1241"/>
      <c r="Q210" s="1237"/>
      <c r="R210" s="1237"/>
      <c r="S210" s="1237"/>
      <c r="T210" s="1237"/>
      <c r="U210" s="1237"/>
      <c r="V210" s="1237"/>
      <c r="W210" s="1237"/>
      <c r="X210" s="1237"/>
      <c r="Y210" s="1237"/>
      <c r="Z210" s="1237"/>
      <c r="AA210" s="1237"/>
      <c r="AB210" s="1237"/>
      <c r="AC210" s="1237"/>
      <c r="AD210" s="1237"/>
      <c r="AE210" s="1237"/>
      <c r="AF210" s="1237"/>
      <c r="AG210" s="1237"/>
      <c r="AH210" s="1207"/>
    </row>
    <row r="211" spans="1:34" x14ac:dyDescent="0.2">
      <c r="A211" s="1236" t="s">
        <v>39</v>
      </c>
      <c r="B211" s="1249">
        <f>C280</f>
        <v>0</v>
      </c>
      <c r="C211" s="1237"/>
      <c r="D211" s="1237"/>
      <c r="E211" s="1237"/>
      <c r="F211" s="1237"/>
      <c r="G211" s="1237"/>
      <c r="H211" s="1237"/>
      <c r="I211" s="1237"/>
      <c r="J211" s="1237"/>
      <c r="K211" s="1237"/>
      <c r="L211" s="1237"/>
      <c r="M211" s="1237"/>
      <c r="N211" s="1237"/>
      <c r="O211" s="1237"/>
      <c r="P211" s="1241"/>
      <c r="Q211" s="1237"/>
      <c r="R211" s="1237"/>
      <c r="S211" s="1237"/>
      <c r="T211" s="1237"/>
      <c r="U211" s="1237"/>
      <c r="V211" s="1237"/>
      <c r="W211" s="1237"/>
      <c r="X211" s="1237"/>
      <c r="Y211" s="1237"/>
      <c r="Z211" s="1237"/>
      <c r="AA211" s="1237"/>
      <c r="AB211" s="1237"/>
      <c r="AC211" s="1237"/>
      <c r="AD211" s="1237"/>
      <c r="AE211" s="1237"/>
      <c r="AF211" s="1237"/>
      <c r="AG211" s="1237"/>
      <c r="AH211" s="1207"/>
    </row>
    <row r="212" spans="1:34" x14ac:dyDescent="0.2">
      <c r="A212" s="1236" t="s">
        <v>3</v>
      </c>
      <c r="B212" s="1249"/>
      <c r="C212" s="1237"/>
      <c r="D212" s="1237"/>
      <c r="E212" s="1237"/>
      <c r="F212" s="1237"/>
      <c r="G212" s="1237"/>
      <c r="H212" s="1237"/>
      <c r="I212" s="1237"/>
      <c r="J212" s="1237"/>
      <c r="K212" s="1237"/>
      <c r="L212" s="1237"/>
      <c r="M212" s="1237"/>
      <c r="N212" s="1237"/>
      <c r="O212" s="1237"/>
      <c r="P212" s="1241"/>
      <c r="Q212" s="1237"/>
      <c r="R212" s="1237"/>
      <c r="S212" s="1237"/>
      <c r="T212" s="1237"/>
      <c r="U212" s="1237"/>
      <c r="V212" s="1237"/>
      <c r="W212" s="1237"/>
      <c r="X212" s="1237"/>
      <c r="Y212" s="1237"/>
      <c r="Z212" s="1237"/>
      <c r="AA212" s="1237"/>
      <c r="AB212" s="1237"/>
      <c r="AC212" s="1237"/>
      <c r="AD212" s="1237"/>
      <c r="AE212" s="1237"/>
      <c r="AF212" s="1237"/>
      <c r="AG212" s="1237"/>
      <c r="AH212" s="1207"/>
    </row>
    <row r="213" spans="1:34" ht="13.5" thickBot="1" x14ac:dyDescent="0.25">
      <c r="A213" s="1250"/>
      <c r="B213" s="1251"/>
      <c r="C213" s="1237"/>
      <c r="D213" s="1237"/>
      <c r="E213" s="1237"/>
      <c r="F213" s="1237"/>
      <c r="G213" s="1237"/>
      <c r="H213" s="1237"/>
      <c r="I213" s="1237"/>
      <c r="J213" s="1237"/>
      <c r="K213" s="1237"/>
      <c r="L213" s="1237"/>
      <c r="M213" s="1237"/>
      <c r="N213" s="1237"/>
      <c r="O213" s="1237"/>
      <c r="P213" s="1241"/>
      <c r="Q213" s="1237"/>
      <c r="R213" s="1237"/>
      <c r="S213" s="1237"/>
      <c r="T213" s="1237"/>
      <c r="U213" s="1237"/>
      <c r="V213" s="1237"/>
      <c r="W213" s="1237"/>
      <c r="X213" s="1237"/>
      <c r="Y213" s="1237"/>
      <c r="Z213" s="1237"/>
      <c r="AA213" s="1237"/>
      <c r="AB213" s="1237"/>
      <c r="AC213" s="1237"/>
      <c r="AD213" s="1237"/>
      <c r="AE213" s="1237"/>
      <c r="AF213" s="1237"/>
      <c r="AG213" s="1237"/>
      <c r="AH213" s="1207"/>
    </row>
    <row r="214" spans="1:34" x14ac:dyDescent="0.2">
      <c r="A214" s="1233"/>
      <c r="B214" s="1253"/>
      <c r="C214" s="1237"/>
      <c r="D214" s="1237"/>
      <c r="E214" s="1237"/>
      <c r="F214" s="1237"/>
      <c r="G214" s="1237"/>
      <c r="H214" s="1237"/>
      <c r="I214" s="1237"/>
      <c r="J214" s="1237"/>
      <c r="K214" s="1237"/>
      <c r="L214" s="1237"/>
      <c r="M214" s="1237"/>
      <c r="N214" s="1237"/>
      <c r="O214" s="1237"/>
      <c r="P214" s="1241"/>
      <c r="Q214" s="1237"/>
      <c r="R214" s="1237"/>
      <c r="S214" s="1237"/>
      <c r="T214" s="1237"/>
      <c r="U214" s="1237"/>
      <c r="V214" s="1237"/>
      <c r="W214" s="1237"/>
      <c r="X214" s="1237"/>
      <c r="Y214" s="1237"/>
      <c r="Z214" s="1237"/>
      <c r="AA214" s="1237"/>
      <c r="AB214" s="1237"/>
      <c r="AC214" s="1237"/>
      <c r="AD214" s="1237"/>
      <c r="AE214" s="1237"/>
      <c r="AF214" s="1237"/>
      <c r="AG214" s="1237"/>
      <c r="AH214" s="1207"/>
    </row>
    <row r="215" spans="1:34" x14ac:dyDescent="0.2">
      <c r="A215" s="1236" t="s">
        <v>4</v>
      </c>
      <c r="B215" s="1249">
        <f>B206-B209</f>
        <v>-15359.785</v>
      </c>
      <c r="C215" s="1237"/>
      <c r="D215" s="1237"/>
      <c r="E215" s="1237"/>
      <c r="F215" s="1237"/>
      <c r="G215" s="1237"/>
      <c r="H215" s="1237"/>
      <c r="I215" s="1237"/>
      <c r="J215" s="1237"/>
      <c r="K215" s="1237"/>
      <c r="L215" s="1237"/>
      <c r="M215" s="1237"/>
      <c r="N215" s="1237"/>
      <c r="O215" s="1237"/>
      <c r="P215" s="1241"/>
      <c r="Q215" s="1237"/>
      <c r="R215" s="1237"/>
      <c r="S215" s="1237"/>
      <c r="T215" s="1237"/>
      <c r="U215" s="1237"/>
      <c r="V215" s="1237"/>
      <c r="W215" s="1237"/>
      <c r="X215" s="1237"/>
      <c r="Y215" s="1237"/>
      <c r="Z215" s="1237"/>
      <c r="AA215" s="1237"/>
      <c r="AB215" s="1237"/>
      <c r="AC215" s="1237"/>
      <c r="AD215" s="1237"/>
      <c r="AE215" s="1237"/>
      <c r="AF215" s="1237"/>
      <c r="AG215" s="1237"/>
      <c r="AH215" s="1207"/>
    </row>
    <row r="216" spans="1:34" ht="13.5" thickBot="1" x14ac:dyDescent="0.25">
      <c r="A216" s="1250"/>
      <c r="B216" s="1251"/>
      <c r="C216" s="1237"/>
      <c r="D216" s="1237"/>
      <c r="E216" s="1237"/>
      <c r="F216" s="1237"/>
      <c r="G216" s="1237"/>
      <c r="H216" s="1237"/>
      <c r="I216" s="1237"/>
      <c r="J216" s="1237"/>
      <c r="K216" s="1237"/>
      <c r="L216" s="1237"/>
      <c r="M216" s="1237"/>
      <c r="N216" s="1237"/>
      <c r="O216" s="1237"/>
      <c r="P216" s="1241"/>
      <c r="Q216" s="1237"/>
      <c r="R216" s="1237"/>
      <c r="S216" s="1237"/>
      <c r="T216" s="1237"/>
      <c r="U216" s="1237"/>
      <c r="V216" s="1237"/>
      <c r="W216" s="1237"/>
      <c r="X216" s="1237"/>
      <c r="Y216" s="1237"/>
      <c r="Z216" s="1237"/>
      <c r="AA216" s="1237"/>
      <c r="AB216" s="1237"/>
      <c r="AC216" s="1237"/>
      <c r="AD216" s="1237"/>
      <c r="AE216" s="1237"/>
      <c r="AF216" s="1237"/>
      <c r="AG216" s="1237"/>
      <c r="AH216" s="1207"/>
    </row>
    <row r="217" spans="1:34" x14ac:dyDescent="0.2">
      <c r="A217" s="1233"/>
      <c r="B217" s="1253"/>
      <c r="C217" s="1237"/>
      <c r="D217" s="1237"/>
      <c r="E217" s="1237"/>
      <c r="F217" s="1237"/>
      <c r="G217" s="1237"/>
      <c r="H217" s="1237"/>
      <c r="I217" s="1237"/>
      <c r="J217" s="1237"/>
      <c r="K217" s="1237"/>
      <c r="L217" s="1237"/>
      <c r="M217" s="1237"/>
      <c r="N217" s="1237"/>
      <c r="O217" s="1237"/>
      <c r="P217" s="1241"/>
      <c r="Q217" s="1237"/>
      <c r="R217" s="1237"/>
      <c r="S217" s="1237"/>
      <c r="T217" s="1237"/>
      <c r="U217" s="1237"/>
      <c r="V217" s="1237"/>
      <c r="W217" s="1237"/>
      <c r="X217" s="1237"/>
      <c r="Y217" s="1237"/>
      <c r="Z217" s="1237"/>
      <c r="AA217" s="1237"/>
      <c r="AB217" s="1237"/>
      <c r="AC217" s="1237"/>
      <c r="AD217" s="1237"/>
      <c r="AE217" s="1237"/>
      <c r="AF217" s="1237"/>
      <c r="AG217" s="1237"/>
      <c r="AH217" s="1207"/>
    </row>
    <row r="218" spans="1:34" x14ac:dyDescent="0.2">
      <c r="A218" s="1236" t="s">
        <v>17</v>
      </c>
      <c r="B218" s="1249"/>
      <c r="C218" s="1237"/>
      <c r="D218" s="1237"/>
      <c r="E218" s="1237"/>
      <c r="F218" s="1237"/>
      <c r="G218" s="1237"/>
      <c r="H218" s="1237"/>
      <c r="I218" s="1237"/>
      <c r="J218" s="1237"/>
      <c r="K218" s="1237"/>
      <c r="L218" s="1237"/>
      <c r="M218" s="1237"/>
      <c r="N218" s="1237"/>
      <c r="O218" s="1237"/>
      <c r="P218" s="1241"/>
      <c r="Q218" s="1237"/>
      <c r="R218" s="1237"/>
      <c r="S218" s="1237"/>
      <c r="T218" s="1237"/>
      <c r="U218" s="1237"/>
      <c r="V218" s="1237"/>
      <c r="W218" s="1237"/>
      <c r="X218" s="1237"/>
      <c r="Y218" s="1237"/>
      <c r="Z218" s="1237"/>
      <c r="AA218" s="1237"/>
      <c r="AB218" s="1237"/>
      <c r="AC218" s="1237"/>
      <c r="AD218" s="1237"/>
      <c r="AE218" s="1237"/>
      <c r="AF218" s="1237"/>
      <c r="AG218" s="1237"/>
      <c r="AH218" s="1207"/>
    </row>
    <row r="219" spans="1:34" ht="13.5" thickBot="1" x14ac:dyDescent="0.25">
      <c r="A219" s="1250"/>
      <c r="B219" s="1251"/>
      <c r="C219" s="1237"/>
      <c r="D219" s="1237"/>
      <c r="E219" s="1237"/>
      <c r="F219" s="1237"/>
      <c r="G219" s="1237"/>
      <c r="H219" s="1237"/>
      <c r="I219" s="1237"/>
      <c r="J219" s="1237"/>
      <c r="K219" s="1237"/>
      <c r="L219" s="1237"/>
      <c r="M219" s="1237"/>
      <c r="N219" s="1237"/>
      <c r="O219" s="1237"/>
      <c r="P219" s="1241"/>
      <c r="Q219" s="1237"/>
      <c r="R219" s="1237"/>
      <c r="S219" s="1237"/>
      <c r="T219" s="1237"/>
      <c r="U219" s="1237"/>
      <c r="V219" s="1237"/>
      <c r="W219" s="1237"/>
      <c r="X219" s="1258"/>
      <c r="Y219" s="1237"/>
      <c r="Z219" s="1237"/>
      <c r="AA219" s="1237"/>
      <c r="AB219" s="1237"/>
      <c r="AC219" s="1237"/>
      <c r="AD219" s="1237"/>
      <c r="AE219" s="1237"/>
      <c r="AF219" s="1237"/>
      <c r="AG219" s="1237"/>
      <c r="AH219" s="1207"/>
    </row>
    <row r="220" spans="1:34" x14ac:dyDescent="0.2">
      <c r="A220" s="1233"/>
      <c r="B220" s="1253"/>
      <c r="C220" s="1212"/>
      <c r="D220" s="1211"/>
      <c r="E220" s="1237"/>
      <c r="F220" s="1237"/>
      <c r="G220" s="1257" t="s">
        <v>1215</v>
      </c>
      <c r="H220" s="1211"/>
      <c r="I220" s="1211" t="s">
        <v>1227</v>
      </c>
      <c r="J220" s="1211"/>
      <c r="K220" s="1237"/>
      <c r="L220" s="1237"/>
      <c r="M220" s="1237"/>
      <c r="N220" s="1237"/>
      <c r="O220" s="1237"/>
      <c r="P220" s="1241"/>
      <c r="Q220" s="1212"/>
      <c r="R220" s="1237"/>
      <c r="S220" s="1237"/>
      <c r="T220" s="1237"/>
      <c r="U220" s="1237"/>
      <c r="V220" s="1237"/>
      <c r="W220" s="1237"/>
      <c r="X220" s="1237"/>
      <c r="Y220" s="1237"/>
      <c r="Z220" s="1237"/>
      <c r="AA220" s="1237"/>
      <c r="AB220" s="1237"/>
      <c r="AC220" s="1256"/>
      <c r="AD220" s="1369"/>
      <c r="AE220" s="1211"/>
      <c r="AF220" s="1211"/>
      <c r="AH220" s="1207"/>
    </row>
    <row r="221" spans="1:34" x14ac:dyDescent="0.2">
      <c r="A221" s="1236" t="s">
        <v>5</v>
      </c>
      <c r="B221" s="1249">
        <f>B215-B218</f>
        <v>-15359.785</v>
      </c>
      <c r="C221" s="1212"/>
      <c r="D221" s="1211"/>
      <c r="E221" s="1387"/>
      <c r="G221" s="1257" t="s">
        <v>946</v>
      </c>
      <c r="H221" s="1211"/>
      <c r="I221" s="1211" t="s">
        <v>280</v>
      </c>
      <c r="J221" s="1211"/>
      <c r="K221" s="1212"/>
      <c r="L221" s="1211"/>
      <c r="M221" s="1211"/>
      <c r="O221" s="1212" t="s">
        <v>809</v>
      </c>
      <c r="P221" s="1241"/>
      <c r="Q221" s="1212"/>
      <c r="R221" s="1237"/>
      <c r="S221" s="1211"/>
      <c r="T221" s="1211"/>
      <c r="U221" s="1211"/>
      <c r="V221" s="1211"/>
      <c r="W221" s="1237"/>
      <c r="X221" s="1388"/>
      <c r="Y221" s="1211"/>
      <c r="Z221" s="1237"/>
      <c r="AA221" s="1211"/>
      <c r="AB221" s="1211"/>
      <c r="AC221" s="1256"/>
      <c r="AD221" s="1369"/>
      <c r="AE221" s="1211"/>
      <c r="AF221" s="1211" t="s">
        <v>831</v>
      </c>
      <c r="AG221" s="1370"/>
      <c r="AH221" s="1207"/>
    </row>
    <row r="222" spans="1:34" ht="13.5" thickBot="1" x14ac:dyDescent="0.25">
      <c r="A222" s="1250"/>
      <c r="B222" s="1251"/>
      <c r="D222" s="1237"/>
      <c r="E222" s="1237"/>
      <c r="F222" s="1237"/>
      <c r="G222" s="1237"/>
      <c r="H222" s="1237"/>
      <c r="I222" s="1237"/>
      <c r="J222" s="1211"/>
      <c r="K222" s="1237"/>
      <c r="L222" s="1237"/>
      <c r="M222" s="1237"/>
      <c r="N222" s="1237"/>
      <c r="O222" s="1237"/>
      <c r="P222" s="1241"/>
      <c r="Q222" s="1237"/>
      <c r="R222" s="1237"/>
      <c r="S222" s="1237"/>
      <c r="T222" s="1237"/>
      <c r="U222" s="1211"/>
      <c r="V222" s="1237"/>
      <c r="W222" s="1237"/>
      <c r="X222" s="1237"/>
      <c r="Y222" s="1237"/>
      <c r="Z222" s="1237"/>
      <c r="AA222" s="1237"/>
      <c r="AB222" s="1237"/>
      <c r="AC222" s="1237"/>
      <c r="AD222" s="1237"/>
      <c r="AE222" s="1237"/>
      <c r="AF222" s="1237"/>
      <c r="AG222" s="1237"/>
      <c r="AH222" s="1207"/>
    </row>
    <row r="223" spans="1:34" x14ac:dyDescent="0.2">
      <c r="A223" s="1269"/>
      <c r="B223" s="1237"/>
      <c r="C223" s="1270"/>
      <c r="D223" s="1272"/>
      <c r="E223" s="1271"/>
      <c r="F223" s="1271"/>
      <c r="G223" s="1271"/>
      <c r="H223" s="1271"/>
      <c r="I223" s="1271"/>
      <c r="J223" s="1271"/>
      <c r="K223" s="1271"/>
      <c r="L223" s="1271"/>
      <c r="M223" s="1271"/>
      <c r="N223" s="1271"/>
      <c r="O223" s="1271"/>
      <c r="P223" s="1273"/>
      <c r="Q223" s="1271"/>
      <c r="R223" s="1271"/>
      <c r="S223" s="1271"/>
      <c r="T223" s="1271"/>
      <c r="U223" s="1271"/>
      <c r="V223" s="1271"/>
      <c r="W223" s="1271"/>
      <c r="X223" s="1271"/>
      <c r="Y223" s="1271"/>
      <c r="Z223" s="1271"/>
      <c r="AA223" s="1271"/>
      <c r="AB223" s="1271"/>
      <c r="AC223" s="1271"/>
      <c r="AD223" s="1271"/>
      <c r="AE223" s="1271"/>
      <c r="AF223" s="1271"/>
      <c r="AG223" s="1271"/>
      <c r="AH223" s="1207"/>
    </row>
    <row r="224" spans="1:34" ht="13.5" thickBot="1" x14ac:dyDescent="0.25">
      <c r="A224" s="1274" t="s">
        <v>7</v>
      </c>
      <c r="B224" s="1237"/>
      <c r="C224" s="1275">
        <f t="shared" ref="C224:AG224" si="23">C225+C226+C227+C229+C228</f>
        <v>0</v>
      </c>
      <c r="D224" s="1275">
        <f t="shared" si="23"/>
        <v>0</v>
      </c>
      <c r="E224" s="1275">
        <f t="shared" si="23"/>
        <v>0</v>
      </c>
      <c r="F224" s="1275">
        <f t="shared" si="23"/>
        <v>0</v>
      </c>
      <c r="G224" s="1275">
        <f t="shared" si="23"/>
        <v>0</v>
      </c>
      <c r="H224" s="1275">
        <f t="shared" si="23"/>
        <v>0</v>
      </c>
      <c r="I224" s="1275">
        <f t="shared" si="23"/>
        <v>0</v>
      </c>
      <c r="J224" s="1275">
        <f t="shared" si="23"/>
        <v>0</v>
      </c>
      <c r="K224" s="1275">
        <f t="shared" si="23"/>
        <v>0</v>
      </c>
      <c r="L224" s="1275">
        <f t="shared" si="23"/>
        <v>0</v>
      </c>
      <c r="M224" s="1275">
        <f t="shared" si="23"/>
        <v>0</v>
      </c>
      <c r="N224" s="1275">
        <f t="shared" si="23"/>
        <v>0</v>
      </c>
      <c r="O224" s="1275">
        <f t="shared" si="23"/>
        <v>0</v>
      </c>
      <c r="P224" s="1276">
        <f t="shared" si="23"/>
        <v>0</v>
      </c>
      <c r="Q224" s="1275">
        <f t="shared" si="23"/>
        <v>0</v>
      </c>
      <c r="R224" s="1275">
        <f t="shared" si="23"/>
        <v>0</v>
      </c>
      <c r="S224" s="1275">
        <f t="shared" si="23"/>
        <v>0</v>
      </c>
      <c r="T224" s="1275">
        <f t="shared" si="23"/>
        <v>0</v>
      </c>
      <c r="U224" s="1275">
        <f t="shared" si="23"/>
        <v>0</v>
      </c>
      <c r="V224" s="1275">
        <f t="shared" si="23"/>
        <v>0</v>
      </c>
      <c r="W224" s="1275">
        <f t="shared" si="23"/>
        <v>0</v>
      </c>
      <c r="X224" s="1275">
        <f t="shared" si="23"/>
        <v>0</v>
      </c>
      <c r="Y224" s="1275">
        <f t="shared" si="23"/>
        <v>0</v>
      </c>
      <c r="Z224" s="1275">
        <f t="shared" si="23"/>
        <v>0</v>
      </c>
      <c r="AA224" s="1275">
        <f t="shared" si="23"/>
        <v>0</v>
      </c>
      <c r="AB224" s="1275">
        <f t="shared" si="23"/>
        <v>0</v>
      </c>
      <c r="AC224" s="1275">
        <f t="shared" si="23"/>
        <v>0</v>
      </c>
      <c r="AD224" s="1275">
        <f t="shared" si="23"/>
        <v>0</v>
      </c>
      <c r="AE224" s="1275">
        <f t="shared" si="23"/>
        <v>0</v>
      </c>
      <c r="AF224" s="1275">
        <f t="shared" si="23"/>
        <v>0</v>
      </c>
      <c r="AG224" s="1275">
        <f t="shared" si="23"/>
        <v>0</v>
      </c>
      <c r="AH224" s="1227">
        <f>SUM(C224:AG224)</f>
        <v>0</v>
      </c>
    </row>
    <row r="225" spans="1:34" x14ac:dyDescent="0.2">
      <c r="A225" s="1274" t="s">
        <v>8</v>
      </c>
      <c r="B225" s="1389"/>
      <c r="C225" s="1302"/>
      <c r="D225" s="1302"/>
      <c r="E225" s="1303"/>
      <c r="F225" s="1303"/>
      <c r="G225" s="1303"/>
      <c r="H225" s="1303"/>
      <c r="I225" s="1303"/>
      <c r="J225" s="1303"/>
      <c r="K225" s="1303"/>
      <c r="L225" s="1303"/>
      <c r="M225" s="1303"/>
      <c r="N225" s="1303"/>
      <c r="O225" s="1303"/>
      <c r="P225" s="1304"/>
      <c r="Q225" s="1303"/>
      <c r="R225" s="1303"/>
      <c r="S225" s="1303"/>
      <c r="T225" s="1303"/>
      <c r="U225" s="1303"/>
      <c r="V225" s="1303"/>
      <c r="W225" s="1303"/>
      <c r="X225" s="1303"/>
      <c r="Y225" s="1303"/>
      <c r="Z225" s="1303"/>
      <c r="AA225" s="1303"/>
      <c r="AB225" s="1303"/>
      <c r="AC225" s="1303"/>
      <c r="AD225" s="1303"/>
      <c r="AE225" s="1303"/>
      <c r="AF225" s="1303"/>
      <c r="AG225" s="1303"/>
      <c r="AH225" s="1227">
        <f>SUM(C225:AG225)</f>
        <v>0</v>
      </c>
    </row>
    <row r="226" spans="1:34" x14ac:dyDescent="0.2">
      <c r="A226" s="1274" t="s">
        <v>9</v>
      </c>
      <c r="B226" s="1389"/>
      <c r="C226" s="1302"/>
      <c r="D226" s="1302"/>
      <c r="E226" s="1303"/>
      <c r="F226" s="1303"/>
      <c r="G226" s="1303"/>
      <c r="H226" s="1303"/>
      <c r="I226" s="1303"/>
      <c r="J226" s="1303"/>
      <c r="K226" s="1303"/>
      <c r="L226" s="1303"/>
      <c r="M226" s="1319"/>
      <c r="N226" s="1303"/>
      <c r="O226" s="1303"/>
      <c r="P226" s="1304"/>
      <c r="Q226" s="1303"/>
      <c r="R226" s="1303"/>
      <c r="S226" s="1303"/>
      <c r="T226" s="1303"/>
      <c r="U226" s="1303"/>
      <c r="V226" s="1303"/>
      <c r="W226" s="1303"/>
      <c r="X226" s="1303"/>
      <c r="Y226" s="1303"/>
      <c r="Z226" s="1303"/>
      <c r="AA226" s="1303"/>
      <c r="AB226" s="1303"/>
      <c r="AC226" s="1303"/>
      <c r="AD226" s="1303"/>
      <c r="AE226" s="1303"/>
      <c r="AF226" s="1303"/>
      <c r="AG226" s="1303"/>
      <c r="AH226" s="1227">
        <f>SUM(C226:AG226)</f>
        <v>0</v>
      </c>
    </row>
    <row r="227" spans="1:34" s="1289" customFormat="1" x14ac:dyDescent="0.2">
      <c r="A227" s="1285" t="s">
        <v>10</v>
      </c>
      <c r="B227" s="1372"/>
      <c r="C227" s="1374"/>
      <c r="D227" s="1374"/>
      <c r="E227" s="1375"/>
      <c r="F227" s="1375"/>
      <c r="G227" s="1375"/>
      <c r="H227" s="1375"/>
      <c r="I227" s="1390"/>
      <c r="J227" s="1375"/>
      <c r="K227" s="1375"/>
      <c r="L227" s="1391"/>
      <c r="M227" s="1375"/>
      <c r="N227" s="1375"/>
      <c r="O227" s="1375"/>
      <c r="P227" s="1375"/>
      <c r="Q227" s="1375"/>
      <c r="R227" s="1375"/>
      <c r="S227" s="1375"/>
      <c r="T227" s="1375"/>
      <c r="U227" s="1375"/>
      <c r="V227" s="1375"/>
      <c r="W227" s="1375"/>
      <c r="X227" s="1377"/>
      <c r="Y227" s="1375"/>
      <c r="Z227" s="1375"/>
      <c r="AA227" s="1375"/>
      <c r="AB227" s="1375"/>
      <c r="AC227" s="1376"/>
      <c r="AD227" s="1378"/>
      <c r="AE227" s="1375"/>
      <c r="AF227" s="1391"/>
      <c r="AG227" s="1375"/>
      <c r="AH227" s="1231">
        <f>SUM(C227:AG227)</f>
        <v>0</v>
      </c>
    </row>
    <row r="228" spans="1:34" s="1289" customFormat="1" x14ac:dyDescent="0.2">
      <c r="A228" s="1285" t="s">
        <v>356</v>
      </c>
      <c r="B228" s="1372"/>
      <c r="C228" s="1374"/>
      <c r="D228" s="1374"/>
      <c r="E228" s="1374"/>
      <c r="F228" s="1375"/>
      <c r="G228" s="1391"/>
      <c r="H228" s="1375"/>
      <c r="I228" s="1375"/>
      <c r="J228" s="1375"/>
      <c r="K228" s="1375"/>
      <c r="L228" s="1375"/>
      <c r="M228" s="1375"/>
      <c r="N228" s="1375"/>
      <c r="O228" s="1375"/>
      <c r="P228" s="1375"/>
      <c r="Q228" s="1375"/>
      <c r="R228" s="1375"/>
      <c r="S228" s="1375"/>
      <c r="T228" s="1375"/>
      <c r="U228" s="1375"/>
      <c r="V228" s="1375"/>
      <c r="W228" s="1375"/>
      <c r="X228" s="1375"/>
      <c r="Y228" s="1375"/>
      <c r="Z228" s="1375"/>
      <c r="AA228" s="1375"/>
      <c r="AB228" s="1375"/>
      <c r="AC228" s="1375"/>
      <c r="AD228" s="1375"/>
      <c r="AE228" s="1375"/>
      <c r="AF228" s="1375"/>
      <c r="AG228" s="1375"/>
      <c r="AH228" s="1231">
        <f>SUM(C228:AG228)</f>
        <v>0</v>
      </c>
    </row>
    <row r="229" spans="1:34" x14ac:dyDescent="0.2">
      <c r="A229" s="1274" t="s">
        <v>11</v>
      </c>
      <c r="B229" s="1237"/>
      <c r="C229" s="1302">
        <v>0</v>
      </c>
      <c r="D229" s="1306"/>
      <c r="E229" s="1306"/>
      <c r="F229" s="1304"/>
      <c r="G229" s="1304"/>
      <c r="H229" s="1304"/>
      <c r="I229" s="1304"/>
      <c r="J229" s="1304"/>
      <c r="K229" s="1304"/>
      <c r="L229" s="1304"/>
      <c r="M229" s="1304"/>
      <c r="N229" s="1304"/>
      <c r="O229" s="1304"/>
      <c r="P229" s="1304"/>
      <c r="Q229" s="1304"/>
      <c r="R229" s="1304"/>
      <c r="S229" s="1304"/>
      <c r="T229" s="1304"/>
      <c r="U229" s="1304"/>
      <c r="V229" s="1304"/>
      <c r="W229" s="1304"/>
      <c r="X229" s="1304"/>
      <c r="Y229" s="1304"/>
      <c r="Z229" s="1304"/>
      <c r="AA229" s="1304"/>
      <c r="AB229" s="1304"/>
      <c r="AC229" s="1304"/>
      <c r="AD229" s="1304"/>
      <c r="AE229" s="1304"/>
      <c r="AF229" s="1304"/>
      <c r="AG229" s="1304"/>
      <c r="AH229" s="1207"/>
    </row>
    <row r="230" spans="1:34" ht="13.5" thickBot="1" x14ac:dyDescent="0.25">
      <c r="A230" s="1294"/>
      <c r="B230" s="1237"/>
      <c r="C230" s="1302"/>
      <c r="D230" s="1302"/>
      <c r="E230" s="1302"/>
      <c r="F230" s="1303"/>
      <c r="G230" s="1303"/>
      <c r="H230" s="1303"/>
      <c r="I230" s="1303"/>
      <c r="J230" s="1303"/>
      <c r="K230" s="1303"/>
      <c r="L230" s="1303"/>
      <c r="M230" s="1303"/>
      <c r="N230" s="1303"/>
      <c r="O230" s="1303"/>
      <c r="P230" s="1304"/>
      <c r="Q230" s="1303"/>
      <c r="R230" s="1303"/>
      <c r="S230" s="1303"/>
      <c r="T230" s="1303"/>
      <c r="U230" s="1303"/>
      <c r="V230" s="1303"/>
      <c r="W230" s="1303"/>
      <c r="X230" s="1303"/>
      <c r="Y230" s="1303"/>
      <c r="Z230" s="1303"/>
      <c r="AA230" s="1303"/>
      <c r="AB230" s="1303"/>
      <c r="AC230" s="1303"/>
      <c r="AD230" s="1303"/>
      <c r="AE230" s="1303"/>
      <c r="AF230" s="1303"/>
      <c r="AG230" s="1303"/>
      <c r="AH230" s="1207"/>
    </row>
    <row r="231" spans="1:34" x14ac:dyDescent="0.2">
      <c r="A231" s="1269"/>
      <c r="B231" s="1237"/>
      <c r="C231" s="1296"/>
      <c r="D231" s="1297"/>
      <c r="E231" s="1297"/>
      <c r="F231" s="1298"/>
      <c r="G231" s="1298"/>
      <c r="H231" s="1298"/>
      <c r="I231" s="1298"/>
      <c r="J231" s="1298"/>
      <c r="K231" s="1298"/>
      <c r="L231" s="1298"/>
      <c r="M231" s="1298"/>
      <c r="N231" s="1298"/>
      <c r="O231" s="1298"/>
      <c r="P231" s="1299"/>
      <c r="Q231" s="1298"/>
      <c r="R231" s="1298"/>
      <c r="S231" s="1298"/>
      <c r="T231" s="1298"/>
      <c r="U231" s="1298"/>
      <c r="V231" s="1298"/>
      <c r="W231" s="1298"/>
      <c r="X231" s="1298"/>
      <c r="Y231" s="1298"/>
      <c r="Z231" s="1298"/>
      <c r="AA231" s="1298"/>
      <c r="AB231" s="1298"/>
      <c r="AC231" s="1298"/>
      <c r="AD231" s="1298"/>
      <c r="AE231" s="1298"/>
      <c r="AF231" s="1298"/>
      <c r="AG231" s="1298"/>
      <c r="AH231" s="1207"/>
    </row>
    <row r="232" spans="1:34" ht="13.5" thickBot="1" x14ac:dyDescent="0.25">
      <c r="A232" s="1274" t="s">
        <v>12</v>
      </c>
      <c r="B232" s="1237"/>
      <c r="C232" s="1275">
        <f t="shared" ref="C232:AG232" si="24">C233</f>
        <v>0</v>
      </c>
      <c r="D232" s="1275">
        <f t="shared" si="24"/>
        <v>0</v>
      </c>
      <c r="E232" s="1275">
        <f t="shared" si="24"/>
        <v>0</v>
      </c>
      <c r="F232" s="1275">
        <f t="shared" si="24"/>
        <v>0</v>
      </c>
      <c r="G232" s="1275">
        <f t="shared" si="24"/>
        <v>0</v>
      </c>
      <c r="H232" s="1275">
        <f t="shared" si="24"/>
        <v>0</v>
      </c>
      <c r="I232" s="1275">
        <f t="shared" si="24"/>
        <v>0</v>
      </c>
      <c r="J232" s="1275">
        <f t="shared" si="24"/>
        <v>0</v>
      </c>
      <c r="K232" s="1275">
        <f t="shared" si="24"/>
        <v>0</v>
      </c>
      <c r="L232" s="1275">
        <f t="shared" si="24"/>
        <v>0</v>
      </c>
      <c r="M232" s="1275">
        <f t="shared" si="24"/>
        <v>0</v>
      </c>
      <c r="N232" s="1275">
        <f t="shared" si="24"/>
        <v>0</v>
      </c>
      <c r="O232" s="1275">
        <f t="shared" si="24"/>
        <v>0</v>
      </c>
      <c r="P232" s="1276">
        <f t="shared" si="24"/>
        <v>0</v>
      </c>
      <c r="Q232" s="1275">
        <f t="shared" si="24"/>
        <v>0</v>
      </c>
      <c r="R232" s="1275">
        <f t="shared" si="24"/>
        <v>0</v>
      </c>
      <c r="S232" s="1275">
        <f t="shared" si="24"/>
        <v>0</v>
      </c>
      <c r="T232" s="1275">
        <f t="shared" si="24"/>
        <v>0</v>
      </c>
      <c r="U232" s="1275">
        <f t="shared" si="24"/>
        <v>0</v>
      </c>
      <c r="V232" s="1275">
        <f t="shared" si="24"/>
        <v>0</v>
      </c>
      <c r="W232" s="1275">
        <f t="shared" si="24"/>
        <v>0</v>
      </c>
      <c r="X232" s="1275">
        <f t="shared" si="24"/>
        <v>0</v>
      </c>
      <c r="Y232" s="1275">
        <f t="shared" si="24"/>
        <v>0</v>
      </c>
      <c r="Z232" s="1275">
        <f t="shared" si="24"/>
        <v>0</v>
      </c>
      <c r="AA232" s="1275">
        <f t="shared" si="24"/>
        <v>0</v>
      </c>
      <c r="AB232" s="1275">
        <f t="shared" si="24"/>
        <v>0</v>
      </c>
      <c r="AC232" s="1275">
        <f t="shared" si="24"/>
        <v>0</v>
      </c>
      <c r="AD232" s="1275">
        <f t="shared" si="24"/>
        <v>0</v>
      </c>
      <c r="AE232" s="1275">
        <f t="shared" si="24"/>
        <v>0</v>
      </c>
      <c r="AF232" s="1275">
        <f t="shared" si="24"/>
        <v>0</v>
      </c>
      <c r="AG232" s="1275">
        <f t="shared" si="24"/>
        <v>0</v>
      </c>
      <c r="AH232" s="1207"/>
    </row>
    <row r="233" spans="1:34" x14ac:dyDescent="0.2">
      <c r="A233" s="1274" t="s">
        <v>8</v>
      </c>
      <c r="B233" s="1237"/>
      <c r="C233" s="1302"/>
      <c r="D233" s="1302"/>
      <c r="E233" s="1302"/>
      <c r="F233" s="1303"/>
      <c r="G233" s="1303"/>
      <c r="H233" s="1303"/>
      <c r="I233" s="1303"/>
      <c r="J233" s="1303"/>
      <c r="K233" s="1303"/>
      <c r="L233" s="1303"/>
      <c r="M233" s="1303"/>
      <c r="N233" s="1303"/>
      <c r="O233" s="1303"/>
      <c r="P233" s="1304"/>
      <c r="Q233" s="1303"/>
      <c r="R233" s="1303"/>
      <c r="S233" s="1303"/>
      <c r="T233" s="1303"/>
      <c r="U233" s="1303"/>
      <c r="V233" s="1303"/>
      <c r="W233" s="1303"/>
      <c r="X233" s="1303"/>
      <c r="Y233" s="1303"/>
      <c r="Z233" s="1303"/>
      <c r="AA233" s="1303"/>
      <c r="AB233" s="1303"/>
      <c r="AC233" s="1303"/>
      <c r="AD233" s="1303"/>
      <c r="AE233" s="1303"/>
      <c r="AF233" s="1303"/>
      <c r="AG233" s="1303"/>
      <c r="AH233" s="1207"/>
    </row>
    <row r="234" spans="1:34" x14ac:dyDescent="0.2">
      <c r="A234" s="1274" t="s">
        <v>775</v>
      </c>
      <c r="B234" s="1237"/>
      <c r="C234" s="1381"/>
      <c r="D234" s="1381"/>
      <c r="E234" s="1381"/>
      <c r="F234" s="1381"/>
      <c r="G234" s="1381"/>
      <c r="H234" s="1381"/>
      <c r="I234" s="1381"/>
      <c r="J234" s="1381"/>
      <c r="K234" s="1381"/>
      <c r="L234" s="1382">
        <v>3706.279</v>
      </c>
      <c r="M234" s="1382"/>
      <c r="N234" s="1382"/>
      <c r="O234" s="1382">
        <v>1000</v>
      </c>
      <c r="P234" s="1382"/>
      <c r="Q234" s="1382">
        <v>3411.1400000000003</v>
      </c>
      <c r="R234" s="1382"/>
      <c r="S234" s="1382"/>
      <c r="T234" s="1382">
        <v>8071.74</v>
      </c>
      <c r="U234" s="1382"/>
      <c r="V234" s="1382">
        <v>7752.99</v>
      </c>
      <c r="W234" s="1382"/>
      <c r="X234" s="1382"/>
      <c r="Y234" s="1382">
        <v>1044.46</v>
      </c>
      <c r="Z234" s="1382"/>
      <c r="AA234" s="1382">
        <v>2429.703</v>
      </c>
      <c r="AB234" s="1382"/>
      <c r="AC234" s="1382">
        <v>1550</v>
      </c>
      <c r="AD234" s="1382"/>
      <c r="AE234" s="1382">
        <v>1550</v>
      </c>
      <c r="AF234" s="1382">
        <v>3273.2869999999998</v>
      </c>
      <c r="AG234" s="1382">
        <v>3250.1309999999999</v>
      </c>
      <c r="AH234" s="1227">
        <f>SUM(C234:AG234)</f>
        <v>37039.729999999996</v>
      </c>
    </row>
    <row r="235" spans="1:34" ht="13.5" thickBot="1" x14ac:dyDescent="0.25">
      <c r="A235" s="1294"/>
      <c r="B235" s="1237"/>
      <c r="C235" s="1302"/>
      <c r="D235" s="1302"/>
      <c r="E235" s="1302"/>
      <c r="F235" s="1303"/>
      <c r="G235" s="1303"/>
      <c r="H235" s="1303"/>
      <c r="I235" s="1303"/>
      <c r="J235" s="1303"/>
      <c r="K235" s="1303"/>
      <c r="L235" s="1303"/>
      <c r="M235" s="1303"/>
      <c r="N235" s="1303"/>
      <c r="O235" s="1303"/>
      <c r="P235" s="1304"/>
      <c r="Q235" s="1303"/>
      <c r="R235" s="1303"/>
      <c r="S235" s="1303"/>
      <c r="T235" s="1303"/>
      <c r="U235" s="1303"/>
      <c r="V235" s="1303"/>
      <c r="W235" s="1303"/>
      <c r="X235" s="1303"/>
      <c r="Y235" s="1303"/>
      <c r="Z235" s="1303"/>
      <c r="AA235" s="1303"/>
      <c r="AB235" s="1303"/>
      <c r="AC235" s="1303"/>
      <c r="AD235" s="1303"/>
      <c r="AE235" s="1303"/>
      <c r="AF235" s="1303"/>
      <c r="AG235" s="1303"/>
      <c r="AH235" s="1207"/>
    </row>
    <row r="236" spans="1:34" x14ac:dyDescent="0.2">
      <c r="A236" s="1269"/>
      <c r="B236" s="1237"/>
      <c r="C236" s="1296"/>
      <c r="D236" s="1297"/>
      <c r="E236" s="1297"/>
      <c r="F236" s="1298"/>
      <c r="G236" s="1298"/>
      <c r="H236" s="1298"/>
      <c r="I236" s="1298"/>
      <c r="J236" s="1298"/>
      <c r="K236" s="1298"/>
      <c r="L236" s="1298"/>
      <c r="M236" s="1298"/>
      <c r="N236" s="1298"/>
      <c r="O236" s="1298"/>
      <c r="P236" s="1299"/>
      <c r="Q236" s="1298"/>
      <c r="R236" s="1298"/>
      <c r="S236" s="1298"/>
      <c r="T236" s="1298"/>
      <c r="U236" s="1298"/>
      <c r="V236" s="1298"/>
      <c r="W236" s="1298"/>
      <c r="X236" s="1298"/>
      <c r="Y236" s="1298"/>
      <c r="Z236" s="1298"/>
      <c r="AA236" s="1298"/>
      <c r="AB236" s="1298"/>
      <c r="AC236" s="1298"/>
      <c r="AD236" s="1298"/>
      <c r="AE236" s="1298"/>
      <c r="AF236" s="1298"/>
      <c r="AG236" s="1298"/>
      <c r="AH236" s="1207"/>
    </row>
    <row r="237" spans="1:34" x14ac:dyDescent="0.2">
      <c r="A237" s="1274" t="s">
        <v>13</v>
      </c>
      <c r="B237" s="1237"/>
      <c r="C237" s="1300">
        <f t="shared" ref="C237:AG237" si="25">C232-C224</f>
        <v>0</v>
      </c>
      <c r="D237" s="1300">
        <f t="shared" si="25"/>
        <v>0</v>
      </c>
      <c r="E237" s="1300">
        <f t="shared" si="25"/>
        <v>0</v>
      </c>
      <c r="F237" s="1300">
        <f t="shared" si="25"/>
        <v>0</v>
      </c>
      <c r="G237" s="1300">
        <f t="shared" si="25"/>
        <v>0</v>
      </c>
      <c r="H237" s="1300">
        <f t="shared" si="25"/>
        <v>0</v>
      </c>
      <c r="I237" s="1300">
        <f t="shared" si="25"/>
        <v>0</v>
      </c>
      <c r="J237" s="1300">
        <f t="shared" si="25"/>
        <v>0</v>
      </c>
      <c r="K237" s="1300">
        <f t="shared" si="25"/>
        <v>0</v>
      </c>
      <c r="L237" s="1300">
        <f t="shared" si="25"/>
        <v>0</v>
      </c>
      <c r="M237" s="1300">
        <f t="shared" si="25"/>
        <v>0</v>
      </c>
      <c r="N237" s="1300">
        <f t="shared" si="25"/>
        <v>0</v>
      </c>
      <c r="O237" s="1300">
        <f t="shared" si="25"/>
        <v>0</v>
      </c>
      <c r="P237" s="1301">
        <f t="shared" si="25"/>
        <v>0</v>
      </c>
      <c r="Q237" s="1300">
        <f t="shared" si="25"/>
        <v>0</v>
      </c>
      <c r="R237" s="1300">
        <f t="shared" si="25"/>
        <v>0</v>
      </c>
      <c r="S237" s="1300">
        <f t="shared" si="25"/>
        <v>0</v>
      </c>
      <c r="T237" s="1300">
        <f t="shared" si="25"/>
        <v>0</v>
      </c>
      <c r="U237" s="1300">
        <f t="shared" si="25"/>
        <v>0</v>
      </c>
      <c r="V237" s="1300">
        <f t="shared" si="25"/>
        <v>0</v>
      </c>
      <c r="W237" s="1300">
        <f t="shared" si="25"/>
        <v>0</v>
      </c>
      <c r="X237" s="1300">
        <f t="shared" si="25"/>
        <v>0</v>
      </c>
      <c r="Y237" s="1300">
        <f t="shared" si="25"/>
        <v>0</v>
      </c>
      <c r="Z237" s="1300">
        <f t="shared" si="25"/>
        <v>0</v>
      </c>
      <c r="AA237" s="1300">
        <f t="shared" si="25"/>
        <v>0</v>
      </c>
      <c r="AB237" s="1300">
        <f t="shared" si="25"/>
        <v>0</v>
      </c>
      <c r="AC237" s="1300">
        <f t="shared" si="25"/>
        <v>0</v>
      </c>
      <c r="AD237" s="1300">
        <f t="shared" si="25"/>
        <v>0</v>
      </c>
      <c r="AE237" s="1300">
        <f t="shared" si="25"/>
        <v>0</v>
      </c>
      <c r="AF237" s="1300">
        <f t="shared" si="25"/>
        <v>0</v>
      </c>
      <c r="AG237" s="1300">
        <f t="shared" si="25"/>
        <v>0</v>
      </c>
      <c r="AH237" s="1207"/>
    </row>
    <row r="238" spans="1:34" ht="13.5" thickBot="1" x14ac:dyDescent="0.25">
      <c r="A238" s="1274"/>
      <c r="B238" s="1237"/>
      <c r="C238" s="1300"/>
      <c r="D238" s="1302"/>
      <c r="E238" s="1302"/>
      <c r="F238" s="1303"/>
      <c r="G238" s="1303"/>
      <c r="H238" s="1303"/>
      <c r="I238" s="1303"/>
      <c r="J238" s="1303"/>
      <c r="K238" s="1303"/>
      <c r="L238" s="1303"/>
      <c r="M238" s="1303"/>
      <c r="N238" s="1303"/>
      <c r="O238" s="1303"/>
      <c r="P238" s="1304"/>
      <c r="Q238" s="1303"/>
      <c r="R238" s="1303"/>
      <c r="S238" s="1303"/>
      <c r="T238" s="1303"/>
      <c r="U238" s="1303"/>
      <c r="V238" s="1303"/>
      <c r="W238" s="1303"/>
      <c r="X238" s="1303"/>
      <c r="Y238" s="1303"/>
      <c r="Z238" s="1303"/>
      <c r="AA238" s="1303"/>
      <c r="AB238" s="1303"/>
      <c r="AC238" s="1303"/>
      <c r="AD238" s="1303"/>
      <c r="AE238" s="1303"/>
      <c r="AF238" s="1303"/>
      <c r="AG238" s="1303"/>
      <c r="AH238" s="1207"/>
    </row>
    <row r="239" spans="1:34" x14ac:dyDescent="0.2">
      <c r="A239" s="1233"/>
      <c r="B239" s="1234"/>
      <c r="C239" s="1305"/>
      <c r="D239" s="1297"/>
      <c r="E239" s="1297"/>
      <c r="F239" s="1298"/>
      <c r="G239" s="1298"/>
      <c r="H239" s="1298"/>
      <c r="I239" s="1298"/>
      <c r="J239" s="1298"/>
      <c r="K239" s="1298"/>
      <c r="L239" s="1298"/>
      <c r="M239" s="1298"/>
      <c r="N239" s="1298"/>
      <c r="O239" s="1298"/>
      <c r="P239" s="1299"/>
      <c r="Q239" s="1298"/>
      <c r="R239" s="1298"/>
      <c r="S239" s="1298"/>
      <c r="T239" s="1298"/>
      <c r="U239" s="1298"/>
      <c r="V239" s="1298"/>
      <c r="W239" s="1298"/>
      <c r="X239" s="1298"/>
      <c r="Y239" s="1298"/>
      <c r="Z239" s="1298"/>
      <c r="AA239" s="1298"/>
      <c r="AB239" s="1298"/>
      <c r="AC239" s="1298"/>
      <c r="AD239" s="1298"/>
      <c r="AE239" s="1298"/>
      <c r="AF239" s="1298"/>
      <c r="AG239" s="1298"/>
      <c r="AH239" s="1207"/>
    </row>
    <row r="240" spans="1:34" x14ac:dyDescent="0.2">
      <c r="A240" s="1236" t="s">
        <v>15</v>
      </c>
      <c r="B240" s="1237"/>
      <c r="C240" s="1302">
        <f>B221+C237</f>
        <v>-15359.785</v>
      </c>
      <c r="D240" s="1302">
        <f t="shared" ref="D240:AG240" si="26">C247+D237</f>
        <v>-15359.785</v>
      </c>
      <c r="E240" s="1302">
        <f t="shared" si="26"/>
        <v>-15359.785</v>
      </c>
      <c r="F240" s="1302">
        <f t="shared" si="26"/>
        <v>-15359.785</v>
      </c>
      <c r="G240" s="1302">
        <f t="shared" si="26"/>
        <v>-15359.785</v>
      </c>
      <c r="H240" s="1302">
        <f t="shared" si="26"/>
        <v>-15359.785</v>
      </c>
      <c r="I240" s="1302">
        <f t="shared" si="26"/>
        <v>-15359.785</v>
      </c>
      <c r="J240" s="1302">
        <f t="shared" si="26"/>
        <v>-15359.785</v>
      </c>
      <c r="K240" s="1302">
        <f t="shared" si="26"/>
        <v>-15359.785</v>
      </c>
      <c r="L240" s="1302">
        <f t="shared" si="26"/>
        <v>-15359.785</v>
      </c>
      <c r="M240" s="1302">
        <f t="shared" si="26"/>
        <v>-15359.785</v>
      </c>
      <c r="N240" s="1302">
        <f t="shared" si="26"/>
        <v>-15359.785</v>
      </c>
      <c r="O240" s="1302">
        <f t="shared" si="26"/>
        <v>-15359.785</v>
      </c>
      <c r="P240" s="1306">
        <f t="shared" si="26"/>
        <v>-15359.785</v>
      </c>
      <c r="Q240" s="1302">
        <f t="shared" si="26"/>
        <v>-15359.785</v>
      </c>
      <c r="R240" s="1302">
        <f t="shared" si="26"/>
        <v>-15359.785</v>
      </c>
      <c r="S240" s="1302">
        <f t="shared" si="26"/>
        <v>-15359.785</v>
      </c>
      <c r="T240" s="1302">
        <f t="shared" si="26"/>
        <v>-15359.785</v>
      </c>
      <c r="U240" s="1302">
        <f t="shared" si="26"/>
        <v>-15359.785</v>
      </c>
      <c r="V240" s="1302">
        <f t="shared" si="26"/>
        <v>-15359.785</v>
      </c>
      <c r="W240" s="1302">
        <f t="shared" si="26"/>
        <v>-15359.785</v>
      </c>
      <c r="X240" s="1302">
        <f t="shared" si="26"/>
        <v>-15359.785</v>
      </c>
      <c r="Y240" s="1302">
        <f t="shared" si="26"/>
        <v>-15359.785</v>
      </c>
      <c r="Z240" s="1302">
        <f t="shared" si="26"/>
        <v>-15359.785</v>
      </c>
      <c r="AA240" s="1302">
        <f t="shared" si="26"/>
        <v>-15359.785</v>
      </c>
      <c r="AB240" s="1302">
        <f t="shared" si="26"/>
        <v>-15359.785</v>
      </c>
      <c r="AC240" s="1302">
        <f t="shared" si="26"/>
        <v>-15359.785</v>
      </c>
      <c r="AD240" s="1302">
        <f t="shared" si="26"/>
        <v>-15359.785</v>
      </c>
      <c r="AE240" s="1302">
        <f t="shared" si="26"/>
        <v>-15359.785</v>
      </c>
      <c r="AF240" s="1302">
        <f t="shared" si="26"/>
        <v>-15359.785</v>
      </c>
      <c r="AG240" s="1302">
        <f t="shared" si="26"/>
        <v>-15359.785</v>
      </c>
      <c r="AH240" s="1207"/>
    </row>
    <row r="241" spans="1:34" ht="13.5" thickBot="1" x14ac:dyDescent="0.25">
      <c r="A241" s="1250"/>
      <c r="B241" s="1307"/>
      <c r="C241" s="1308"/>
      <c r="D241" s="1308"/>
      <c r="E241" s="1308"/>
      <c r="F241" s="1309"/>
      <c r="G241" s="1309"/>
      <c r="H241" s="1309"/>
      <c r="I241" s="1309"/>
      <c r="J241" s="1309"/>
      <c r="K241" s="1309"/>
      <c r="L241" s="1309"/>
      <c r="M241" s="1309"/>
      <c r="N241" s="1309"/>
      <c r="O241" s="1309"/>
      <c r="P241" s="1310"/>
      <c r="Q241" s="1309"/>
      <c r="R241" s="1309"/>
      <c r="S241" s="1309"/>
      <c r="T241" s="1309"/>
      <c r="U241" s="1309"/>
      <c r="V241" s="1309"/>
      <c r="W241" s="1309"/>
      <c r="X241" s="1309"/>
      <c r="Y241" s="1309"/>
      <c r="Z241" s="1309"/>
      <c r="AA241" s="1309"/>
      <c r="AB241" s="1309"/>
      <c r="AC241" s="1309"/>
      <c r="AD241" s="1309"/>
      <c r="AE241" s="1309"/>
      <c r="AF241" s="1309"/>
      <c r="AG241" s="1309"/>
      <c r="AH241" s="1207"/>
    </row>
    <row r="242" spans="1:34" x14ac:dyDescent="0.2">
      <c r="A242" s="1233"/>
      <c r="B242" s="1234"/>
      <c r="C242" s="1297"/>
      <c r="D242" s="1297"/>
      <c r="E242" s="1297"/>
      <c r="F242" s="1298"/>
      <c r="G242" s="1298"/>
      <c r="H242" s="1298"/>
      <c r="I242" s="1298"/>
      <c r="J242" s="1298"/>
      <c r="K242" s="1298"/>
      <c r="L242" s="1298"/>
      <c r="M242" s="1298"/>
      <c r="N242" s="1298"/>
      <c r="O242" s="1298"/>
      <c r="P242" s="1299"/>
      <c r="Q242" s="1298"/>
      <c r="R242" s="1298"/>
      <c r="S242" s="1298"/>
      <c r="T242" s="1298"/>
      <c r="U242" s="1298"/>
      <c r="V242" s="1298"/>
      <c r="W242" s="1298"/>
      <c r="X242" s="1298"/>
      <c r="Y242" s="1298"/>
      <c r="Z242" s="1298"/>
      <c r="AA242" s="1298"/>
      <c r="AB242" s="1298"/>
      <c r="AC242" s="1298"/>
      <c r="AD242" s="1298"/>
      <c r="AE242" s="1298"/>
      <c r="AF242" s="1298"/>
      <c r="AG242" s="1298"/>
      <c r="AH242" s="1207"/>
    </row>
    <row r="243" spans="1:34" x14ac:dyDescent="0.2">
      <c r="A243" s="1236" t="s">
        <v>82</v>
      </c>
      <c r="B243" s="1237"/>
      <c r="C243" s="1302">
        <f t="shared" ref="C243:AG244" si="27">C251</f>
        <v>0</v>
      </c>
      <c r="D243" s="1302">
        <f t="shared" si="27"/>
        <v>0</v>
      </c>
      <c r="E243" s="1302">
        <f t="shared" si="27"/>
        <v>0</v>
      </c>
      <c r="F243" s="1302">
        <f t="shared" si="27"/>
        <v>0</v>
      </c>
      <c r="G243" s="1302">
        <f t="shared" si="27"/>
        <v>0</v>
      </c>
      <c r="H243" s="1302">
        <f t="shared" si="27"/>
        <v>0</v>
      </c>
      <c r="I243" s="1302">
        <f t="shared" si="27"/>
        <v>0</v>
      </c>
      <c r="J243" s="1302">
        <f t="shared" si="27"/>
        <v>0</v>
      </c>
      <c r="K243" s="1302">
        <f t="shared" si="27"/>
        <v>0</v>
      </c>
      <c r="L243" s="1302">
        <f t="shared" si="27"/>
        <v>0</v>
      </c>
      <c r="M243" s="1302">
        <f t="shared" si="27"/>
        <v>0</v>
      </c>
      <c r="N243" s="1302">
        <f t="shared" si="27"/>
        <v>0</v>
      </c>
      <c r="O243" s="1302">
        <f t="shared" si="27"/>
        <v>0</v>
      </c>
      <c r="P243" s="1306">
        <f t="shared" si="27"/>
        <v>0</v>
      </c>
      <c r="Q243" s="1302">
        <f t="shared" si="27"/>
        <v>0</v>
      </c>
      <c r="R243" s="1302">
        <f t="shared" si="27"/>
        <v>0</v>
      </c>
      <c r="S243" s="1302">
        <f t="shared" si="27"/>
        <v>0</v>
      </c>
      <c r="T243" s="1302">
        <f t="shared" si="27"/>
        <v>0</v>
      </c>
      <c r="U243" s="1302">
        <f t="shared" si="27"/>
        <v>0</v>
      </c>
      <c r="V243" s="1302">
        <f t="shared" si="27"/>
        <v>0</v>
      </c>
      <c r="W243" s="1302">
        <f t="shared" si="27"/>
        <v>0</v>
      </c>
      <c r="X243" s="1302">
        <f t="shared" si="27"/>
        <v>0</v>
      </c>
      <c r="Y243" s="1302">
        <f t="shared" si="27"/>
        <v>0</v>
      </c>
      <c r="Z243" s="1302">
        <f t="shared" si="27"/>
        <v>0</v>
      </c>
      <c r="AA243" s="1302">
        <f t="shared" si="27"/>
        <v>0</v>
      </c>
      <c r="AB243" s="1302">
        <f t="shared" si="27"/>
        <v>0</v>
      </c>
      <c r="AC243" s="1302">
        <f t="shared" si="27"/>
        <v>0</v>
      </c>
      <c r="AD243" s="1302">
        <f t="shared" si="27"/>
        <v>0</v>
      </c>
      <c r="AE243" s="1302">
        <f t="shared" si="27"/>
        <v>0</v>
      </c>
      <c r="AF243" s="1302">
        <f t="shared" si="27"/>
        <v>0</v>
      </c>
      <c r="AG243" s="1302">
        <f t="shared" si="27"/>
        <v>0</v>
      </c>
      <c r="AH243" s="1207"/>
    </row>
    <row r="244" spans="1:34" x14ac:dyDescent="0.2">
      <c r="A244" s="1236" t="s">
        <v>83</v>
      </c>
      <c r="B244" s="1237"/>
      <c r="C244" s="1306">
        <f t="shared" si="27"/>
        <v>0</v>
      </c>
      <c r="D244" s="1306">
        <f t="shared" si="27"/>
        <v>0</v>
      </c>
      <c r="E244" s="1306">
        <f t="shared" si="27"/>
        <v>0</v>
      </c>
      <c r="F244" s="1306">
        <f t="shared" si="27"/>
        <v>0</v>
      </c>
      <c r="G244" s="1306">
        <f t="shared" si="27"/>
        <v>0</v>
      </c>
      <c r="H244" s="1306">
        <f t="shared" si="27"/>
        <v>0</v>
      </c>
      <c r="I244" s="1306">
        <f t="shared" si="27"/>
        <v>0</v>
      </c>
      <c r="J244" s="1306">
        <f t="shared" si="27"/>
        <v>0</v>
      </c>
      <c r="K244" s="1306">
        <f t="shared" si="27"/>
        <v>0</v>
      </c>
      <c r="L244" s="1306">
        <f t="shared" si="27"/>
        <v>0</v>
      </c>
      <c r="M244" s="1306">
        <f t="shared" si="27"/>
        <v>0</v>
      </c>
      <c r="N244" s="1306">
        <f t="shared" si="27"/>
        <v>0</v>
      </c>
      <c r="O244" s="1306">
        <f t="shared" si="27"/>
        <v>0</v>
      </c>
      <c r="P244" s="1306">
        <f t="shared" si="27"/>
        <v>0</v>
      </c>
      <c r="Q244" s="1306">
        <f t="shared" si="27"/>
        <v>0</v>
      </c>
      <c r="R244" s="1306">
        <f t="shared" si="27"/>
        <v>0</v>
      </c>
      <c r="S244" s="1306">
        <f t="shared" si="27"/>
        <v>0</v>
      </c>
      <c r="T244" s="1306">
        <f t="shared" si="27"/>
        <v>0</v>
      </c>
      <c r="U244" s="1306">
        <f t="shared" si="27"/>
        <v>0</v>
      </c>
      <c r="V244" s="1306">
        <f t="shared" si="27"/>
        <v>0</v>
      </c>
      <c r="W244" s="1306">
        <f t="shared" si="27"/>
        <v>0</v>
      </c>
      <c r="X244" s="1306">
        <f t="shared" si="27"/>
        <v>0</v>
      </c>
      <c r="Y244" s="1306">
        <f t="shared" si="27"/>
        <v>0</v>
      </c>
      <c r="Z244" s="1306">
        <f t="shared" si="27"/>
        <v>0</v>
      </c>
      <c r="AA244" s="1306">
        <f t="shared" si="27"/>
        <v>0</v>
      </c>
      <c r="AB244" s="1306">
        <f t="shared" si="27"/>
        <v>0</v>
      </c>
      <c r="AC244" s="1306">
        <f t="shared" si="27"/>
        <v>0</v>
      </c>
      <c r="AD244" s="1306">
        <f t="shared" si="27"/>
        <v>0</v>
      </c>
      <c r="AE244" s="1306">
        <f t="shared" si="27"/>
        <v>0</v>
      </c>
      <c r="AF244" s="1306">
        <f t="shared" si="27"/>
        <v>0</v>
      </c>
      <c r="AG244" s="1306">
        <f t="shared" si="27"/>
        <v>0</v>
      </c>
      <c r="AH244" s="1207"/>
    </row>
    <row r="245" spans="1:34" ht="13.5" thickBot="1" x14ac:dyDescent="0.25">
      <c r="A245" s="1250"/>
      <c r="B245" s="1307"/>
      <c r="C245" s="1308"/>
      <c r="D245" s="1308"/>
      <c r="E245" s="1308"/>
      <c r="F245" s="1309"/>
      <c r="G245" s="1309"/>
      <c r="H245" s="1309"/>
      <c r="I245" s="1309"/>
      <c r="J245" s="1309"/>
      <c r="K245" s="1309"/>
      <c r="L245" s="1309"/>
      <c r="M245" s="1309"/>
      <c r="N245" s="1309"/>
      <c r="O245" s="1309"/>
      <c r="P245" s="1310"/>
      <c r="Q245" s="1309"/>
      <c r="R245" s="1309"/>
      <c r="S245" s="1309"/>
      <c r="T245" s="1309"/>
      <c r="U245" s="1309"/>
      <c r="V245" s="1309"/>
      <c r="W245" s="1309"/>
      <c r="X245" s="1309"/>
      <c r="Y245" s="1309"/>
      <c r="Z245" s="1309"/>
      <c r="AA245" s="1309"/>
      <c r="AB245" s="1309"/>
      <c r="AC245" s="1309"/>
      <c r="AD245" s="1309"/>
      <c r="AE245" s="1309"/>
      <c r="AF245" s="1309"/>
      <c r="AG245" s="1309"/>
      <c r="AH245" s="1207"/>
    </row>
    <row r="246" spans="1:34" x14ac:dyDescent="0.2">
      <c r="A246" s="1236"/>
      <c r="B246" s="1237"/>
      <c r="C246" s="1302"/>
      <c r="D246" s="1302"/>
      <c r="E246" s="1302"/>
      <c r="F246" s="1303"/>
      <c r="G246" s="1303"/>
      <c r="H246" s="1303"/>
      <c r="I246" s="1303"/>
      <c r="J246" s="1303"/>
      <c r="K246" s="1303"/>
      <c r="L246" s="1303"/>
      <c r="M246" s="1303"/>
      <c r="N246" s="1303"/>
      <c r="O246" s="1303"/>
      <c r="P246" s="1304"/>
      <c r="Q246" s="1303"/>
      <c r="R246" s="1303"/>
      <c r="S246" s="1303"/>
      <c r="T246" s="1303"/>
      <c r="U246" s="1303"/>
      <c r="V246" s="1303"/>
      <c r="W246" s="1303"/>
      <c r="X246" s="1303"/>
      <c r="Y246" s="1303"/>
      <c r="Z246" s="1303"/>
      <c r="AA246" s="1303"/>
      <c r="AB246" s="1303"/>
      <c r="AC246" s="1303"/>
      <c r="AD246" s="1303"/>
      <c r="AE246" s="1303"/>
      <c r="AF246" s="1303"/>
      <c r="AG246" s="1303"/>
      <c r="AH246" s="1207"/>
    </row>
    <row r="247" spans="1:34" x14ac:dyDescent="0.2">
      <c r="A247" s="1236" t="s">
        <v>14</v>
      </c>
      <c r="B247" s="1237"/>
      <c r="C247" s="1302">
        <f t="shared" ref="C247:AG247" si="28">C240+C243+C244</f>
        <v>-15359.785</v>
      </c>
      <c r="D247" s="1302">
        <f t="shared" si="28"/>
        <v>-15359.785</v>
      </c>
      <c r="E247" s="1302">
        <f t="shared" si="28"/>
        <v>-15359.785</v>
      </c>
      <c r="F247" s="1302">
        <f t="shared" si="28"/>
        <v>-15359.785</v>
      </c>
      <c r="G247" s="1302">
        <f t="shared" si="28"/>
        <v>-15359.785</v>
      </c>
      <c r="H247" s="1302">
        <f t="shared" si="28"/>
        <v>-15359.785</v>
      </c>
      <c r="I247" s="1302">
        <f t="shared" si="28"/>
        <v>-15359.785</v>
      </c>
      <c r="J247" s="1302">
        <f t="shared" si="28"/>
        <v>-15359.785</v>
      </c>
      <c r="K247" s="1302">
        <f t="shared" si="28"/>
        <v>-15359.785</v>
      </c>
      <c r="L247" s="1302">
        <f t="shared" si="28"/>
        <v>-15359.785</v>
      </c>
      <c r="M247" s="1302">
        <f t="shared" si="28"/>
        <v>-15359.785</v>
      </c>
      <c r="N247" s="1302">
        <f t="shared" si="28"/>
        <v>-15359.785</v>
      </c>
      <c r="O247" s="1302">
        <f t="shared" si="28"/>
        <v>-15359.785</v>
      </c>
      <c r="P247" s="1306">
        <f t="shared" si="28"/>
        <v>-15359.785</v>
      </c>
      <c r="Q247" s="1302">
        <f t="shared" si="28"/>
        <v>-15359.785</v>
      </c>
      <c r="R247" s="1302">
        <f t="shared" si="28"/>
        <v>-15359.785</v>
      </c>
      <c r="S247" s="1302">
        <f t="shared" si="28"/>
        <v>-15359.785</v>
      </c>
      <c r="T247" s="1302">
        <f t="shared" si="28"/>
        <v>-15359.785</v>
      </c>
      <c r="U247" s="1302">
        <f t="shared" si="28"/>
        <v>-15359.785</v>
      </c>
      <c r="V247" s="1302">
        <f t="shared" si="28"/>
        <v>-15359.785</v>
      </c>
      <c r="W247" s="1302">
        <f t="shared" si="28"/>
        <v>-15359.785</v>
      </c>
      <c r="X247" s="1302">
        <f t="shared" si="28"/>
        <v>-15359.785</v>
      </c>
      <c r="Y247" s="1302">
        <f t="shared" si="28"/>
        <v>-15359.785</v>
      </c>
      <c r="Z247" s="1302">
        <f t="shared" si="28"/>
        <v>-15359.785</v>
      </c>
      <c r="AA247" s="1302">
        <f t="shared" si="28"/>
        <v>-15359.785</v>
      </c>
      <c r="AB247" s="1302">
        <f t="shared" si="28"/>
        <v>-15359.785</v>
      </c>
      <c r="AC247" s="1302">
        <f t="shared" si="28"/>
        <v>-15359.785</v>
      </c>
      <c r="AD247" s="1302">
        <f t="shared" si="28"/>
        <v>-15359.785</v>
      </c>
      <c r="AE247" s="1302">
        <f t="shared" si="28"/>
        <v>-15359.785</v>
      </c>
      <c r="AF247" s="1302">
        <f t="shared" si="28"/>
        <v>-15359.785</v>
      </c>
      <c r="AG247" s="1302">
        <f t="shared" si="28"/>
        <v>-15359.785</v>
      </c>
      <c r="AH247" s="1207"/>
    </row>
    <row r="248" spans="1:34" x14ac:dyDescent="0.2">
      <c r="A248" s="1236"/>
      <c r="B248" s="1237"/>
      <c r="C248" s="1302"/>
      <c r="D248" s="1302"/>
      <c r="E248" s="1302"/>
      <c r="F248" s="1303"/>
      <c r="G248" s="1303"/>
      <c r="H248" s="1303"/>
      <c r="I248" s="1303"/>
      <c r="J248" s="1303"/>
      <c r="K248" s="1303"/>
      <c r="L248" s="1303"/>
      <c r="M248" s="1303"/>
      <c r="N248" s="1303"/>
      <c r="O248" s="1303"/>
      <c r="P248" s="1304"/>
      <c r="Q248" s="1303"/>
      <c r="R248" s="1303"/>
      <c r="S248" s="1303"/>
      <c r="T248" s="1303"/>
      <c r="U248" s="1303"/>
      <c r="V248" s="1303"/>
      <c r="W248" s="1303"/>
      <c r="X248" s="1303"/>
      <c r="Y248" s="1303"/>
      <c r="Z248" s="1303"/>
      <c r="AA248" s="1303"/>
      <c r="AB248" s="1303"/>
      <c r="AC248" s="1303"/>
      <c r="AD248" s="1303"/>
      <c r="AE248" s="1303"/>
      <c r="AF248" s="1303"/>
      <c r="AG248" s="1303"/>
      <c r="AH248" s="1207"/>
    </row>
    <row r="249" spans="1:34" ht="13.5" thickBot="1" x14ac:dyDescent="0.25">
      <c r="A249" s="1250"/>
      <c r="B249" s="1307"/>
      <c r="C249" s="1312"/>
      <c r="D249" s="1312"/>
      <c r="E249" s="1312"/>
      <c r="F249" s="1313"/>
      <c r="G249" s="1313"/>
      <c r="H249" s="1313"/>
      <c r="I249" s="1313"/>
      <c r="J249" s="1313"/>
      <c r="K249" s="1313"/>
      <c r="L249" s="1313"/>
      <c r="M249" s="1313"/>
      <c r="N249" s="1313"/>
      <c r="O249" s="1313"/>
      <c r="P249" s="1314"/>
      <c r="Q249" s="1313"/>
      <c r="R249" s="1313"/>
      <c r="S249" s="1313"/>
      <c r="T249" s="1313"/>
      <c r="U249" s="1313"/>
      <c r="V249" s="1313"/>
      <c r="W249" s="1313"/>
      <c r="X249" s="1313"/>
      <c r="Y249" s="1313"/>
      <c r="Z249" s="1313"/>
      <c r="AA249" s="1313"/>
      <c r="AB249" s="1313"/>
      <c r="AC249" s="1313"/>
      <c r="AD249" s="1313"/>
      <c r="AE249" s="1313"/>
      <c r="AF249" s="1313"/>
      <c r="AG249" s="1313"/>
      <c r="AH249" s="1207"/>
    </row>
    <row r="250" spans="1:34" x14ac:dyDescent="0.2">
      <c r="A250" s="1316"/>
      <c r="B250" s="1207"/>
      <c r="C250" s="1227"/>
      <c r="D250" s="1227"/>
      <c r="E250" s="1227"/>
      <c r="F250" s="1227"/>
      <c r="G250" s="1227"/>
      <c r="H250" s="1227"/>
      <c r="I250" s="1227"/>
      <c r="J250" s="1227"/>
      <c r="K250" s="1227"/>
      <c r="L250" s="1227"/>
      <c r="M250" s="1227"/>
      <c r="N250" s="1227"/>
      <c r="O250" s="1227"/>
      <c r="P250" s="1229"/>
      <c r="Q250" s="1227"/>
      <c r="R250" s="1227"/>
      <c r="S250" s="1227"/>
      <c r="T250" s="1227"/>
      <c r="U250" s="1227"/>
      <c r="V250" s="1227"/>
      <c r="W250" s="1227"/>
      <c r="X250" s="1227"/>
      <c r="Y250" s="1227"/>
      <c r="Z250" s="1227"/>
      <c r="AA250" s="1227"/>
      <c r="AB250" s="1227"/>
      <c r="AC250" s="1227"/>
      <c r="AD250" s="1227"/>
      <c r="AE250" s="1227"/>
      <c r="AF250" s="1227"/>
      <c r="AG250" s="1227"/>
      <c r="AH250" s="1227">
        <f>SUM(C250:AG250)</f>
        <v>0</v>
      </c>
    </row>
    <row r="251" spans="1:34" x14ac:dyDescent="0.2">
      <c r="A251" s="1316"/>
      <c r="B251" s="1207"/>
      <c r="C251" s="1219"/>
      <c r="D251" s="1219"/>
      <c r="E251" s="1219"/>
      <c r="F251" s="1219"/>
      <c r="G251" s="1220"/>
      <c r="H251" s="1219"/>
      <c r="I251" s="1219"/>
      <c r="J251" s="1219"/>
      <c r="K251" s="1219"/>
      <c r="L251" s="1220"/>
      <c r="M251" s="1220"/>
      <c r="N251" s="1221"/>
      <c r="O251" s="1220"/>
      <c r="P251" s="1221"/>
      <c r="Q251" s="1219"/>
      <c r="R251" s="1219"/>
      <c r="S251" s="1219"/>
      <c r="T251" s="1219"/>
      <c r="U251" s="1219"/>
      <c r="V251" s="1221"/>
      <c r="W251" s="1219"/>
      <c r="X251" s="1219"/>
      <c r="Y251" s="1219"/>
      <c r="Z251" s="1219"/>
      <c r="AA251" s="1384"/>
      <c r="AB251" s="1219"/>
      <c r="AC251" s="1219"/>
      <c r="AD251" s="1220"/>
      <c r="AE251" s="1219"/>
      <c r="AF251" s="1221"/>
      <c r="AG251" s="1219"/>
      <c r="AH251" s="1345"/>
    </row>
    <row r="252" spans="1:34" x14ac:dyDescent="0.2">
      <c r="A252" s="1207"/>
      <c r="B252" s="1207"/>
      <c r="C252" s="1207"/>
      <c r="D252" s="1219"/>
      <c r="E252" s="1347"/>
      <c r="F252" s="1207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8"/>
      <c r="Q252" s="1227"/>
      <c r="R252" s="1207"/>
      <c r="S252" s="1345"/>
      <c r="T252" s="1207"/>
      <c r="U252" s="1207"/>
      <c r="V252" s="1207"/>
      <c r="W252" s="1207"/>
      <c r="X252" s="1207"/>
      <c r="Y252" s="1345"/>
      <c r="Z252" s="1345"/>
      <c r="AA252" s="1345"/>
      <c r="AB252" s="1345"/>
      <c r="AC252" s="1345"/>
      <c r="AD252" s="1345"/>
      <c r="AE252" s="1345"/>
      <c r="AF252" s="1345"/>
      <c r="AG252" s="1345"/>
      <c r="AH252" s="1227">
        <f>SUM(C252:AG252)</f>
        <v>0</v>
      </c>
    </row>
    <row r="253" spans="1:34" x14ac:dyDescent="0.2">
      <c r="A253" s="1210" t="s">
        <v>415</v>
      </c>
      <c r="B253" s="1215">
        <f>B254+B255+B257</f>
        <v>425000</v>
      </c>
      <c r="C253" s="1207"/>
      <c r="D253" s="1207"/>
      <c r="E253" s="1207"/>
      <c r="F253" s="1207"/>
      <c r="G253" s="1207"/>
      <c r="H253" s="1207"/>
      <c r="I253" s="1207"/>
      <c r="J253" s="1207"/>
      <c r="K253" s="1392"/>
      <c r="L253" s="1207"/>
      <c r="M253" s="1207"/>
      <c r="N253" s="1207"/>
      <c r="O253" s="1207"/>
      <c r="P253" s="1208"/>
      <c r="Q253" s="1207"/>
      <c r="R253" s="1207"/>
      <c r="S253" s="1207"/>
      <c r="T253" s="1207"/>
      <c r="U253" s="1207"/>
      <c r="V253" s="1207"/>
      <c r="W253" s="1207"/>
      <c r="X253" s="1207"/>
      <c r="Y253" s="1207"/>
      <c r="Z253" s="1207"/>
      <c r="AA253" s="1384"/>
      <c r="AB253" s="1207"/>
      <c r="AC253" s="1207"/>
      <c r="AD253" s="1207"/>
      <c r="AE253" s="1207"/>
      <c r="AF253" s="1207"/>
      <c r="AG253" s="1207"/>
      <c r="AH253" s="1207"/>
    </row>
    <row r="254" spans="1:34" x14ac:dyDescent="0.2">
      <c r="A254" s="1365" t="s">
        <v>414</v>
      </c>
      <c r="B254" s="1219">
        <v>25000</v>
      </c>
      <c r="C254" s="1207"/>
      <c r="D254" s="1207"/>
      <c r="E254" s="1227"/>
      <c r="F254" s="1227"/>
      <c r="G254" s="1227"/>
      <c r="H254" s="1207"/>
      <c r="I254" s="1207"/>
      <c r="J254" s="1207"/>
      <c r="K254" s="1207"/>
      <c r="L254" s="1207"/>
      <c r="M254" s="1207"/>
      <c r="N254" s="1207"/>
      <c r="O254" s="1207"/>
      <c r="P254" s="1208"/>
      <c r="Q254" s="1207"/>
      <c r="R254" s="1207"/>
      <c r="S254" s="1207"/>
      <c r="T254" s="1207"/>
      <c r="U254" s="1227"/>
      <c r="V254" s="1207"/>
      <c r="W254" s="1207"/>
      <c r="X254" s="1207"/>
      <c r="Y254" s="1207"/>
      <c r="Z254" s="1207"/>
      <c r="AA254" s="1354"/>
      <c r="AB254" s="1207"/>
      <c r="AC254" s="1207"/>
      <c r="AD254" s="1207"/>
      <c r="AE254" s="1207"/>
      <c r="AF254" s="1207" t="s">
        <v>1279</v>
      </c>
      <c r="AG254" s="1227"/>
      <c r="AH254" s="1207"/>
    </row>
    <row r="255" spans="1:34" x14ac:dyDescent="0.2">
      <c r="A255" s="1365" t="s">
        <v>287</v>
      </c>
      <c r="B255" s="1219">
        <v>300000</v>
      </c>
      <c r="C255" s="1207"/>
      <c r="D255" s="1207"/>
      <c r="E255" s="1207"/>
      <c r="F255" s="1207"/>
      <c r="G255" s="1207"/>
      <c r="H255" s="1207"/>
      <c r="I255" s="1207"/>
      <c r="J255" s="1207"/>
      <c r="K255" s="1207"/>
      <c r="L255" s="1207"/>
      <c r="M255" s="1207"/>
      <c r="N255" s="1207"/>
      <c r="O255" s="1207"/>
      <c r="P255" s="1208"/>
      <c r="Q255" s="1207"/>
      <c r="R255" s="1207"/>
      <c r="S255" s="1207"/>
      <c r="T255" s="1207"/>
      <c r="U255" s="1227"/>
      <c r="V255" s="1207"/>
      <c r="W255" s="1207"/>
      <c r="X255" s="1207"/>
      <c r="Y255" s="1207"/>
      <c r="Z255" s="1207"/>
      <c r="AA255" s="1207"/>
      <c r="AB255" s="1207"/>
      <c r="AC255" s="1207"/>
      <c r="AD255" s="1207"/>
      <c r="AE255" s="1207"/>
      <c r="AF255" s="1392"/>
      <c r="AG255" s="1207"/>
      <c r="AH255" s="1207"/>
    </row>
    <row r="256" spans="1:34" x14ac:dyDescent="0.2">
      <c r="A256" s="1316" t="s">
        <v>413</v>
      </c>
      <c r="B256" s="1219"/>
      <c r="C256" s="1207"/>
      <c r="D256" s="1207"/>
      <c r="E256" s="1207"/>
      <c r="F256" s="1207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8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07"/>
      <c r="AA256" s="1207"/>
      <c r="AB256" s="1207"/>
      <c r="AC256" s="1207"/>
      <c r="AD256" s="1207"/>
      <c r="AE256" s="1207"/>
      <c r="AF256" s="1207"/>
      <c r="AG256" s="1207"/>
      <c r="AH256" s="1207"/>
    </row>
    <row r="257" spans="1:34" x14ac:dyDescent="0.2">
      <c r="A257" s="1316" t="s">
        <v>441</v>
      </c>
      <c r="B257" s="1219">
        <v>100000</v>
      </c>
      <c r="C257" s="1207"/>
      <c r="D257" s="1207"/>
      <c r="E257" s="1207"/>
      <c r="F257" s="1207"/>
      <c r="G257" s="1207"/>
      <c r="H257" s="1207"/>
      <c r="I257" s="1207"/>
      <c r="J257" s="1207"/>
      <c r="K257" s="1207"/>
      <c r="L257" s="1207"/>
      <c r="M257" s="1207"/>
      <c r="N257" s="1207"/>
      <c r="O257" s="1207"/>
      <c r="P257" s="1208"/>
      <c r="Q257" s="1207"/>
      <c r="R257" s="1207"/>
      <c r="S257" s="1207"/>
      <c r="T257" s="1207"/>
      <c r="U257" s="1207"/>
      <c r="V257" s="1207"/>
      <c r="W257" s="1207"/>
      <c r="X257" s="1207"/>
      <c r="Y257" s="1207"/>
      <c r="Z257" s="1207"/>
      <c r="AA257" s="1207"/>
      <c r="AB257" s="1207"/>
      <c r="AC257" s="1207"/>
      <c r="AD257" s="1207"/>
      <c r="AE257" s="1207"/>
      <c r="AF257" s="1207"/>
      <c r="AG257" s="1207"/>
      <c r="AH257" s="1207"/>
    </row>
    <row r="258" spans="1:34" x14ac:dyDescent="0.2">
      <c r="A258" s="1207"/>
      <c r="B258" s="1207"/>
      <c r="C258" s="1207"/>
      <c r="D258" s="1207"/>
      <c r="E258" s="1207"/>
      <c r="F258" s="1207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8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07"/>
      <c r="AA258" s="1207"/>
      <c r="AB258" s="1207"/>
      <c r="AC258" s="1207"/>
      <c r="AD258" s="1207"/>
      <c r="AE258" s="1207"/>
      <c r="AF258" s="1207"/>
      <c r="AG258" s="1207"/>
      <c r="AH258" s="1207"/>
    </row>
    <row r="259" spans="1:34" x14ac:dyDescent="0.2">
      <c r="A259" s="1207"/>
      <c r="B259" s="1207"/>
      <c r="C259" s="1207"/>
      <c r="D259" s="1207"/>
      <c r="E259" s="1207"/>
      <c r="F259" s="1207"/>
      <c r="G259" s="1207"/>
      <c r="H259" s="1207"/>
      <c r="I259" s="1207"/>
      <c r="J259" s="1207"/>
      <c r="K259" s="1207"/>
      <c r="L259" s="1207"/>
      <c r="M259" s="1207"/>
      <c r="N259" s="1207"/>
      <c r="O259" s="1207"/>
      <c r="P259" s="1208"/>
      <c r="Q259" s="1207"/>
      <c r="R259" s="1207"/>
      <c r="S259" s="1207"/>
      <c r="T259" s="1207"/>
      <c r="U259" s="1207"/>
      <c r="V259" s="1207"/>
      <c r="W259" s="1207"/>
      <c r="X259" s="1207"/>
      <c r="Y259" s="1207"/>
      <c r="Z259" s="1207"/>
      <c r="AA259" s="1207"/>
      <c r="AB259" s="1207"/>
      <c r="AC259" s="1207"/>
      <c r="AD259" s="1207"/>
      <c r="AE259" s="1207"/>
      <c r="AF259" s="1207"/>
      <c r="AG259" s="1207"/>
      <c r="AH259" s="1207"/>
    </row>
    <row r="260" spans="1:34" ht="13.5" thickBot="1" x14ac:dyDescent="0.25">
      <c r="A260" s="1207"/>
      <c r="B260" s="1207"/>
      <c r="C260" s="1207"/>
      <c r="D260" s="1207"/>
      <c r="E260" s="1207"/>
      <c r="F260" s="1207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8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07"/>
      <c r="AA260" s="1207"/>
      <c r="AB260" s="1207"/>
      <c r="AC260" s="1207"/>
      <c r="AD260" s="1207"/>
      <c r="AE260" s="1207"/>
      <c r="AF260" s="1207"/>
      <c r="AG260" s="1207"/>
      <c r="AH260" s="1207"/>
    </row>
    <row r="261" spans="1:34" x14ac:dyDescent="0.2">
      <c r="A261" s="1233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34"/>
      <c r="O261" s="1234"/>
      <c r="P261" s="1235"/>
      <c r="Q261" s="1234"/>
      <c r="R261" s="1234"/>
      <c r="S261" s="1234"/>
      <c r="T261" s="1234"/>
      <c r="U261" s="1234"/>
      <c r="V261" s="1234"/>
      <c r="W261" s="1234"/>
      <c r="X261" s="1234"/>
      <c r="Y261" s="1234"/>
      <c r="Z261" s="1234"/>
      <c r="AA261" s="1234"/>
      <c r="AB261" s="1234"/>
      <c r="AC261" s="1234"/>
      <c r="AD261" s="1234"/>
      <c r="AE261" s="1234"/>
      <c r="AF261" s="1234"/>
      <c r="AG261" s="1234"/>
      <c r="AH261" s="1207"/>
    </row>
    <row r="262" spans="1:34" x14ac:dyDescent="0.2">
      <c r="A262" s="1236"/>
      <c r="B262" s="1237" t="s">
        <v>37</v>
      </c>
      <c r="C262" s="1237"/>
      <c r="D262" s="1237"/>
      <c r="E262" s="1238" t="s">
        <v>910</v>
      </c>
      <c r="F262" s="1239" t="s">
        <v>340</v>
      </c>
      <c r="G262" s="1211"/>
      <c r="H262" s="1239"/>
      <c r="I262" s="1239"/>
      <c r="J262" s="1239"/>
      <c r="K262" s="1239"/>
      <c r="L262" s="1239"/>
      <c r="M262" s="1239"/>
      <c r="N262" s="1239"/>
      <c r="O262" s="1239"/>
      <c r="P262" s="1240"/>
      <c r="Q262" s="1239"/>
      <c r="R262" s="1239"/>
      <c r="S262" s="1239"/>
      <c r="T262" s="1239"/>
      <c r="U262" s="1239"/>
      <c r="V262" s="1239"/>
      <c r="W262" s="1239"/>
      <c r="X262" s="1239"/>
      <c r="Y262" s="1239"/>
      <c r="Z262" s="1239"/>
      <c r="AA262" s="1239"/>
      <c r="AB262" s="1239"/>
      <c r="AC262" s="1239"/>
      <c r="AD262" s="1239"/>
      <c r="AE262" s="1239"/>
      <c r="AF262" s="1239"/>
      <c r="AG262" s="1239"/>
      <c r="AH262" s="1207"/>
    </row>
    <row r="263" spans="1:34" x14ac:dyDescent="0.2">
      <c r="A263" s="1236"/>
      <c r="B263" s="1237"/>
      <c r="C263" s="1237"/>
      <c r="D263" s="1237"/>
      <c r="E263" s="1237"/>
      <c r="F263" s="1237"/>
      <c r="G263" s="1237"/>
      <c r="H263" s="1237"/>
      <c r="I263" s="1237"/>
      <c r="J263" s="1237"/>
      <c r="K263" s="1237"/>
      <c r="L263" s="1237"/>
      <c r="M263" s="1237"/>
      <c r="N263" s="1237"/>
      <c r="O263" s="1237"/>
      <c r="P263" s="1241"/>
      <c r="Q263" s="1237"/>
      <c r="R263" s="1237"/>
      <c r="S263" s="1237"/>
      <c r="T263" s="1237"/>
      <c r="U263" s="1237"/>
      <c r="V263" s="1237"/>
      <c r="W263" s="1237"/>
      <c r="X263" s="1237"/>
      <c r="Y263" s="1237"/>
      <c r="Z263" s="1237"/>
      <c r="AA263" s="1237"/>
      <c r="AB263" s="1237"/>
      <c r="AC263" s="1237"/>
      <c r="AD263" s="1237"/>
      <c r="AE263" s="1237"/>
      <c r="AF263" s="1237"/>
      <c r="AG263" s="1237"/>
      <c r="AH263" s="1207"/>
    </row>
    <row r="264" spans="1:34" x14ac:dyDescent="0.2">
      <c r="A264" s="1236"/>
      <c r="B264" s="1237"/>
      <c r="C264" s="1239"/>
      <c r="D264" s="1239">
        <v>42408</v>
      </c>
      <c r="E264" s="1237"/>
      <c r="F264" s="1237"/>
      <c r="G264" s="1237"/>
      <c r="H264" s="1237"/>
      <c r="I264" s="1237"/>
      <c r="J264" s="1237"/>
      <c r="K264" s="1237"/>
      <c r="L264" s="1237"/>
      <c r="M264" s="1237"/>
      <c r="N264" s="1237"/>
      <c r="O264" s="1237"/>
      <c r="P264" s="1241"/>
      <c r="Q264" s="1237"/>
      <c r="R264" s="1237"/>
      <c r="S264" s="1237"/>
      <c r="T264" s="1237"/>
      <c r="U264" s="1237"/>
      <c r="V264" s="1237"/>
      <c r="W264" s="1237"/>
      <c r="X264" s="1237"/>
      <c r="Y264" s="1237"/>
      <c r="Z264" s="1237"/>
      <c r="AA264" s="1237"/>
      <c r="AB264" s="1237"/>
      <c r="AC264" s="1237"/>
      <c r="AD264" s="1237"/>
      <c r="AE264" s="1237"/>
      <c r="AF264" s="1237"/>
      <c r="AG264" s="1237"/>
      <c r="AH264" s="1207"/>
    </row>
    <row r="265" spans="1:34" x14ac:dyDescent="0.2">
      <c r="A265" s="1236"/>
      <c r="B265" s="1237"/>
      <c r="C265" s="1239"/>
      <c r="D265" s="1239"/>
      <c r="E265" s="1237"/>
      <c r="F265" s="1237"/>
      <c r="G265" s="1237"/>
      <c r="H265" s="1237"/>
      <c r="I265" s="1237"/>
      <c r="J265" s="1237"/>
      <c r="K265" s="1237"/>
      <c r="L265" s="1237"/>
      <c r="M265" s="1237"/>
      <c r="N265" s="1237"/>
      <c r="O265" s="1237"/>
      <c r="P265" s="1241"/>
      <c r="Q265" s="1237"/>
      <c r="R265" s="1237"/>
      <c r="S265" s="1237"/>
      <c r="T265" s="1237"/>
      <c r="U265" s="1237"/>
      <c r="V265" s="1237"/>
      <c r="W265" s="1237"/>
      <c r="X265" s="1237"/>
      <c r="Y265" s="1237"/>
      <c r="Z265" s="1237"/>
      <c r="AA265" s="1237"/>
      <c r="AB265" s="1237"/>
      <c r="AC265" s="1237"/>
      <c r="AD265" s="1237"/>
      <c r="AE265" s="1237"/>
      <c r="AF265" s="1237"/>
      <c r="AG265" s="1237"/>
      <c r="AH265" s="1207"/>
    </row>
    <row r="266" spans="1:34" ht="13.5" thickBot="1" x14ac:dyDescent="0.25">
      <c r="A266" s="1236"/>
      <c r="B266" s="1237"/>
      <c r="C266" s="1237"/>
      <c r="D266" s="1237"/>
      <c r="E266" s="1237"/>
      <c r="F266" s="1237"/>
      <c r="G266" s="1237"/>
      <c r="H266" s="1237"/>
      <c r="I266" s="1237"/>
      <c r="J266" s="1237"/>
      <c r="K266" s="1237"/>
      <c r="L266" s="1237"/>
      <c r="M266" s="1237"/>
      <c r="N266" s="1237"/>
      <c r="O266" s="1237"/>
      <c r="P266" s="1241"/>
      <c r="Q266" s="1237"/>
      <c r="R266" s="1237"/>
      <c r="S266" s="1237"/>
      <c r="T266" s="1237"/>
      <c r="U266" s="1237"/>
      <c r="V266" s="1237"/>
      <c r="W266" s="1237"/>
      <c r="X266" s="1237"/>
      <c r="Y266" s="1237"/>
      <c r="Z266" s="1237"/>
      <c r="AA266" s="1237"/>
      <c r="AB266" s="1237"/>
      <c r="AC266" s="1237"/>
      <c r="AD266" s="1237"/>
      <c r="AE266" s="1237"/>
      <c r="AF266" s="1237"/>
      <c r="AG266" s="1237"/>
      <c r="AH266" s="1207"/>
    </row>
    <row r="267" spans="1:34" ht="13.5" thickBot="1" x14ac:dyDescent="0.25">
      <c r="A267" s="1236"/>
      <c r="B267" s="1237"/>
      <c r="C267" s="1243"/>
      <c r="D267" s="1244" t="s">
        <v>16</v>
      </c>
      <c r="E267" s="1244"/>
      <c r="F267" s="1244"/>
      <c r="G267" s="1244"/>
      <c r="H267" s="1244"/>
      <c r="I267" s="1244"/>
      <c r="J267" s="1244"/>
      <c r="K267" s="1244"/>
      <c r="L267" s="1244"/>
      <c r="M267" s="1244"/>
      <c r="N267" s="1244"/>
      <c r="O267" s="1244"/>
      <c r="P267" s="1245"/>
      <c r="Q267" s="1244"/>
      <c r="R267" s="1244"/>
      <c r="S267" s="1244"/>
      <c r="T267" s="1244"/>
      <c r="U267" s="1244"/>
      <c r="V267" s="1244"/>
      <c r="W267" s="1244"/>
      <c r="X267" s="1244"/>
      <c r="Y267" s="1244"/>
      <c r="Z267" s="1244"/>
      <c r="AA267" s="1244"/>
      <c r="AB267" s="1244"/>
      <c r="AC267" s="1244"/>
      <c r="AD267" s="1244"/>
      <c r="AE267" s="1244"/>
      <c r="AF267" s="1244"/>
      <c r="AG267" s="1244"/>
      <c r="AH267" s="1207"/>
    </row>
    <row r="268" spans="1:34" ht="13.5" thickBot="1" x14ac:dyDescent="0.25">
      <c r="A268" s="1236"/>
      <c r="B268" s="1237"/>
      <c r="C268" s="1246" t="s">
        <v>452</v>
      </c>
      <c r="D268" s="1246" t="s">
        <v>453</v>
      </c>
      <c r="E268" s="1246" t="s">
        <v>434</v>
      </c>
      <c r="F268" s="1246" t="s">
        <v>390</v>
      </c>
      <c r="G268" s="1246" t="s">
        <v>454</v>
      </c>
      <c r="H268" s="1246" t="s">
        <v>455</v>
      </c>
      <c r="I268" s="1246" t="s">
        <v>456</v>
      </c>
      <c r="J268" s="1246" t="s">
        <v>457</v>
      </c>
      <c r="K268" s="1246" t="s">
        <v>458</v>
      </c>
      <c r="L268" s="1246" t="s">
        <v>216</v>
      </c>
      <c r="M268" s="1246" t="s">
        <v>459</v>
      </c>
      <c r="N268" s="1246" t="s">
        <v>297</v>
      </c>
      <c r="O268" s="1246" t="s">
        <v>211</v>
      </c>
      <c r="P268" s="1247" t="s">
        <v>270</v>
      </c>
      <c r="Q268" s="1246">
        <v>15</v>
      </c>
      <c r="R268" s="1246">
        <v>16</v>
      </c>
      <c r="S268" s="1246" t="s">
        <v>461</v>
      </c>
      <c r="T268" s="1246" t="s">
        <v>442</v>
      </c>
      <c r="U268" s="1246" t="s">
        <v>462</v>
      </c>
      <c r="V268" s="1246" t="s">
        <v>470</v>
      </c>
      <c r="W268" s="1246" t="s">
        <v>471</v>
      </c>
      <c r="X268" s="1246" t="s">
        <v>472</v>
      </c>
      <c r="Y268" s="1246" t="s">
        <v>463</v>
      </c>
      <c r="Z268" s="1246" t="s">
        <v>465</v>
      </c>
      <c r="AA268" s="1246" t="s">
        <v>466</v>
      </c>
      <c r="AB268" s="1246" t="s">
        <v>435</v>
      </c>
      <c r="AC268" s="1246" t="s">
        <v>467</v>
      </c>
      <c r="AD268" s="1246" t="s">
        <v>464</v>
      </c>
      <c r="AE268" s="1246" t="s">
        <v>429</v>
      </c>
      <c r="AF268" s="1246" t="s">
        <v>149</v>
      </c>
      <c r="AG268" s="1246" t="s">
        <v>210</v>
      </c>
      <c r="AH268" s="1207"/>
    </row>
    <row r="269" spans="1:34" x14ac:dyDescent="0.2">
      <c r="A269" s="1233"/>
      <c r="B269" s="1248"/>
      <c r="C269" s="1237"/>
      <c r="D269" s="1237"/>
      <c r="E269" s="1237"/>
      <c r="F269" s="1237"/>
      <c r="G269" s="1237"/>
      <c r="H269" s="1237"/>
      <c r="I269" s="1237"/>
      <c r="J269" s="1237"/>
      <c r="K269" s="1237"/>
      <c r="L269" s="1237"/>
      <c r="M269" s="1237"/>
      <c r="N269" s="1237"/>
      <c r="O269" s="1237"/>
      <c r="P269" s="1241"/>
      <c r="Q269" s="1237"/>
      <c r="R269" s="1237"/>
      <c r="S269" s="1237"/>
      <c r="T269" s="1237"/>
      <c r="U269" s="1237"/>
      <c r="V269" s="1237"/>
      <c r="W269" s="1237"/>
      <c r="X269" s="1237"/>
      <c r="Y269" s="1237"/>
      <c r="Z269" s="1237"/>
      <c r="AA269" s="1237"/>
      <c r="AB269" s="1237"/>
      <c r="AC269" s="1237"/>
      <c r="AD269" s="1237"/>
      <c r="AE269" s="1237"/>
      <c r="AF269" s="1237"/>
      <c r="AG269" s="1237"/>
      <c r="AH269" s="1207"/>
    </row>
    <row r="270" spans="1:34" x14ac:dyDescent="0.2">
      <c r="A270" s="1236" t="s">
        <v>0</v>
      </c>
      <c r="B270" s="1249">
        <v>-19735.631000000001</v>
      </c>
      <c r="C270" s="1237"/>
      <c r="D270" s="1237"/>
      <c r="E270" s="1237"/>
      <c r="F270" s="1237"/>
      <c r="G270" s="1237"/>
      <c r="H270" s="1237"/>
      <c r="I270" s="1237"/>
      <c r="J270" s="1237"/>
      <c r="K270" s="1237"/>
      <c r="L270" s="1237"/>
      <c r="M270" s="1237"/>
      <c r="N270" s="1237"/>
      <c r="O270" s="1237"/>
      <c r="P270" s="1241"/>
      <c r="Q270" s="1237"/>
      <c r="R270" s="1237"/>
      <c r="S270" s="1237"/>
      <c r="T270" s="1237"/>
      <c r="U270" s="1237"/>
      <c r="V270" s="1237"/>
      <c r="W270" s="1237"/>
      <c r="X270" s="1237"/>
      <c r="Y270" s="1237"/>
      <c r="Z270" s="1237"/>
      <c r="AA270" s="1237"/>
      <c r="AB270" s="1237"/>
      <c r="AC270" s="1237"/>
      <c r="AD270" s="1237"/>
      <c r="AE270" s="1237"/>
      <c r="AF270" s="1237"/>
      <c r="AG270" s="1237"/>
      <c r="AH270" s="1207"/>
    </row>
    <row r="271" spans="1:34" ht="13.5" thickBot="1" x14ac:dyDescent="0.25">
      <c r="A271" s="1250"/>
      <c r="B271" s="1251"/>
      <c r="C271" s="1237"/>
      <c r="D271" s="1237"/>
      <c r="E271" s="1237"/>
      <c r="F271" s="1237"/>
      <c r="G271" s="1237"/>
      <c r="H271" s="1237"/>
      <c r="I271" s="1237"/>
      <c r="J271" s="1237"/>
      <c r="K271" s="1237"/>
      <c r="L271" s="1237"/>
      <c r="M271" s="1237"/>
      <c r="N271" s="1237"/>
      <c r="O271" s="1237"/>
      <c r="P271" s="1241"/>
      <c r="Q271" s="1237"/>
      <c r="R271" s="1237"/>
      <c r="S271" s="1237"/>
      <c r="T271" s="1237"/>
      <c r="U271" s="1237"/>
      <c r="V271" s="1237"/>
      <c r="W271" s="1237"/>
      <c r="X271" s="1237"/>
      <c r="Y271" s="1237"/>
      <c r="Z271" s="1237"/>
      <c r="AA271" s="1237"/>
      <c r="AB271" s="1237"/>
      <c r="AC271" s="1237"/>
      <c r="AD271" s="1237"/>
      <c r="AE271" s="1237"/>
      <c r="AF271" s="1237"/>
      <c r="AG271" s="1237"/>
      <c r="AH271" s="1207"/>
    </row>
    <row r="272" spans="1:34" x14ac:dyDescent="0.2">
      <c r="A272" s="1233"/>
      <c r="B272" s="1253"/>
      <c r="C272" s="1237"/>
      <c r="D272" s="1237"/>
      <c r="E272" s="1237"/>
      <c r="F272" s="1237"/>
      <c r="G272" s="1237"/>
      <c r="H272" s="1237"/>
      <c r="I272" s="1237"/>
      <c r="J272" s="1237"/>
      <c r="K272" s="1237"/>
      <c r="L272" s="1237"/>
      <c r="M272" s="1237"/>
      <c r="N272" s="1237"/>
      <c r="O272" s="1237"/>
      <c r="P272" s="1241"/>
      <c r="Q272" s="1237"/>
      <c r="R272" s="1237"/>
      <c r="S272" s="1237"/>
      <c r="T272" s="1237"/>
      <c r="U272" s="1237"/>
      <c r="V272" s="1237"/>
      <c r="W272" s="1237"/>
      <c r="X272" s="1237"/>
      <c r="Y272" s="1237"/>
      <c r="Z272" s="1237"/>
      <c r="AA272" s="1237"/>
      <c r="AB272" s="1237"/>
      <c r="AC272" s="1237"/>
      <c r="AD272" s="1237"/>
      <c r="AE272" s="1237"/>
      <c r="AF272" s="1237"/>
      <c r="AG272" s="1237"/>
      <c r="AH272" s="1207"/>
    </row>
    <row r="273" spans="1:34" x14ac:dyDescent="0.2">
      <c r="A273" s="1236" t="s">
        <v>1</v>
      </c>
      <c r="B273" s="1249">
        <f>B274+B275+B276</f>
        <v>0</v>
      </c>
      <c r="C273" s="1237"/>
      <c r="D273" s="1237"/>
      <c r="E273" s="1237"/>
      <c r="F273" s="1237"/>
      <c r="G273" s="1237"/>
      <c r="H273" s="1237"/>
      <c r="I273" s="1237"/>
      <c r="J273" s="1237"/>
      <c r="K273" s="1237"/>
      <c r="L273" s="1237"/>
      <c r="M273" s="1237"/>
      <c r="N273" s="1237"/>
      <c r="O273" s="1237"/>
      <c r="P273" s="1241"/>
      <c r="Q273" s="1237"/>
      <c r="R273" s="1237"/>
      <c r="S273" s="1237"/>
      <c r="T273" s="1237"/>
      <c r="U273" s="1237"/>
      <c r="V273" s="1237"/>
      <c r="W273" s="1237"/>
      <c r="X273" s="1237"/>
      <c r="Y273" s="1237"/>
      <c r="Z273" s="1237"/>
      <c r="AA273" s="1237"/>
      <c r="AB273" s="1237"/>
      <c r="AC273" s="1237"/>
      <c r="AD273" s="1237"/>
      <c r="AE273" s="1237"/>
      <c r="AF273" s="1237"/>
      <c r="AG273" s="1237"/>
      <c r="AH273" s="1207"/>
    </row>
    <row r="274" spans="1:34" x14ac:dyDescent="0.2">
      <c r="A274" s="1236" t="s">
        <v>38</v>
      </c>
      <c r="B274" s="1249">
        <f>C322</f>
        <v>0</v>
      </c>
      <c r="C274" s="1237"/>
      <c r="D274" s="1237"/>
      <c r="E274" s="1237"/>
      <c r="F274" s="1237"/>
      <c r="G274" s="1237"/>
      <c r="H274" s="1237"/>
      <c r="I274" s="1237"/>
      <c r="J274" s="1237"/>
      <c r="K274" s="1237"/>
      <c r="L274" s="1237"/>
      <c r="M274" s="1237"/>
      <c r="N274" s="1237"/>
      <c r="O274" s="1237"/>
      <c r="P274" s="1241"/>
      <c r="Q274" s="1237"/>
      <c r="R274" s="1237"/>
      <c r="S274" s="1237"/>
      <c r="T274" s="1237"/>
      <c r="U274" s="1237"/>
      <c r="V274" s="1237"/>
      <c r="W274" s="1237"/>
      <c r="X274" s="1237"/>
      <c r="Y274" s="1237"/>
      <c r="Z274" s="1237"/>
      <c r="AA274" s="1237"/>
      <c r="AB274" s="1237"/>
      <c r="AC274" s="1237"/>
      <c r="AD274" s="1237"/>
      <c r="AE274" s="1237"/>
      <c r="AF274" s="1237"/>
      <c r="AG274" s="1237"/>
      <c r="AH274" s="1207"/>
    </row>
    <row r="275" spans="1:34" x14ac:dyDescent="0.2">
      <c r="A275" s="1236" t="s">
        <v>39</v>
      </c>
      <c r="B275" s="1249">
        <f>C345</f>
        <v>0</v>
      </c>
      <c r="C275" s="1237"/>
      <c r="D275" s="1237"/>
      <c r="E275" s="1237"/>
      <c r="F275" s="1237"/>
      <c r="G275" s="1237"/>
      <c r="H275" s="1237"/>
      <c r="I275" s="1237"/>
      <c r="J275" s="1237"/>
      <c r="K275" s="1237"/>
      <c r="L275" s="1237"/>
      <c r="M275" s="1237"/>
      <c r="N275" s="1237"/>
      <c r="O275" s="1237"/>
      <c r="P275" s="1241"/>
      <c r="Q275" s="1237"/>
      <c r="R275" s="1237"/>
      <c r="S275" s="1237"/>
      <c r="T275" s="1237"/>
      <c r="U275" s="1237"/>
      <c r="V275" s="1237"/>
      <c r="W275" s="1237"/>
      <c r="X275" s="1237"/>
      <c r="Y275" s="1237"/>
      <c r="Z275" s="1237"/>
      <c r="AA275" s="1237"/>
      <c r="AB275" s="1237"/>
      <c r="AC275" s="1237"/>
      <c r="AD275" s="1237"/>
      <c r="AE275" s="1237"/>
      <c r="AF275" s="1237"/>
      <c r="AG275" s="1237"/>
      <c r="AH275" s="1207"/>
    </row>
    <row r="276" spans="1:34" x14ac:dyDescent="0.2">
      <c r="A276" s="1236" t="s">
        <v>3</v>
      </c>
      <c r="B276" s="1249"/>
      <c r="C276" s="1237"/>
      <c r="D276" s="1237"/>
      <c r="E276" s="1237"/>
      <c r="F276" s="1237"/>
      <c r="G276" s="1237"/>
      <c r="H276" s="1237"/>
      <c r="I276" s="1237"/>
      <c r="J276" s="1237"/>
      <c r="K276" s="1237"/>
      <c r="L276" s="1237"/>
      <c r="M276" s="1237"/>
      <c r="N276" s="1237"/>
      <c r="O276" s="1237"/>
      <c r="P276" s="1241"/>
      <c r="Q276" s="1237"/>
      <c r="R276" s="1237"/>
      <c r="S276" s="1237"/>
      <c r="T276" s="1237"/>
      <c r="U276" s="1237"/>
      <c r="V276" s="1237"/>
      <c r="W276" s="1237"/>
      <c r="X276" s="1237"/>
      <c r="Y276" s="1237"/>
      <c r="Z276" s="1237"/>
      <c r="AA276" s="1237"/>
      <c r="AB276" s="1237"/>
      <c r="AC276" s="1237"/>
      <c r="AD276" s="1237"/>
      <c r="AE276" s="1237"/>
      <c r="AF276" s="1237"/>
      <c r="AG276" s="1237"/>
      <c r="AH276" s="1207"/>
    </row>
    <row r="277" spans="1:34" ht="13.5" thickBot="1" x14ac:dyDescent="0.25">
      <c r="A277" s="1250"/>
      <c r="B277" s="1251"/>
      <c r="C277" s="1237"/>
      <c r="D277" s="1237"/>
      <c r="E277" s="1237"/>
      <c r="F277" s="1237"/>
      <c r="G277" s="1237"/>
      <c r="H277" s="1237"/>
      <c r="I277" s="1237"/>
      <c r="J277" s="1237"/>
      <c r="K277" s="1237"/>
      <c r="L277" s="1237"/>
      <c r="M277" s="1237"/>
      <c r="N277" s="1237"/>
      <c r="O277" s="1237"/>
      <c r="P277" s="1241"/>
      <c r="Q277" s="1237"/>
      <c r="R277" s="1237"/>
      <c r="S277" s="1237"/>
      <c r="T277" s="1237"/>
      <c r="U277" s="1237"/>
      <c r="V277" s="1237"/>
      <c r="W277" s="1237"/>
      <c r="X277" s="1237"/>
      <c r="Y277" s="1237"/>
      <c r="Z277" s="1237"/>
      <c r="AA277" s="1237"/>
      <c r="AB277" s="1237"/>
      <c r="AC277" s="1237"/>
      <c r="AD277" s="1237"/>
      <c r="AE277" s="1237"/>
      <c r="AF277" s="1237"/>
      <c r="AG277" s="1237"/>
      <c r="AH277" s="1207"/>
    </row>
    <row r="278" spans="1:34" x14ac:dyDescent="0.2">
      <c r="A278" s="1233"/>
      <c r="B278" s="1253"/>
      <c r="C278" s="1237"/>
      <c r="D278" s="1237"/>
      <c r="E278" s="1237"/>
      <c r="F278" s="1237"/>
      <c r="G278" s="1237"/>
      <c r="H278" s="1237"/>
      <c r="I278" s="1237"/>
      <c r="J278" s="1237"/>
      <c r="K278" s="1237"/>
      <c r="L278" s="1237"/>
      <c r="M278" s="1237"/>
      <c r="N278" s="1237"/>
      <c r="O278" s="1237"/>
      <c r="P278" s="1241"/>
      <c r="Q278" s="1237"/>
      <c r="R278" s="1237"/>
      <c r="S278" s="1237"/>
      <c r="T278" s="1237"/>
      <c r="U278" s="1237"/>
      <c r="V278" s="1237"/>
      <c r="W278" s="1237"/>
      <c r="X278" s="1237"/>
      <c r="Y278" s="1237"/>
      <c r="Z278" s="1237"/>
      <c r="AA278" s="1237"/>
      <c r="AB278" s="1237"/>
      <c r="AC278" s="1237"/>
      <c r="AD278" s="1237"/>
      <c r="AE278" s="1237"/>
      <c r="AF278" s="1237"/>
      <c r="AG278" s="1237"/>
      <c r="AH278" s="1207"/>
    </row>
    <row r="279" spans="1:34" x14ac:dyDescent="0.2">
      <c r="A279" s="1236" t="s">
        <v>4</v>
      </c>
      <c r="B279" s="1249">
        <f>B270-B273</f>
        <v>-19735.631000000001</v>
      </c>
      <c r="C279" s="1237"/>
      <c r="D279" s="1237"/>
      <c r="E279" s="1237"/>
      <c r="F279" s="1237"/>
      <c r="G279" s="1237"/>
      <c r="H279" s="1237"/>
      <c r="I279" s="1237"/>
      <c r="J279" s="1237"/>
      <c r="K279" s="1237"/>
      <c r="L279" s="1237"/>
      <c r="M279" s="1237"/>
      <c r="N279" s="1237"/>
      <c r="O279" s="1237"/>
      <c r="P279" s="1241"/>
      <c r="Q279" s="1237"/>
      <c r="R279" s="1237"/>
      <c r="S279" s="1237"/>
      <c r="T279" s="1237"/>
      <c r="U279" s="1237"/>
      <c r="V279" s="1237"/>
      <c r="W279" s="1237"/>
      <c r="X279" s="1237"/>
      <c r="Y279" s="1237"/>
      <c r="Z279" s="1237"/>
      <c r="AA279" s="1237"/>
      <c r="AB279" s="1237"/>
      <c r="AC279" s="1237"/>
      <c r="AD279" s="1237"/>
      <c r="AE279" s="1237"/>
      <c r="AF279" s="1237"/>
      <c r="AG279" s="1237"/>
      <c r="AH279" s="1207"/>
    </row>
    <row r="280" spans="1:34" ht="21" thickBot="1" x14ac:dyDescent="0.35">
      <c r="A280" s="1250"/>
      <c r="B280" s="1251"/>
      <c r="C280" s="1237"/>
      <c r="D280" s="1237"/>
      <c r="E280" s="1237"/>
      <c r="F280" s="1393"/>
      <c r="G280" s="1237"/>
      <c r="H280" s="1237"/>
      <c r="I280" s="1237"/>
      <c r="J280" s="1237"/>
      <c r="K280" s="1237"/>
      <c r="L280" s="1237"/>
      <c r="M280" s="1237"/>
      <c r="N280" s="1237"/>
      <c r="O280" s="1237"/>
      <c r="P280" s="1241"/>
      <c r="Q280" s="1237"/>
      <c r="R280" s="1237"/>
      <c r="S280" s="1237"/>
      <c r="T280" s="1237"/>
      <c r="U280" s="1237"/>
      <c r="V280" s="1237"/>
      <c r="W280" s="1237"/>
      <c r="X280" s="1237"/>
      <c r="Y280" s="1237"/>
      <c r="Z280" s="1237"/>
      <c r="AA280" s="1237"/>
      <c r="AB280" s="1237"/>
      <c r="AC280" s="1237"/>
      <c r="AD280" s="1237"/>
      <c r="AE280" s="1237"/>
      <c r="AF280" s="1237"/>
      <c r="AG280" s="1237"/>
      <c r="AH280" s="1207"/>
    </row>
    <row r="281" spans="1:34" x14ac:dyDescent="0.2">
      <c r="A281" s="1233"/>
      <c r="B281" s="1253"/>
      <c r="C281" s="1237"/>
      <c r="D281" s="1237"/>
      <c r="E281" s="1237"/>
      <c r="F281" s="1237"/>
      <c r="G281" s="1237"/>
      <c r="H281" s="1237"/>
      <c r="I281" s="1237"/>
      <c r="J281" s="1237"/>
      <c r="K281" s="1237"/>
      <c r="L281" s="1237"/>
      <c r="M281" s="1237"/>
      <c r="N281" s="1237"/>
      <c r="O281" s="1237"/>
      <c r="P281" s="1241"/>
      <c r="Q281" s="1237"/>
      <c r="R281" s="1237"/>
      <c r="S281" s="1237"/>
      <c r="T281" s="1237"/>
      <c r="U281" s="1237"/>
      <c r="V281" s="1237"/>
      <c r="W281" s="1237"/>
      <c r="X281" s="1237"/>
      <c r="Y281" s="1237"/>
      <c r="Z281" s="1237"/>
      <c r="AA281" s="1237"/>
      <c r="AB281" s="1237"/>
      <c r="AC281" s="1237"/>
      <c r="AD281" s="1237"/>
      <c r="AE281" s="1237"/>
      <c r="AF281" s="1237"/>
      <c r="AG281" s="1237"/>
      <c r="AH281" s="1207"/>
    </row>
    <row r="282" spans="1:34" x14ac:dyDescent="0.2">
      <c r="A282" s="1236" t="s">
        <v>17</v>
      </c>
      <c r="B282" s="1249"/>
      <c r="C282" s="1237"/>
      <c r="D282" s="1237"/>
      <c r="E282" s="1237"/>
      <c r="F282" s="1237"/>
      <c r="G282" s="1237"/>
      <c r="H282" s="1237"/>
      <c r="I282" s="1237"/>
      <c r="J282" s="1237"/>
      <c r="K282" s="1237"/>
      <c r="L282" s="1237"/>
      <c r="M282" s="1237"/>
      <c r="N282" s="1237"/>
      <c r="O282" s="1237"/>
      <c r="P282" s="1241"/>
      <c r="Q282" s="1237"/>
      <c r="R282" s="1237"/>
      <c r="S282" s="1237"/>
      <c r="T282" s="1237"/>
      <c r="U282" s="1237"/>
      <c r="V282" s="1237"/>
      <c r="W282" s="1237"/>
      <c r="X282" s="1237"/>
      <c r="Y282" s="1237"/>
      <c r="Z282" s="1237"/>
      <c r="AA282" s="1237"/>
      <c r="AB282" s="1237"/>
      <c r="AC282" s="1237"/>
      <c r="AD282" s="1237"/>
      <c r="AE282" s="1237"/>
      <c r="AF282" s="1237"/>
      <c r="AG282" s="1237"/>
      <c r="AH282" s="1207"/>
    </row>
    <row r="283" spans="1:34" ht="13.5" thickBot="1" x14ac:dyDescent="0.25">
      <c r="A283" s="1250"/>
      <c r="B283" s="1251"/>
      <c r="C283" s="1237"/>
      <c r="D283" s="1237"/>
      <c r="E283" s="1237"/>
      <c r="F283" s="1237"/>
      <c r="G283" s="1237"/>
      <c r="H283" s="1237"/>
      <c r="I283" s="1237"/>
      <c r="J283" s="1237"/>
      <c r="K283" s="1237"/>
      <c r="L283" s="1237"/>
      <c r="M283" s="1237"/>
      <c r="N283" s="1237"/>
      <c r="O283" s="1237"/>
      <c r="P283" s="1241"/>
      <c r="Q283" s="1237"/>
      <c r="R283" s="1237"/>
      <c r="S283" s="1237"/>
      <c r="T283" s="1237"/>
      <c r="U283" s="1237"/>
      <c r="V283" s="1237"/>
      <c r="W283" s="1237"/>
      <c r="X283" s="1258"/>
      <c r="Y283" s="1237"/>
      <c r="Z283" s="1237"/>
      <c r="AA283" s="1237"/>
      <c r="AB283" s="1237"/>
      <c r="AC283" s="1237"/>
      <c r="AD283" s="1237"/>
      <c r="AE283" s="1237"/>
      <c r="AF283" s="1211"/>
      <c r="AG283" s="1237"/>
      <c r="AH283" s="1207"/>
    </row>
    <row r="284" spans="1:34" ht="23.25" x14ac:dyDescent="0.35">
      <c r="A284" s="1233"/>
      <c r="B284" s="1253"/>
      <c r="D284" s="1237"/>
      <c r="E284" s="1211"/>
      <c r="F284" s="1750"/>
      <c r="G284" s="1750"/>
      <c r="H284" s="1237"/>
      <c r="I284" s="1370"/>
      <c r="J284" s="1237"/>
      <c r="K284" s="1394"/>
      <c r="L284" s="1237"/>
      <c r="M284" s="1237"/>
      <c r="N284" s="1237"/>
      <c r="O284" s="1237"/>
      <c r="P284" s="1241"/>
      <c r="R284" s="1237"/>
      <c r="S284" s="1237"/>
      <c r="T284" s="1237"/>
      <c r="U284" s="1237"/>
      <c r="V284" s="1237"/>
      <c r="W284" s="1237"/>
      <c r="X284" s="1211"/>
      <c r="Y284" s="1211"/>
      <c r="Z284" s="1211"/>
      <c r="AA284" s="1211"/>
      <c r="AB284" s="1237"/>
      <c r="AC284" s="1237"/>
      <c r="AD284" s="1237"/>
      <c r="AE284" s="1237"/>
      <c r="AF284" s="1211"/>
      <c r="AH284" s="1207"/>
    </row>
    <row r="285" spans="1:34" x14ac:dyDescent="0.2">
      <c r="A285" s="1236" t="s">
        <v>5</v>
      </c>
      <c r="B285" s="1249">
        <f>B279-B282</f>
        <v>-19735.631000000001</v>
      </c>
      <c r="C285" s="1392"/>
      <c r="D285" s="1211"/>
      <c r="E285" s="1371"/>
      <c r="F285" s="1211" t="s">
        <v>223</v>
      </c>
      <c r="G285" s="1211"/>
      <c r="H285" s="1211"/>
      <c r="I285" s="1211"/>
      <c r="J285" s="1211"/>
      <c r="K285" s="1211"/>
      <c r="L285" s="1211"/>
      <c r="M285" s="1211"/>
      <c r="N285" s="1211"/>
      <c r="O285" s="1211" t="s">
        <v>1154</v>
      </c>
      <c r="P285" s="1212"/>
      <c r="R285" s="1211"/>
      <c r="S285" s="1212"/>
      <c r="T285" s="1211"/>
      <c r="U285" s="1237"/>
      <c r="V285" s="1211" t="s">
        <v>1217</v>
      </c>
      <c r="W285" s="1237"/>
      <c r="X285" s="1256"/>
      <c r="Y285" s="1211"/>
      <c r="Z285" s="1212"/>
      <c r="AA285" s="1212"/>
      <c r="AB285" s="1212"/>
      <c r="AC285" s="1395"/>
      <c r="AD285" s="1395"/>
      <c r="AE285" s="1211"/>
      <c r="AF285" s="1211" t="s">
        <v>921</v>
      </c>
      <c r="AG285" s="1370" t="s">
        <v>1044</v>
      </c>
      <c r="AH285" s="1207"/>
    </row>
    <row r="286" spans="1:34" ht="13.5" thickBot="1" x14ac:dyDescent="0.25">
      <c r="A286" s="1250"/>
      <c r="B286" s="1251"/>
      <c r="C286" s="1237"/>
      <c r="D286" s="1237"/>
      <c r="E286" s="1237"/>
      <c r="F286" s="1237"/>
      <c r="G286" s="1237"/>
      <c r="H286" s="1237"/>
      <c r="I286" s="1237"/>
      <c r="J286" s="1237"/>
      <c r="K286" s="1237"/>
      <c r="L286" s="1237"/>
      <c r="M286" s="1211"/>
      <c r="N286" s="1237"/>
      <c r="O286" s="1237"/>
      <c r="P286" s="1241"/>
      <c r="Q286" s="1237"/>
      <c r="R286" s="1237"/>
      <c r="S286" s="1237"/>
      <c r="T286" s="1237"/>
      <c r="U286" s="1237"/>
      <c r="V286" s="1237"/>
      <c r="W286" s="1237"/>
      <c r="X286" s="1237"/>
      <c r="Y286" s="1237"/>
      <c r="Z286" s="1237"/>
      <c r="AA286" s="1237"/>
      <c r="AB286" s="1237"/>
      <c r="AC286" s="1237"/>
      <c r="AD286" s="1237"/>
      <c r="AE286" s="1237"/>
      <c r="AF286" s="1237"/>
      <c r="AG286" s="1237"/>
      <c r="AH286" s="1207"/>
    </row>
    <row r="287" spans="1:34" x14ac:dyDescent="0.2">
      <c r="A287" s="1269"/>
      <c r="B287" s="1237"/>
      <c r="C287" s="1270"/>
      <c r="D287" s="1272"/>
      <c r="E287" s="1272"/>
      <c r="F287" s="1271"/>
      <c r="G287" s="1271"/>
      <c r="H287" s="1271"/>
      <c r="I287" s="1271"/>
      <c r="J287" s="1271"/>
      <c r="K287" s="1271"/>
      <c r="L287" s="1271"/>
      <c r="M287" s="1271"/>
      <c r="N287" s="1271"/>
      <c r="O287" s="1271"/>
      <c r="P287" s="1273"/>
      <c r="Q287" s="1271"/>
      <c r="R287" s="1271"/>
      <c r="S287" s="1271"/>
      <c r="T287" s="1271"/>
      <c r="U287" s="1271"/>
      <c r="V287" s="1271"/>
      <c r="W287" s="1271"/>
      <c r="X287" s="1271"/>
      <c r="Y287" s="1271"/>
      <c r="Z287" s="1271"/>
      <c r="AA287" s="1271"/>
      <c r="AB287" s="1271"/>
      <c r="AC287" s="1271"/>
      <c r="AD287" s="1271"/>
      <c r="AE287" s="1271"/>
      <c r="AF287" s="1271"/>
      <c r="AG287" s="1271"/>
      <c r="AH287" s="1207"/>
    </row>
    <row r="288" spans="1:34" ht="13.5" thickBot="1" x14ac:dyDescent="0.25">
      <c r="A288" s="1274" t="s">
        <v>7</v>
      </c>
      <c r="B288" s="1237"/>
      <c r="C288" s="1275">
        <f t="shared" ref="C288:AG288" si="29">C289+C290+C291+C293+C292</f>
        <v>0</v>
      </c>
      <c r="D288" s="1275">
        <f t="shared" si="29"/>
        <v>0</v>
      </c>
      <c r="E288" s="1275">
        <f t="shared" si="29"/>
        <v>0</v>
      </c>
      <c r="F288" s="1275">
        <f t="shared" si="29"/>
        <v>0</v>
      </c>
      <c r="G288" s="1275">
        <f t="shared" si="29"/>
        <v>0</v>
      </c>
      <c r="H288" s="1275">
        <f t="shared" si="29"/>
        <v>0</v>
      </c>
      <c r="I288" s="1275">
        <f t="shared" si="29"/>
        <v>0</v>
      </c>
      <c r="J288" s="1275">
        <f t="shared" si="29"/>
        <v>0</v>
      </c>
      <c r="K288" s="1275">
        <f t="shared" si="29"/>
        <v>0</v>
      </c>
      <c r="L288" s="1275">
        <f t="shared" si="29"/>
        <v>0</v>
      </c>
      <c r="M288" s="1275">
        <f t="shared" si="29"/>
        <v>0</v>
      </c>
      <c r="N288" s="1275">
        <f t="shared" si="29"/>
        <v>0</v>
      </c>
      <c r="O288" s="1275">
        <f t="shared" si="29"/>
        <v>0</v>
      </c>
      <c r="P288" s="1276">
        <f t="shared" si="29"/>
        <v>0</v>
      </c>
      <c r="Q288" s="1275">
        <f t="shared" si="29"/>
        <v>0</v>
      </c>
      <c r="R288" s="1275">
        <f t="shared" si="29"/>
        <v>0</v>
      </c>
      <c r="S288" s="1275">
        <f t="shared" si="29"/>
        <v>0</v>
      </c>
      <c r="T288" s="1275">
        <f t="shared" si="29"/>
        <v>0</v>
      </c>
      <c r="U288" s="1275">
        <f t="shared" si="29"/>
        <v>0</v>
      </c>
      <c r="V288" s="1275">
        <f t="shared" si="29"/>
        <v>0</v>
      </c>
      <c r="W288" s="1275">
        <f t="shared" si="29"/>
        <v>0</v>
      </c>
      <c r="X288" s="1275">
        <f t="shared" si="29"/>
        <v>0</v>
      </c>
      <c r="Y288" s="1275">
        <f t="shared" si="29"/>
        <v>0</v>
      </c>
      <c r="Z288" s="1275">
        <f t="shared" si="29"/>
        <v>0</v>
      </c>
      <c r="AA288" s="1275">
        <f t="shared" si="29"/>
        <v>0</v>
      </c>
      <c r="AB288" s="1275">
        <f t="shared" si="29"/>
        <v>0</v>
      </c>
      <c r="AC288" s="1275">
        <f t="shared" si="29"/>
        <v>0</v>
      </c>
      <c r="AD288" s="1275">
        <f t="shared" si="29"/>
        <v>0</v>
      </c>
      <c r="AE288" s="1275">
        <f t="shared" si="29"/>
        <v>0</v>
      </c>
      <c r="AF288" s="1275">
        <f t="shared" si="29"/>
        <v>0</v>
      </c>
      <c r="AG288" s="1275">
        <f t="shared" si="29"/>
        <v>0</v>
      </c>
      <c r="AH288" s="1227">
        <f>SUM(C288:AG288)</f>
        <v>0</v>
      </c>
    </row>
    <row r="289" spans="1:34" x14ac:dyDescent="0.2">
      <c r="A289" s="1274" t="s">
        <v>8</v>
      </c>
      <c r="B289" s="1389"/>
      <c r="C289" s="1302"/>
      <c r="D289" s="1302"/>
      <c r="E289" s="1396"/>
      <c r="F289" s="1303"/>
      <c r="G289" s="1303"/>
      <c r="H289" s="1303"/>
      <c r="I289" s="1319"/>
      <c r="J289" s="1303"/>
      <c r="K289" s="1303"/>
      <c r="L289" s="1303"/>
      <c r="M289" s="1303"/>
      <c r="N289" s="1303"/>
      <c r="O289" s="1303"/>
      <c r="P289" s="1304"/>
      <c r="Q289" s="1303"/>
      <c r="R289" s="1303"/>
      <c r="S289" s="1303"/>
      <c r="T289" s="1303"/>
      <c r="U289" s="1303"/>
      <c r="V289" s="1303"/>
      <c r="W289" s="1303"/>
      <c r="X289" s="1303"/>
      <c r="Y289" s="1303"/>
      <c r="Z289" s="1303"/>
      <c r="AA289" s="1303"/>
      <c r="AB289" s="1303"/>
      <c r="AC289" s="1303"/>
      <c r="AD289" s="1303"/>
      <c r="AE289" s="1303"/>
      <c r="AF289" s="1303"/>
      <c r="AG289" s="1397"/>
      <c r="AH289" s="1227">
        <f>SUM(C289:AG289)</f>
        <v>0</v>
      </c>
    </row>
    <row r="290" spans="1:34" x14ac:dyDescent="0.2">
      <c r="A290" s="1274" t="s">
        <v>9</v>
      </c>
      <c r="B290" s="1389"/>
      <c r="C290" s="1302"/>
      <c r="D290" s="1302"/>
      <c r="E290" s="1396"/>
      <c r="F290" s="1303"/>
      <c r="G290" s="1303"/>
      <c r="H290" s="1303"/>
      <c r="I290" s="1303"/>
      <c r="J290" s="1303"/>
      <c r="K290" s="1303"/>
      <c r="L290" s="1303"/>
      <c r="M290" s="1303"/>
      <c r="N290" s="1303"/>
      <c r="O290" s="1319"/>
      <c r="P290" s="1304"/>
      <c r="Q290" s="1303"/>
      <c r="R290" s="1303"/>
      <c r="S290" s="1303"/>
      <c r="T290" s="1303"/>
      <c r="U290" s="1303"/>
      <c r="V290" s="1319">
        <f>3424-676-1398-1350</f>
        <v>0</v>
      </c>
      <c r="W290" s="1319"/>
      <c r="X290" s="1319"/>
      <c r="Y290" s="1319"/>
      <c r="Z290" s="1319"/>
      <c r="AA290" s="1319"/>
      <c r="AB290" s="1319"/>
      <c r="AC290" s="1319"/>
      <c r="AD290" s="1319"/>
      <c r="AE290" s="1303"/>
      <c r="AF290" s="1303"/>
      <c r="AG290" s="1303"/>
      <c r="AH290" s="1227">
        <f>SUM(C290:AG290)</f>
        <v>0</v>
      </c>
    </row>
    <row r="291" spans="1:34" s="1289" customFormat="1" x14ac:dyDescent="0.2">
      <c r="A291" s="1285" t="s">
        <v>10</v>
      </c>
      <c r="B291" s="1372"/>
      <c r="C291" s="1398"/>
      <c r="D291" s="1374"/>
      <c r="E291" s="1374"/>
      <c r="F291" s="1375"/>
      <c r="G291" s="1375"/>
      <c r="H291" s="1375"/>
      <c r="I291" s="1375"/>
      <c r="J291" s="1375"/>
      <c r="K291" s="1375"/>
      <c r="L291" s="1375"/>
      <c r="M291" s="1375"/>
      <c r="N291" s="1375"/>
      <c r="O291" s="1375"/>
      <c r="P291" s="1375"/>
      <c r="Q291" s="1375"/>
      <c r="R291" s="1375"/>
      <c r="S291" s="1375"/>
      <c r="T291" s="1375"/>
      <c r="U291" s="1375"/>
      <c r="V291" s="1375"/>
      <c r="W291" s="1375"/>
      <c r="X291" s="1376"/>
      <c r="Y291" s="1375"/>
      <c r="Z291" s="1390"/>
      <c r="AA291" s="1399"/>
      <c r="AB291" s="1375"/>
      <c r="AC291" s="1375"/>
      <c r="AD291" s="1377"/>
      <c r="AE291" s="1375"/>
      <c r="AF291" s="1375"/>
      <c r="AG291" s="1375"/>
      <c r="AH291" s="1231">
        <f>SUM(C291:AG291)</f>
        <v>0</v>
      </c>
    </row>
    <row r="292" spans="1:34" s="1289" customFormat="1" x14ac:dyDescent="0.2">
      <c r="A292" s="1285" t="s">
        <v>356</v>
      </c>
      <c r="B292" s="1372"/>
      <c r="C292" s="1379"/>
      <c r="D292" s="1379"/>
      <c r="E292" s="1379"/>
      <c r="F292" s="1380"/>
      <c r="G292" s="1379"/>
      <c r="H292" s="1379"/>
      <c r="I292" s="1379"/>
      <c r="J292" s="1379"/>
      <c r="K292" s="1379"/>
      <c r="L292" s="1379"/>
      <c r="M292" s="1379"/>
      <c r="N292" s="1379"/>
      <c r="O292" s="1379"/>
      <c r="P292" s="1379"/>
      <c r="Q292" s="1379"/>
      <c r="R292" s="1379"/>
      <c r="S292" s="1379"/>
      <c r="T292" s="1379"/>
      <c r="U292" s="1379"/>
      <c r="V292" s="1379"/>
      <c r="W292" s="1379"/>
      <c r="X292" s="1379"/>
      <c r="Y292" s="1379"/>
      <c r="Z292" s="1379"/>
      <c r="AA292" s="1379"/>
      <c r="AB292" s="1379"/>
      <c r="AC292" s="1379"/>
      <c r="AD292" s="1379"/>
      <c r="AE292" s="1379"/>
      <c r="AF292" s="1379"/>
      <c r="AG292" s="1379"/>
      <c r="AH292" s="1231">
        <f>SUM(C292:AG292)</f>
        <v>0</v>
      </c>
    </row>
    <row r="293" spans="1:34" x14ac:dyDescent="0.2">
      <c r="A293" s="1274" t="s">
        <v>11</v>
      </c>
      <c r="B293" s="1237"/>
      <c r="C293" s="1302"/>
      <c r="D293" s="1306"/>
      <c r="E293" s="1400"/>
      <c r="F293" s="1304"/>
      <c r="G293" s="1304"/>
      <c r="H293" s="1304"/>
      <c r="I293" s="1304"/>
      <c r="J293" s="1319"/>
      <c r="K293" s="1304"/>
      <c r="L293" s="1304"/>
      <c r="M293" s="1304"/>
      <c r="N293" s="1304"/>
      <c r="O293" s="1304"/>
      <c r="P293" s="1318"/>
      <c r="Q293" s="1318"/>
      <c r="R293" s="1304"/>
      <c r="S293" s="1318"/>
      <c r="T293" s="1304"/>
      <c r="U293" s="1304"/>
      <c r="V293" s="1319"/>
      <c r="W293" s="1319"/>
      <c r="X293" s="1317"/>
      <c r="Y293" s="1318"/>
      <c r="Z293" s="1319"/>
      <c r="AA293" s="1317"/>
      <c r="AB293" s="1319"/>
      <c r="AC293" s="1304"/>
      <c r="AD293" s="1319"/>
      <c r="AE293" s="1304"/>
      <c r="AF293" s="1304"/>
      <c r="AG293" s="1304"/>
      <c r="AH293" s="1207"/>
    </row>
    <row r="294" spans="1:34" ht="13.5" thickBot="1" x14ac:dyDescent="0.25">
      <c r="A294" s="1294"/>
      <c r="B294" s="1237"/>
      <c r="C294" s="1302"/>
      <c r="D294" s="1302"/>
      <c r="E294" s="1302"/>
      <c r="F294" s="1303"/>
      <c r="G294" s="1303"/>
      <c r="H294" s="1303"/>
      <c r="I294" s="1303"/>
      <c r="J294" s="1303"/>
      <c r="K294" s="1303"/>
      <c r="L294" s="1303"/>
      <c r="M294" s="1303"/>
      <c r="N294" s="1303"/>
      <c r="O294" s="1303"/>
      <c r="P294" s="1304"/>
      <c r="Q294" s="1303"/>
      <c r="R294" s="1303"/>
      <c r="S294" s="1303"/>
      <c r="T294" s="1303"/>
      <c r="U294" s="1303"/>
      <c r="V294" s="1303"/>
      <c r="W294" s="1303"/>
      <c r="X294" s="1303"/>
      <c r="Y294" s="1303"/>
      <c r="Z294" s="1303"/>
      <c r="AA294" s="1303"/>
      <c r="AB294" s="1303"/>
      <c r="AC294" s="1303"/>
      <c r="AD294" s="1303"/>
      <c r="AE294" s="1303"/>
      <c r="AF294" s="1303"/>
      <c r="AG294" s="1303"/>
      <c r="AH294" s="1207"/>
    </row>
    <row r="295" spans="1:34" x14ac:dyDescent="0.2">
      <c r="A295" s="1269"/>
      <c r="B295" s="1237"/>
      <c r="C295" s="1296"/>
      <c r="D295" s="1297"/>
      <c r="E295" s="1297"/>
      <c r="F295" s="1298"/>
      <c r="G295" s="1298"/>
      <c r="H295" s="1298"/>
      <c r="I295" s="1298"/>
      <c r="J295" s="1298"/>
      <c r="K295" s="1298"/>
      <c r="L295" s="1298"/>
      <c r="M295" s="1298"/>
      <c r="N295" s="1298"/>
      <c r="O295" s="1298"/>
      <c r="P295" s="1299"/>
      <c r="Q295" s="1298"/>
      <c r="R295" s="1298"/>
      <c r="S295" s="1298"/>
      <c r="T295" s="1298"/>
      <c r="U295" s="1298"/>
      <c r="V295" s="1298"/>
      <c r="W295" s="1298"/>
      <c r="X295" s="1298"/>
      <c r="Y295" s="1298"/>
      <c r="Z295" s="1298"/>
      <c r="AA295" s="1298"/>
      <c r="AB295" s="1298"/>
      <c r="AC295" s="1298"/>
      <c r="AD295" s="1298"/>
      <c r="AE295" s="1298"/>
      <c r="AF295" s="1298"/>
      <c r="AG295" s="1298"/>
      <c r="AH295" s="1207"/>
    </row>
    <row r="296" spans="1:34" ht="13.5" thickBot="1" x14ac:dyDescent="0.25">
      <c r="A296" s="1274" t="s">
        <v>12</v>
      </c>
      <c r="B296" s="1237"/>
      <c r="C296" s="1275">
        <f t="shared" ref="C296:AG296" si="30">C297</f>
        <v>0</v>
      </c>
      <c r="D296" s="1275">
        <f t="shared" si="30"/>
        <v>0</v>
      </c>
      <c r="E296" s="1275">
        <f t="shared" si="30"/>
        <v>0</v>
      </c>
      <c r="F296" s="1275">
        <f t="shared" si="30"/>
        <v>0</v>
      </c>
      <c r="G296" s="1275">
        <f t="shared" si="30"/>
        <v>0</v>
      </c>
      <c r="H296" s="1275">
        <f t="shared" si="30"/>
        <v>0</v>
      </c>
      <c r="I296" s="1275">
        <f t="shared" si="30"/>
        <v>0</v>
      </c>
      <c r="J296" s="1275">
        <f t="shared" si="30"/>
        <v>0</v>
      </c>
      <c r="K296" s="1275">
        <f t="shared" si="30"/>
        <v>0</v>
      </c>
      <c r="L296" s="1275">
        <f t="shared" si="30"/>
        <v>0</v>
      </c>
      <c r="M296" s="1275">
        <f t="shared" si="30"/>
        <v>0</v>
      </c>
      <c r="N296" s="1275">
        <f t="shared" si="30"/>
        <v>0</v>
      </c>
      <c r="O296" s="1275">
        <f t="shared" si="30"/>
        <v>0</v>
      </c>
      <c r="P296" s="1276">
        <f t="shared" si="30"/>
        <v>0</v>
      </c>
      <c r="Q296" s="1275">
        <f t="shared" si="30"/>
        <v>0</v>
      </c>
      <c r="R296" s="1275">
        <f t="shared" si="30"/>
        <v>0</v>
      </c>
      <c r="S296" s="1275">
        <f t="shared" si="30"/>
        <v>0</v>
      </c>
      <c r="T296" s="1275">
        <f t="shared" si="30"/>
        <v>0</v>
      </c>
      <c r="U296" s="1275">
        <f t="shared" si="30"/>
        <v>0</v>
      </c>
      <c r="V296" s="1275">
        <f t="shared" si="30"/>
        <v>0</v>
      </c>
      <c r="W296" s="1275">
        <f t="shared" si="30"/>
        <v>0</v>
      </c>
      <c r="X296" s="1275">
        <f t="shared" si="30"/>
        <v>0</v>
      </c>
      <c r="Y296" s="1275">
        <f t="shared" si="30"/>
        <v>0</v>
      </c>
      <c r="Z296" s="1275">
        <f t="shared" si="30"/>
        <v>0</v>
      </c>
      <c r="AA296" s="1275">
        <f t="shared" si="30"/>
        <v>0</v>
      </c>
      <c r="AB296" s="1275">
        <f t="shared" si="30"/>
        <v>0</v>
      </c>
      <c r="AC296" s="1275">
        <f t="shared" si="30"/>
        <v>0</v>
      </c>
      <c r="AD296" s="1275">
        <f t="shared" si="30"/>
        <v>0</v>
      </c>
      <c r="AE296" s="1275">
        <f t="shared" si="30"/>
        <v>0</v>
      </c>
      <c r="AF296" s="1275">
        <f t="shared" si="30"/>
        <v>0</v>
      </c>
      <c r="AG296" s="1275">
        <f t="shared" si="30"/>
        <v>0</v>
      </c>
      <c r="AH296" s="1207"/>
    </row>
    <row r="297" spans="1:34" x14ac:dyDescent="0.2">
      <c r="A297" s="1274" t="s">
        <v>8</v>
      </c>
      <c r="B297" s="1237"/>
      <c r="C297" s="1302"/>
      <c r="D297" s="1302"/>
      <c r="E297" s="1302"/>
      <c r="F297" s="1303"/>
      <c r="G297" s="1303"/>
      <c r="H297" s="1303"/>
      <c r="I297" s="1303"/>
      <c r="J297" s="1303"/>
      <c r="K297" s="1303"/>
      <c r="L297" s="1303"/>
      <c r="M297" s="1303"/>
      <c r="N297" s="1303"/>
      <c r="O297" s="1303"/>
      <c r="P297" s="1304"/>
      <c r="Q297" s="1303"/>
      <c r="R297" s="1303"/>
      <c r="S297" s="1303"/>
      <c r="T297" s="1303"/>
      <c r="U297" s="1303"/>
      <c r="V297" s="1303"/>
      <c r="W297" s="1303"/>
      <c r="X297" s="1303"/>
      <c r="Y297" s="1303"/>
      <c r="Z297" s="1303"/>
      <c r="AA297" s="1303"/>
      <c r="AB297" s="1303"/>
      <c r="AC297" s="1303"/>
      <c r="AD297" s="1303"/>
      <c r="AE297" s="1303"/>
      <c r="AF297" s="1303"/>
      <c r="AG297" s="1303"/>
      <c r="AH297" s="1207"/>
    </row>
    <row r="298" spans="1:34" x14ac:dyDescent="0.2">
      <c r="A298" s="1274" t="s">
        <v>775</v>
      </c>
      <c r="B298" s="1237"/>
      <c r="C298" s="1381"/>
      <c r="D298" s="1381"/>
      <c r="E298" s="1381"/>
      <c r="F298" s="1382">
        <v>1579.4369999999999</v>
      </c>
      <c r="G298" s="1382">
        <v>5538.6869999999999</v>
      </c>
      <c r="H298" s="1382"/>
      <c r="I298" s="1382"/>
      <c r="J298" s="1382">
        <v>5611.4269999999997</v>
      </c>
      <c r="K298" s="1382">
        <v>466.2</v>
      </c>
      <c r="L298" s="1382">
        <v>7726.2350000000006</v>
      </c>
      <c r="M298" s="1382">
        <v>2863.15</v>
      </c>
      <c r="N298" s="1382">
        <v>2286.442</v>
      </c>
      <c r="O298" s="1382">
        <v>2700.8620000000001</v>
      </c>
      <c r="P298" s="1382">
        <v>4546.4539999999997</v>
      </c>
      <c r="Q298" s="1382">
        <v>17830.788999999997</v>
      </c>
      <c r="R298" s="1382">
        <v>2248.0720000000001</v>
      </c>
      <c r="S298" s="1382">
        <v>1313.019</v>
      </c>
      <c r="T298" s="1382">
        <v>4783.2539999999999</v>
      </c>
      <c r="U298" s="1382"/>
      <c r="V298" s="1382">
        <v>5973.6489999999994</v>
      </c>
      <c r="W298" s="1382"/>
      <c r="X298" s="1382">
        <v>1550</v>
      </c>
      <c r="Y298" s="1382">
        <v>4789.7649999999994</v>
      </c>
      <c r="Z298" s="1382"/>
      <c r="AA298" s="1382">
        <v>9805.3860000000004</v>
      </c>
      <c r="AB298" s="1382">
        <v>1313.027</v>
      </c>
      <c r="AC298" s="1382">
        <v>4387.6579999999994</v>
      </c>
      <c r="AD298" s="1382">
        <v>5181.3760000000002</v>
      </c>
      <c r="AE298" s="1382">
        <v>3444.2719999999999</v>
      </c>
      <c r="AF298" s="1382">
        <v>8395.2479999999996</v>
      </c>
      <c r="AG298" s="1382">
        <v>26671.231000000003</v>
      </c>
      <c r="AH298" s="1227">
        <f>SUM(C298:AG298)</f>
        <v>131005.63999999998</v>
      </c>
    </row>
    <row r="299" spans="1:34" ht="13.5" thickBot="1" x14ac:dyDescent="0.25">
      <c r="A299" s="1294"/>
      <c r="B299" s="1237"/>
      <c r="C299" s="1302"/>
      <c r="D299" s="1302"/>
      <c r="E299" s="1302"/>
      <c r="F299" s="1303"/>
      <c r="G299" s="1303"/>
      <c r="H299" s="1303"/>
      <c r="I299" s="1303"/>
      <c r="J299" s="1303"/>
      <c r="K299" s="1303"/>
      <c r="L299" s="1303"/>
      <c r="M299" s="1303"/>
      <c r="N299" s="1303"/>
      <c r="O299" s="1303"/>
      <c r="P299" s="1304"/>
      <c r="Q299" s="1303"/>
      <c r="R299" s="1303"/>
      <c r="S299" s="1303"/>
      <c r="T299" s="1303"/>
      <c r="U299" s="1303"/>
      <c r="V299" s="1303"/>
      <c r="W299" s="1303"/>
      <c r="X299" s="1303"/>
      <c r="Y299" s="1303"/>
      <c r="Z299" s="1303"/>
      <c r="AA299" s="1303"/>
      <c r="AB299" s="1303"/>
      <c r="AC299" s="1303"/>
      <c r="AD299" s="1303"/>
      <c r="AE299" s="1303"/>
      <c r="AF299" s="1303"/>
      <c r="AG299" s="1303"/>
      <c r="AH299" s="1207"/>
    </row>
    <row r="300" spans="1:34" x14ac:dyDescent="0.2">
      <c r="A300" s="1269"/>
      <c r="B300" s="1237"/>
      <c r="C300" s="1296"/>
      <c r="D300" s="1297"/>
      <c r="E300" s="1297"/>
      <c r="F300" s="1298"/>
      <c r="G300" s="1298"/>
      <c r="H300" s="1298"/>
      <c r="I300" s="1298"/>
      <c r="J300" s="1298"/>
      <c r="K300" s="1298"/>
      <c r="L300" s="1298"/>
      <c r="M300" s="1298"/>
      <c r="N300" s="1298"/>
      <c r="O300" s="1298"/>
      <c r="P300" s="1299"/>
      <c r="Q300" s="1298"/>
      <c r="R300" s="1298"/>
      <c r="S300" s="1298"/>
      <c r="T300" s="1298"/>
      <c r="U300" s="1298"/>
      <c r="V300" s="1298"/>
      <c r="W300" s="1298"/>
      <c r="X300" s="1298"/>
      <c r="Y300" s="1298"/>
      <c r="Z300" s="1298"/>
      <c r="AA300" s="1298"/>
      <c r="AB300" s="1298"/>
      <c r="AC300" s="1298"/>
      <c r="AD300" s="1298"/>
      <c r="AE300" s="1298"/>
      <c r="AF300" s="1298"/>
      <c r="AG300" s="1298"/>
      <c r="AH300" s="1207"/>
    </row>
    <row r="301" spans="1:34" x14ac:dyDescent="0.2">
      <c r="A301" s="1274" t="s">
        <v>13</v>
      </c>
      <c r="B301" s="1237"/>
      <c r="C301" s="1300">
        <f t="shared" ref="C301:AG301" si="31">C296-C288</f>
        <v>0</v>
      </c>
      <c r="D301" s="1300">
        <f t="shared" si="31"/>
        <v>0</v>
      </c>
      <c r="E301" s="1300">
        <f t="shared" si="31"/>
        <v>0</v>
      </c>
      <c r="F301" s="1300">
        <f t="shared" si="31"/>
        <v>0</v>
      </c>
      <c r="G301" s="1300">
        <f t="shared" si="31"/>
        <v>0</v>
      </c>
      <c r="H301" s="1300">
        <f t="shared" si="31"/>
        <v>0</v>
      </c>
      <c r="I301" s="1300">
        <f t="shared" si="31"/>
        <v>0</v>
      </c>
      <c r="J301" s="1300">
        <f t="shared" si="31"/>
        <v>0</v>
      </c>
      <c r="K301" s="1300">
        <f t="shared" si="31"/>
        <v>0</v>
      </c>
      <c r="L301" s="1300">
        <f t="shared" si="31"/>
        <v>0</v>
      </c>
      <c r="M301" s="1300">
        <f t="shared" si="31"/>
        <v>0</v>
      </c>
      <c r="N301" s="1300">
        <f t="shared" si="31"/>
        <v>0</v>
      </c>
      <c r="O301" s="1300">
        <f t="shared" si="31"/>
        <v>0</v>
      </c>
      <c r="P301" s="1301">
        <f t="shared" si="31"/>
        <v>0</v>
      </c>
      <c r="Q301" s="1300">
        <f t="shared" si="31"/>
        <v>0</v>
      </c>
      <c r="R301" s="1300">
        <f t="shared" si="31"/>
        <v>0</v>
      </c>
      <c r="S301" s="1300">
        <f t="shared" si="31"/>
        <v>0</v>
      </c>
      <c r="T301" s="1300">
        <f t="shared" si="31"/>
        <v>0</v>
      </c>
      <c r="U301" s="1300">
        <f t="shared" si="31"/>
        <v>0</v>
      </c>
      <c r="V301" s="1300">
        <f t="shared" si="31"/>
        <v>0</v>
      </c>
      <c r="W301" s="1300">
        <f t="shared" si="31"/>
        <v>0</v>
      </c>
      <c r="X301" s="1300">
        <f t="shared" si="31"/>
        <v>0</v>
      </c>
      <c r="Y301" s="1300">
        <f t="shared" si="31"/>
        <v>0</v>
      </c>
      <c r="Z301" s="1300">
        <f t="shared" si="31"/>
        <v>0</v>
      </c>
      <c r="AA301" s="1300">
        <f t="shared" si="31"/>
        <v>0</v>
      </c>
      <c r="AB301" s="1300">
        <f t="shared" si="31"/>
        <v>0</v>
      </c>
      <c r="AC301" s="1300">
        <f t="shared" si="31"/>
        <v>0</v>
      </c>
      <c r="AD301" s="1300">
        <f t="shared" si="31"/>
        <v>0</v>
      </c>
      <c r="AE301" s="1300">
        <f t="shared" si="31"/>
        <v>0</v>
      </c>
      <c r="AF301" s="1300">
        <f t="shared" si="31"/>
        <v>0</v>
      </c>
      <c r="AG301" s="1300">
        <f t="shared" si="31"/>
        <v>0</v>
      </c>
      <c r="AH301" s="1207"/>
    </row>
    <row r="302" spans="1:34" ht="13.5" thickBot="1" x14ac:dyDescent="0.25">
      <c r="A302" s="1274"/>
      <c r="B302" s="1237"/>
      <c r="C302" s="1300"/>
      <c r="D302" s="1302"/>
      <c r="E302" s="1302"/>
      <c r="F302" s="1303"/>
      <c r="G302" s="1303"/>
      <c r="H302" s="1303"/>
      <c r="I302" s="1303"/>
      <c r="J302" s="1303"/>
      <c r="K302" s="1303"/>
      <c r="L302" s="1303"/>
      <c r="M302" s="1303"/>
      <c r="N302" s="1303"/>
      <c r="O302" s="1303"/>
      <c r="P302" s="1304"/>
      <c r="Q302" s="1303"/>
      <c r="R302" s="1303"/>
      <c r="S302" s="1303"/>
      <c r="T302" s="1303"/>
      <c r="U302" s="1303"/>
      <c r="V302" s="1303"/>
      <c r="W302" s="1303"/>
      <c r="X302" s="1303"/>
      <c r="Y302" s="1303"/>
      <c r="Z302" s="1303"/>
      <c r="AA302" s="1303"/>
      <c r="AB302" s="1303"/>
      <c r="AC302" s="1303"/>
      <c r="AD302" s="1303"/>
      <c r="AE302" s="1303"/>
      <c r="AF302" s="1303"/>
      <c r="AG302" s="1303"/>
      <c r="AH302" s="1207"/>
    </row>
    <row r="303" spans="1:34" x14ac:dyDescent="0.2">
      <c r="A303" s="1233"/>
      <c r="B303" s="1234"/>
      <c r="C303" s="1305"/>
      <c r="D303" s="1297"/>
      <c r="E303" s="1297"/>
      <c r="F303" s="1298"/>
      <c r="G303" s="1298"/>
      <c r="H303" s="1298"/>
      <c r="I303" s="1298"/>
      <c r="J303" s="1298"/>
      <c r="K303" s="1298"/>
      <c r="L303" s="1298"/>
      <c r="M303" s="1298"/>
      <c r="N303" s="1298"/>
      <c r="O303" s="1298"/>
      <c r="P303" s="1299"/>
      <c r="Q303" s="1298"/>
      <c r="R303" s="1298"/>
      <c r="S303" s="1298"/>
      <c r="T303" s="1298"/>
      <c r="U303" s="1298"/>
      <c r="V303" s="1298"/>
      <c r="W303" s="1298"/>
      <c r="X303" s="1298"/>
      <c r="Y303" s="1298"/>
      <c r="Z303" s="1298"/>
      <c r="AA303" s="1298"/>
      <c r="AB303" s="1298"/>
      <c r="AC303" s="1298"/>
      <c r="AD303" s="1298"/>
      <c r="AE303" s="1298"/>
      <c r="AF303" s="1298"/>
      <c r="AG303" s="1298"/>
      <c r="AH303" s="1207"/>
    </row>
    <row r="304" spans="1:34" x14ac:dyDescent="0.2">
      <c r="A304" s="1236" t="s">
        <v>15</v>
      </c>
      <c r="B304" s="1237"/>
      <c r="C304" s="1302">
        <f>B285+C301</f>
        <v>-19735.631000000001</v>
      </c>
      <c r="D304" s="1302">
        <f t="shared" ref="D304:AG304" si="32">C311+D301</f>
        <v>-19735.631000000001</v>
      </c>
      <c r="E304" s="1302">
        <f t="shared" si="32"/>
        <v>-19735.631000000001</v>
      </c>
      <c r="F304" s="1302">
        <f t="shared" si="32"/>
        <v>-19735.631000000001</v>
      </c>
      <c r="G304" s="1302">
        <f t="shared" si="32"/>
        <v>-19735.631000000001</v>
      </c>
      <c r="H304" s="1302">
        <f t="shared" si="32"/>
        <v>-19735.631000000001</v>
      </c>
      <c r="I304" s="1302">
        <f t="shared" si="32"/>
        <v>-19735.631000000001</v>
      </c>
      <c r="J304" s="1302">
        <f t="shared" si="32"/>
        <v>-19735.631000000001</v>
      </c>
      <c r="K304" s="1302">
        <f t="shared" si="32"/>
        <v>-19735.631000000001</v>
      </c>
      <c r="L304" s="1302">
        <f t="shared" si="32"/>
        <v>-19735.631000000001</v>
      </c>
      <c r="M304" s="1302">
        <f t="shared" si="32"/>
        <v>-19735.631000000001</v>
      </c>
      <c r="N304" s="1302">
        <f t="shared" si="32"/>
        <v>-19735.631000000001</v>
      </c>
      <c r="O304" s="1302">
        <f t="shared" si="32"/>
        <v>-19735.631000000001</v>
      </c>
      <c r="P304" s="1306">
        <f t="shared" si="32"/>
        <v>-19735.631000000001</v>
      </c>
      <c r="Q304" s="1302">
        <f t="shared" si="32"/>
        <v>-19735.631000000001</v>
      </c>
      <c r="R304" s="1302">
        <f t="shared" si="32"/>
        <v>-19735.631000000001</v>
      </c>
      <c r="S304" s="1302">
        <f t="shared" si="32"/>
        <v>-19735.631000000001</v>
      </c>
      <c r="T304" s="1302">
        <f t="shared" si="32"/>
        <v>-19735.631000000001</v>
      </c>
      <c r="U304" s="1302">
        <f t="shared" si="32"/>
        <v>-19735.631000000001</v>
      </c>
      <c r="V304" s="1302">
        <f t="shared" si="32"/>
        <v>-19735.631000000001</v>
      </c>
      <c r="W304" s="1302">
        <f t="shared" si="32"/>
        <v>-19735.631000000001</v>
      </c>
      <c r="X304" s="1302">
        <f t="shared" si="32"/>
        <v>-19735.631000000001</v>
      </c>
      <c r="Y304" s="1302">
        <f t="shared" si="32"/>
        <v>-19735.631000000001</v>
      </c>
      <c r="Z304" s="1302">
        <f t="shared" si="32"/>
        <v>-19735.631000000001</v>
      </c>
      <c r="AA304" s="1302">
        <f t="shared" si="32"/>
        <v>-19735.631000000001</v>
      </c>
      <c r="AB304" s="1302">
        <f t="shared" si="32"/>
        <v>-19735.631000000001</v>
      </c>
      <c r="AC304" s="1302">
        <f t="shared" si="32"/>
        <v>-19735.631000000001</v>
      </c>
      <c r="AD304" s="1302">
        <f t="shared" si="32"/>
        <v>-19735.631000000001</v>
      </c>
      <c r="AE304" s="1302">
        <f t="shared" si="32"/>
        <v>-19735.631000000001</v>
      </c>
      <c r="AF304" s="1302">
        <f t="shared" si="32"/>
        <v>-19735.631000000001</v>
      </c>
      <c r="AG304" s="1302">
        <f t="shared" si="32"/>
        <v>-19735.631000000001</v>
      </c>
      <c r="AH304" s="1207"/>
    </row>
    <row r="305" spans="1:34" ht="13.5" thickBot="1" x14ac:dyDescent="0.25">
      <c r="A305" s="1250"/>
      <c r="B305" s="1307"/>
      <c r="C305" s="1308"/>
      <c r="D305" s="1308"/>
      <c r="E305" s="1308"/>
      <c r="F305" s="1309"/>
      <c r="G305" s="1309"/>
      <c r="H305" s="1309"/>
      <c r="I305" s="1309"/>
      <c r="J305" s="1309"/>
      <c r="K305" s="1309"/>
      <c r="L305" s="1309"/>
      <c r="M305" s="1309"/>
      <c r="N305" s="1309"/>
      <c r="O305" s="1309"/>
      <c r="P305" s="1310"/>
      <c r="Q305" s="1309"/>
      <c r="R305" s="1309"/>
      <c r="S305" s="1309"/>
      <c r="T305" s="1309"/>
      <c r="U305" s="1309"/>
      <c r="V305" s="1309"/>
      <c r="W305" s="1309"/>
      <c r="X305" s="1309"/>
      <c r="Y305" s="1309"/>
      <c r="Z305" s="1309"/>
      <c r="AA305" s="1309"/>
      <c r="AB305" s="1309"/>
      <c r="AC305" s="1309"/>
      <c r="AD305" s="1309"/>
      <c r="AE305" s="1309"/>
      <c r="AF305" s="1309"/>
      <c r="AG305" s="1309"/>
      <c r="AH305" s="1207"/>
    </row>
    <row r="306" spans="1:34" x14ac:dyDescent="0.2">
      <c r="A306" s="1233"/>
      <c r="B306" s="1234"/>
      <c r="C306" s="1297"/>
      <c r="D306" s="1297"/>
      <c r="E306" s="1297"/>
      <c r="F306" s="1298"/>
      <c r="G306" s="1298"/>
      <c r="H306" s="1298"/>
      <c r="I306" s="1298"/>
      <c r="J306" s="1298"/>
      <c r="K306" s="1298"/>
      <c r="L306" s="1298"/>
      <c r="M306" s="1298"/>
      <c r="N306" s="1298"/>
      <c r="O306" s="1298"/>
      <c r="P306" s="1299"/>
      <c r="Q306" s="1298"/>
      <c r="R306" s="1298"/>
      <c r="S306" s="1298"/>
      <c r="T306" s="1298"/>
      <c r="U306" s="1298"/>
      <c r="V306" s="1298"/>
      <c r="W306" s="1298"/>
      <c r="X306" s="1298"/>
      <c r="Y306" s="1298"/>
      <c r="Z306" s="1298"/>
      <c r="AA306" s="1298"/>
      <c r="AB306" s="1298"/>
      <c r="AC306" s="1298"/>
      <c r="AD306" s="1298"/>
      <c r="AE306" s="1298"/>
      <c r="AF306" s="1298"/>
      <c r="AG306" s="1298"/>
      <c r="AH306" s="1207"/>
    </row>
    <row r="307" spans="1:34" x14ac:dyDescent="0.2">
      <c r="A307" s="1236" t="s">
        <v>82</v>
      </c>
      <c r="B307" s="1237"/>
      <c r="C307" s="1302">
        <f t="shared" ref="C307:AG308" si="33">C315</f>
        <v>0</v>
      </c>
      <c r="D307" s="1302">
        <f t="shared" si="33"/>
        <v>0</v>
      </c>
      <c r="E307" s="1302">
        <f t="shared" si="33"/>
        <v>0</v>
      </c>
      <c r="F307" s="1302">
        <f t="shared" si="33"/>
        <v>0</v>
      </c>
      <c r="G307" s="1302">
        <f t="shared" si="33"/>
        <v>0</v>
      </c>
      <c r="H307" s="1302">
        <f t="shared" si="33"/>
        <v>0</v>
      </c>
      <c r="I307" s="1302">
        <f t="shared" si="33"/>
        <v>0</v>
      </c>
      <c r="J307" s="1302">
        <f t="shared" si="33"/>
        <v>0</v>
      </c>
      <c r="K307" s="1302">
        <f t="shared" si="33"/>
        <v>0</v>
      </c>
      <c r="L307" s="1302">
        <f t="shared" si="33"/>
        <v>0</v>
      </c>
      <c r="M307" s="1302">
        <f t="shared" si="33"/>
        <v>0</v>
      </c>
      <c r="N307" s="1302">
        <f t="shared" si="33"/>
        <v>0</v>
      </c>
      <c r="O307" s="1302">
        <f t="shared" si="33"/>
        <v>0</v>
      </c>
      <c r="P307" s="1306">
        <f t="shared" si="33"/>
        <v>0</v>
      </c>
      <c r="Q307" s="1302">
        <f t="shared" si="33"/>
        <v>0</v>
      </c>
      <c r="R307" s="1302">
        <f t="shared" si="33"/>
        <v>0</v>
      </c>
      <c r="S307" s="1302">
        <f t="shared" si="33"/>
        <v>0</v>
      </c>
      <c r="T307" s="1302">
        <f t="shared" si="33"/>
        <v>0</v>
      </c>
      <c r="U307" s="1302">
        <f t="shared" si="33"/>
        <v>0</v>
      </c>
      <c r="V307" s="1302">
        <f t="shared" si="33"/>
        <v>0</v>
      </c>
      <c r="W307" s="1302">
        <f t="shared" si="33"/>
        <v>0</v>
      </c>
      <c r="X307" s="1302">
        <f t="shared" si="33"/>
        <v>0</v>
      </c>
      <c r="Y307" s="1302">
        <f t="shared" si="33"/>
        <v>0</v>
      </c>
      <c r="Z307" s="1302">
        <f t="shared" si="33"/>
        <v>0</v>
      </c>
      <c r="AA307" s="1302">
        <f t="shared" si="33"/>
        <v>0</v>
      </c>
      <c r="AB307" s="1302">
        <f t="shared" si="33"/>
        <v>0</v>
      </c>
      <c r="AC307" s="1302">
        <f t="shared" si="33"/>
        <v>0</v>
      </c>
      <c r="AD307" s="1302">
        <f t="shared" si="33"/>
        <v>0</v>
      </c>
      <c r="AE307" s="1302">
        <f t="shared" si="33"/>
        <v>0</v>
      </c>
      <c r="AF307" s="1302">
        <f t="shared" si="33"/>
        <v>0</v>
      </c>
      <c r="AG307" s="1302">
        <f t="shared" si="33"/>
        <v>0</v>
      </c>
      <c r="AH307" s="1207"/>
    </row>
    <row r="308" spans="1:34" x14ac:dyDescent="0.2">
      <c r="A308" s="1236" t="s">
        <v>83</v>
      </c>
      <c r="B308" s="1237"/>
      <c r="C308" s="1306">
        <f t="shared" si="33"/>
        <v>0</v>
      </c>
      <c r="D308" s="1306">
        <f t="shared" si="33"/>
        <v>0</v>
      </c>
      <c r="E308" s="1306">
        <f t="shared" si="33"/>
        <v>0</v>
      </c>
      <c r="F308" s="1306">
        <f t="shared" si="33"/>
        <v>0</v>
      </c>
      <c r="G308" s="1306">
        <f t="shared" si="33"/>
        <v>0</v>
      </c>
      <c r="H308" s="1306">
        <f t="shared" si="33"/>
        <v>0</v>
      </c>
      <c r="I308" s="1306">
        <f t="shared" si="33"/>
        <v>0</v>
      </c>
      <c r="J308" s="1306">
        <f t="shared" si="33"/>
        <v>0</v>
      </c>
      <c r="K308" s="1306">
        <f t="shared" si="33"/>
        <v>0</v>
      </c>
      <c r="L308" s="1306">
        <f t="shared" si="33"/>
        <v>0</v>
      </c>
      <c r="M308" s="1306">
        <f t="shared" si="33"/>
        <v>0</v>
      </c>
      <c r="N308" s="1306">
        <f t="shared" si="33"/>
        <v>0</v>
      </c>
      <c r="O308" s="1306">
        <f t="shared" si="33"/>
        <v>0</v>
      </c>
      <c r="P308" s="1306">
        <f t="shared" si="33"/>
        <v>0</v>
      </c>
      <c r="Q308" s="1306">
        <f t="shared" si="33"/>
        <v>0</v>
      </c>
      <c r="R308" s="1306">
        <f t="shared" si="33"/>
        <v>0</v>
      </c>
      <c r="S308" s="1306">
        <f t="shared" si="33"/>
        <v>0</v>
      </c>
      <c r="T308" s="1306">
        <f t="shared" si="33"/>
        <v>0</v>
      </c>
      <c r="U308" s="1306">
        <f t="shared" si="33"/>
        <v>0</v>
      </c>
      <c r="V308" s="1306">
        <f t="shared" si="33"/>
        <v>0</v>
      </c>
      <c r="W308" s="1306">
        <f t="shared" si="33"/>
        <v>0</v>
      </c>
      <c r="X308" s="1306">
        <f t="shared" si="33"/>
        <v>0</v>
      </c>
      <c r="Y308" s="1306">
        <f t="shared" si="33"/>
        <v>0</v>
      </c>
      <c r="Z308" s="1306">
        <f t="shared" si="33"/>
        <v>0</v>
      </c>
      <c r="AA308" s="1306">
        <f t="shared" si="33"/>
        <v>0</v>
      </c>
      <c r="AB308" s="1306">
        <f t="shared" si="33"/>
        <v>0</v>
      </c>
      <c r="AC308" s="1306">
        <f t="shared" si="33"/>
        <v>0</v>
      </c>
      <c r="AD308" s="1306">
        <f t="shared" si="33"/>
        <v>0</v>
      </c>
      <c r="AE308" s="1306">
        <f t="shared" si="33"/>
        <v>0</v>
      </c>
      <c r="AF308" s="1306">
        <f t="shared" si="33"/>
        <v>0</v>
      </c>
      <c r="AG308" s="1306">
        <f t="shared" si="33"/>
        <v>0</v>
      </c>
      <c r="AH308" s="1207"/>
    </row>
    <row r="309" spans="1:34" ht="13.5" thickBot="1" x14ac:dyDescent="0.25">
      <c r="A309" s="1250"/>
      <c r="B309" s="1307"/>
      <c r="C309" s="1308"/>
      <c r="D309" s="1308"/>
      <c r="E309" s="1308"/>
      <c r="F309" s="1309"/>
      <c r="G309" s="1309"/>
      <c r="H309" s="1309"/>
      <c r="I309" s="1309"/>
      <c r="J309" s="1309"/>
      <c r="K309" s="1309"/>
      <c r="L309" s="1309"/>
      <c r="M309" s="1309"/>
      <c r="N309" s="1309"/>
      <c r="O309" s="1309"/>
      <c r="P309" s="1310"/>
      <c r="Q309" s="1309"/>
      <c r="R309" s="1309"/>
      <c r="S309" s="1309"/>
      <c r="T309" s="1309"/>
      <c r="U309" s="1309"/>
      <c r="V309" s="1309"/>
      <c r="W309" s="1309"/>
      <c r="X309" s="1309"/>
      <c r="Y309" s="1309"/>
      <c r="Z309" s="1309"/>
      <c r="AA309" s="1309"/>
      <c r="AB309" s="1309"/>
      <c r="AC309" s="1309"/>
      <c r="AD309" s="1309"/>
      <c r="AE309" s="1309"/>
      <c r="AF309" s="1309"/>
      <c r="AG309" s="1309"/>
      <c r="AH309" s="1207"/>
    </row>
    <row r="310" spans="1:34" x14ac:dyDescent="0.2">
      <c r="A310" s="1236"/>
      <c r="B310" s="1237"/>
      <c r="C310" s="1302"/>
      <c r="D310" s="1302"/>
      <c r="E310" s="1302"/>
      <c r="F310" s="1303"/>
      <c r="G310" s="1303"/>
      <c r="H310" s="1303"/>
      <c r="I310" s="1303"/>
      <c r="J310" s="1303"/>
      <c r="K310" s="1303"/>
      <c r="L310" s="1303"/>
      <c r="M310" s="1303"/>
      <c r="N310" s="1303"/>
      <c r="O310" s="1303"/>
      <c r="P310" s="1304"/>
      <c r="Q310" s="1303"/>
      <c r="R310" s="1303"/>
      <c r="S310" s="1303"/>
      <c r="T310" s="1303"/>
      <c r="U310" s="1303"/>
      <c r="V310" s="1303"/>
      <c r="W310" s="1303"/>
      <c r="X310" s="1303"/>
      <c r="Y310" s="1303"/>
      <c r="Z310" s="1303"/>
      <c r="AA310" s="1303"/>
      <c r="AB310" s="1303"/>
      <c r="AC310" s="1303"/>
      <c r="AD310" s="1303"/>
      <c r="AE310" s="1303"/>
      <c r="AF310" s="1303"/>
      <c r="AG310" s="1303"/>
      <c r="AH310" s="1207"/>
    </row>
    <row r="311" spans="1:34" x14ac:dyDescent="0.2">
      <c r="A311" s="1236" t="s">
        <v>14</v>
      </c>
      <c r="B311" s="1237"/>
      <c r="C311" s="1302">
        <f t="shared" ref="C311:AG311" si="34">C304+C307+C308</f>
        <v>-19735.631000000001</v>
      </c>
      <c r="D311" s="1302">
        <f t="shared" si="34"/>
        <v>-19735.631000000001</v>
      </c>
      <c r="E311" s="1302">
        <f t="shared" si="34"/>
        <v>-19735.631000000001</v>
      </c>
      <c r="F311" s="1302">
        <f t="shared" si="34"/>
        <v>-19735.631000000001</v>
      </c>
      <c r="G311" s="1302">
        <f t="shared" si="34"/>
        <v>-19735.631000000001</v>
      </c>
      <c r="H311" s="1302">
        <f t="shared" si="34"/>
        <v>-19735.631000000001</v>
      </c>
      <c r="I311" s="1302">
        <f t="shared" si="34"/>
        <v>-19735.631000000001</v>
      </c>
      <c r="J311" s="1302">
        <f t="shared" si="34"/>
        <v>-19735.631000000001</v>
      </c>
      <c r="K311" s="1302">
        <f t="shared" si="34"/>
        <v>-19735.631000000001</v>
      </c>
      <c r="L311" s="1302">
        <f t="shared" si="34"/>
        <v>-19735.631000000001</v>
      </c>
      <c r="M311" s="1302">
        <f t="shared" si="34"/>
        <v>-19735.631000000001</v>
      </c>
      <c r="N311" s="1302">
        <f t="shared" si="34"/>
        <v>-19735.631000000001</v>
      </c>
      <c r="O311" s="1302">
        <f t="shared" si="34"/>
        <v>-19735.631000000001</v>
      </c>
      <c r="P311" s="1306">
        <f t="shared" si="34"/>
        <v>-19735.631000000001</v>
      </c>
      <c r="Q311" s="1302">
        <f t="shared" si="34"/>
        <v>-19735.631000000001</v>
      </c>
      <c r="R311" s="1302">
        <f t="shared" si="34"/>
        <v>-19735.631000000001</v>
      </c>
      <c r="S311" s="1302">
        <f t="shared" si="34"/>
        <v>-19735.631000000001</v>
      </c>
      <c r="T311" s="1302">
        <f t="shared" si="34"/>
        <v>-19735.631000000001</v>
      </c>
      <c r="U311" s="1302">
        <f t="shared" si="34"/>
        <v>-19735.631000000001</v>
      </c>
      <c r="V311" s="1302">
        <f t="shared" si="34"/>
        <v>-19735.631000000001</v>
      </c>
      <c r="W311" s="1302">
        <f t="shared" si="34"/>
        <v>-19735.631000000001</v>
      </c>
      <c r="X311" s="1302">
        <f t="shared" si="34"/>
        <v>-19735.631000000001</v>
      </c>
      <c r="Y311" s="1302">
        <f t="shared" si="34"/>
        <v>-19735.631000000001</v>
      </c>
      <c r="Z311" s="1302">
        <f t="shared" si="34"/>
        <v>-19735.631000000001</v>
      </c>
      <c r="AA311" s="1302">
        <f t="shared" si="34"/>
        <v>-19735.631000000001</v>
      </c>
      <c r="AB311" s="1302">
        <f t="shared" si="34"/>
        <v>-19735.631000000001</v>
      </c>
      <c r="AC311" s="1302">
        <f t="shared" si="34"/>
        <v>-19735.631000000001</v>
      </c>
      <c r="AD311" s="1302">
        <f t="shared" si="34"/>
        <v>-19735.631000000001</v>
      </c>
      <c r="AE311" s="1302">
        <f t="shared" si="34"/>
        <v>-19735.631000000001</v>
      </c>
      <c r="AF311" s="1302">
        <f t="shared" si="34"/>
        <v>-19735.631000000001</v>
      </c>
      <c r="AG311" s="1302">
        <f t="shared" si="34"/>
        <v>-19735.631000000001</v>
      </c>
      <c r="AH311" s="1207"/>
    </row>
    <row r="312" spans="1:34" x14ac:dyDescent="0.2">
      <c r="A312" s="1236"/>
      <c r="B312" s="1237"/>
      <c r="C312" s="1302"/>
      <c r="D312" s="1302"/>
      <c r="E312" s="1302"/>
      <c r="F312" s="1303"/>
      <c r="G312" s="1303"/>
      <c r="H312" s="1303"/>
      <c r="I312" s="1303"/>
      <c r="J312" s="1303"/>
      <c r="K312" s="1303"/>
      <c r="L312" s="1303"/>
      <c r="M312" s="1303"/>
      <c r="N312" s="1303"/>
      <c r="O312" s="1303"/>
      <c r="P312" s="1304"/>
      <c r="Q312" s="1303"/>
      <c r="R312" s="1303"/>
      <c r="S312" s="1303"/>
      <c r="T312" s="1303"/>
      <c r="U312" s="1303"/>
      <c r="V312" s="1303"/>
      <c r="W312" s="1303"/>
      <c r="X312" s="1303"/>
      <c r="Y312" s="1303"/>
      <c r="Z312" s="1303"/>
      <c r="AA312" s="1303"/>
      <c r="AB312" s="1303"/>
      <c r="AC312" s="1303"/>
      <c r="AD312" s="1303"/>
      <c r="AE312" s="1303"/>
      <c r="AF312" s="1303"/>
      <c r="AG312" s="1303"/>
      <c r="AH312" s="1207"/>
    </row>
    <row r="313" spans="1:34" ht="13.5" thickBot="1" x14ac:dyDescent="0.25">
      <c r="A313" s="1250"/>
      <c r="B313" s="1307"/>
      <c r="C313" s="1312"/>
      <c r="D313" s="1312"/>
      <c r="E313" s="1312"/>
      <c r="F313" s="1313"/>
      <c r="G313" s="1313"/>
      <c r="H313" s="1313"/>
      <c r="I313" s="1313"/>
      <c r="J313" s="1313"/>
      <c r="K313" s="1313"/>
      <c r="L313" s="1313"/>
      <c r="M313" s="1313"/>
      <c r="N313" s="1313"/>
      <c r="O313" s="1313"/>
      <c r="P313" s="1314"/>
      <c r="Q313" s="1313"/>
      <c r="R313" s="1313"/>
      <c r="S313" s="1313"/>
      <c r="T313" s="1313"/>
      <c r="U313" s="1313"/>
      <c r="V313" s="1313"/>
      <c r="W313" s="1313"/>
      <c r="X313" s="1313"/>
      <c r="Y313" s="1313"/>
      <c r="Z313" s="1313"/>
      <c r="AA313" s="1313"/>
      <c r="AB313" s="1313"/>
      <c r="AC313" s="1313"/>
      <c r="AD313" s="1313"/>
      <c r="AE313" s="1313"/>
      <c r="AF313" s="1313"/>
      <c r="AG313" s="1313"/>
      <c r="AH313" s="1207"/>
    </row>
    <row r="314" spans="1:34" x14ac:dyDescent="0.2">
      <c r="A314" s="1316"/>
      <c r="B314" s="1207"/>
      <c r="C314" s="1227"/>
      <c r="D314" s="1227"/>
      <c r="E314" s="1227"/>
      <c r="F314" s="1227"/>
      <c r="G314" s="1227"/>
      <c r="H314" s="1227"/>
      <c r="I314" s="1227"/>
      <c r="J314" s="1227"/>
      <c r="K314" s="1227"/>
      <c r="L314" s="1227"/>
      <c r="M314" s="1227"/>
      <c r="N314" s="1227"/>
      <c r="O314" s="1227"/>
      <c r="P314" s="1229"/>
      <c r="Q314" s="1227"/>
      <c r="R314" s="1227"/>
      <c r="S314" s="1227"/>
      <c r="T314" s="1227"/>
      <c r="U314" s="1227"/>
      <c r="V314" s="1227"/>
      <c r="W314" s="1227"/>
      <c r="X314" s="1227"/>
      <c r="Y314" s="1227"/>
      <c r="Z314" s="1227"/>
      <c r="AA314" s="1227"/>
      <c r="AB314" s="1227"/>
      <c r="AC314" s="1227"/>
      <c r="AD314" s="1227"/>
      <c r="AE314" s="1227"/>
      <c r="AF314" s="1227"/>
      <c r="AG314" s="1227"/>
      <c r="AH314" s="1227">
        <f>SUM(C314:AG314)</f>
        <v>0</v>
      </c>
    </row>
    <row r="315" spans="1:34" x14ac:dyDescent="0.2">
      <c r="A315" s="1344"/>
      <c r="B315" s="1383"/>
      <c r="C315" s="1219"/>
      <c r="D315" s="1221"/>
      <c r="E315" s="1356"/>
      <c r="F315" s="1219"/>
      <c r="G315" s="1219"/>
      <c r="H315" s="1220"/>
      <c r="I315" s="1219"/>
      <c r="J315" s="1219"/>
      <c r="K315" s="1219"/>
      <c r="L315" s="1219"/>
      <c r="M315" s="1220"/>
      <c r="N315" s="1220"/>
      <c r="O315" s="1220"/>
      <c r="P315" s="1221"/>
      <c r="Q315" s="1219"/>
      <c r="R315" s="1219"/>
      <c r="S315" s="1219"/>
      <c r="T315" s="1219"/>
      <c r="U315" s="1219"/>
      <c r="V315" s="1219"/>
      <c r="W315" s="1220"/>
      <c r="X315" s="1220"/>
      <c r="Y315" s="1220"/>
      <c r="Z315" s="1220"/>
      <c r="AA315" s="1220"/>
      <c r="AB315" s="1220"/>
      <c r="AC315" s="1220"/>
      <c r="AD315" s="1221"/>
      <c r="AE315" s="1219"/>
      <c r="AF315" s="1219"/>
      <c r="AG315" s="1219"/>
      <c r="AH315" s="1227"/>
    </row>
    <row r="316" spans="1:34" x14ac:dyDescent="0.2">
      <c r="A316" s="1207"/>
      <c r="B316" s="1207"/>
      <c r="C316" s="1207"/>
      <c r="D316" s="1207"/>
      <c r="E316" s="1347"/>
      <c r="F316" s="1207"/>
      <c r="G316" s="1207"/>
      <c r="H316" s="1207"/>
      <c r="I316" s="1207"/>
      <c r="J316" s="1207"/>
      <c r="K316" s="1207"/>
      <c r="L316" s="1207"/>
      <c r="M316" s="1207"/>
      <c r="N316" s="1207"/>
      <c r="O316" s="1207"/>
      <c r="P316" s="1208"/>
      <c r="Q316" s="1207"/>
      <c r="R316" s="1207"/>
      <c r="S316" s="1207"/>
      <c r="T316" s="1207"/>
      <c r="U316" s="1207"/>
      <c r="V316" s="1207"/>
      <c r="W316" s="1207"/>
      <c r="X316" s="1207"/>
      <c r="Y316" s="1207"/>
      <c r="Z316" s="1207"/>
      <c r="AA316" s="1207"/>
      <c r="AB316" s="1207"/>
      <c r="AC316" s="1207"/>
      <c r="AD316" s="1207"/>
      <c r="AE316" s="1207"/>
      <c r="AF316" s="1207"/>
      <c r="AG316" s="1207"/>
      <c r="AH316" s="1227"/>
    </row>
    <row r="317" spans="1:34" x14ac:dyDescent="0.2">
      <c r="A317" s="1210" t="s">
        <v>415</v>
      </c>
      <c r="B317" s="1215">
        <f>B318+B319+B321+B320</f>
        <v>1020000</v>
      </c>
      <c r="C317" s="1367"/>
      <c r="D317" s="1207"/>
      <c r="E317" s="1207"/>
      <c r="F317" s="1207"/>
      <c r="G317" s="1207"/>
      <c r="H317" s="1207"/>
      <c r="I317" s="1207"/>
      <c r="J317" s="1207"/>
      <c r="K317" s="1207"/>
      <c r="L317" s="1207"/>
      <c r="M317" s="1207"/>
      <c r="N317" s="1207"/>
      <c r="O317" s="1207"/>
      <c r="P317" s="1208"/>
      <c r="Q317" s="1207"/>
      <c r="R317" s="1207"/>
      <c r="S317" s="1207"/>
      <c r="T317" s="1207"/>
      <c r="U317" s="1401"/>
      <c r="V317" s="1220"/>
      <c r="W317" s="1227"/>
      <c r="X317" s="1207"/>
      <c r="Y317" s="1207"/>
      <c r="Z317" s="1207"/>
      <c r="AA317" s="1384"/>
      <c r="AB317" s="1207"/>
      <c r="AC317" s="1207"/>
      <c r="AD317" s="1207"/>
      <c r="AE317" s="1207"/>
      <c r="AF317" s="1207"/>
      <c r="AG317" s="1207"/>
      <c r="AH317" s="1207"/>
    </row>
    <row r="318" spans="1:34" x14ac:dyDescent="0.2">
      <c r="A318" s="1365" t="s">
        <v>414</v>
      </c>
      <c r="B318" s="1219">
        <v>20000</v>
      </c>
      <c r="C318" s="1207"/>
      <c r="D318" s="1207"/>
      <c r="E318" s="1227"/>
      <c r="F318" s="1207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8"/>
      <c r="Q318" s="1207"/>
      <c r="R318" s="1207"/>
      <c r="S318" s="1207"/>
      <c r="T318" s="1207"/>
      <c r="U318" s="1230"/>
      <c r="V318" s="1230"/>
      <c r="W318" s="1207"/>
      <c r="X318" s="1207"/>
      <c r="Y318" s="1207"/>
      <c r="Z318" s="1207"/>
      <c r="AA318" s="1207"/>
      <c r="AB318" s="1207"/>
      <c r="AC318" s="1227"/>
      <c r="AD318" s="1227"/>
      <c r="AE318" s="1207"/>
      <c r="AF318" s="1207"/>
      <c r="AG318" s="1207"/>
      <c r="AH318" s="1207"/>
    </row>
    <row r="319" spans="1:34" x14ac:dyDescent="0.2">
      <c r="A319" s="1365" t="s">
        <v>287</v>
      </c>
      <c r="B319" s="1219">
        <v>600000</v>
      </c>
      <c r="C319" s="1207"/>
      <c r="D319" s="1207"/>
      <c r="E319" s="1207"/>
      <c r="F319" s="1207"/>
      <c r="G319" s="1207"/>
      <c r="H319" s="1207"/>
      <c r="I319" s="1207"/>
      <c r="J319" s="1207"/>
      <c r="K319" s="1227"/>
      <c r="L319" s="1207"/>
      <c r="M319" s="1207"/>
      <c r="N319" s="1207"/>
      <c r="O319" s="1207"/>
      <c r="P319" s="1208"/>
      <c r="Q319" s="1207"/>
      <c r="R319" s="1207"/>
      <c r="S319" s="1207"/>
      <c r="T319" s="1207"/>
      <c r="U319" s="1402"/>
      <c r="V319" s="1230"/>
      <c r="W319" s="1207"/>
      <c r="X319" s="1227"/>
      <c r="Y319" s="1207"/>
      <c r="Z319" s="1207"/>
      <c r="AA319" s="1207"/>
      <c r="AB319" s="1207"/>
      <c r="AC319" s="1207"/>
      <c r="AD319" s="1207"/>
      <c r="AE319" s="1207"/>
      <c r="AF319" s="1207"/>
      <c r="AG319" s="1207"/>
    </row>
    <row r="320" spans="1:34" x14ac:dyDescent="0.2">
      <c r="A320" s="1316" t="s">
        <v>413</v>
      </c>
      <c r="B320" s="1219">
        <v>200000</v>
      </c>
      <c r="C320" s="1207"/>
      <c r="D320" s="1207"/>
      <c r="E320" s="1207"/>
      <c r="F320" s="1207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8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07"/>
      <c r="AA320" s="1207"/>
      <c r="AB320" s="1207"/>
      <c r="AC320" s="1207"/>
      <c r="AD320" s="1207"/>
      <c r="AE320" s="1207"/>
      <c r="AF320" s="1207"/>
      <c r="AG320" s="1207"/>
    </row>
    <row r="321" spans="1:33" x14ac:dyDescent="0.2">
      <c r="A321" s="1316" t="s">
        <v>441</v>
      </c>
      <c r="B321" s="1219">
        <v>200000</v>
      </c>
      <c r="C321" s="1207"/>
      <c r="D321" s="1207"/>
      <c r="E321" s="1207"/>
      <c r="F321" s="1207"/>
      <c r="G321" s="1207"/>
      <c r="H321" s="1207"/>
      <c r="I321" s="1207"/>
      <c r="J321" s="1207"/>
      <c r="K321" s="1207"/>
      <c r="L321" s="1207"/>
      <c r="M321" s="1207"/>
      <c r="N321" s="1207"/>
      <c r="O321" s="1207"/>
      <c r="P321" s="1208"/>
      <c r="Q321" s="1207"/>
      <c r="R321" s="1207"/>
      <c r="S321" s="1207"/>
      <c r="T321" s="1207"/>
      <c r="U321" s="1207"/>
      <c r="V321" s="1207"/>
      <c r="W321" s="1207"/>
      <c r="X321" s="1207"/>
      <c r="Y321" s="1207"/>
      <c r="Z321" s="1207"/>
      <c r="AA321" s="1207"/>
      <c r="AB321" s="1207"/>
      <c r="AC321" s="1207"/>
      <c r="AD321" s="1207"/>
      <c r="AE321" s="1207"/>
      <c r="AF321" s="1207"/>
      <c r="AG321" s="1207"/>
    </row>
    <row r="322" spans="1:33" x14ac:dyDescent="0.2">
      <c r="A322" s="1207"/>
      <c r="B322" s="1207"/>
      <c r="C322" s="1207"/>
      <c r="D322" s="1207"/>
      <c r="E322" s="1207"/>
      <c r="F322" s="1207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8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07"/>
      <c r="AA322" s="1207"/>
      <c r="AB322" s="1207"/>
      <c r="AC322" s="1207"/>
      <c r="AD322" s="1207"/>
      <c r="AE322" s="1207"/>
      <c r="AF322" s="1207"/>
      <c r="AG322" s="1207"/>
    </row>
    <row r="323" spans="1:33" x14ac:dyDescent="0.2">
      <c r="A323" s="1223" t="s">
        <v>449</v>
      </c>
      <c r="B323" s="1280"/>
      <c r="L323" s="1283"/>
    </row>
    <row r="324" spans="1:33" x14ac:dyDescent="0.2">
      <c r="AB324" s="1283"/>
      <c r="AC324" s="1283"/>
      <c r="AD324" s="1283"/>
      <c r="AE324" s="1283"/>
    </row>
    <row r="331" spans="1:33" ht="15" x14ac:dyDescent="0.2">
      <c r="A331" s="1403"/>
      <c r="B331" s="1404"/>
    </row>
    <row r="332" spans="1:33" ht="15" x14ac:dyDescent="0.2">
      <c r="A332" s="1403"/>
      <c r="B332" s="1404"/>
    </row>
    <row r="333" spans="1:33" ht="15" x14ac:dyDescent="0.2">
      <c r="A333" s="1403"/>
      <c r="B333" s="1404"/>
    </row>
    <row r="338" spans="1:2" s="1209" customFormat="1" ht="18" x14ac:dyDescent="0.25">
      <c r="A338" s="1751"/>
      <c r="B338" s="1751"/>
    </row>
    <row r="339" spans="1:2" s="1209" customFormat="1" x14ac:dyDescent="0.2">
      <c r="A339" s="1206"/>
      <c r="B339" s="1206"/>
    </row>
    <row r="341" spans="1:2" s="1209" customFormat="1" x14ac:dyDescent="0.2">
      <c r="A341" s="1223"/>
      <c r="B341" s="1280"/>
    </row>
    <row r="342" spans="1:2" s="1209" customFormat="1" x14ac:dyDescent="0.2">
      <c r="A342" s="1223"/>
      <c r="B342" s="1280"/>
    </row>
    <row r="343" spans="1:2" s="1209" customFormat="1" x14ac:dyDescent="0.2">
      <c r="A343" s="1223"/>
      <c r="B343" s="1280"/>
    </row>
    <row r="344" spans="1:2" s="1209" customFormat="1" x14ac:dyDescent="0.2">
      <c r="A344" s="1223"/>
      <c r="B344" s="1280"/>
    </row>
    <row r="345" spans="1:2" s="1209" customFormat="1" x14ac:dyDescent="0.2">
      <c r="A345" s="1223"/>
      <c r="B345" s="1280"/>
    </row>
    <row r="346" spans="1:2" s="1209" customFormat="1" x14ac:dyDescent="0.2">
      <c r="A346" s="1223"/>
      <c r="B346" s="1280"/>
    </row>
    <row r="347" spans="1:2" s="1209" customFormat="1" x14ac:dyDescent="0.2">
      <c r="A347" s="1223"/>
      <c r="B347" s="1280"/>
    </row>
    <row r="348" spans="1:2" s="1209" customFormat="1" x14ac:dyDescent="0.2">
      <c r="A348" s="1223"/>
      <c r="B348" s="1280"/>
    </row>
    <row r="349" spans="1:2" s="1209" customFormat="1" x14ac:dyDescent="0.2">
      <c r="A349" s="1223"/>
      <c r="B349" s="1280"/>
    </row>
    <row r="350" spans="1:2" s="1209" customFormat="1" x14ac:dyDescent="0.2">
      <c r="A350" s="1223"/>
      <c r="B350" s="1280"/>
    </row>
    <row r="351" spans="1:2" s="1209" customFormat="1" x14ac:dyDescent="0.2">
      <c r="A351" s="1223"/>
      <c r="B351" s="1280"/>
    </row>
    <row r="354" spans="2:2" s="1209" customFormat="1" x14ac:dyDescent="0.2">
      <c r="B354" s="1280"/>
    </row>
    <row r="355" spans="2:2" s="1209" customFormat="1" x14ac:dyDescent="0.2">
      <c r="B355" s="1280"/>
    </row>
    <row r="356" spans="2:2" s="1209" customFormat="1" x14ac:dyDescent="0.2">
      <c r="B356" s="1280"/>
    </row>
    <row r="358" spans="2:2" s="1209" customFormat="1" x14ac:dyDescent="0.2">
      <c r="B358" s="1405"/>
    </row>
  </sheetData>
  <mergeCells count="5">
    <mergeCell ref="AC37:AD37"/>
    <mergeCell ref="I153:L153"/>
    <mergeCell ref="M153:U153"/>
    <mergeCell ref="F284:G284"/>
    <mergeCell ref="A338:B338"/>
  </mergeCells>
  <pageMargins left="0.78740157480314965" right="0.78740157480314965" top="0.98425196850393704" bottom="0.98425196850393704" header="0.51181102362204722" footer="0.51181102362204722"/>
  <pageSetup paperSize="9" scale="34" fitToHeight="2" orientation="landscape" horizontalDpi="300" verticalDpi="3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2">
    <pageSetUpPr fitToPage="1"/>
  </sheetPr>
  <dimension ref="A1:AQ410"/>
  <sheetViews>
    <sheetView topLeftCell="A18" workbookViewId="0">
      <pane ySplit="2025" topLeftCell="A76" activePane="bottomLeft"/>
      <selection activeCell="K27" sqref="K27"/>
      <selection pane="bottomLeft" activeCell="G97" sqref="G97"/>
    </sheetView>
  </sheetViews>
  <sheetFormatPr defaultColWidth="11.42578125" defaultRowHeight="12.75" x14ac:dyDescent="0.2"/>
  <cols>
    <col min="1" max="1" width="39.42578125" customWidth="1"/>
    <col min="2" max="2" width="13.7109375" customWidth="1"/>
    <col min="3" max="3" width="14" customWidth="1"/>
    <col min="4" max="4" width="14.28515625" customWidth="1"/>
    <col min="5" max="5" width="14.42578125" bestFit="1" customWidth="1"/>
    <col min="6" max="6" width="12.7109375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1.85546875" bestFit="1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6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6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6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6" x14ac:dyDescent="0.2">
      <c r="A4" s="215"/>
      <c r="B4" s="215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81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15"/>
    </row>
    <row r="5" spans="1:36" x14ac:dyDescent="0.2">
      <c r="A5" s="1" t="s">
        <v>689</v>
      </c>
      <c r="B5" s="451" t="s">
        <v>132</v>
      </c>
      <c r="C5" s="359">
        <f>C6+C7+C8+C9</f>
        <v>-356733.20799999998</v>
      </c>
      <c r="D5" s="359">
        <f t="shared" ref="D5:AG5" si="0">D6+D7+D8+D9</f>
        <v>-356733.20799999998</v>
      </c>
      <c r="E5" s="359">
        <f t="shared" si="0"/>
        <v>-356733.20799999998</v>
      </c>
      <c r="F5" s="359">
        <f t="shared" si="0"/>
        <v>-356733.20799999998</v>
      </c>
      <c r="G5" s="359">
        <f t="shared" si="0"/>
        <v>-359733.20799999998</v>
      </c>
      <c r="H5" s="359">
        <f t="shared" si="0"/>
        <v>-358741.47499999998</v>
      </c>
      <c r="I5" s="359">
        <f t="shared" si="0"/>
        <v>-358741.74699999997</v>
      </c>
      <c r="J5" s="453">
        <f t="shared" si="0"/>
        <v>-358741.74699999997</v>
      </c>
      <c r="K5" s="453">
        <f t="shared" si="0"/>
        <v>-358741.74699999997</v>
      </c>
      <c r="L5" s="359">
        <f t="shared" si="0"/>
        <v>-358741.74699999997</v>
      </c>
      <c r="M5" s="359">
        <f t="shared" si="0"/>
        <v>-358741.74699999997</v>
      </c>
      <c r="N5" s="359">
        <f t="shared" si="0"/>
        <v>-359627.24699999997</v>
      </c>
      <c r="O5" s="359">
        <f t="shared" si="0"/>
        <v>-359627.24699999997</v>
      </c>
      <c r="P5" s="858">
        <f t="shared" si="0"/>
        <v>-359627.24699999997</v>
      </c>
      <c r="Q5" s="359">
        <f t="shared" si="0"/>
        <v>-359627.24699999997</v>
      </c>
      <c r="R5" s="359">
        <f t="shared" si="0"/>
        <v>-359627.24699999997</v>
      </c>
      <c r="S5" s="359">
        <f t="shared" si="0"/>
        <v>-359627.24699999997</v>
      </c>
      <c r="T5" s="359">
        <f t="shared" si="0"/>
        <v>-359956.56999999995</v>
      </c>
      <c r="U5" s="359">
        <f t="shared" si="0"/>
        <v>-359956.56999999995</v>
      </c>
      <c r="V5" s="359">
        <f t="shared" si="0"/>
        <v>-360472.86799999996</v>
      </c>
      <c r="W5" s="359">
        <f t="shared" si="0"/>
        <v>-360472.86799999996</v>
      </c>
      <c r="X5" s="359">
        <f t="shared" si="0"/>
        <v>-360472.86799999996</v>
      </c>
      <c r="Y5" s="359">
        <f t="shared" si="0"/>
        <v>-360472.86799999996</v>
      </c>
      <c r="Z5" s="359">
        <f t="shared" si="0"/>
        <v>-360472.86799999996</v>
      </c>
      <c r="AA5" s="359">
        <f t="shared" si="0"/>
        <v>-360475.44699999993</v>
      </c>
      <c r="AB5" s="359">
        <f t="shared" si="0"/>
        <v>-360475.44699999993</v>
      </c>
      <c r="AC5" s="359">
        <f t="shared" si="0"/>
        <v>-360475.44699999993</v>
      </c>
      <c r="AD5" s="359">
        <f t="shared" si="0"/>
        <v>-360475.44699999993</v>
      </c>
      <c r="AE5" s="359">
        <f t="shared" si="0"/>
        <v>-360475.44699999993</v>
      </c>
      <c r="AF5" s="359">
        <f t="shared" si="0"/>
        <v>-360475.44699999993</v>
      </c>
      <c r="AG5" s="359">
        <f t="shared" si="0"/>
        <v>-360475.44699999993</v>
      </c>
      <c r="AH5" s="215"/>
    </row>
    <row r="6" spans="1:36" x14ac:dyDescent="0.2">
      <c r="A6" s="56">
        <v>100000</v>
      </c>
      <c r="B6" s="215" t="s">
        <v>690</v>
      </c>
      <c r="C6" s="311">
        <f>C70</f>
        <v>-347210.37</v>
      </c>
      <c r="D6" s="311">
        <f t="shared" ref="D6:AG6" si="1">D70</f>
        <v>-347210.37</v>
      </c>
      <c r="E6" s="311">
        <f t="shared" si="1"/>
        <v>-347210.37</v>
      </c>
      <c r="F6" s="311">
        <f t="shared" si="1"/>
        <v>-347210.37</v>
      </c>
      <c r="G6" s="311">
        <f t="shared" si="1"/>
        <v>-350210.37</v>
      </c>
      <c r="H6" s="311">
        <f t="shared" si="1"/>
        <v>-350210.37</v>
      </c>
      <c r="I6" s="311">
        <f t="shared" si="1"/>
        <v>-350210.37</v>
      </c>
      <c r="J6" s="314">
        <f t="shared" si="1"/>
        <v>-350210.37</v>
      </c>
      <c r="K6" s="314">
        <f>K70</f>
        <v>-350210.37</v>
      </c>
      <c r="L6" s="311">
        <f t="shared" si="1"/>
        <v>-350210.37</v>
      </c>
      <c r="M6" s="311">
        <f t="shared" si="1"/>
        <v>-350210.37</v>
      </c>
      <c r="N6" s="311">
        <f t="shared" si="1"/>
        <v>-351095.87</v>
      </c>
      <c r="O6" s="311">
        <f t="shared" si="1"/>
        <v>-351095.87</v>
      </c>
      <c r="P6" s="629">
        <f t="shared" si="1"/>
        <v>-351095.87</v>
      </c>
      <c r="Q6" s="311">
        <f t="shared" si="1"/>
        <v>-351095.87</v>
      </c>
      <c r="R6" s="311">
        <f t="shared" si="1"/>
        <v>-351095.87</v>
      </c>
      <c r="S6" s="311">
        <f>S70</f>
        <v>-351095.87</v>
      </c>
      <c r="T6" s="311">
        <f t="shared" si="1"/>
        <v>-351425.19299999997</v>
      </c>
      <c r="U6" s="311">
        <f t="shared" si="1"/>
        <v>-351425.19299999997</v>
      </c>
      <c r="V6" s="311">
        <f t="shared" si="1"/>
        <v>-351941.49099999998</v>
      </c>
      <c r="W6" s="311">
        <f t="shared" si="1"/>
        <v>-351941.49099999998</v>
      </c>
      <c r="X6" s="311">
        <f t="shared" si="1"/>
        <v>-351941.49099999998</v>
      </c>
      <c r="Y6" s="311">
        <f t="shared" si="1"/>
        <v>-351941.49099999998</v>
      </c>
      <c r="Z6" s="311">
        <f t="shared" si="1"/>
        <v>-351941.49099999998</v>
      </c>
      <c r="AA6" s="311">
        <f t="shared" si="1"/>
        <v>-351944.06999999995</v>
      </c>
      <c r="AB6" s="311">
        <f t="shared" si="1"/>
        <v>-351944.06999999995</v>
      </c>
      <c r="AC6" s="311">
        <f t="shared" si="1"/>
        <v>-351944.06999999995</v>
      </c>
      <c r="AD6" s="311">
        <f t="shared" si="1"/>
        <v>-351944.06999999995</v>
      </c>
      <c r="AE6" s="311">
        <f t="shared" si="1"/>
        <v>-351944.06999999995</v>
      </c>
      <c r="AF6" s="311">
        <f t="shared" si="1"/>
        <v>-351944.06999999995</v>
      </c>
      <c r="AG6" s="311">
        <f t="shared" si="1"/>
        <v>-351944.06999999995</v>
      </c>
      <c r="AH6" s="215"/>
    </row>
    <row r="7" spans="1:36" x14ac:dyDescent="0.2">
      <c r="A7" s="56">
        <v>25000</v>
      </c>
      <c r="B7" s="215" t="s">
        <v>666</v>
      </c>
      <c r="C7" s="311">
        <f>C184</f>
        <v>7870.3909999999996</v>
      </c>
      <c r="D7" s="311">
        <f t="shared" ref="D7:AG7" si="2">D184</f>
        <v>7870.3909999999996</v>
      </c>
      <c r="E7" s="311">
        <f t="shared" si="2"/>
        <v>7870.3909999999996</v>
      </c>
      <c r="F7" s="311">
        <f t="shared" si="2"/>
        <v>7870.3909999999996</v>
      </c>
      <c r="G7" s="311">
        <f t="shared" si="2"/>
        <v>7870.3909999999996</v>
      </c>
      <c r="H7" s="311">
        <f t="shared" si="2"/>
        <v>7870.3909999999996</v>
      </c>
      <c r="I7" s="311">
        <f t="shared" si="2"/>
        <v>7870.3909999999996</v>
      </c>
      <c r="J7" s="314">
        <f t="shared" si="2"/>
        <v>7870.3909999999996</v>
      </c>
      <c r="K7" s="314">
        <f t="shared" si="2"/>
        <v>7870.3909999999996</v>
      </c>
      <c r="L7" s="311">
        <f t="shared" si="2"/>
        <v>7870.3909999999996</v>
      </c>
      <c r="M7" s="311">
        <f t="shared" si="2"/>
        <v>7870.3909999999996</v>
      </c>
      <c r="N7" s="311">
        <f t="shared" si="2"/>
        <v>7870.3909999999996</v>
      </c>
      <c r="O7" s="311">
        <f t="shared" si="2"/>
        <v>7870.3909999999996</v>
      </c>
      <c r="P7" s="629">
        <f>P184</f>
        <v>7870.3909999999996</v>
      </c>
      <c r="Q7" s="311">
        <f t="shared" si="2"/>
        <v>7870.3909999999996</v>
      </c>
      <c r="R7" s="311">
        <f t="shared" si="2"/>
        <v>7870.3909999999996</v>
      </c>
      <c r="S7" s="784">
        <f t="shared" si="2"/>
        <v>7870.3909999999996</v>
      </c>
      <c r="T7" s="311">
        <f t="shared" si="2"/>
        <v>7870.3909999999996</v>
      </c>
      <c r="U7" s="311">
        <f t="shared" si="2"/>
        <v>7870.3909999999996</v>
      </c>
      <c r="V7" s="311">
        <f t="shared" si="2"/>
        <v>7870.3909999999996</v>
      </c>
      <c r="W7" s="311">
        <f t="shared" si="2"/>
        <v>7870.3909999999996</v>
      </c>
      <c r="X7" s="311">
        <f t="shared" si="2"/>
        <v>7870.3909999999996</v>
      </c>
      <c r="Y7" s="311">
        <f t="shared" si="2"/>
        <v>7870.3909999999996</v>
      </c>
      <c r="Z7" s="311">
        <f t="shared" si="2"/>
        <v>7870.3909999999996</v>
      </c>
      <c r="AA7" s="311">
        <f t="shared" si="2"/>
        <v>7870.3909999999996</v>
      </c>
      <c r="AB7" s="311">
        <f t="shared" si="2"/>
        <v>7870.3909999999996</v>
      </c>
      <c r="AC7" s="311">
        <f t="shared" si="2"/>
        <v>7870.3909999999996</v>
      </c>
      <c r="AD7" s="311">
        <f t="shared" si="2"/>
        <v>7870.3909999999996</v>
      </c>
      <c r="AE7" s="311">
        <f t="shared" si="2"/>
        <v>7870.3909999999996</v>
      </c>
      <c r="AF7" s="311">
        <f t="shared" si="2"/>
        <v>7870.3909999999996</v>
      </c>
      <c r="AG7" s="311">
        <f t="shared" si="2"/>
        <v>7870.3909999999996</v>
      </c>
      <c r="AH7" s="215"/>
    </row>
    <row r="8" spans="1:36" x14ac:dyDescent="0.2">
      <c r="A8" s="56">
        <v>25000</v>
      </c>
      <c r="B8" s="215" t="s">
        <v>667</v>
      </c>
      <c r="C8" s="311">
        <f>C247</f>
        <v>2009.0070000000001</v>
      </c>
      <c r="D8" s="311">
        <f t="shared" ref="D8:AG8" si="3">D247</f>
        <v>2009.0070000000001</v>
      </c>
      <c r="E8" s="311">
        <f t="shared" si="3"/>
        <v>2009.0070000000001</v>
      </c>
      <c r="F8" s="311">
        <f t="shared" si="3"/>
        <v>2009.0070000000001</v>
      </c>
      <c r="G8" s="311">
        <f t="shared" si="3"/>
        <v>2009.0070000000001</v>
      </c>
      <c r="H8" s="311">
        <f t="shared" si="3"/>
        <v>3000.74</v>
      </c>
      <c r="I8" s="784">
        <f t="shared" si="3"/>
        <v>3000.74</v>
      </c>
      <c r="J8" s="314">
        <f t="shared" si="3"/>
        <v>3000.74</v>
      </c>
      <c r="K8" s="314">
        <f t="shared" si="3"/>
        <v>3000.74</v>
      </c>
      <c r="L8" s="311">
        <f t="shared" si="3"/>
        <v>3000.74</v>
      </c>
      <c r="M8" s="311">
        <f t="shared" si="3"/>
        <v>3000.74</v>
      </c>
      <c r="N8" s="311">
        <f t="shared" si="3"/>
        <v>3000.74</v>
      </c>
      <c r="O8" s="311">
        <f t="shared" si="3"/>
        <v>3000.74</v>
      </c>
      <c r="P8" s="629">
        <f t="shared" si="3"/>
        <v>3000.74</v>
      </c>
      <c r="Q8" s="311">
        <f t="shared" si="3"/>
        <v>3000.74</v>
      </c>
      <c r="R8" s="311">
        <f t="shared" si="3"/>
        <v>3000.74</v>
      </c>
      <c r="S8" s="311">
        <f t="shared" si="3"/>
        <v>3000.74</v>
      </c>
      <c r="T8" s="311">
        <f t="shared" si="3"/>
        <v>3000.74</v>
      </c>
      <c r="U8" s="311">
        <f t="shared" si="3"/>
        <v>3000.74</v>
      </c>
      <c r="V8" s="311">
        <f t="shared" si="3"/>
        <v>3000.74</v>
      </c>
      <c r="W8" s="311">
        <f t="shared" si="3"/>
        <v>3000.74</v>
      </c>
      <c r="X8" s="311">
        <f t="shared" si="3"/>
        <v>3000.74</v>
      </c>
      <c r="Y8" s="311">
        <f t="shared" si="3"/>
        <v>3000.74</v>
      </c>
      <c r="Z8" s="311">
        <f t="shared" si="3"/>
        <v>3000.74</v>
      </c>
      <c r="AA8" s="311">
        <f t="shared" si="3"/>
        <v>3000.74</v>
      </c>
      <c r="AB8" s="311">
        <f t="shared" si="3"/>
        <v>3000.74</v>
      </c>
      <c r="AC8" s="311">
        <f t="shared" si="3"/>
        <v>3000.74</v>
      </c>
      <c r="AD8" s="311">
        <f t="shared" si="3"/>
        <v>3000.74</v>
      </c>
      <c r="AE8" s="311">
        <f t="shared" si="3"/>
        <v>3000.74</v>
      </c>
      <c r="AF8" s="311">
        <f t="shared" si="3"/>
        <v>3000.74</v>
      </c>
      <c r="AG8" s="311">
        <f t="shared" si="3"/>
        <v>3000.74</v>
      </c>
      <c r="AH8" s="215"/>
      <c r="AJ8" s="483"/>
    </row>
    <row r="9" spans="1:36" x14ac:dyDescent="0.2">
      <c r="A9" s="56">
        <v>20000</v>
      </c>
      <c r="B9" s="215" t="s">
        <v>691</v>
      </c>
      <c r="C9" s="311">
        <f>C311</f>
        <v>-19402.236000000001</v>
      </c>
      <c r="D9" s="311">
        <f t="shared" ref="D9:AG9" si="4">D311</f>
        <v>-19402.236000000001</v>
      </c>
      <c r="E9" s="311">
        <f t="shared" si="4"/>
        <v>-19402.236000000001</v>
      </c>
      <c r="F9" s="311">
        <f t="shared" si="4"/>
        <v>-19402.236000000001</v>
      </c>
      <c r="G9" s="784">
        <f t="shared" si="4"/>
        <v>-19402.236000000001</v>
      </c>
      <c r="H9" s="311">
        <f t="shared" si="4"/>
        <v>-19402.236000000001</v>
      </c>
      <c r="I9" s="311">
        <f t="shared" si="4"/>
        <v>-19402.507999999998</v>
      </c>
      <c r="J9" s="314">
        <f t="shared" si="4"/>
        <v>-19402.507999999998</v>
      </c>
      <c r="K9" s="314">
        <f t="shared" si="4"/>
        <v>-19402.507999999998</v>
      </c>
      <c r="L9" s="311">
        <f t="shared" si="4"/>
        <v>-19402.507999999998</v>
      </c>
      <c r="M9" s="311">
        <f t="shared" si="4"/>
        <v>-19402.507999999998</v>
      </c>
      <c r="N9" s="311">
        <f t="shared" si="4"/>
        <v>-19402.507999999998</v>
      </c>
      <c r="O9" s="311">
        <f t="shared" si="4"/>
        <v>-19402.507999999998</v>
      </c>
      <c r="P9" s="629">
        <f t="shared" si="4"/>
        <v>-19402.507999999998</v>
      </c>
      <c r="Q9" s="311">
        <f t="shared" si="4"/>
        <v>-19402.507999999998</v>
      </c>
      <c r="R9" s="311">
        <f t="shared" si="4"/>
        <v>-19402.507999999998</v>
      </c>
      <c r="S9" s="311">
        <f t="shared" si="4"/>
        <v>-19402.507999999998</v>
      </c>
      <c r="T9" s="311">
        <f t="shared" si="4"/>
        <v>-19402.507999999998</v>
      </c>
      <c r="U9" s="311">
        <f t="shared" si="4"/>
        <v>-19402.507999999998</v>
      </c>
      <c r="V9" s="311">
        <f t="shared" si="4"/>
        <v>-19402.507999999998</v>
      </c>
      <c r="W9" s="311">
        <f t="shared" si="4"/>
        <v>-19402.507999999998</v>
      </c>
      <c r="X9" s="311">
        <f t="shared" si="4"/>
        <v>-19402.507999999998</v>
      </c>
      <c r="Y9" s="311">
        <f t="shared" si="4"/>
        <v>-19402.507999999998</v>
      </c>
      <c r="Z9" s="311">
        <f t="shared" si="4"/>
        <v>-19402.507999999998</v>
      </c>
      <c r="AA9" s="311">
        <f t="shared" si="4"/>
        <v>-19402.507999999998</v>
      </c>
      <c r="AB9" s="311">
        <f t="shared" si="4"/>
        <v>-19402.507999999998</v>
      </c>
      <c r="AC9" s="311">
        <f t="shared" si="4"/>
        <v>-19402.507999999998</v>
      </c>
      <c r="AD9" s="311">
        <f t="shared" si="4"/>
        <v>-19402.507999999998</v>
      </c>
      <c r="AE9" s="311">
        <f t="shared" si="4"/>
        <v>-19402.507999999998</v>
      </c>
      <c r="AF9" s="311">
        <f t="shared" si="4"/>
        <v>-19402.507999999998</v>
      </c>
      <c r="AG9" s="311">
        <f t="shared" si="4"/>
        <v>-19402.507999999998</v>
      </c>
      <c r="AH9" s="215"/>
    </row>
    <row r="10" spans="1:36" x14ac:dyDescent="0.2">
      <c r="A10" s="1" t="s">
        <v>692</v>
      </c>
      <c r="B10" s="451" t="s">
        <v>132</v>
      </c>
      <c r="C10" s="452">
        <f>C11+C12+C13</f>
        <v>0</v>
      </c>
      <c r="D10" s="452">
        <f t="shared" ref="D10:AG10" si="5">D11+D12+D13</f>
        <v>1093</v>
      </c>
      <c r="E10" s="452">
        <f t="shared" si="5"/>
        <v>1080</v>
      </c>
      <c r="F10" s="452">
        <f t="shared" si="5"/>
        <v>1194.019</v>
      </c>
      <c r="G10" s="452">
        <f t="shared" si="5"/>
        <v>3365.8130000000001</v>
      </c>
      <c r="H10" s="452">
        <f t="shared" si="5"/>
        <v>1473.8720000000001</v>
      </c>
      <c r="I10" s="452">
        <f t="shared" si="5"/>
        <v>1512.828</v>
      </c>
      <c r="J10" s="454">
        <f t="shared" si="5"/>
        <v>4743.848</v>
      </c>
      <c r="K10" s="454">
        <f t="shared" si="5"/>
        <v>5170.9920000000002</v>
      </c>
      <c r="L10" s="452">
        <f t="shared" si="5"/>
        <v>17577.853999999999</v>
      </c>
      <c r="M10" s="452">
        <f t="shared" si="5"/>
        <v>922.62699999999995</v>
      </c>
      <c r="N10" s="452">
        <f t="shared" si="5"/>
        <v>2073</v>
      </c>
      <c r="O10" s="452">
        <f t="shared" si="5"/>
        <v>0</v>
      </c>
      <c r="P10" s="859">
        <f t="shared" si="5"/>
        <v>2336.2240000000002</v>
      </c>
      <c r="Q10" s="452">
        <f t="shared" si="5"/>
        <v>25773.906000000003</v>
      </c>
      <c r="R10" s="452">
        <f t="shared" si="5"/>
        <v>812.51700000000005</v>
      </c>
      <c r="S10" s="452">
        <f t="shared" si="5"/>
        <v>6156.9359999999997</v>
      </c>
      <c r="T10" s="452">
        <f t="shared" si="5"/>
        <v>4745.5929999999998</v>
      </c>
      <c r="U10" s="452">
        <f t="shared" si="5"/>
        <v>0</v>
      </c>
      <c r="V10" s="452">
        <f t="shared" si="5"/>
        <v>16475.987000000001</v>
      </c>
      <c r="W10" s="452">
        <f t="shared" si="5"/>
        <v>5161.7479999999996</v>
      </c>
      <c r="X10" s="452">
        <f t="shared" si="5"/>
        <v>2030</v>
      </c>
      <c r="Y10" s="452">
        <f t="shared" si="5"/>
        <v>3663.848</v>
      </c>
      <c r="Z10" s="452">
        <f t="shared" si="5"/>
        <v>5933.4359999999997</v>
      </c>
      <c r="AA10" s="452">
        <f t="shared" si="5"/>
        <v>19013.358</v>
      </c>
      <c r="AB10" s="452">
        <f t="shared" si="5"/>
        <v>0</v>
      </c>
      <c r="AC10" s="452">
        <f t="shared" si="5"/>
        <v>0</v>
      </c>
      <c r="AD10" s="452">
        <f t="shared" si="5"/>
        <v>3056.45</v>
      </c>
      <c r="AE10" s="452">
        <f t="shared" si="5"/>
        <v>1073.9690000000001</v>
      </c>
      <c r="AF10" s="452">
        <f t="shared" si="5"/>
        <v>20205.334999999999</v>
      </c>
      <c r="AG10" s="452">
        <f t="shared" si="5"/>
        <v>32722.535000000003</v>
      </c>
      <c r="AH10" s="286">
        <f>SUM(C10:AG10)</f>
        <v>189369.69500000001</v>
      </c>
    </row>
    <row r="11" spans="1:36" x14ac:dyDescent="0.2">
      <c r="A11" s="1"/>
      <c r="B11" s="215" t="s">
        <v>666</v>
      </c>
      <c r="C11" s="286">
        <f>C171</f>
        <v>0</v>
      </c>
      <c r="D11" s="286">
        <f t="shared" ref="D11:AG11" si="6">D171</f>
        <v>0</v>
      </c>
      <c r="E11" s="286">
        <f t="shared" si="6"/>
        <v>0</v>
      </c>
      <c r="F11" s="286">
        <f t="shared" si="6"/>
        <v>0</v>
      </c>
      <c r="G11" s="286">
        <f t="shared" si="6"/>
        <v>0</v>
      </c>
      <c r="H11" s="286">
        <f t="shared" si="6"/>
        <v>0</v>
      </c>
      <c r="I11" s="286">
        <f t="shared" si="6"/>
        <v>0</v>
      </c>
      <c r="J11" s="315">
        <f t="shared" si="6"/>
        <v>0</v>
      </c>
      <c r="K11" s="315">
        <f t="shared" si="6"/>
        <v>0</v>
      </c>
      <c r="L11" s="286">
        <f t="shared" si="6"/>
        <v>505.79</v>
      </c>
      <c r="M11" s="286">
        <f t="shared" si="6"/>
        <v>0</v>
      </c>
      <c r="N11" s="286">
        <f t="shared" si="6"/>
        <v>0</v>
      </c>
      <c r="O11" s="286">
        <f t="shared" si="6"/>
        <v>0</v>
      </c>
      <c r="P11" s="308">
        <f t="shared" si="6"/>
        <v>0</v>
      </c>
      <c r="Q11" s="286">
        <f t="shared" si="6"/>
        <v>2795.6019999999999</v>
      </c>
      <c r="R11" s="286">
        <f t="shared" si="6"/>
        <v>0</v>
      </c>
      <c r="S11" s="286">
        <f t="shared" si="6"/>
        <v>1696.5</v>
      </c>
      <c r="T11" s="286">
        <f t="shared" si="6"/>
        <v>0</v>
      </c>
      <c r="U11" s="286">
        <f t="shared" si="6"/>
        <v>0</v>
      </c>
      <c r="V11" s="286">
        <f t="shared" si="6"/>
        <v>3144.1889999999999</v>
      </c>
      <c r="W11" s="286">
        <f t="shared" si="6"/>
        <v>0</v>
      </c>
      <c r="X11" s="286">
        <f t="shared" si="6"/>
        <v>0</v>
      </c>
      <c r="Y11" s="286">
        <f t="shared" si="6"/>
        <v>0</v>
      </c>
      <c r="Z11" s="286">
        <f t="shared" si="6"/>
        <v>0</v>
      </c>
      <c r="AA11" s="286">
        <f t="shared" si="6"/>
        <v>2638.3989999999999</v>
      </c>
      <c r="AB11" s="286">
        <f t="shared" si="6"/>
        <v>0</v>
      </c>
      <c r="AC11" s="286">
        <f t="shared" si="6"/>
        <v>0</v>
      </c>
      <c r="AD11" s="286">
        <f t="shared" si="6"/>
        <v>0</v>
      </c>
      <c r="AE11" s="286">
        <f t="shared" si="6"/>
        <v>0</v>
      </c>
      <c r="AF11" s="286">
        <f t="shared" si="6"/>
        <v>2638.3989999999999</v>
      </c>
      <c r="AG11" s="286">
        <f t="shared" si="6"/>
        <v>12882.732000000002</v>
      </c>
      <c r="AH11" s="215"/>
    </row>
    <row r="12" spans="1:36" x14ac:dyDescent="0.2">
      <c r="A12" s="1"/>
      <c r="B12" s="215" t="s">
        <v>667</v>
      </c>
      <c r="C12" s="286">
        <f>C234</f>
        <v>0</v>
      </c>
      <c r="D12" s="286">
        <f t="shared" ref="D12:AG12" si="7">D234</f>
        <v>0</v>
      </c>
      <c r="E12" s="286">
        <f t="shared" si="7"/>
        <v>0</v>
      </c>
      <c r="F12" s="286">
        <f t="shared" si="7"/>
        <v>1194.019</v>
      </c>
      <c r="G12" s="286">
        <f t="shared" si="7"/>
        <v>2833.1610000000001</v>
      </c>
      <c r="H12" s="286">
        <f t="shared" si="7"/>
        <v>0</v>
      </c>
      <c r="I12" s="286">
        <f t="shared" si="7"/>
        <v>419.82799999999997</v>
      </c>
      <c r="J12" s="315">
        <f t="shared" si="7"/>
        <v>0</v>
      </c>
      <c r="K12" s="315">
        <f t="shared" si="7"/>
        <v>3697.9919999999997</v>
      </c>
      <c r="L12" s="286">
        <f t="shared" si="7"/>
        <v>6712.2820000000002</v>
      </c>
      <c r="M12" s="286">
        <f t="shared" si="7"/>
        <v>0</v>
      </c>
      <c r="N12" s="286">
        <f t="shared" si="7"/>
        <v>0</v>
      </c>
      <c r="O12" s="286">
        <f t="shared" si="7"/>
        <v>0</v>
      </c>
      <c r="P12" s="308">
        <f t="shared" si="7"/>
        <v>419.82799999999997</v>
      </c>
      <c r="Q12" s="286">
        <f t="shared" si="7"/>
        <v>3854.8490000000002</v>
      </c>
      <c r="R12" s="286">
        <f t="shared" si="7"/>
        <v>812.51700000000005</v>
      </c>
      <c r="S12" s="286">
        <f t="shared" si="7"/>
        <v>0</v>
      </c>
      <c r="T12" s="286">
        <f t="shared" si="7"/>
        <v>0</v>
      </c>
      <c r="U12" s="286">
        <f t="shared" si="7"/>
        <v>0</v>
      </c>
      <c r="V12" s="286">
        <f t="shared" si="7"/>
        <v>2234.5810000000001</v>
      </c>
      <c r="W12" s="286">
        <f t="shared" si="7"/>
        <v>3177.038</v>
      </c>
      <c r="X12" s="286">
        <f t="shared" si="7"/>
        <v>950</v>
      </c>
      <c r="Y12" s="286">
        <f t="shared" si="7"/>
        <v>0</v>
      </c>
      <c r="Z12" s="286">
        <f t="shared" si="7"/>
        <v>0</v>
      </c>
      <c r="AA12" s="286">
        <f t="shared" si="7"/>
        <v>4089.6699999999996</v>
      </c>
      <c r="AB12" s="286">
        <f t="shared" si="7"/>
        <v>0</v>
      </c>
      <c r="AC12" s="286">
        <f t="shared" si="7"/>
        <v>0</v>
      </c>
      <c r="AD12" s="286">
        <f t="shared" si="7"/>
        <v>0</v>
      </c>
      <c r="AE12" s="286">
        <f t="shared" si="7"/>
        <v>0</v>
      </c>
      <c r="AF12" s="286">
        <f t="shared" si="7"/>
        <v>2266.6089999999999</v>
      </c>
      <c r="AG12" s="286">
        <f t="shared" si="7"/>
        <v>1087.1859999999999</v>
      </c>
      <c r="AH12" s="215"/>
    </row>
    <row r="13" spans="1:36" x14ac:dyDescent="0.2">
      <c r="A13" s="1"/>
      <c r="B13" s="215" t="s">
        <v>691</v>
      </c>
      <c r="C13" s="286">
        <f>C298</f>
        <v>0</v>
      </c>
      <c r="D13" s="286">
        <f t="shared" ref="D13:AG13" si="8">D298</f>
        <v>1093</v>
      </c>
      <c r="E13" s="286">
        <f t="shared" si="8"/>
        <v>1080</v>
      </c>
      <c r="F13" s="286">
        <f t="shared" si="8"/>
        <v>0</v>
      </c>
      <c r="G13" s="286">
        <f t="shared" si="8"/>
        <v>532.65200000000004</v>
      </c>
      <c r="H13" s="286">
        <f t="shared" si="8"/>
        <v>1473.8720000000001</v>
      </c>
      <c r="I13" s="286">
        <f t="shared" si="8"/>
        <v>1093</v>
      </c>
      <c r="J13" s="315">
        <f t="shared" si="8"/>
        <v>4743.848</v>
      </c>
      <c r="K13" s="315">
        <f t="shared" si="8"/>
        <v>1473</v>
      </c>
      <c r="L13" s="286">
        <f t="shared" si="8"/>
        <v>10359.781999999999</v>
      </c>
      <c r="M13" s="286">
        <f t="shared" si="8"/>
        <v>922.62699999999995</v>
      </c>
      <c r="N13" s="286">
        <f t="shared" si="8"/>
        <v>2073</v>
      </c>
      <c r="O13" s="286">
        <f t="shared" si="8"/>
        <v>0</v>
      </c>
      <c r="P13" s="308">
        <f t="shared" si="8"/>
        <v>1916.396</v>
      </c>
      <c r="Q13" s="286">
        <f t="shared" si="8"/>
        <v>19123.455000000002</v>
      </c>
      <c r="R13" s="286">
        <f t="shared" si="8"/>
        <v>0</v>
      </c>
      <c r="S13" s="286">
        <f t="shared" si="8"/>
        <v>4460.4359999999997</v>
      </c>
      <c r="T13" s="286">
        <f t="shared" si="8"/>
        <v>4745.5929999999998</v>
      </c>
      <c r="U13" s="286">
        <f t="shared" si="8"/>
        <v>0</v>
      </c>
      <c r="V13" s="286">
        <f t="shared" si="8"/>
        <v>11097.217000000001</v>
      </c>
      <c r="W13" s="286">
        <f t="shared" si="8"/>
        <v>1984.71</v>
      </c>
      <c r="X13" s="286">
        <f t="shared" si="8"/>
        <v>1080</v>
      </c>
      <c r="Y13" s="286">
        <f t="shared" si="8"/>
        <v>3663.848</v>
      </c>
      <c r="Z13" s="286">
        <f t="shared" si="8"/>
        <v>5933.4359999999997</v>
      </c>
      <c r="AA13" s="286">
        <f t="shared" si="8"/>
        <v>12285.289000000001</v>
      </c>
      <c r="AB13" s="286">
        <f t="shared" si="8"/>
        <v>0</v>
      </c>
      <c r="AC13" s="286">
        <f t="shared" si="8"/>
        <v>0</v>
      </c>
      <c r="AD13" s="286">
        <f t="shared" si="8"/>
        <v>3056.45</v>
      </c>
      <c r="AE13" s="286">
        <f t="shared" si="8"/>
        <v>1073.9690000000001</v>
      </c>
      <c r="AF13" s="286">
        <f t="shared" si="8"/>
        <v>15300.327000000001</v>
      </c>
      <c r="AG13" s="286">
        <f t="shared" si="8"/>
        <v>18752.617000000002</v>
      </c>
      <c r="AH13" s="215"/>
    </row>
    <row r="14" spans="1:36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-171105.75199999992</v>
      </c>
    </row>
    <row r="15" spans="1:36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902"/>
      <c r="AI15" s="483"/>
    </row>
    <row r="16" spans="1:36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902"/>
      <c r="AI16" s="483"/>
    </row>
    <row r="17" spans="1:35" x14ac:dyDescent="0.2">
      <c r="A17" s="265"/>
      <c r="B17" s="266" t="s">
        <v>37</v>
      </c>
      <c r="C17" s="266"/>
      <c r="D17" s="266"/>
      <c r="E17" s="267" t="s">
        <v>905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902"/>
      <c r="AI17" s="483"/>
    </row>
    <row r="18" spans="1:35" x14ac:dyDescent="0.2">
      <c r="A18" s="265"/>
      <c r="B18" s="266"/>
      <c r="C18" s="266"/>
      <c r="D18" s="268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308"/>
    </row>
    <row r="19" spans="1:35" x14ac:dyDescent="0.2">
      <c r="A19" s="769"/>
      <c r="B19" s="268"/>
      <c r="C19" s="268"/>
      <c r="D19" s="267">
        <v>42389</v>
      </c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5" x14ac:dyDescent="0.2">
      <c r="A20" s="769"/>
      <c r="B20" s="266"/>
      <c r="C20" s="266"/>
      <c r="D20" s="268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5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5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5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5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5" x14ac:dyDescent="0.2">
      <c r="A25" s="265" t="s">
        <v>0</v>
      </c>
      <c r="B25" s="274">
        <v>-335284.24400000001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5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5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5" x14ac:dyDescent="0.2">
      <c r="A28" s="265" t="s">
        <v>1</v>
      </c>
      <c r="B28" s="274">
        <f>B29+B30+B31</f>
        <v>12019.927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5" x14ac:dyDescent="0.2">
      <c r="A29" s="265" t="s">
        <v>38</v>
      </c>
      <c r="B29" s="274">
        <f>C82</f>
        <v>12019.927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5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5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5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ht="18" x14ac:dyDescent="0.25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1135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ht="18" x14ac:dyDescent="0.25">
      <c r="A34" s="265" t="s">
        <v>4</v>
      </c>
      <c r="B34" s="274">
        <f>B25+B28</f>
        <v>-323264.31699999998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1135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8.75" thickBot="1" x14ac:dyDescent="0.3">
      <c r="A35" s="275"/>
      <c r="B35" s="276"/>
      <c r="C35" s="266"/>
      <c r="D35" s="266"/>
      <c r="E35" s="266"/>
      <c r="F35" s="266"/>
      <c r="G35" s="266"/>
      <c r="H35" s="266"/>
      <c r="I35" s="266"/>
      <c r="K35" s="266"/>
      <c r="L35" s="266"/>
      <c r="M35" s="266"/>
      <c r="N35" s="266"/>
      <c r="O35" s="1135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15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15"/>
    </row>
    <row r="37" spans="1:40" ht="18" x14ac:dyDescent="0.25">
      <c r="A37" s="265" t="s">
        <v>913</v>
      </c>
      <c r="B37" s="274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1139"/>
      <c r="T37" s="266"/>
      <c r="U37" s="266"/>
      <c r="V37" s="266" t="s">
        <v>1222</v>
      </c>
      <c r="W37" s="266"/>
      <c r="X37" s="266"/>
      <c r="Y37" s="266"/>
      <c r="Z37" s="266"/>
      <c r="AA37" s="266"/>
      <c r="AB37" s="266"/>
      <c r="AC37" s="1755"/>
      <c r="AD37" s="1755"/>
      <c r="AE37" s="266"/>
      <c r="AF37" s="266"/>
      <c r="AG37" s="266"/>
      <c r="AH37" s="215"/>
    </row>
    <row r="38" spans="1:40" ht="13.5" thickBot="1" x14ac:dyDescent="0.25">
      <c r="A38" s="275"/>
      <c r="B38" s="276"/>
      <c r="C38" s="266"/>
      <c r="D38" s="266"/>
      <c r="E38" s="269"/>
      <c r="F38" s="266"/>
      <c r="G38" s="266"/>
      <c r="H38" s="269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9" t="s">
        <v>1021</v>
      </c>
      <c r="AB38" s="266"/>
      <c r="AC38" s="266"/>
      <c r="AD38" s="266"/>
      <c r="AE38" s="266"/>
      <c r="AF38" s="266"/>
      <c r="AG38" s="266"/>
      <c r="AH38" s="215"/>
    </row>
    <row r="39" spans="1:40" x14ac:dyDescent="0.2">
      <c r="A39" s="263"/>
      <c r="B39" s="278"/>
      <c r="C39" s="810"/>
      <c r="D39" s="692"/>
      <c r="E39" s="692"/>
      <c r="F39" s="692"/>
      <c r="G39" s="692"/>
      <c r="H39" s="692"/>
      <c r="I39" s="266"/>
      <c r="J39" s="266"/>
      <c r="K39" s="266"/>
      <c r="L39" s="266"/>
      <c r="M39" s="266"/>
      <c r="N39" s="266"/>
      <c r="O39" s="330"/>
      <c r="P39" s="281"/>
      <c r="Q39" s="1201" t="s">
        <v>1185</v>
      </c>
      <c r="R39" s="266"/>
      <c r="S39" s="269"/>
      <c r="T39" s="266"/>
      <c r="U39" s="280"/>
      <c r="V39" s="280" t="s">
        <v>1185</v>
      </c>
      <c r="W39" s="280"/>
      <c r="X39" s="280"/>
      <c r="Y39" s="1179"/>
      <c r="Z39" s="280"/>
      <c r="AA39" s="1197" t="s">
        <v>1185</v>
      </c>
      <c r="AB39" s="280"/>
      <c r="AC39" s="1179"/>
      <c r="AD39" s="280"/>
      <c r="AE39" s="280"/>
      <c r="AF39" s="280"/>
      <c r="AG39" s="280" t="s">
        <v>1185</v>
      </c>
      <c r="AH39" s="215"/>
    </row>
    <row r="40" spans="1:40" x14ac:dyDescent="0.2">
      <c r="A40" s="265" t="s">
        <v>5</v>
      </c>
      <c r="B40" s="274">
        <f>B34-B37</f>
        <v>-323264.31699999998</v>
      </c>
      <c r="C40" s="810" t="s">
        <v>1207</v>
      </c>
      <c r="D40" s="269"/>
      <c r="E40" s="810"/>
      <c r="F40" s="269"/>
      <c r="G40" s="269"/>
      <c r="H40" s="269"/>
      <c r="I40" s="269"/>
      <c r="J40" s="269"/>
      <c r="K40" s="269"/>
      <c r="L40" s="1200" t="s">
        <v>1185</v>
      </c>
      <c r="M40" s="281"/>
      <c r="N40" s="281" t="s">
        <v>1221</v>
      </c>
      <c r="O40" s="269"/>
      <c r="P40" s="281"/>
      <c r="Q40" s="1199" t="s">
        <v>1185</v>
      </c>
      <c r="R40" s="269" t="s">
        <v>1021</v>
      </c>
      <c r="S40" s="281" t="s">
        <v>1219</v>
      </c>
      <c r="T40" s="281" t="s">
        <v>1220</v>
      </c>
      <c r="U40" s="281"/>
      <c r="V40" s="707" t="s">
        <v>1185</v>
      </c>
      <c r="W40" s="281"/>
      <c r="X40" s="269"/>
      <c r="Y40" s="281"/>
      <c r="Z40" s="281"/>
      <c r="AA40" s="1198" t="s">
        <v>1185</v>
      </c>
      <c r="AB40" s="281"/>
      <c r="AC40" s="1140"/>
      <c r="AD40" s="1198" t="s">
        <v>1185</v>
      </c>
      <c r="AE40" s="407"/>
      <c r="AF40" s="709" t="s">
        <v>1185</v>
      </c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</f>
        <v>23946.052999999996</v>
      </c>
      <c r="D43" s="288">
        <f t="shared" ref="D43:AG43" si="10">D44+D45+D48+D52+D51+D49+D50+D46+D47</f>
        <v>0</v>
      </c>
      <c r="E43" s="288">
        <f t="shared" si="10"/>
        <v>0</v>
      </c>
      <c r="F43" s="288">
        <f t="shared" si="10"/>
        <v>0</v>
      </c>
      <c r="G43" s="288">
        <f t="shared" si="10"/>
        <v>3000.0000000000036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3.637978807091713E-12</v>
      </c>
      <c r="M43" s="288">
        <f t="shared" si="10"/>
        <v>0</v>
      </c>
      <c r="N43" s="288">
        <f t="shared" si="10"/>
        <v>885.5</v>
      </c>
      <c r="O43" s="288">
        <f t="shared" si="10"/>
        <v>-3.637978807091713E-12</v>
      </c>
      <c r="P43" s="865">
        <f>P44+P45+P48+P52+P51+P49+P50+P46+P47</f>
        <v>0</v>
      </c>
      <c r="Q43" s="288">
        <f t="shared" si="10"/>
        <v>7.2759576141834259E-12</v>
      </c>
      <c r="R43" s="288">
        <f>R44+R45+R48+R52+R51+R49+R50+R46+R47</f>
        <v>0</v>
      </c>
      <c r="S43" s="288">
        <f>S44+S45+S48+S52+S51+S49+S50+S46+S47</f>
        <v>0</v>
      </c>
      <c r="T43" s="288">
        <f t="shared" si="10"/>
        <v>329.32300000000009</v>
      </c>
      <c r="U43" s="288">
        <f t="shared" si="10"/>
        <v>0</v>
      </c>
      <c r="V43" s="288">
        <f t="shared" si="10"/>
        <v>516.29800000000068</v>
      </c>
      <c r="W43" s="288">
        <f t="shared" si="10"/>
        <v>0</v>
      </c>
      <c r="X43" s="288">
        <f t="shared" si="10"/>
        <v>0</v>
      </c>
      <c r="Y43" s="288">
        <f t="shared" si="10"/>
        <v>0</v>
      </c>
      <c r="Z43" s="288">
        <f t="shared" si="10"/>
        <v>0</v>
      </c>
      <c r="AA43" s="288">
        <f t="shared" si="10"/>
        <v>2.5789999999942665</v>
      </c>
      <c r="AB43" s="288">
        <f t="shared" si="10"/>
        <v>0</v>
      </c>
      <c r="AC43" s="288">
        <f t="shared" si="10"/>
        <v>0</v>
      </c>
      <c r="AD43" s="288">
        <f t="shared" si="10"/>
        <v>0</v>
      </c>
      <c r="AE43" s="288">
        <f t="shared" si="10"/>
        <v>0</v>
      </c>
      <c r="AF43" s="288">
        <f t="shared" si="10"/>
        <v>0</v>
      </c>
      <c r="AG43" s="288">
        <f t="shared" si="10"/>
        <v>-3.637978807091713E-12</v>
      </c>
      <c r="AH43" s="286">
        <f t="shared" si="9"/>
        <v>28679.752999999997</v>
      </c>
    </row>
    <row r="44" spans="1:40" x14ac:dyDescent="0.2">
      <c r="A44" s="287" t="s">
        <v>8</v>
      </c>
      <c r="B44" s="266"/>
      <c r="C44" s="289">
        <f>40525-1098.874-24500</f>
        <v>14926.125999999997</v>
      </c>
      <c r="D44" s="290"/>
      <c r="E44" s="291">
        <f>12542.932-12542.932</f>
        <v>0</v>
      </c>
      <c r="F44" s="290"/>
      <c r="G44" s="295">
        <f>49510-9900-10500-8250-7972.616+8657.338-8657.338</f>
        <v>12887.384000000002</v>
      </c>
      <c r="H44" s="290">
        <f>4926.476+11150-939.893-11150-3986.583</f>
        <v>0</v>
      </c>
      <c r="I44" s="290">
        <f>5622.296+7250-522.296-5100+8020+9250+5425.653+5450+8050-7250-9250-5425.653-5450-8050-8020</f>
        <v>0</v>
      </c>
      <c r="J44" s="290"/>
      <c r="K44" s="290"/>
      <c r="L44" s="295">
        <f>54098.958-9031.038-9793.355-2952.942</f>
        <v>32321.623000000003</v>
      </c>
      <c r="M44" s="292"/>
      <c r="N44" s="292">
        <f>9250-9250</f>
        <v>0</v>
      </c>
      <c r="O44" s="295">
        <f>34069.198-1319.198</f>
        <v>32749.999999999996</v>
      </c>
      <c r="P44" s="292">
        <f>5762.894-5762.894</f>
        <v>0</v>
      </c>
      <c r="Q44" s="295">
        <f>53326.478+11930-9060-7000-11783.787-11930-4938.144</f>
        <v>20544.547000000006</v>
      </c>
      <c r="R44" s="295">
        <f>11950+20850-20850</f>
        <v>11950</v>
      </c>
      <c r="S44" s="295"/>
      <c r="T44" s="295"/>
      <c r="U44" s="581">
        <v>11870</v>
      </c>
      <c r="V44" s="295">
        <f>47524.856+11950-9100-11950-5886.104-8172.715-9850-8200-5800</f>
        <v>516.03700000000026</v>
      </c>
      <c r="W44" s="295">
        <f>2393.262+2619.326+16692.293+737.967-16692.293-2393.262-737.967-2619.326</f>
        <v>0</v>
      </c>
      <c r="X44" s="295">
        <f>11900+20800+20750+2707.755-2707.755-20800-20750</f>
        <v>11900</v>
      </c>
      <c r="Y44" s="581">
        <f>17146.817-8860.134-8286.683</f>
        <v>0</v>
      </c>
      <c r="Z44" s="295"/>
      <c r="AA44" s="295">
        <f>37276.895+12000+12274.857-4737.268-5759.627-12000-8027.421-6890-12274.857</f>
        <v>11862.578999999994</v>
      </c>
      <c r="AB44" s="295">
        <f>9093.592-993.592-8100</f>
        <v>0</v>
      </c>
      <c r="AC44" s="581"/>
      <c r="AD44" s="295">
        <f>20100+12136.766+20780-20780-12136.766-8250</f>
        <v>11850.000000000004</v>
      </c>
      <c r="AE44" s="295">
        <f>982.543-982.543</f>
        <v>0</v>
      </c>
      <c r="AF44" s="295">
        <f>6926.891+11900-6926.891-11900</f>
        <v>0</v>
      </c>
      <c r="AG44" s="295">
        <f>81446.181-9050-5243.958-7500-5000-8000-6797.169-8055.054-20000</f>
        <v>11799.999999999996</v>
      </c>
      <c r="AH44" s="286">
        <f t="shared" si="9"/>
        <v>185178.296</v>
      </c>
      <c r="AN44" s="25">
        <v>9918.1650000000009</v>
      </c>
    </row>
    <row r="45" spans="1:40" x14ac:dyDescent="0.2">
      <c r="A45" s="287" t="s">
        <v>703</v>
      </c>
      <c r="B45" s="266"/>
      <c r="C45" s="291"/>
      <c r="D45" s="290"/>
      <c r="E45" s="291"/>
      <c r="F45" s="290"/>
      <c r="G45" s="290">
        <f>28452.616-20480</f>
        <v>7972.6160000000018</v>
      </c>
      <c r="H45" s="290">
        <f>1064.662-1064.662</f>
        <v>0</v>
      </c>
      <c r="I45" s="290">
        <f>793.872-793.872</f>
        <v>0</v>
      </c>
      <c r="J45" s="290">
        <f>34073.302-4573.302-20500-9000</f>
        <v>0</v>
      </c>
      <c r="K45" s="290"/>
      <c r="L45" s="295"/>
      <c r="M45" s="290">
        <f>20550-20550</f>
        <v>0</v>
      </c>
      <c r="N45" s="290">
        <f>10936.975-1001.475-9050</f>
        <v>885.5</v>
      </c>
      <c r="O45" s="295">
        <f>12590.317-5284.818-7305.499</f>
        <v>0</v>
      </c>
      <c r="P45" s="292">
        <f>25976.43-715.58-1292.252-3630.898-20337.7</f>
        <v>0</v>
      </c>
      <c r="Q45" s="295">
        <f>21273.123-2314.407-1863.515-8966.697-8128.504</f>
        <v>0</v>
      </c>
      <c r="R45" s="295">
        <f>25737.772-1037.772-24700</f>
        <v>0</v>
      </c>
      <c r="S45" s="295">
        <f>4081.207-220.069-3861.138</f>
        <v>0</v>
      </c>
      <c r="T45" s="295">
        <f>1595.943-1266.62</f>
        <v>329.32300000000009</v>
      </c>
      <c r="U45" s="295">
        <f>15042.902-2170.932-4600-8271.97</f>
        <v>0</v>
      </c>
      <c r="V45" s="295">
        <f>48499.028-5000-6145.401-7275.012-7640.968-8350-8500-5587.386</f>
        <v>0.26100000000042201</v>
      </c>
      <c r="W45" s="295">
        <f>2480.232-370.054-614.1-1496.078</f>
        <v>0</v>
      </c>
      <c r="X45" s="295">
        <f>14823.975-7400-7423.975</f>
        <v>0</v>
      </c>
      <c r="Y45" s="295">
        <f>3399.366-3399.366</f>
        <v>0</v>
      </c>
      <c r="Z45" s="295">
        <f>12817.77-953.228-3664.542-8200</f>
        <v>0</v>
      </c>
      <c r="AA45" s="295">
        <f>63105.564-784.044-1015.067-1156.453-6200-8550-20000-5000-20400</f>
        <v>0</v>
      </c>
      <c r="AB45" s="295">
        <f>30025.126-9600-8300-1254.189-1520.851-2050.086-3650-3650</f>
        <v>0</v>
      </c>
      <c r="AC45" s="295">
        <f>33137.343-8344.495-1341.238-1505.097-1597.632-2597.425-3145.021-7256.435-7350</f>
        <v>0</v>
      </c>
      <c r="AD45" s="295">
        <f>40636.954-21000-1139.294-1439.646-4586.602-4634.058-7150-687.354</f>
        <v>-3.4106051316484809E-12</v>
      </c>
      <c r="AE45" s="295">
        <f>18840.478-8250-2635.344-3324.686-4630.448</f>
        <v>0</v>
      </c>
      <c r="AF45" s="295">
        <f>59496.118-515.357-654.208-739.416-1235.819-2138.86-2299.064-3667.591-5023.801-5500-6143.667-7984.602-8395.377-9650-3178.683-2369.673</f>
        <v>0</v>
      </c>
      <c r="AG45" s="295">
        <f>41312.507-634.49-2500.956-2889.777-3351.315-3658.013-3677.956-8600-16000</f>
        <v>0</v>
      </c>
      <c r="AH45" s="286">
        <f>SUM(C45:AG45)</f>
        <v>9187.6999999999989</v>
      </c>
      <c r="AI45" s="42">
        <f>+AH45+AH44</f>
        <v>194365.99600000001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1136"/>
      <c r="F46" s="1137"/>
      <c r="G46" s="1137"/>
      <c r="H46" s="1137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86">
        <f t="shared" si="9"/>
        <v>0</v>
      </c>
      <c r="AN46" s="25"/>
    </row>
    <row r="47" spans="1:40" x14ac:dyDescent="0.2">
      <c r="A47" s="287" t="s">
        <v>705</v>
      </c>
      <c r="B47" s="266"/>
      <c r="C47" s="291"/>
      <c r="D47" s="290"/>
      <c r="E47" s="291"/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5">
        <f>24442.09-24442.09</f>
        <v>0</v>
      </c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86">
        <f t="shared" si="9"/>
        <v>0</v>
      </c>
      <c r="AI47" s="42"/>
      <c r="AJ47" s="42"/>
      <c r="AN47" s="25"/>
    </row>
    <row r="48" spans="1:40" s="360" customFormat="1" x14ac:dyDescent="0.2">
      <c r="A48" s="662" t="s">
        <v>10</v>
      </c>
      <c r="B48" s="663"/>
      <c r="C48" s="664"/>
      <c r="D48" s="380"/>
      <c r="E48" s="664"/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560"/>
      <c r="Q48" s="380"/>
      <c r="R48" s="380"/>
      <c r="S48" s="380"/>
      <c r="T48" s="380"/>
      <c r="U48" s="380"/>
      <c r="V48" s="665"/>
      <c r="W48" s="380"/>
      <c r="X48" s="380"/>
      <c r="Y48" s="380"/>
      <c r="Z48" s="380"/>
      <c r="AA48" s="560"/>
      <c r="AB48" s="380"/>
      <c r="AC48" s="708"/>
      <c r="AD48" s="811"/>
      <c r="AE48" s="380"/>
      <c r="AF48" s="380"/>
      <c r="AG48" s="380"/>
      <c r="AH48" s="379">
        <f t="shared" si="9"/>
        <v>0</v>
      </c>
      <c r="AI48" s="666"/>
      <c r="AN48" s="667">
        <v>6347.85</v>
      </c>
    </row>
    <row r="49" spans="1:40" s="360" customFormat="1" x14ac:dyDescent="0.2">
      <c r="A49" s="662" t="s">
        <v>356</v>
      </c>
      <c r="B49" s="668"/>
      <c r="C49" s="565"/>
      <c r="D49" s="380"/>
      <c r="E49" s="565"/>
      <c r="F49" s="560"/>
      <c r="G49" s="560"/>
      <c r="H49" s="560"/>
      <c r="I49" s="560"/>
      <c r="J49" s="560"/>
      <c r="K49" s="560"/>
      <c r="L49" s="560"/>
      <c r="M49" s="560"/>
      <c r="N49" s="38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379">
        <f t="shared" si="9"/>
        <v>0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0"/>
      <c r="AG50" s="290"/>
      <c r="AH50" s="286">
        <f t="shared" si="9"/>
        <v>0</v>
      </c>
      <c r="AN50" s="25">
        <v>2246.556</v>
      </c>
    </row>
    <row r="51" spans="1:40" x14ac:dyDescent="0.2">
      <c r="A51" s="287" t="s">
        <v>41</v>
      </c>
      <c r="B51" s="266"/>
      <c r="C51" s="289">
        <f>3693.018+5326.909</f>
        <v>9019.9269999999997</v>
      </c>
      <c r="D51" s="291"/>
      <c r="E51" s="362"/>
      <c r="F51" s="290"/>
      <c r="G51" s="295">
        <v>3000</v>
      </c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1145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/>
      <c r="AG51" s="290"/>
      <c r="AH51" s="286">
        <f t="shared" si="9"/>
        <v>12019.927</v>
      </c>
      <c r="AN51" s="25"/>
    </row>
    <row r="52" spans="1:40" x14ac:dyDescent="0.2">
      <c r="A52" s="287" t="s">
        <v>11</v>
      </c>
      <c r="B52" s="266"/>
      <c r="C52" s="289"/>
      <c r="D52" s="289"/>
      <c r="E52" s="289"/>
      <c r="F52" s="754"/>
      <c r="G52" s="455">
        <v>-20860</v>
      </c>
      <c r="H52" s="292"/>
      <c r="I52" s="292"/>
      <c r="J52" s="754"/>
      <c r="K52" s="292"/>
      <c r="L52" s="455">
        <f>-20790-11531.623</f>
        <v>-32321.623</v>
      </c>
      <c r="M52" s="1061"/>
      <c r="N52" s="754"/>
      <c r="O52" s="455">
        <f>-20870-11880</f>
        <v>-32750</v>
      </c>
      <c r="P52" s="292"/>
      <c r="Q52" s="455">
        <v>-20544.546999999999</v>
      </c>
      <c r="R52" s="455">
        <v>-11950</v>
      </c>
      <c r="S52" s="292"/>
      <c r="T52" s="292"/>
      <c r="U52" s="455">
        <v>-11870</v>
      </c>
      <c r="V52" s="455"/>
      <c r="W52" s="1061"/>
      <c r="X52" s="455">
        <v>-11900</v>
      </c>
      <c r="Y52" s="292"/>
      <c r="Z52" s="292"/>
      <c r="AA52" s="293">
        <v>-11860</v>
      </c>
      <c r="AB52" s="1062"/>
      <c r="AC52" s="295"/>
      <c r="AD52" s="293">
        <v>-11850</v>
      </c>
      <c r="AE52" s="292"/>
      <c r="AF52" s="1061"/>
      <c r="AG52" s="455">
        <v>-11800</v>
      </c>
      <c r="AH52" s="286">
        <f t="shared" si="9"/>
        <v>-177706.16999999998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2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5"/>
      <c r="AC53" s="295"/>
      <c r="AD53" s="290"/>
      <c r="AE53" s="290"/>
      <c r="AF53" s="290"/>
      <c r="AG53" s="290"/>
      <c r="AH53" s="286">
        <f t="shared" si="9"/>
        <v>0</v>
      </c>
      <c r="AI53" s="42"/>
      <c r="AJ53" s="360"/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/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865">
        <f t="shared" si="11"/>
        <v>0</v>
      </c>
      <c r="N55" s="865">
        <f t="shared" si="11"/>
        <v>0</v>
      </c>
      <c r="O55" s="865">
        <f t="shared" si="11"/>
        <v>0</v>
      </c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>S56</f>
        <v>0</v>
      </c>
      <c r="T55" s="288">
        <f>T56</f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N56" s="25">
        <v>673.17700000000002</v>
      </c>
    </row>
    <row r="57" spans="1:40" x14ac:dyDescent="0.2">
      <c r="A57" s="287" t="s">
        <v>215</v>
      </c>
      <c r="B57" s="266"/>
      <c r="C57" s="289">
        <v>14107.458999999999</v>
      </c>
      <c r="D57" s="291">
        <v>4376.268</v>
      </c>
      <c r="E57" s="362">
        <v>4565.7020000000002</v>
      </c>
      <c r="F57" s="290">
        <v>4343.799</v>
      </c>
      <c r="G57" s="295">
        <v>6191.5560000000005</v>
      </c>
      <c r="H57" s="292">
        <v>4309.5219999999999</v>
      </c>
      <c r="I57" s="290">
        <v>2780</v>
      </c>
      <c r="J57" s="290">
        <v>1080</v>
      </c>
      <c r="K57" s="290">
        <v>2780</v>
      </c>
      <c r="L57" s="290">
        <v>11327.466</v>
      </c>
      <c r="M57" s="290">
        <v>7780</v>
      </c>
      <c r="N57" s="290">
        <v>4350</v>
      </c>
      <c r="O57" s="290">
        <v>612.74400000000003</v>
      </c>
      <c r="P57" s="292">
        <v>3680</v>
      </c>
      <c r="Q57" s="290">
        <v>30952.737000000001</v>
      </c>
      <c r="R57" s="290">
        <v>3901.6350000000002</v>
      </c>
      <c r="S57" s="290">
        <v>1980</v>
      </c>
      <c r="T57" s="290">
        <v>8387.101999999999</v>
      </c>
      <c r="U57" s="290">
        <v>541.57500000000005</v>
      </c>
      <c r="V57" s="290">
        <v>3488.9520000000002</v>
      </c>
      <c r="W57" s="290">
        <v>2620</v>
      </c>
      <c r="X57" s="290">
        <v>2980</v>
      </c>
      <c r="Y57" s="290">
        <v>6162.0569999999998</v>
      </c>
      <c r="Z57" s="290">
        <v>1685.5619999999999</v>
      </c>
      <c r="AA57" s="292">
        <v>14076.550999999999</v>
      </c>
      <c r="AB57" s="290">
        <v>1000</v>
      </c>
      <c r="AC57" s="290"/>
      <c r="AD57" s="290">
        <v>5258.1729999999998</v>
      </c>
      <c r="AE57" s="290">
        <v>2855.569</v>
      </c>
      <c r="AF57" s="290">
        <v>28969.965</v>
      </c>
      <c r="AG57" s="290">
        <v>92638.578000000009</v>
      </c>
      <c r="AH57" s="286">
        <f t="shared" si="9"/>
        <v>279782.97200000001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J59">
        <f>18755+17890+17700+17800</f>
        <v>72145</v>
      </c>
      <c r="AN59" s="25">
        <v>1850.7819999999999</v>
      </c>
    </row>
    <row r="60" spans="1:40" x14ac:dyDescent="0.2">
      <c r="A60" s="287" t="s">
        <v>915</v>
      </c>
      <c r="B60" s="266"/>
      <c r="C60" s="300">
        <f>C55-C43</f>
        <v>-23946.052999999996</v>
      </c>
      <c r="D60" s="300">
        <f t="shared" ref="D60:AG60" si="12">D55-D43</f>
        <v>0</v>
      </c>
      <c r="E60" s="300">
        <f t="shared" si="12"/>
        <v>0</v>
      </c>
      <c r="F60" s="300">
        <f t="shared" si="12"/>
        <v>0</v>
      </c>
      <c r="G60" s="300">
        <f t="shared" si="12"/>
        <v>-3000.0000000000036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-3.637978807091713E-12</v>
      </c>
      <c r="M60" s="300">
        <f t="shared" si="12"/>
        <v>0</v>
      </c>
      <c r="N60" s="300">
        <f t="shared" si="12"/>
        <v>-885.5</v>
      </c>
      <c r="O60" s="300">
        <f t="shared" si="12"/>
        <v>3.637978807091713E-12</v>
      </c>
      <c r="P60" s="867">
        <f t="shared" si="12"/>
        <v>0</v>
      </c>
      <c r="Q60" s="300">
        <f t="shared" si="12"/>
        <v>-7.2759576141834259E-12</v>
      </c>
      <c r="R60" s="300">
        <f>R55-R43</f>
        <v>0</v>
      </c>
      <c r="S60" s="300">
        <f>S55-S43</f>
        <v>0</v>
      </c>
      <c r="T60" s="300">
        <f t="shared" si="12"/>
        <v>-329.32300000000009</v>
      </c>
      <c r="U60" s="300">
        <f t="shared" si="12"/>
        <v>0</v>
      </c>
      <c r="V60" s="300">
        <f t="shared" si="12"/>
        <v>-516.29800000000068</v>
      </c>
      <c r="W60" s="300">
        <f t="shared" si="12"/>
        <v>0</v>
      </c>
      <c r="X60" s="300">
        <f t="shared" si="12"/>
        <v>0</v>
      </c>
      <c r="Y60" s="300">
        <f t="shared" si="12"/>
        <v>0</v>
      </c>
      <c r="Z60" s="300">
        <f t="shared" si="12"/>
        <v>0</v>
      </c>
      <c r="AA60" s="300">
        <f t="shared" si="12"/>
        <v>-2.5789999999942665</v>
      </c>
      <c r="AB60" s="300">
        <f t="shared" si="12"/>
        <v>0</v>
      </c>
      <c r="AC60" s="300">
        <f t="shared" si="12"/>
        <v>0</v>
      </c>
      <c r="AD60" s="300">
        <f t="shared" si="12"/>
        <v>0</v>
      </c>
      <c r="AE60" s="300">
        <f t="shared" si="12"/>
        <v>0</v>
      </c>
      <c r="AF60" s="300">
        <f t="shared" si="12"/>
        <v>0</v>
      </c>
      <c r="AG60" s="300">
        <f t="shared" si="12"/>
        <v>3.637978807091713E-12</v>
      </c>
      <c r="AH60" s="215"/>
      <c r="AJ60">
        <f>AJ59+67000</f>
        <v>139145</v>
      </c>
      <c r="AL60" s="42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-347210.37</v>
      </c>
      <c r="D63" s="291">
        <f>C70+D60</f>
        <v>-347210.37</v>
      </c>
      <c r="E63" s="291">
        <f t="shared" ref="E63:AG63" si="13">D70+E60</f>
        <v>-347210.37</v>
      </c>
      <c r="F63" s="291">
        <f t="shared" si="13"/>
        <v>-347210.37</v>
      </c>
      <c r="G63" s="291">
        <f t="shared" si="13"/>
        <v>-350210.37</v>
      </c>
      <c r="H63" s="291">
        <f t="shared" si="13"/>
        <v>-350210.37</v>
      </c>
      <c r="I63" s="291">
        <f t="shared" si="13"/>
        <v>-350210.37</v>
      </c>
      <c r="J63" s="291">
        <f t="shared" si="13"/>
        <v>-350210.37</v>
      </c>
      <c r="K63" s="291">
        <f t="shared" si="13"/>
        <v>-350210.37</v>
      </c>
      <c r="L63" s="291">
        <f t="shared" si="13"/>
        <v>-350210.37</v>
      </c>
      <c r="M63" s="291">
        <f t="shared" si="13"/>
        <v>-350210.37</v>
      </c>
      <c r="N63" s="291">
        <f t="shared" si="13"/>
        <v>-351095.87</v>
      </c>
      <c r="O63" s="291">
        <f t="shared" si="13"/>
        <v>-351095.87</v>
      </c>
      <c r="P63" s="289">
        <f>O70+P60</f>
        <v>-351095.87</v>
      </c>
      <c r="Q63" s="291">
        <f t="shared" si="13"/>
        <v>-351095.87</v>
      </c>
      <c r="R63" s="291">
        <f t="shared" si="13"/>
        <v>-351095.87</v>
      </c>
      <c r="S63" s="291">
        <f>R70+S60</f>
        <v>-351095.87</v>
      </c>
      <c r="T63" s="291">
        <f>S70+T60</f>
        <v>-351425.19299999997</v>
      </c>
      <c r="U63" s="291">
        <f t="shared" si="13"/>
        <v>-351425.19299999997</v>
      </c>
      <c r="V63" s="291">
        <f t="shared" si="13"/>
        <v>-351941.49099999998</v>
      </c>
      <c r="W63" s="291">
        <f t="shared" si="13"/>
        <v>-351941.49099999998</v>
      </c>
      <c r="X63" s="291">
        <f t="shared" si="13"/>
        <v>-351941.49099999998</v>
      </c>
      <c r="Y63" s="291">
        <f t="shared" si="13"/>
        <v>-351941.49099999998</v>
      </c>
      <c r="Z63" s="291">
        <f t="shared" si="13"/>
        <v>-351941.49099999998</v>
      </c>
      <c r="AA63" s="291">
        <f t="shared" si="13"/>
        <v>-351944.06999999995</v>
      </c>
      <c r="AB63" s="291">
        <f t="shared" si="13"/>
        <v>-351944.06999999995</v>
      </c>
      <c r="AC63" s="291">
        <f t="shared" si="13"/>
        <v>-351944.06999999995</v>
      </c>
      <c r="AD63" s="291">
        <f t="shared" si="13"/>
        <v>-351944.06999999995</v>
      </c>
      <c r="AE63" s="291">
        <f t="shared" si="13"/>
        <v>-351944.06999999995</v>
      </c>
      <c r="AF63" s="291">
        <f t="shared" si="13"/>
        <v>-351944.06999999995</v>
      </c>
      <c r="AG63" s="291">
        <f t="shared" si="13"/>
        <v>-351944.06999999995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-347210.37</v>
      </c>
      <c r="D70" s="291">
        <f t="shared" ref="D70:AG70" si="15">D63+D66+D67</f>
        <v>-347210.37</v>
      </c>
      <c r="E70" s="291">
        <f t="shared" si="15"/>
        <v>-347210.37</v>
      </c>
      <c r="F70" s="291">
        <f t="shared" si="15"/>
        <v>-347210.37</v>
      </c>
      <c r="G70" s="291">
        <f t="shared" si="15"/>
        <v>-350210.37</v>
      </c>
      <c r="H70" s="291">
        <f t="shared" si="15"/>
        <v>-350210.37</v>
      </c>
      <c r="I70" s="291">
        <f t="shared" si="15"/>
        <v>-350210.37</v>
      </c>
      <c r="J70" s="291">
        <f t="shared" si="15"/>
        <v>-350210.37</v>
      </c>
      <c r="K70" s="291">
        <f t="shared" si="15"/>
        <v>-350210.37</v>
      </c>
      <c r="L70" s="291">
        <f t="shared" si="15"/>
        <v>-350210.37</v>
      </c>
      <c r="M70" s="291">
        <f t="shared" si="15"/>
        <v>-350210.37</v>
      </c>
      <c r="N70" s="291">
        <f t="shared" si="15"/>
        <v>-351095.87</v>
      </c>
      <c r="O70" s="291">
        <f t="shared" si="15"/>
        <v>-351095.87</v>
      </c>
      <c r="P70" s="289">
        <f>P63+P66+P67</f>
        <v>-351095.87</v>
      </c>
      <c r="Q70" s="291">
        <f t="shared" si="15"/>
        <v>-351095.87</v>
      </c>
      <c r="R70" s="291">
        <f t="shared" si="15"/>
        <v>-351095.87</v>
      </c>
      <c r="S70" s="291">
        <f>S63+S66+S67</f>
        <v>-351095.87</v>
      </c>
      <c r="T70" s="291">
        <f t="shared" si="15"/>
        <v>-351425.19299999997</v>
      </c>
      <c r="U70" s="291">
        <f t="shared" si="15"/>
        <v>-351425.19299999997</v>
      </c>
      <c r="V70" s="291">
        <f t="shared" si="15"/>
        <v>-351941.49099999998</v>
      </c>
      <c r="W70" s="291">
        <f t="shared" si="15"/>
        <v>-351941.49099999998</v>
      </c>
      <c r="X70" s="291">
        <f t="shared" si="15"/>
        <v>-351941.49099999998</v>
      </c>
      <c r="Y70" s="291">
        <f t="shared" si="15"/>
        <v>-351941.49099999998</v>
      </c>
      <c r="Z70" s="291">
        <f t="shared" si="15"/>
        <v>-351941.49099999998</v>
      </c>
      <c r="AA70" s="291">
        <f t="shared" si="15"/>
        <v>-351944.06999999995</v>
      </c>
      <c r="AB70" s="291">
        <f t="shared" si="15"/>
        <v>-351944.06999999995</v>
      </c>
      <c r="AC70" s="291">
        <f t="shared" si="15"/>
        <v>-351944.06999999995</v>
      </c>
      <c r="AD70" s="291">
        <f t="shared" si="15"/>
        <v>-351944.06999999995</v>
      </c>
      <c r="AE70" s="291">
        <f t="shared" si="15"/>
        <v>-351944.06999999995</v>
      </c>
      <c r="AF70" s="291">
        <f t="shared" si="15"/>
        <v>-351944.06999999995</v>
      </c>
      <c r="AG70" s="291">
        <f t="shared" si="15"/>
        <v>-351944.06999999995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0"/>
      <c r="E74" s="290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/>
      <c r="E75" s="290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SUM(C84:C121)</f>
        <v>12019.927</v>
      </c>
      <c r="D82" s="286"/>
      <c r="E82" s="470"/>
      <c r="F82" s="286"/>
      <c r="G82" s="317"/>
      <c r="H82" s="315"/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/>
      <c r="G83" s="319"/>
      <c r="H83" s="215"/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>
        <v>42360</v>
      </c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42255</v>
      </c>
      <c r="C85" s="318"/>
      <c r="D85" s="309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42248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42248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42368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42369</v>
      </c>
      <c r="C89" s="323">
        <f>10868.357-4941.296-5927.061</f>
        <v>0</v>
      </c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42366</v>
      </c>
      <c r="C90" s="325">
        <f>14346.642-7951.401-5390.274-1004.967</f>
        <v>0</v>
      </c>
      <c r="D90" s="323"/>
      <c r="E90" s="353"/>
      <c r="F90" s="215"/>
      <c r="G90" s="326"/>
      <c r="H90" s="215"/>
      <c r="I90" s="215"/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42367</v>
      </c>
      <c r="C91" s="325">
        <f>21993.719-7068.02-5607.31-4847.5-2617.448-1853.441</f>
        <v>0</v>
      </c>
      <c r="D91" s="323"/>
      <c r="E91" s="323"/>
      <c r="F91" s="215"/>
      <c r="G91" s="326"/>
      <c r="H91" s="215"/>
      <c r="I91" s="215"/>
      <c r="J91" s="215"/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42359</v>
      </c>
      <c r="C92" s="324"/>
      <c r="D92" s="323"/>
      <c r="E92" s="323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42359</v>
      </c>
      <c r="C93" s="1406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42355</v>
      </c>
      <c r="C94" s="1205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42325</v>
      </c>
      <c r="C95" s="1205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42356</v>
      </c>
      <c r="C96" s="324"/>
      <c r="D96" s="323"/>
      <c r="E96" s="323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>
        <v>42318</v>
      </c>
      <c r="C97" s="324"/>
      <c r="D97" s="323"/>
      <c r="E97" s="323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42349</v>
      </c>
      <c r="C98" s="324">
        <v>3000</v>
      </c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42361</v>
      </c>
      <c r="C99" s="324"/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42362</v>
      </c>
      <c r="C100" s="324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42363</v>
      </c>
      <c r="C101" s="324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42365</v>
      </c>
      <c r="C102" s="324"/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42366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42369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42338</v>
      </c>
      <c r="C105" s="324">
        <f>3693.018+5326.909</f>
        <v>9019.9269999999997</v>
      </c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42360</v>
      </c>
      <c r="C106" s="324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320">
        <v>42368</v>
      </c>
      <c r="C107" s="324"/>
      <c r="D107" s="323" t="s">
        <v>813</v>
      </c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 t="s">
        <v>436</v>
      </c>
      <c r="B108" s="320">
        <v>42349</v>
      </c>
      <c r="C108" s="325"/>
      <c r="D108" s="323"/>
      <c r="E108" s="215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</row>
    <row r="109" spans="1:42" x14ac:dyDescent="0.2">
      <c r="A109" s="327" t="s">
        <v>33</v>
      </c>
      <c r="B109" s="320">
        <v>42368</v>
      </c>
      <c r="C109" s="318"/>
      <c r="D109" s="323"/>
      <c r="E109" s="215"/>
      <c r="F109" s="215"/>
      <c r="G109" s="470"/>
      <c r="H109" s="323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>
        <v>222914.55799999999</v>
      </c>
    </row>
    <row r="110" spans="1:42" x14ac:dyDescent="0.2">
      <c r="A110" s="327" t="s">
        <v>32</v>
      </c>
      <c r="B110" s="320">
        <v>42363</v>
      </c>
      <c r="C110" s="318">
        <f>56692.801-31867.774-24825.027</f>
        <v>0</v>
      </c>
      <c r="D110" s="323"/>
      <c r="E110" s="318"/>
      <c r="F110" s="311"/>
      <c r="G110" s="215"/>
      <c r="H110" s="215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</row>
    <row r="111" spans="1:42" x14ac:dyDescent="0.2">
      <c r="A111" s="327" t="s">
        <v>33</v>
      </c>
      <c r="B111" s="320">
        <v>42363</v>
      </c>
      <c r="C111" s="318"/>
      <c r="D111" s="215"/>
      <c r="E111" s="320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  <c r="AN111" s="194">
        <f>AN109-AN93</f>
        <v>55537.753999999957</v>
      </c>
    </row>
    <row r="112" spans="1:42" x14ac:dyDescent="0.2">
      <c r="A112" s="327" t="s">
        <v>33</v>
      </c>
      <c r="B112" s="320">
        <v>42366</v>
      </c>
      <c r="C112" s="318"/>
      <c r="D112" s="215"/>
      <c r="E112" s="320"/>
      <c r="F112" s="311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</row>
    <row r="113" spans="1:34" x14ac:dyDescent="0.2">
      <c r="A113" s="327" t="s">
        <v>33</v>
      </c>
      <c r="B113" s="320">
        <v>42367</v>
      </c>
      <c r="C113" s="318"/>
      <c r="D113" s="215"/>
      <c r="E113" s="215"/>
      <c r="F113" s="215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1036</v>
      </c>
      <c r="B114" s="320">
        <v>42249</v>
      </c>
      <c r="C114" s="318"/>
      <c r="D114" s="215"/>
      <c r="E114" s="323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32</v>
      </c>
      <c r="B115" s="320">
        <v>42250</v>
      </c>
      <c r="C115" s="318"/>
      <c r="D115" s="323"/>
      <c r="E115" s="323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33</v>
      </c>
      <c r="B116" s="320">
        <v>42248</v>
      </c>
      <c r="C116" s="318"/>
      <c r="D116" s="215"/>
      <c r="E116" s="215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33</v>
      </c>
      <c r="B117" s="320">
        <v>42248</v>
      </c>
      <c r="C117" s="318"/>
      <c r="D117" s="215"/>
      <c r="E117" s="323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33</v>
      </c>
      <c r="B118" s="320">
        <v>42248</v>
      </c>
      <c r="C118" s="318"/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33</v>
      </c>
      <c r="B119" s="320">
        <v>42248</v>
      </c>
      <c r="C119" s="318"/>
      <c r="D119" s="215"/>
      <c r="E119" s="500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327" t="s">
        <v>32</v>
      </c>
      <c r="B120" s="320">
        <v>42251</v>
      </c>
      <c r="C120" s="316"/>
      <c r="D120" s="215"/>
      <c r="E120" s="323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310" t="s">
        <v>33</v>
      </c>
      <c r="B121" s="320">
        <v>42355</v>
      </c>
      <c r="C121" s="318">
        <f>2794.522-2794.522</f>
        <v>0</v>
      </c>
      <c r="D121" s="215"/>
      <c r="E121" s="215"/>
      <c r="F121" s="215"/>
      <c r="G121" s="323"/>
      <c r="H121" s="323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215"/>
      <c r="B122" s="320"/>
      <c r="C122" s="262"/>
      <c r="D122" s="215"/>
      <c r="E122" s="215"/>
      <c r="F122" s="215"/>
      <c r="G122" s="323"/>
      <c r="H122" s="215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15"/>
      <c r="D123" s="215"/>
      <c r="E123" s="215"/>
      <c r="F123" s="215"/>
      <c r="G123" s="215"/>
      <c r="H123" s="316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215"/>
      <c r="B124" s="320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310"/>
      <c r="B125" s="320"/>
      <c r="C125" s="262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310"/>
      <c r="B126" s="320"/>
      <c r="C126" s="262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ht="13.5" thickBot="1" x14ac:dyDescent="0.25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309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</row>
    <row r="132" spans="1:34" x14ac:dyDescent="0.2">
      <c r="A132" s="263"/>
      <c r="B132" s="264"/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860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15"/>
    </row>
    <row r="133" spans="1:34" x14ac:dyDescent="0.2">
      <c r="A133" s="265"/>
      <c r="B133" s="266" t="s">
        <v>37</v>
      </c>
      <c r="C133" s="266"/>
      <c r="D133" s="266"/>
      <c r="E133" s="267" t="s">
        <v>905</v>
      </c>
      <c r="F133" s="268" t="s">
        <v>95</v>
      </c>
      <c r="G133" s="269" t="s">
        <v>6</v>
      </c>
      <c r="H133" s="268"/>
      <c r="I133" s="268"/>
      <c r="J133" s="268"/>
      <c r="K133" s="268"/>
      <c r="L133" s="268"/>
      <c r="M133" s="268"/>
      <c r="N133" s="268"/>
      <c r="O133" s="268"/>
      <c r="P133" s="861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15"/>
    </row>
    <row r="134" spans="1:34" x14ac:dyDescent="0.2">
      <c r="A134" s="265"/>
      <c r="B134" s="266"/>
      <c r="C134" s="266"/>
      <c r="D134" s="268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79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C134" s="266"/>
      <c r="AD134" s="266"/>
      <c r="AE134" s="266"/>
      <c r="AF134" s="266"/>
      <c r="AG134" s="266"/>
      <c r="AH134" s="215"/>
    </row>
    <row r="135" spans="1:34" x14ac:dyDescent="0.2">
      <c r="A135" s="328"/>
      <c r="B135" s="266"/>
      <c r="C135" s="268"/>
      <c r="D135" s="268">
        <v>42374</v>
      </c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x14ac:dyDescent="0.2">
      <c r="A136" s="265"/>
      <c r="B136" s="266"/>
      <c r="C136" s="268"/>
      <c r="D136" s="268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ht="13.5" thickBot="1" x14ac:dyDescent="0.25">
      <c r="A137" s="265"/>
      <c r="B137" s="266"/>
      <c r="C137" s="266"/>
      <c r="D137" s="266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79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15"/>
    </row>
    <row r="138" spans="1:34" ht="13.5" thickBot="1" x14ac:dyDescent="0.25">
      <c r="A138" s="265"/>
      <c r="B138" s="266"/>
      <c r="C138" s="270"/>
      <c r="D138" s="271" t="s">
        <v>16</v>
      </c>
      <c r="E138" s="271"/>
      <c r="F138" s="271"/>
      <c r="G138" s="271"/>
      <c r="H138" s="271"/>
      <c r="I138" s="271"/>
      <c r="J138" s="271"/>
      <c r="K138" s="271"/>
      <c r="L138" s="271"/>
      <c r="M138" s="271"/>
      <c r="N138" s="271"/>
      <c r="O138" s="271"/>
      <c r="P138" s="862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15"/>
    </row>
    <row r="139" spans="1:34" ht="13.5" thickBot="1" x14ac:dyDescent="0.25">
      <c r="A139" s="265"/>
      <c r="B139" s="266"/>
      <c r="C139" s="272" t="s">
        <v>452</v>
      </c>
      <c r="D139" s="272" t="s">
        <v>453</v>
      </c>
      <c r="E139" s="272" t="s">
        <v>434</v>
      </c>
      <c r="F139" s="272" t="s">
        <v>390</v>
      </c>
      <c r="G139" s="272" t="s">
        <v>454</v>
      </c>
      <c r="H139" s="272" t="s">
        <v>455</v>
      </c>
      <c r="I139" s="272" t="s">
        <v>456</v>
      </c>
      <c r="J139" s="272" t="s">
        <v>457</v>
      </c>
      <c r="K139" s="272" t="s">
        <v>458</v>
      </c>
      <c r="L139" s="272" t="s">
        <v>216</v>
      </c>
      <c r="M139" s="272" t="s">
        <v>459</v>
      </c>
      <c r="N139" s="272" t="s">
        <v>297</v>
      </c>
      <c r="O139" s="272" t="s">
        <v>211</v>
      </c>
      <c r="P139" s="863" t="s">
        <v>270</v>
      </c>
      <c r="Q139" s="272">
        <v>15</v>
      </c>
      <c r="R139" s="272">
        <v>16</v>
      </c>
      <c r="S139" s="272" t="s">
        <v>461</v>
      </c>
      <c r="T139" s="272" t="s">
        <v>442</v>
      </c>
      <c r="U139" s="272" t="s">
        <v>462</v>
      </c>
      <c r="V139" s="272" t="s">
        <v>470</v>
      </c>
      <c r="W139" s="272" t="s">
        <v>471</v>
      </c>
      <c r="X139" s="272" t="s">
        <v>472</v>
      </c>
      <c r="Y139" s="272" t="s">
        <v>463</v>
      </c>
      <c r="Z139" s="272" t="s">
        <v>465</v>
      </c>
      <c r="AA139" s="272" t="s">
        <v>466</v>
      </c>
      <c r="AB139" s="272" t="s">
        <v>435</v>
      </c>
      <c r="AC139" s="272" t="s">
        <v>467</v>
      </c>
      <c r="AD139" s="272" t="s">
        <v>464</v>
      </c>
      <c r="AE139" s="272" t="s">
        <v>429</v>
      </c>
      <c r="AF139" s="272" t="s">
        <v>149</v>
      </c>
      <c r="AG139" s="272" t="s">
        <v>210</v>
      </c>
      <c r="AH139" s="215"/>
    </row>
    <row r="140" spans="1:34" x14ac:dyDescent="0.2">
      <c r="A140" s="263"/>
      <c r="B140" s="273"/>
      <c r="C140" s="266"/>
      <c r="D140" s="266"/>
      <c r="E140" s="266"/>
      <c r="F140" s="266"/>
      <c r="G140" s="266"/>
      <c r="H140" s="266"/>
      <c r="I140" s="266"/>
      <c r="J140" s="266"/>
      <c r="K140" s="266"/>
      <c r="L140" s="266"/>
      <c r="M140" s="266"/>
      <c r="N140" s="266"/>
      <c r="O140" s="266"/>
      <c r="P140" s="279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266"/>
      <c r="AE140" s="266"/>
      <c r="AF140" s="266"/>
      <c r="AG140" s="266"/>
      <c r="AH140" s="215"/>
    </row>
    <row r="141" spans="1:34" x14ac:dyDescent="0.2">
      <c r="A141" s="265" t="s">
        <v>0</v>
      </c>
      <c r="B141" s="274">
        <v>7870.3909999999996</v>
      </c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ht="13.5" thickBot="1" x14ac:dyDescent="0.25">
      <c r="A142" s="275"/>
      <c r="B142" s="276"/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x14ac:dyDescent="0.2">
      <c r="A143" s="263"/>
      <c r="B143" s="278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5" t="s">
        <v>1</v>
      </c>
      <c r="B144" s="274">
        <f>B145+B146+B147</f>
        <v>0</v>
      </c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38</v>
      </c>
      <c r="B145" s="274">
        <f>C195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39</v>
      </c>
      <c r="B146" s="274">
        <f>C215</f>
        <v>0</v>
      </c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x14ac:dyDescent="0.2">
      <c r="A147" s="265" t="s">
        <v>3</v>
      </c>
      <c r="B147" s="274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ht="13.5" thickBot="1" x14ac:dyDescent="0.25">
      <c r="A148" s="275"/>
      <c r="B148" s="276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x14ac:dyDescent="0.2">
      <c r="A149" s="263"/>
      <c r="B149" s="278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x14ac:dyDescent="0.2">
      <c r="A150" s="265" t="s">
        <v>4</v>
      </c>
      <c r="B150" s="274">
        <f>B141+B144</f>
        <v>7870.3909999999996</v>
      </c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ht="13.5" thickBot="1" x14ac:dyDescent="0.25">
      <c r="A151" s="275"/>
      <c r="B151" s="276"/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x14ac:dyDescent="0.2">
      <c r="A152" s="263"/>
      <c r="B152" s="278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ht="18" x14ac:dyDescent="0.25">
      <c r="A153" s="265" t="s">
        <v>17</v>
      </c>
      <c r="B153" s="274"/>
      <c r="C153" s="266"/>
      <c r="D153" s="266"/>
      <c r="E153" s="266"/>
      <c r="F153" s="266"/>
      <c r="G153" s="266"/>
      <c r="H153" s="266"/>
      <c r="I153" s="1758" t="s">
        <v>1194</v>
      </c>
      <c r="J153" s="1758"/>
      <c r="K153" s="1758"/>
      <c r="L153" s="1758"/>
      <c r="M153" s="1755"/>
      <c r="N153" s="1755"/>
      <c r="O153" s="1755"/>
      <c r="P153" s="1755"/>
      <c r="Q153" s="1755"/>
      <c r="R153" s="1755"/>
      <c r="S153" s="1755"/>
      <c r="T153" s="1755"/>
      <c r="U153" s="1755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ht="13.5" thickBot="1" x14ac:dyDescent="0.25">
      <c r="A154" s="275"/>
      <c r="B154" s="276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15"/>
    </row>
    <row r="155" spans="1:34" x14ac:dyDescent="0.2">
      <c r="A155" s="263"/>
      <c r="B155" s="278"/>
      <c r="C155" s="266"/>
      <c r="D155" s="802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79"/>
      <c r="Q155" s="266"/>
      <c r="R155" s="266"/>
      <c r="S155" s="266"/>
      <c r="T155" s="266"/>
      <c r="U155" s="269"/>
      <c r="V155" s="266"/>
      <c r="W155" s="266"/>
      <c r="X155" s="266"/>
      <c r="Y155" s="266"/>
      <c r="Z155" s="269" t="s">
        <v>713</v>
      </c>
      <c r="AA155" s="266"/>
      <c r="AB155" s="266"/>
      <c r="AC155" s="802"/>
      <c r="AD155" s="266"/>
      <c r="AF155" s="266"/>
      <c r="AG155" s="266"/>
      <c r="AH155" s="215"/>
    </row>
    <row r="156" spans="1:34" x14ac:dyDescent="0.2">
      <c r="A156" s="265" t="s">
        <v>5</v>
      </c>
      <c r="B156" s="274">
        <f>B150-B153</f>
        <v>7870.3909999999996</v>
      </c>
      <c r="C156" s="269"/>
      <c r="D156" s="802"/>
      <c r="E156" s="934" t="s">
        <v>473</v>
      </c>
      <c r="F156" s="269"/>
      <c r="G156" s="810"/>
      <c r="H156" s="269"/>
      <c r="I156" s="269"/>
      <c r="J156" s="266" t="s">
        <v>1191</v>
      </c>
      <c r="K156" s="269"/>
      <c r="L156" s="707"/>
      <c r="M156" s="269"/>
      <c r="N156" s="266"/>
      <c r="O156" s="269"/>
      <c r="P156" s="281"/>
      <c r="Q156" s="269"/>
      <c r="R156" s="269"/>
      <c r="S156" s="269"/>
      <c r="T156" s="810"/>
      <c r="U156" s="269" t="s">
        <v>64</v>
      </c>
      <c r="V156" s="269"/>
      <c r="W156" s="269" t="s">
        <v>1038</v>
      </c>
      <c r="X156" s="269"/>
      <c r="Y156" s="269"/>
      <c r="Z156" s="269"/>
      <c r="AA156" s="707"/>
      <c r="AB156" s="269"/>
      <c r="AC156" s="802"/>
      <c r="AD156" s="269"/>
      <c r="AF156" s="269"/>
      <c r="AG156" s="269"/>
      <c r="AH156" s="215"/>
    </row>
    <row r="157" spans="1:34" ht="13.5" thickBot="1" x14ac:dyDescent="0.25">
      <c r="A157" s="275"/>
      <c r="B157" s="276"/>
      <c r="C157" s="266"/>
      <c r="D157" s="266"/>
      <c r="E157" s="266"/>
      <c r="F157" s="266"/>
      <c r="G157" s="266"/>
      <c r="H157" s="266"/>
      <c r="I157" s="266"/>
      <c r="J157" s="266"/>
      <c r="K157" s="266"/>
      <c r="L157" s="266"/>
      <c r="M157" s="266"/>
      <c r="N157" s="266"/>
      <c r="O157" s="266"/>
      <c r="P157" s="281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15"/>
    </row>
    <row r="158" spans="1:34" x14ac:dyDescent="0.2">
      <c r="A158" s="282"/>
      <c r="B158" s="266"/>
      <c r="C158" s="283"/>
      <c r="D158" s="285"/>
      <c r="E158" s="285"/>
      <c r="F158" s="284"/>
      <c r="G158" s="284"/>
      <c r="H158" s="284"/>
      <c r="I158" s="284"/>
      <c r="J158" s="284"/>
      <c r="K158" s="284"/>
      <c r="L158" s="284"/>
      <c r="M158" s="284"/>
      <c r="N158" s="284"/>
      <c r="O158" s="284"/>
      <c r="P158" s="86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15"/>
    </row>
    <row r="159" spans="1:34" ht="13.5" thickBot="1" x14ac:dyDescent="0.25">
      <c r="A159" s="287" t="s">
        <v>7</v>
      </c>
      <c r="B159" s="266"/>
      <c r="C159" s="288">
        <f>C160+C161+C162+C166+C165+C163+C164</f>
        <v>0</v>
      </c>
      <c r="D159" s="288">
        <f t="shared" ref="D159:AE159" si="16">D160+D161+D162+D166+D165+D163+D164</f>
        <v>0</v>
      </c>
      <c r="E159" s="288">
        <f t="shared" si="16"/>
        <v>0</v>
      </c>
      <c r="F159" s="288">
        <f t="shared" si="16"/>
        <v>0</v>
      </c>
      <c r="G159" s="288">
        <f t="shared" si="16"/>
        <v>0</v>
      </c>
      <c r="H159" s="288">
        <f t="shared" si="16"/>
        <v>0</v>
      </c>
      <c r="I159" s="288">
        <f t="shared" si="16"/>
        <v>0</v>
      </c>
      <c r="J159" s="288">
        <f t="shared" si="16"/>
        <v>0</v>
      </c>
      <c r="K159" s="288">
        <f t="shared" si="16"/>
        <v>0</v>
      </c>
      <c r="L159" s="288">
        <f t="shared" si="16"/>
        <v>0</v>
      </c>
      <c r="M159" s="288">
        <f t="shared" si="16"/>
        <v>0</v>
      </c>
      <c r="N159" s="288">
        <f t="shared" si="16"/>
        <v>0</v>
      </c>
      <c r="O159" s="288">
        <f t="shared" si="16"/>
        <v>0</v>
      </c>
      <c r="P159" s="865">
        <f t="shared" si="16"/>
        <v>0</v>
      </c>
      <c r="Q159" s="288">
        <f t="shared" si="16"/>
        <v>0</v>
      </c>
      <c r="R159" s="288">
        <f t="shared" si="16"/>
        <v>0</v>
      </c>
      <c r="S159" s="288">
        <f t="shared" si="16"/>
        <v>0</v>
      </c>
      <c r="T159" s="288">
        <f t="shared" si="16"/>
        <v>0</v>
      </c>
      <c r="U159" s="288">
        <f t="shared" si="16"/>
        <v>0</v>
      </c>
      <c r="V159" s="288">
        <f t="shared" si="16"/>
        <v>0</v>
      </c>
      <c r="W159" s="288">
        <f t="shared" si="16"/>
        <v>0</v>
      </c>
      <c r="X159" s="288">
        <f t="shared" si="16"/>
        <v>0</v>
      </c>
      <c r="Y159" s="288">
        <f t="shared" si="16"/>
        <v>0</v>
      </c>
      <c r="Z159" s="288">
        <f t="shared" si="16"/>
        <v>0</v>
      </c>
      <c r="AA159" s="288">
        <f t="shared" si="16"/>
        <v>0</v>
      </c>
      <c r="AB159" s="288">
        <f t="shared" si="16"/>
        <v>0</v>
      </c>
      <c r="AC159" s="288">
        <f t="shared" si="16"/>
        <v>0</v>
      </c>
      <c r="AD159" s="288">
        <f t="shared" si="16"/>
        <v>0</v>
      </c>
      <c r="AE159" s="288">
        <f t="shared" si="16"/>
        <v>0</v>
      </c>
      <c r="AF159" s="288">
        <f>AF160+AF161+AF162+AF166+AF165+AF163+AF164</f>
        <v>0</v>
      </c>
      <c r="AG159" s="288">
        <f>AG160+AG161+AG162+AG166+AG165+AG163+AG164</f>
        <v>0</v>
      </c>
      <c r="AH159" s="286">
        <f t="shared" ref="AH159:AH167" si="17">SUM(C159:AG159)</f>
        <v>0</v>
      </c>
    </row>
    <row r="160" spans="1:34" x14ac:dyDescent="0.2">
      <c r="A160" s="287" t="s">
        <v>8</v>
      </c>
      <c r="B160" s="266"/>
      <c r="C160" s="291"/>
      <c r="D160" s="291"/>
      <c r="E160" s="291"/>
      <c r="F160" s="290"/>
      <c r="G160" s="290"/>
      <c r="H160" s="290"/>
      <c r="I160" s="290"/>
      <c r="J160" s="290"/>
      <c r="K160" s="290"/>
      <c r="L160" s="290"/>
      <c r="M160" s="290"/>
      <c r="N160" s="290"/>
      <c r="O160" s="290"/>
      <c r="P160" s="292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86">
        <f t="shared" si="17"/>
        <v>0</v>
      </c>
    </row>
    <row r="161" spans="1:35" x14ac:dyDescent="0.2">
      <c r="A161" s="287" t="s">
        <v>9</v>
      </c>
      <c r="B161" s="266"/>
      <c r="C161" s="291"/>
      <c r="D161" s="291"/>
      <c r="E161" s="291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2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86">
        <f t="shared" si="17"/>
        <v>0</v>
      </c>
    </row>
    <row r="162" spans="1:35" s="360" customFormat="1" x14ac:dyDescent="0.2">
      <c r="A162" s="662" t="s">
        <v>10</v>
      </c>
      <c r="B162" s="669"/>
      <c r="C162" s="664"/>
      <c r="D162" s="565"/>
      <c r="E162" s="565"/>
      <c r="F162" s="560"/>
      <c r="G162" s="811"/>
      <c r="H162" s="560"/>
      <c r="I162" s="560"/>
      <c r="J162" s="560">
        <v>25976</v>
      </c>
      <c r="K162" s="560"/>
      <c r="L162" s="708"/>
      <c r="M162" s="560"/>
      <c r="N162" s="560"/>
      <c r="O162" s="560"/>
      <c r="P162" s="560"/>
      <c r="Q162" s="560"/>
      <c r="R162" s="560"/>
      <c r="S162" s="560"/>
      <c r="T162" s="811"/>
      <c r="U162" s="560"/>
      <c r="V162" s="560"/>
      <c r="W162" s="560"/>
      <c r="X162" s="560"/>
      <c r="Y162" s="560"/>
      <c r="Z162" s="560"/>
      <c r="AA162" s="708"/>
      <c r="AB162" s="560"/>
      <c r="AC162" s="560"/>
      <c r="AD162" s="560"/>
      <c r="AE162" s="803"/>
      <c r="AF162" s="560"/>
      <c r="AG162" s="560"/>
      <c r="AH162" s="379">
        <f t="shared" si="17"/>
        <v>25976</v>
      </c>
    </row>
    <row r="163" spans="1:35" s="360" customFormat="1" x14ac:dyDescent="0.2">
      <c r="A163" s="662" t="s">
        <v>356</v>
      </c>
      <c r="B163" s="669"/>
      <c r="C163" s="565"/>
      <c r="D163" s="565"/>
      <c r="E163" s="565"/>
      <c r="F163" s="560"/>
      <c r="G163" s="560"/>
      <c r="H163" s="560"/>
      <c r="I163" s="560"/>
      <c r="J163" s="560">
        <v>-25976</v>
      </c>
      <c r="K163" s="560"/>
      <c r="L163" s="560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560"/>
      <c r="AB163" s="560"/>
      <c r="AC163" s="560"/>
      <c r="AD163" s="560"/>
      <c r="AE163" s="560"/>
      <c r="AF163" s="560"/>
      <c r="AG163" s="560"/>
      <c r="AH163" s="379">
        <f t="shared" si="17"/>
        <v>-25976</v>
      </c>
    </row>
    <row r="164" spans="1:35" x14ac:dyDescent="0.2">
      <c r="A164" s="287" t="s">
        <v>357</v>
      </c>
      <c r="B164" s="266"/>
      <c r="C164" s="289"/>
      <c r="D164" s="291"/>
      <c r="E164" s="289"/>
      <c r="F164" s="290"/>
      <c r="G164" s="290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86">
        <f t="shared" si="17"/>
        <v>0</v>
      </c>
    </row>
    <row r="165" spans="1:35" x14ac:dyDescent="0.2">
      <c r="A165" s="287" t="s">
        <v>41</v>
      </c>
      <c r="B165" s="266"/>
      <c r="C165" s="289"/>
      <c r="D165" s="291"/>
      <c r="E165" s="289"/>
      <c r="F165" s="290"/>
      <c r="G165" s="290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x14ac:dyDescent="0.2">
      <c r="A166" s="287" t="s">
        <v>11</v>
      </c>
      <c r="B166" s="266"/>
      <c r="C166" s="291"/>
      <c r="D166" s="289"/>
      <c r="E166" s="289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455"/>
      <c r="AC166" s="292"/>
      <c r="AD166" s="292"/>
      <c r="AE166" s="292"/>
      <c r="AF166" s="292"/>
      <c r="AG166" s="292"/>
      <c r="AH166" s="286">
        <f t="shared" si="17"/>
        <v>0</v>
      </c>
    </row>
    <row r="167" spans="1:35" ht="13.5" thickBot="1" x14ac:dyDescent="0.25">
      <c r="A167" s="296"/>
      <c r="B167" s="266"/>
      <c r="C167" s="291"/>
      <c r="D167" s="291"/>
      <c r="E167" s="291"/>
      <c r="F167" s="290"/>
      <c r="G167" s="290"/>
      <c r="H167" s="290"/>
      <c r="I167" s="290"/>
      <c r="J167" s="290"/>
      <c r="K167" s="290"/>
      <c r="L167" s="290"/>
      <c r="M167" s="290"/>
      <c r="N167" s="290"/>
      <c r="O167" s="290"/>
      <c r="P167" s="292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  <c r="AA167" s="290"/>
      <c r="AB167" s="290"/>
      <c r="AC167" s="290"/>
      <c r="AD167" s="290"/>
      <c r="AE167" s="290"/>
      <c r="AF167" s="290"/>
      <c r="AG167" s="290"/>
      <c r="AH167" s="286">
        <f t="shared" si="17"/>
        <v>0</v>
      </c>
    </row>
    <row r="168" spans="1:35" x14ac:dyDescent="0.2">
      <c r="A168" s="282"/>
      <c r="B168" s="266"/>
      <c r="C168" s="297"/>
      <c r="D168" s="298"/>
      <c r="E168" s="298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866"/>
      <c r="Q168" s="299"/>
      <c r="R168" s="299"/>
      <c r="S168" s="299"/>
      <c r="T168" s="299"/>
      <c r="U168" s="299"/>
      <c r="V168" s="299"/>
      <c r="W168" s="299"/>
      <c r="X168" s="299"/>
      <c r="Y168" s="299"/>
      <c r="Z168" s="299"/>
      <c r="AA168" s="299"/>
      <c r="AB168" s="299"/>
      <c r="AC168" s="299"/>
      <c r="AD168" s="299"/>
      <c r="AE168" s="299"/>
      <c r="AF168" s="299"/>
      <c r="AG168" s="299"/>
      <c r="AH168" s="215"/>
    </row>
    <row r="169" spans="1:35" ht="13.5" thickBot="1" x14ac:dyDescent="0.25">
      <c r="A169" s="287" t="s">
        <v>12</v>
      </c>
      <c r="B169" s="266"/>
      <c r="C169" s="288">
        <f t="shared" ref="C169:AG169" si="18">C170</f>
        <v>0</v>
      </c>
      <c r="D169" s="288">
        <f t="shared" si="18"/>
        <v>0</v>
      </c>
      <c r="E169" s="288">
        <f t="shared" si="18"/>
        <v>0</v>
      </c>
      <c r="F169" s="288">
        <f t="shared" si="18"/>
        <v>0</v>
      </c>
      <c r="G169" s="288">
        <f t="shared" si="18"/>
        <v>0</v>
      </c>
      <c r="H169" s="288">
        <f t="shared" si="18"/>
        <v>0</v>
      </c>
      <c r="I169" s="288">
        <f t="shared" si="18"/>
        <v>0</v>
      </c>
      <c r="J169" s="288">
        <f t="shared" si="18"/>
        <v>0</v>
      </c>
      <c r="K169" s="288">
        <f t="shared" si="18"/>
        <v>0</v>
      </c>
      <c r="L169" s="288">
        <f t="shared" si="18"/>
        <v>0</v>
      </c>
      <c r="M169" s="288">
        <f t="shared" si="18"/>
        <v>0</v>
      </c>
      <c r="N169" s="288">
        <f t="shared" si="18"/>
        <v>0</v>
      </c>
      <c r="O169" s="288">
        <f t="shared" si="18"/>
        <v>0</v>
      </c>
      <c r="P169" s="865">
        <f t="shared" si="18"/>
        <v>0</v>
      </c>
      <c r="Q169" s="288">
        <f t="shared" si="18"/>
        <v>0</v>
      </c>
      <c r="R169" s="288">
        <f t="shared" si="18"/>
        <v>0</v>
      </c>
      <c r="S169" s="288">
        <f t="shared" si="18"/>
        <v>0</v>
      </c>
      <c r="T169" s="288">
        <f t="shared" si="18"/>
        <v>0</v>
      </c>
      <c r="U169" s="288">
        <f t="shared" si="18"/>
        <v>0</v>
      </c>
      <c r="V169" s="288">
        <f t="shared" si="18"/>
        <v>0</v>
      </c>
      <c r="W169" s="288">
        <f t="shared" si="18"/>
        <v>0</v>
      </c>
      <c r="X169" s="288">
        <f t="shared" si="18"/>
        <v>0</v>
      </c>
      <c r="Y169" s="288">
        <f t="shared" si="18"/>
        <v>0</v>
      </c>
      <c r="Z169" s="288">
        <f t="shared" si="18"/>
        <v>0</v>
      </c>
      <c r="AA169" s="288">
        <f t="shared" si="18"/>
        <v>0</v>
      </c>
      <c r="AB169" s="288">
        <f t="shared" si="18"/>
        <v>0</v>
      </c>
      <c r="AC169" s="288">
        <f t="shared" si="18"/>
        <v>0</v>
      </c>
      <c r="AD169" s="288">
        <f t="shared" si="18"/>
        <v>0</v>
      </c>
      <c r="AE169" s="288">
        <f t="shared" si="18"/>
        <v>0</v>
      </c>
      <c r="AF169" s="288">
        <f t="shared" si="18"/>
        <v>0</v>
      </c>
      <c r="AG169" s="288">
        <f t="shared" si="18"/>
        <v>0</v>
      </c>
      <c r="AH169" s="215"/>
    </row>
    <row r="170" spans="1:35" x14ac:dyDescent="0.2">
      <c r="A170" s="287" t="s">
        <v>8</v>
      </c>
      <c r="B170" s="266"/>
      <c r="C170" s="291"/>
      <c r="D170" s="291"/>
      <c r="E170" s="291"/>
      <c r="F170" s="290"/>
      <c r="G170" s="290"/>
      <c r="H170" s="290"/>
      <c r="I170" s="290"/>
      <c r="J170" s="290"/>
      <c r="K170" s="290"/>
      <c r="L170" s="290"/>
      <c r="M170" s="290"/>
      <c r="N170" s="290"/>
      <c r="O170" s="290"/>
      <c r="P170" s="292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15"/>
    </row>
    <row r="171" spans="1:35" x14ac:dyDescent="0.2">
      <c r="A171" s="287" t="s">
        <v>775</v>
      </c>
      <c r="B171" s="266"/>
      <c r="C171" s="291"/>
      <c r="D171" s="291"/>
      <c r="E171" s="291"/>
      <c r="F171" s="290"/>
      <c r="G171" s="290"/>
      <c r="H171" s="292"/>
      <c r="I171" s="292"/>
      <c r="J171" s="292"/>
      <c r="K171" s="292"/>
      <c r="L171" s="292">
        <v>505.79</v>
      </c>
      <c r="M171" s="292"/>
      <c r="N171" s="292"/>
      <c r="O171" s="292"/>
      <c r="P171" s="292"/>
      <c r="Q171" s="292">
        <v>2795.6019999999999</v>
      </c>
      <c r="R171" s="292"/>
      <c r="S171" s="292">
        <v>1696.5</v>
      </c>
      <c r="T171" s="292"/>
      <c r="U171" s="292"/>
      <c r="V171" s="292">
        <v>3144.1889999999999</v>
      </c>
      <c r="W171" s="292"/>
      <c r="X171" s="292"/>
      <c r="Y171" s="292"/>
      <c r="Z171" s="292"/>
      <c r="AA171" s="292">
        <v>2638.3989999999999</v>
      </c>
      <c r="AB171" s="292"/>
      <c r="AC171" s="292"/>
      <c r="AD171" s="292"/>
      <c r="AE171" s="292"/>
      <c r="AF171" s="290">
        <v>2638.3989999999999</v>
      </c>
      <c r="AG171" s="290">
        <v>12882.732000000002</v>
      </c>
      <c r="AH171" s="286"/>
    </row>
    <row r="172" spans="1:35" ht="13.5" thickBot="1" x14ac:dyDescent="0.25">
      <c r="A172" s="296"/>
      <c r="B172" s="266"/>
      <c r="C172" s="291"/>
      <c r="D172" s="291"/>
      <c r="E172" s="291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2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15"/>
    </row>
    <row r="173" spans="1:35" x14ac:dyDescent="0.2">
      <c r="A173" s="282"/>
      <c r="B173" s="266"/>
      <c r="C173" s="297"/>
      <c r="D173" s="298"/>
      <c r="E173" s="298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866"/>
      <c r="Q173" s="299"/>
      <c r="R173" s="299"/>
      <c r="S173" s="299"/>
      <c r="T173" s="299"/>
      <c r="U173" s="299"/>
      <c r="V173" s="299"/>
      <c r="W173" s="299"/>
      <c r="X173" s="299"/>
      <c r="Y173" s="299"/>
      <c r="Z173" s="299"/>
      <c r="AA173" s="299"/>
      <c r="AB173" s="299"/>
      <c r="AC173" s="299"/>
      <c r="AD173" s="299"/>
      <c r="AE173" s="299"/>
      <c r="AF173" s="299"/>
      <c r="AG173" s="299"/>
      <c r="AH173" s="215"/>
    </row>
    <row r="174" spans="1:35" x14ac:dyDescent="0.2">
      <c r="A174" s="287" t="s">
        <v>13</v>
      </c>
      <c r="B174" s="266"/>
      <c r="C174" s="300">
        <f t="shared" ref="C174:AE174" si="19">C169-C159</f>
        <v>0</v>
      </c>
      <c r="D174" s="300">
        <f t="shared" si="19"/>
        <v>0</v>
      </c>
      <c r="E174" s="300">
        <f t="shared" si="19"/>
        <v>0</v>
      </c>
      <c r="F174" s="300">
        <f t="shared" si="19"/>
        <v>0</v>
      </c>
      <c r="G174" s="300">
        <f t="shared" si="19"/>
        <v>0</v>
      </c>
      <c r="H174" s="300">
        <f t="shared" si="19"/>
        <v>0</v>
      </c>
      <c r="I174" s="300">
        <f t="shared" si="19"/>
        <v>0</v>
      </c>
      <c r="J174" s="300">
        <f t="shared" si="19"/>
        <v>0</v>
      </c>
      <c r="K174" s="300">
        <f t="shared" si="19"/>
        <v>0</v>
      </c>
      <c r="L174" s="300">
        <f t="shared" si="19"/>
        <v>0</v>
      </c>
      <c r="M174" s="300">
        <f t="shared" si="19"/>
        <v>0</v>
      </c>
      <c r="N174" s="300">
        <f t="shared" si="19"/>
        <v>0</v>
      </c>
      <c r="O174" s="300">
        <f t="shared" si="19"/>
        <v>0</v>
      </c>
      <c r="P174" s="867">
        <f t="shared" si="19"/>
        <v>0</v>
      </c>
      <c r="Q174" s="300">
        <f t="shared" si="19"/>
        <v>0</v>
      </c>
      <c r="R174" s="300">
        <f t="shared" si="19"/>
        <v>0</v>
      </c>
      <c r="S174" s="300">
        <f t="shared" si="19"/>
        <v>0</v>
      </c>
      <c r="T174" s="300">
        <f t="shared" si="19"/>
        <v>0</v>
      </c>
      <c r="U174" s="300">
        <f t="shared" si="19"/>
        <v>0</v>
      </c>
      <c r="V174" s="300">
        <f t="shared" si="19"/>
        <v>0</v>
      </c>
      <c r="W174" s="300">
        <f t="shared" si="19"/>
        <v>0</v>
      </c>
      <c r="X174" s="300">
        <f t="shared" si="19"/>
        <v>0</v>
      </c>
      <c r="Y174" s="300">
        <f t="shared" si="19"/>
        <v>0</v>
      </c>
      <c r="Z174" s="300">
        <f t="shared" si="19"/>
        <v>0</v>
      </c>
      <c r="AA174" s="300">
        <f t="shared" si="19"/>
        <v>0</v>
      </c>
      <c r="AB174" s="300">
        <f t="shared" si="19"/>
        <v>0</v>
      </c>
      <c r="AC174" s="300">
        <f t="shared" si="19"/>
        <v>0</v>
      </c>
      <c r="AD174" s="300">
        <f t="shared" si="19"/>
        <v>0</v>
      </c>
      <c r="AE174" s="300">
        <f t="shared" si="19"/>
        <v>0</v>
      </c>
      <c r="AF174" s="300">
        <f>AF169-AF159</f>
        <v>0</v>
      </c>
      <c r="AG174" s="300">
        <f>AG169-AG159</f>
        <v>0</v>
      </c>
      <c r="AH174" s="215"/>
    </row>
    <row r="175" spans="1:35" ht="13.5" thickBot="1" x14ac:dyDescent="0.25">
      <c r="A175" s="287"/>
      <c r="B175" s="266"/>
      <c r="C175" s="300"/>
      <c r="D175" s="291"/>
      <c r="E175" s="291"/>
      <c r="F175" s="290"/>
      <c r="G175" s="290"/>
      <c r="H175" s="290"/>
      <c r="I175" s="290"/>
      <c r="J175" s="290"/>
      <c r="K175" s="290"/>
      <c r="L175" s="290"/>
      <c r="M175" s="290"/>
      <c r="N175" s="290"/>
      <c r="O175" s="290"/>
      <c r="P175" s="292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15"/>
      <c r="AI175" t="s">
        <v>813</v>
      </c>
    </row>
    <row r="176" spans="1:35" x14ac:dyDescent="0.2">
      <c r="A176" s="263"/>
      <c r="B176" s="264"/>
      <c r="C176" s="301"/>
      <c r="D176" s="298"/>
      <c r="E176" s="298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866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299"/>
      <c r="AH176" s="215"/>
    </row>
    <row r="177" spans="1:34" x14ac:dyDescent="0.2">
      <c r="A177" s="265" t="s">
        <v>15</v>
      </c>
      <c r="B177" s="266"/>
      <c r="C177" s="291">
        <f>B156+C174</f>
        <v>7870.3909999999996</v>
      </c>
      <c r="D177" s="291">
        <f t="shared" ref="D177:AE177" si="20">C184+D174</f>
        <v>7870.3909999999996</v>
      </c>
      <c r="E177" s="291">
        <f t="shared" si="20"/>
        <v>7870.3909999999996</v>
      </c>
      <c r="F177" s="291">
        <f t="shared" si="20"/>
        <v>7870.3909999999996</v>
      </c>
      <c r="G177" s="291">
        <f t="shared" si="20"/>
        <v>7870.3909999999996</v>
      </c>
      <c r="H177" s="291">
        <f t="shared" si="20"/>
        <v>7870.3909999999996</v>
      </c>
      <c r="I177" s="291">
        <f t="shared" si="20"/>
        <v>7870.3909999999996</v>
      </c>
      <c r="J177" s="291">
        <f t="shared" si="20"/>
        <v>7870.3909999999996</v>
      </c>
      <c r="K177" s="291">
        <f t="shared" si="20"/>
        <v>7870.3909999999996</v>
      </c>
      <c r="L177" s="291">
        <f t="shared" si="20"/>
        <v>7870.3909999999996</v>
      </c>
      <c r="M177" s="291">
        <f t="shared" si="20"/>
        <v>7870.3909999999996</v>
      </c>
      <c r="N177" s="291">
        <f t="shared" si="20"/>
        <v>7870.3909999999996</v>
      </c>
      <c r="O177" s="291">
        <f t="shared" si="20"/>
        <v>7870.3909999999996</v>
      </c>
      <c r="P177" s="289">
        <f t="shared" si="20"/>
        <v>7870.3909999999996</v>
      </c>
      <c r="Q177" s="291">
        <f t="shared" si="20"/>
        <v>7870.3909999999996</v>
      </c>
      <c r="R177" s="291">
        <f>Q184+R174</f>
        <v>7870.3909999999996</v>
      </c>
      <c r="S177" s="291">
        <f>R184+S174</f>
        <v>7870.3909999999996</v>
      </c>
      <c r="T177" s="291">
        <f>S184+T174</f>
        <v>7870.3909999999996</v>
      </c>
      <c r="U177" s="291">
        <f>T184+U174</f>
        <v>7870.3909999999996</v>
      </c>
      <c r="V177" s="291">
        <f>U184+V174</f>
        <v>7870.3909999999996</v>
      </c>
      <c r="W177" s="291">
        <f t="shared" si="20"/>
        <v>7870.3909999999996</v>
      </c>
      <c r="X177" s="291">
        <f t="shared" si="20"/>
        <v>7870.3909999999996</v>
      </c>
      <c r="Y177" s="291">
        <f t="shared" si="20"/>
        <v>7870.3909999999996</v>
      </c>
      <c r="Z177" s="291">
        <f t="shared" si="20"/>
        <v>7870.3909999999996</v>
      </c>
      <c r="AA177" s="291">
        <f t="shared" si="20"/>
        <v>7870.3909999999996</v>
      </c>
      <c r="AB177" s="291">
        <f t="shared" si="20"/>
        <v>7870.3909999999996</v>
      </c>
      <c r="AC177" s="291">
        <f t="shared" si="20"/>
        <v>7870.3909999999996</v>
      </c>
      <c r="AD177" s="291">
        <f t="shared" si="20"/>
        <v>7870.3909999999996</v>
      </c>
      <c r="AE177" s="291">
        <f t="shared" si="20"/>
        <v>7870.3909999999996</v>
      </c>
      <c r="AF177" s="291">
        <f>AE184+AF174</f>
        <v>7870.3909999999996</v>
      </c>
      <c r="AG177" s="291">
        <f>AF184+AG174</f>
        <v>7870.3909999999996</v>
      </c>
      <c r="AH177" s="215"/>
    </row>
    <row r="178" spans="1:34" ht="13.5" thickBot="1" x14ac:dyDescent="0.25">
      <c r="A178" s="275"/>
      <c r="B178" s="302"/>
      <c r="C178" s="303"/>
      <c r="D178" s="303"/>
      <c r="E178" s="303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868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04"/>
      <c r="AF178" s="304"/>
      <c r="AG178" s="304"/>
      <c r="AH178" s="215"/>
    </row>
    <row r="179" spans="1:34" x14ac:dyDescent="0.2">
      <c r="A179" s="263"/>
      <c r="B179" s="264"/>
      <c r="C179" s="298"/>
      <c r="D179" s="298"/>
      <c r="E179" s="298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866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  <c r="AA179" s="299"/>
      <c r="AB179" s="299"/>
      <c r="AC179" s="299"/>
      <c r="AD179" s="299"/>
      <c r="AE179" s="299"/>
      <c r="AF179" s="299"/>
      <c r="AG179" s="299"/>
      <c r="AH179" s="215"/>
    </row>
    <row r="180" spans="1:34" x14ac:dyDescent="0.2">
      <c r="A180" s="265" t="s">
        <v>82</v>
      </c>
      <c r="B180" s="266"/>
      <c r="C180" s="291">
        <f t="shared" ref="C180:AE181" si="21">C188</f>
        <v>0</v>
      </c>
      <c r="D180" s="291">
        <f t="shared" si="21"/>
        <v>0</v>
      </c>
      <c r="E180" s="291">
        <f t="shared" si="21"/>
        <v>0</v>
      </c>
      <c r="F180" s="291">
        <f t="shared" si="21"/>
        <v>0</v>
      </c>
      <c r="G180" s="291">
        <f t="shared" si="21"/>
        <v>0</v>
      </c>
      <c r="H180" s="291">
        <f t="shared" si="21"/>
        <v>0</v>
      </c>
      <c r="I180" s="291">
        <f t="shared" si="21"/>
        <v>0</v>
      </c>
      <c r="J180" s="291">
        <f t="shared" si="21"/>
        <v>0</v>
      </c>
      <c r="K180" s="291">
        <f t="shared" si="21"/>
        <v>0</v>
      </c>
      <c r="L180" s="291">
        <f t="shared" si="21"/>
        <v>0</v>
      </c>
      <c r="M180" s="291">
        <f t="shared" si="21"/>
        <v>0</v>
      </c>
      <c r="N180" s="291">
        <f t="shared" si="21"/>
        <v>0</v>
      </c>
      <c r="O180" s="291">
        <f t="shared" si="21"/>
        <v>0</v>
      </c>
      <c r="P180" s="289">
        <f t="shared" si="21"/>
        <v>0</v>
      </c>
      <c r="Q180" s="291">
        <f t="shared" si="21"/>
        <v>0</v>
      </c>
      <c r="R180" s="291">
        <f t="shared" si="21"/>
        <v>0</v>
      </c>
      <c r="S180" s="291">
        <f t="shared" si="21"/>
        <v>0</v>
      </c>
      <c r="T180" s="291">
        <f t="shared" si="21"/>
        <v>0</v>
      </c>
      <c r="U180" s="291">
        <f t="shared" si="21"/>
        <v>0</v>
      </c>
      <c r="V180" s="291">
        <f t="shared" si="21"/>
        <v>0</v>
      </c>
      <c r="W180" s="291">
        <f t="shared" si="21"/>
        <v>0</v>
      </c>
      <c r="X180" s="291">
        <f t="shared" si="21"/>
        <v>0</v>
      </c>
      <c r="Y180" s="291">
        <f t="shared" si="21"/>
        <v>0</v>
      </c>
      <c r="Z180" s="291">
        <f t="shared" si="21"/>
        <v>0</v>
      </c>
      <c r="AA180" s="291">
        <f t="shared" si="21"/>
        <v>0</v>
      </c>
      <c r="AB180" s="291">
        <f t="shared" si="21"/>
        <v>0</v>
      </c>
      <c r="AC180" s="291">
        <f t="shared" si="21"/>
        <v>0</v>
      </c>
      <c r="AD180" s="291">
        <f t="shared" si="21"/>
        <v>0</v>
      </c>
      <c r="AE180" s="291">
        <f t="shared" si="21"/>
        <v>0</v>
      </c>
      <c r="AF180" s="291">
        <f>AF188</f>
        <v>0</v>
      </c>
      <c r="AG180" s="291">
        <f>AG188</f>
        <v>0</v>
      </c>
      <c r="AH180" s="215"/>
    </row>
    <row r="181" spans="1:34" x14ac:dyDescent="0.2">
      <c r="A181" s="265" t="s">
        <v>83</v>
      </c>
      <c r="B181" s="266"/>
      <c r="C181" s="289">
        <f t="shared" si="21"/>
        <v>0</v>
      </c>
      <c r="D181" s="289">
        <f t="shared" si="21"/>
        <v>0</v>
      </c>
      <c r="E181" s="289">
        <f t="shared" si="21"/>
        <v>0</v>
      </c>
      <c r="F181" s="289">
        <f t="shared" si="21"/>
        <v>0</v>
      </c>
      <c r="G181" s="289">
        <f t="shared" si="21"/>
        <v>0</v>
      </c>
      <c r="H181" s="289">
        <f t="shared" si="21"/>
        <v>0</v>
      </c>
      <c r="I181" s="289">
        <f t="shared" si="21"/>
        <v>0</v>
      </c>
      <c r="J181" s="289">
        <f t="shared" si="21"/>
        <v>0</v>
      </c>
      <c r="K181" s="289">
        <f t="shared" si="21"/>
        <v>0</v>
      </c>
      <c r="L181" s="289">
        <f t="shared" si="21"/>
        <v>0</v>
      </c>
      <c r="M181" s="289">
        <f t="shared" si="21"/>
        <v>0</v>
      </c>
      <c r="N181" s="289">
        <f t="shared" si="21"/>
        <v>0</v>
      </c>
      <c r="O181" s="289">
        <f t="shared" si="21"/>
        <v>0</v>
      </c>
      <c r="P181" s="289">
        <f t="shared" si="21"/>
        <v>0</v>
      </c>
      <c r="Q181" s="289">
        <f t="shared" si="21"/>
        <v>0</v>
      </c>
      <c r="R181" s="289">
        <f t="shared" si="21"/>
        <v>0</v>
      </c>
      <c r="S181" s="289">
        <f t="shared" si="21"/>
        <v>0</v>
      </c>
      <c r="T181" s="289">
        <f t="shared" si="21"/>
        <v>0</v>
      </c>
      <c r="U181" s="289">
        <f t="shared" si="21"/>
        <v>0</v>
      </c>
      <c r="V181" s="289">
        <f t="shared" si="21"/>
        <v>0</v>
      </c>
      <c r="W181" s="289">
        <f t="shared" si="21"/>
        <v>0</v>
      </c>
      <c r="X181" s="289">
        <f t="shared" si="21"/>
        <v>0</v>
      </c>
      <c r="Y181" s="289">
        <f t="shared" si="21"/>
        <v>0</v>
      </c>
      <c r="Z181" s="289">
        <f t="shared" si="21"/>
        <v>0</v>
      </c>
      <c r="AA181" s="289">
        <f t="shared" si="21"/>
        <v>0</v>
      </c>
      <c r="AB181" s="289">
        <f t="shared" si="21"/>
        <v>0</v>
      </c>
      <c r="AC181" s="289">
        <f t="shared" si="21"/>
        <v>0</v>
      </c>
      <c r="AD181" s="289">
        <f t="shared" si="21"/>
        <v>0</v>
      </c>
      <c r="AE181" s="289">
        <f t="shared" si="21"/>
        <v>0</v>
      </c>
      <c r="AF181" s="289">
        <f>AF189</f>
        <v>0</v>
      </c>
      <c r="AG181" s="289">
        <f>AG189</f>
        <v>0</v>
      </c>
      <c r="AH181" s="215"/>
    </row>
    <row r="182" spans="1:34" ht="13.5" thickBot="1" x14ac:dyDescent="0.25">
      <c r="A182" s="275"/>
      <c r="B182" s="302"/>
      <c r="C182" s="303"/>
      <c r="D182" s="303"/>
      <c r="E182" s="303"/>
      <c r="F182" s="304"/>
      <c r="G182" s="304"/>
      <c r="H182" s="304"/>
      <c r="I182" s="304"/>
      <c r="J182" s="304"/>
      <c r="K182" s="304"/>
      <c r="L182" s="304"/>
      <c r="M182" s="304"/>
      <c r="N182" s="304"/>
      <c r="O182" s="304"/>
      <c r="P182" s="868"/>
      <c r="Q182" s="304"/>
      <c r="R182" s="304"/>
      <c r="S182" s="304"/>
      <c r="T182" s="304"/>
      <c r="U182" s="304"/>
      <c r="V182" s="304"/>
      <c r="W182" s="304"/>
      <c r="X182" s="304"/>
      <c r="Y182" s="304"/>
      <c r="Z182" s="304"/>
      <c r="AA182" s="304"/>
      <c r="AB182" s="304"/>
      <c r="AC182" s="304"/>
      <c r="AD182" s="304"/>
      <c r="AE182" s="304"/>
      <c r="AF182" s="304"/>
      <c r="AG182" s="304"/>
      <c r="AH182" s="215"/>
    </row>
    <row r="183" spans="1:34" x14ac:dyDescent="0.2">
      <c r="A183" s="265"/>
      <c r="B183" s="266"/>
      <c r="C183" s="291"/>
      <c r="D183" s="291"/>
      <c r="E183" s="291"/>
      <c r="F183" s="290"/>
      <c r="G183" s="290"/>
      <c r="H183" s="290"/>
      <c r="I183" s="290"/>
      <c r="J183" s="290"/>
      <c r="K183" s="290"/>
      <c r="L183" s="290"/>
      <c r="M183" s="290"/>
      <c r="N183" s="290"/>
      <c r="O183" s="290"/>
      <c r="P183" s="292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  <c r="AE183" s="290"/>
      <c r="AF183" s="290"/>
      <c r="AG183" s="290"/>
      <c r="AH183" s="309"/>
    </row>
    <row r="184" spans="1:34" x14ac:dyDescent="0.2">
      <c r="A184" s="265" t="s">
        <v>14</v>
      </c>
      <c r="B184" s="266"/>
      <c r="C184" s="291">
        <f t="shared" ref="C184:AE184" si="22">C177+C180+C181</f>
        <v>7870.3909999999996</v>
      </c>
      <c r="D184" s="291">
        <f t="shared" si="22"/>
        <v>7870.3909999999996</v>
      </c>
      <c r="E184" s="291">
        <f t="shared" si="22"/>
        <v>7870.3909999999996</v>
      </c>
      <c r="F184" s="291">
        <f t="shared" si="22"/>
        <v>7870.3909999999996</v>
      </c>
      <c r="G184" s="291">
        <f t="shared" si="22"/>
        <v>7870.3909999999996</v>
      </c>
      <c r="H184" s="291">
        <f t="shared" si="22"/>
        <v>7870.3909999999996</v>
      </c>
      <c r="I184" s="291">
        <f t="shared" si="22"/>
        <v>7870.3909999999996</v>
      </c>
      <c r="J184" s="291">
        <f t="shared" si="22"/>
        <v>7870.3909999999996</v>
      </c>
      <c r="K184" s="291">
        <f t="shared" si="22"/>
        <v>7870.3909999999996</v>
      </c>
      <c r="L184" s="291">
        <f t="shared" si="22"/>
        <v>7870.3909999999996</v>
      </c>
      <c r="M184" s="291">
        <f t="shared" si="22"/>
        <v>7870.3909999999996</v>
      </c>
      <c r="N184" s="291">
        <f t="shared" si="22"/>
        <v>7870.3909999999996</v>
      </c>
      <c r="O184" s="291">
        <f t="shared" si="22"/>
        <v>7870.3909999999996</v>
      </c>
      <c r="P184" s="289">
        <f t="shared" si="22"/>
        <v>7870.3909999999996</v>
      </c>
      <c r="Q184" s="291">
        <f t="shared" si="22"/>
        <v>7870.3909999999996</v>
      </c>
      <c r="R184" s="291">
        <f t="shared" si="22"/>
        <v>7870.3909999999996</v>
      </c>
      <c r="S184" s="291">
        <f t="shared" si="22"/>
        <v>7870.3909999999996</v>
      </c>
      <c r="T184" s="291">
        <f t="shared" si="22"/>
        <v>7870.3909999999996</v>
      </c>
      <c r="U184" s="291">
        <f t="shared" si="22"/>
        <v>7870.3909999999996</v>
      </c>
      <c r="V184" s="291">
        <f t="shared" si="22"/>
        <v>7870.3909999999996</v>
      </c>
      <c r="W184" s="291">
        <f t="shared" si="22"/>
        <v>7870.3909999999996</v>
      </c>
      <c r="X184" s="291">
        <f t="shared" si="22"/>
        <v>7870.3909999999996</v>
      </c>
      <c r="Y184" s="291">
        <f t="shared" si="22"/>
        <v>7870.3909999999996</v>
      </c>
      <c r="Z184" s="291">
        <f t="shared" si="22"/>
        <v>7870.3909999999996</v>
      </c>
      <c r="AA184" s="291">
        <f t="shared" si="22"/>
        <v>7870.3909999999996</v>
      </c>
      <c r="AB184" s="291">
        <f t="shared" si="22"/>
        <v>7870.3909999999996</v>
      </c>
      <c r="AC184" s="291">
        <f t="shared" si="22"/>
        <v>7870.3909999999996</v>
      </c>
      <c r="AD184" s="291">
        <f t="shared" si="22"/>
        <v>7870.3909999999996</v>
      </c>
      <c r="AE184" s="291">
        <f t="shared" si="22"/>
        <v>7870.3909999999996</v>
      </c>
      <c r="AF184" s="291">
        <f>AF177+AF180+AF181</f>
        <v>7870.3909999999996</v>
      </c>
      <c r="AG184" s="291">
        <f>AG177+AG180+AG181</f>
        <v>7870.3909999999996</v>
      </c>
      <c r="AH184" s="308"/>
    </row>
    <row r="185" spans="1:34" x14ac:dyDescent="0.2">
      <c r="A185" s="265"/>
      <c r="B185" s="266"/>
      <c r="C185" s="291"/>
      <c r="D185" s="291"/>
      <c r="E185" s="291"/>
      <c r="F185" s="290"/>
      <c r="G185" s="290"/>
      <c r="H185" s="290"/>
      <c r="I185" s="290"/>
      <c r="J185" s="290"/>
      <c r="K185" s="290"/>
      <c r="L185" s="290"/>
      <c r="M185" s="290"/>
      <c r="N185" s="290"/>
      <c r="O185" s="290"/>
      <c r="P185" s="292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  <c r="AA185" s="290"/>
      <c r="AB185" s="290"/>
      <c r="AC185" s="290"/>
      <c r="AD185" s="290"/>
      <c r="AE185" s="290"/>
      <c r="AF185" s="290"/>
      <c r="AG185" s="290"/>
      <c r="AH185" s="309"/>
    </row>
    <row r="186" spans="1:34" ht="13.5" thickBot="1" x14ac:dyDescent="0.25">
      <c r="A186" s="275"/>
      <c r="B186" s="302"/>
      <c r="C186" s="306"/>
      <c r="D186" s="306"/>
      <c r="E186" s="306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869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9"/>
    </row>
    <row r="187" spans="1:34" x14ac:dyDescent="0.2">
      <c r="A187" s="310"/>
      <c r="B187" s="215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308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309"/>
    </row>
    <row r="188" spans="1:34" x14ac:dyDescent="0.2">
      <c r="A188" s="312"/>
      <c r="B188" s="475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  <c r="O188" s="629"/>
      <c r="P188" s="629"/>
      <c r="Q188" s="311"/>
      <c r="R188" s="311"/>
      <c r="S188" s="311"/>
      <c r="T188" s="311"/>
      <c r="U188" s="311"/>
      <c r="V188" s="311"/>
      <c r="W188" s="311"/>
      <c r="X188" s="311"/>
      <c r="Y188" s="311"/>
      <c r="Z188" s="311"/>
      <c r="AA188" s="408"/>
      <c r="AB188" s="311"/>
      <c r="AC188" s="311"/>
      <c r="AD188" s="311"/>
      <c r="AE188" s="311"/>
      <c r="AF188" s="311"/>
      <c r="AG188" s="311"/>
      <c r="AH188" s="308"/>
    </row>
    <row r="189" spans="1:34" x14ac:dyDescent="0.2">
      <c r="A189" s="310"/>
      <c r="B189" s="215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311"/>
      <c r="P189" s="629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311"/>
      <c r="AB189" s="311"/>
      <c r="AC189" s="311"/>
      <c r="AD189" s="311"/>
      <c r="AE189" s="311"/>
      <c r="AF189" s="311"/>
      <c r="AG189" s="311"/>
      <c r="AH189" s="308"/>
    </row>
    <row r="190" spans="1:34" x14ac:dyDescent="0.2">
      <c r="A190" s="358" t="s">
        <v>415</v>
      </c>
      <c r="B190" s="359">
        <f>SUM(B191:B194)</f>
        <v>375000</v>
      </c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309"/>
      <c r="Q190" s="215"/>
      <c r="R190" s="215"/>
      <c r="S190" s="215"/>
      <c r="T190" s="456"/>
      <c r="U190" s="262"/>
      <c r="V190" s="215"/>
      <c r="W190" s="215"/>
      <c r="X190" s="215"/>
      <c r="Y190" s="215"/>
      <c r="Z190" s="215"/>
      <c r="AA190" s="408"/>
      <c r="AB190" s="215"/>
      <c r="AC190" s="215"/>
      <c r="AD190" s="215"/>
      <c r="AE190" s="215"/>
      <c r="AF190" s="215"/>
      <c r="AG190" s="215"/>
      <c r="AH190" s="215"/>
    </row>
    <row r="191" spans="1:34" x14ac:dyDescent="0.2">
      <c r="A191" s="327" t="s">
        <v>414</v>
      </c>
      <c r="B191" s="311">
        <v>25000</v>
      </c>
      <c r="C191" s="215"/>
      <c r="D191" s="30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311"/>
      <c r="T191" s="320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27" t="s">
        <v>287</v>
      </c>
      <c r="B192" s="311">
        <v>200000</v>
      </c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10" t="s">
        <v>413</v>
      </c>
      <c r="B193" s="329">
        <v>75000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86"/>
      <c r="M193" s="215"/>
      <c r="N193" s="215"/>
      <c r="O193" s="215"/>
      <c r="P193" s="309"/>
      <c r="Q193" s="215"/>
      <c r="R193" s="215"/>
      <c r="S193" s="311"/>
      <c r="T193" s="320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310" t="s">
        <v>441</v>
      </c>
      <c r="B194" s="311">
        <v>75000</v>
      </c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309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ht="13.5" thickBot="1" x14ac:dyDescent="0.25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309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</row>
    <row r="197" spans="1:34" x14ac:dyDescent="0.2">
      <c r="A197" s="263"/>
      <c r="B197" s="264"/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860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15"/>
    </row>
    <row r="198" spans="1:34" x14ac:dyDescent="0.2">
      <c r="A198" s="265"/>
      <c r="B198" s="266" t="s">
        <v>37</v>
      </c>
      <c r="C198" s="266"/>
      <c r="D198" s="266"/>
      <c r="E198" s="267" t="s">
        <v>905</v>
      </c>
      <c r="F198" s="268" t="s">
        <v>96</v>
      </c>
      <c r="G198" s="269"/>
      <c r="H198" s="268"/>
      <c r="I198" s="268"/>
      <c r="J198" s="268"/>
      <c r="K198" s="268"/>
      <c r="L198" s="268"/>
      <c r="M198" s="268"/>
      <c r="N198" s="268"/>
      <c r="O198" s="268"/>
      <c r="P198" s="861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  <c r="AA198" s="268"/>
      <c r="AB198" s="268"/>
      <c r="AC198" s="268"/>
      <c r="AD198" s="268"/>
      <c r="AE198" s="268"/>
      <c r="AF198" s="268"/>
      <c r="AG198" s="268"/>
      <c r="AH198" s="215"/>
    </row>
    <row r="199" spans="1:34" x14ac:dyDescent="0.2">
      <c r="A199" s="265"/>
      <c r="B199" s="266"/>
      <c r="C199" s="266"/>
      <c r="D199" s="268"/>
      <c r="E199" s="266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79"/>
      <c r="Q199" s="266"/>
      <c r="R199" s="266"/>
      <c r="S199" s="266"/>
      <c r="T199" s="266"/>
      <c r="U199" s="266"/>
      <c r="V199" s="266"/>
      <c r="W199" s="266"/>
      <c r="X199" s="266"/>
      <c r="Y199" s="266"/>
      <c r="Z199" s="266"/>
      <c r="AA199" s="266"/>
      <c r="AB199" s="266"/>
      <c r="AC199" s="266"/>
      <c r="AD199" s="266"/>
      <c r="AE199" s="266"/>
      <c r="AF199" s="266"/>
      <c r="AG199" s="266"/>
      <c r="AH199" s="215"/>
    </row>
    <row r="200" spans="1:34" x14ac:dyDescent="0.2">
      <c r="A200" s="265"/>
      <c r="B200" s="266"/>
      <c r="C200" s="268"/>
      <c r="D200" s="268">
        <v>42373</v>
      </c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x14ac:dyDescent="0.2">
      <c r="A201" s="265"/>
      <c r="B201" s="266"/>
      <c r="C201" s="268"/>
      <c r="D201" s="268"/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ht="13.5" thickBot="1" x14ac:dyDescent="0.25">
      <c r="A202" s="265"/>
      <c r="B202" s="266"/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79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15"/>
    </row>
    <row r="203" spans="1:34" ht="13.5" thickBot="1" x14ac:dyDescent="0.25">
      <c r="A203" s="265"/>
      <c r="B203" s="266"/>
      <c r="C203" s="270"/>
      <c r="D203" s="271" t="s">
        <v>16</v>
      </c>
      <c r="E203" s="271"/>
      <c r="F203" s="271"/>
      <c r="G203" s="271"/>
      <c r="H203" s="271"/>
      <c r="I203" s="271"/>
      <c r="J203" s="271"/>
      <c r="K203" s="271"/>
      <c r="L203" s="271"/>
      <c r="M203" s="271"/>
      <c r="N203" s="271"/>
      <c r="O203" s="271"/>
      <c r="P203" s="862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  <c r="AA203" s="271"/>
      <c r="AB203" s="271"/>
      <c r="AC203" s="271"/>
      <c r="AD203" s="271"/>
      <c r="AE203" s="271"/>
      <c r="AF203" s="271"/>
      <c r="AG203" s="271"/>
      <c r="AH203" s="215"/>
    </row>
    <row r="204" spans="1:34" ht="13.5" thickBot="1" x14ac:dyDescent="0.25">
      <c r="A204" s="265"/>
      <c r="B204" s="266"/>
      <c r="C204" s="272" t="s">
        <v>452</v>
      </c>
      <c r="D204" s="272" t="s">
        <v>453</v>
      </c>
      <c r="E204" s="272" t="s">
        <v>434</v>
      </c>
      <c r="F204" s="272" t="s">
        <v>390</v>
      </c>
      <c r="G204" s="272" t="s">
        <v>454</v>
      </c>
      <c r="H204" s="272" t="s">
        <v>455</v>
      </c>
      <c r="I204" s="272" t="s">
        <v>456</v>
      </c>
      <c r="J204" s="272" t="s">
        <v>457</v>
      </c>
      <c r="K204" s="272" t="s">
        <v>458</v>
      </c>
      <c r="L204" s="272" t="s">
        <v>216</v>
      </c>
      <c r="M204" s="272" t="s">
        <v>459</v>
      </c>
      <c r="N204" s="272" t="s">
        <v>297</v>
      </c>
      <c r="O204" s="272" t="s">
        <v>211</v>
      </c>
      <c r="P204" s="863" t="s">
        <v>270</v>
      </c>
      <c r="Q204" s="272">
        <v>15</v>
      </c>
      <c r="R204" s="272">
        <v>16</v>
      </c>
      <c r="S204" s="272" t="s">
        <v>461</v>
      </c>
      <c r="T204" s="272" t="s">
        <v>442</v>
      </c>
      <c r="U204" s="272" t="s">
        <v>462</v>
      </c>
      <c r="V204" s="272" t="s">
        <v>470</v>
      </c>
      <c r="W204" s="272" t="s">
        <v>471</v>
      </c>
      <c r="X204" s="272" t="s">
        <v>472</v>
      </c>
      <c r="Y204" s="272" t="s">
        <v>463</v>
      </c>
      <c r="Z204" s="272" t="s">
        <v>465</v>
      </c>
      <c r="AA204" s="272" t="s">
        <v>466</v>
      </c>
      <c r="AB204" s="272" t="s">
        <v>435</v>
      </c>
      <c r="AC204" s="272" t="s">
        <v>467</v>
      </c>
      <c r="AD204" s="272" t="s">
        <v>464</v>
      </c>
      <c r="AE204" s="272" t="s">
        <v>429</v>
      </c>
      <c r="AF204" s="272" t="s">
        <v>149</v>
      </c>
      <c r="AG204" s="272" t="s">
        <v>210</v>
      </c>
      <c r="AH204" s="215"/>
    </row>
    <row r="205" spans="1:34" x14ac:dyDescent="0.2">
      <c r="A205" s="263"/>
      <c r="B205" s="273"/>
      <c r="C205" s="266"/>
      <c r="D205" s="266"/>
      <c r="E205" s="266"/>
      <c r="F205" s="266"/>
      <c r="G205" s="266"/>
      <c r="H205" s="266"/>
      <c r="I205" s="266"/>
      <c r="J205" s="266"/>
      <c r="K205" s="266"/>
      <c r="L205" s="266"/>
      <c r="M205" s="266"/>
      <c r="N205" s="266"/>
      <c r="O205" s="266"/>
      <c r="P205" s="279"/>
      <c r="Q205" s="266"/>
      <c r="R205" s="266"/>
      <c r="S205" s="266"/>
      <c r="T205" s="266"/>
      <c r="U205" s="266"/>
      <c r="V205" s="266"/>
      <c r="W205" s="266"/>
      <c r="X205" s="266"/>
      <c r="Y205" s="266"/>
      <c r="Z205" s="266"/>
      <c r="AA205" s="266"/>
      <c r="AB205" s="266"/>
      <c r="AC205" s="266"/>
      <c r="AD205" s="266"/>
      <c r="AE205" s="266"/>
      <c r="AF205" s="266"/>
      <c r="AG205" s="266"/>
      <c r="AH205" s="215"/>
    </row>
    <row r="206" spans="1:34" x14ac:dyDescent="0.2">
      <c r="A206" s="265" t="s">
        <v>0</v>
      </c>
      <c r="B206" s="274">
        <v>2009.0070000000001</v>
      </c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ht="13.5" thickBot="1" x14ac:dyDescent="0.25">
      <c r="A207" s="275"/>
      <c r="B207" s="27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x14ac:dyDescent="0.2">
      <c r="A208" s="263"/>
      <c r="B208" s="278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5" t="s">
        <v>1</v>
      </c>
      <c r="B209" s="274">
        <f>B210+B211+B212</f>
        <v>0</v>
      </c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38</v>
      </c>
      <c r="B210" s="274">
        <f>C258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39</v>
      </c>
      <c r="B211" s="274">
        <f>C280</f>
        <v>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x14ac:dyDescent="0.2">
      <c r="A212" s="265" t="s">
        <v>3</v>
      </c>
      <c r="B212" s="274"/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ht="13.5" thickBot="1" x14ac:dyDescent="0.25">
      <c r="A213" s="275"/>
      <c r="B213" s="276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x14ac:dyDescent="0.2">
      <c r="A214" s="263"/>
      <c r="B214" s="278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x14ac:dyDescent="0.2">
      <c r="A215" s="265" t="s">
        <v>4</v>
      </c>
      <c r="B215" s="274">
        <f>B206-B209</f>
        <v>2009.0070000000001</v>
      </c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ht="13.5" thickBot="1" x14ac:dyDescent="0.25">
      <c r="A216" s="275"/>
      <c r="B216" s="276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x14ac:dyDescent="0.2">
      <c r="A217" s="263"/>
      <c r="B217" s="278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x14ac:dyDescent="0.2">
      <c r="A218" s="265" t="s">
        <v>17</v>
      </c>
      <c r="B218" s="274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ht="13.5" thickBot="1" x14ac:dyDescent="0.25">
      <c r="A219" s="275"/>
      <c r="B219" s="27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330"/>
      <c r="Y219" s="266"/>
      <c r="Z219" s="266"/>
      <c r="AA219" s="266"/>
      <c r="AB219" s="266"/>
      <c r="AC219" s="266"/>
      <c r="AD219" s="266"/>
      <c r="AE219" s="266"/>
      <c r="AF219" s="266"/>
      <c r="AG219" s="266"/>
      <c r="AH219" s="215"/>
    </row>
    <row r="220" spans="1:34" x14ac:dyDescent="0.2">
      <c r="A220" s="263"/>
      <c r="B220" s="278"/>
      <c r="C220" s="281"/>
      <c r="D220" s="269"/>
      <c r="E220" s="266"/>
      <c r="F220" s="266"/>
      <c r="G220" s="269"/>
      <c r="H220" s="269"/>
      <c r="I220" s="266"/>
      <c r="J220" s="269"/>
      <c r="K220" s="266"/>
      <c r="L220" s="266"/>
      <c r="M220" s="266"/>
      <c r="N220" s="266"/>
      <c r="O220" s="266"/>
      <c r="P220" s="279"/>
      <c r="Q220" s="281"/>
      <c r="R220" s="266"/>
      <c r="S220" s="266"/>
      <c r="T220" s="266"/>
      <c r="U220" s="266"/>
      <c r="V220" s="266"/>
      <c r="W220" s="266"/>
      <c r="X220" s="266"/>
      <c r="Y220" s="266"/>
      <c r="Z220" s="266"/>
      <c r="AA220" s="266"/>
      <c r="AB220" s="266"/>
      <c r="AC220" s="810"/>
      <c r="AD220" s="802"/>
      <c r="AE220" s="269"/>
      <c r="AF220" s="269"/>
      <c r="AH220" s="215"/>
    </row>
    <row r="221" spans="1:34" x14ac:dyDescent="0.2">
      <c r="A221" s="265" t="s">
        <v>5</v>
      </c>
      <c r="B221" s="274">
        <f>B215-B218</f>
        <v>2009.0070000000001</v>
      </c>
      <c r="C221" s="281"/>
      <c r="D221" s="269"/>
      <c r="E221" s="934"/>
      <c r="G221" s="269" t="s">
        <v>1201</v>
      </c>
      <c r="H221" s="269"/>
      <c r="I221" s="269" t="s">
        <v>1206</v>
      </c>
      <c r="J221" s="269"/>
      <c r="K221" s="281"/>
      <c r="L221" s="269"/>
      <c r="M221" s="269"/>
      <c r="N221" s="281"/>
      <c r="O221" s="269"/>
      <c r="P221" s="279"/>
      <c r="Q221" s="281"/>
      <c r="R221" s="266"/>
      <c r="S221" s="269"/>
      <c r="T221" s="269"/>
      <c r="U221" s="269"/>
      <c r="V221" s="269"/>
      <c r="W221" s="266"/>
      <c r="X221" s="710"/>
      <c r="Y221" s="269"/>
      <c r="Z221" s="266"/>
      <c r="AA221" s="269" t="s">
        <v>831</v>
      </c>
      <c r="AB221" s="269"/>
      <c r="AC221" s="810"/>
      <c r="AD221" s="802"/>
      <c r="AE221" s="269"/>
      <c r="AF221" s="269" t="s">
        <v>1187</v>
      </c>
      <c r="AG221" s="483" t="s">
        <v>1044</v>
      </c>
      <c r="AH221" s="215"/>
    </row>
    <row r="222" spans="1:34" ht="13.5" thickBot="1" x14ac:dyDescent="0.25">
      <c r="A222" s="275"/>
      <c r="B222" s="276"/>
      <c r="D222" s="266"/>
      <c r="E222" s="266"/>
      <c r="F222" s="266"/>
      <c r="G222" s="266"/>
      <c r="H222" s="266"/>
      <c r="I222" s="266"/>
      <c r="J222" s="269"/>
      <c r="K222" s="266"/>
      <c r="L222" s="266"/>
      <c r="M222" s="266"/>
      <c r="N222" s="266"/>
      <c r="O222" s="266"/>
      <c r="P222" s="279"/>
      <c r="Q222" s="266"/>
      <c r="R222" s="266"/>
      <c r="S222" s="266"/>
      <c r="T222" s="266"/>
      <c r="U222" s="269"/>
      <c r="V222" s="266"/>
      <c r="W222" s="266"/>
      <c r="X222" s="266"/>
      <c r="Y222" s="266"/>
      <c r="Z222" s="266"/>
      <c r="AA222" s="266"/>
      <c r="AB222" s="266"/>
      <c r="AC222" s="266"/>
      <c r="AD222" s="266"/>
      <c r="AE222" s="266"/>
      <c r="AF222" s="266"/>
      <c r="AG222" s="266"/>
      <c r="AH222" s="215"/>
    </row>
    <row r="223" spans="1:34" x14ac:dyDescent="0.2">
      <c r="A223" s="282"/>
      <c r="B223" s="266"/>
      <c r="C223" s="283"/>
      <c r="D223" s="285"/>
      <c r="E223" s="284"/>
      <c r="F223" s="284"/>
      <c r="G223" s="284"/>
      <c r="H223" s="284"/>
      <c r="I223" s="284"/>
      <c r="J223" s="284"/>
      <c r="K223" s="284"/>
      <c r="L223" s="284"/>
      <c r="M223" s="284"/>
      <c r="N223" s="284"/>
      <c r="O223" s="284"/>
      <c r="P223" s="86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  <c r="AA223" s="284"/>
      <c r="AB223" s="284"/>
      <c r="AC223" s="284"/>
      <c r="AD223" s="284"/>
      <c r="AE223" s="284"/>
      <c r="AF223" s="284"/>
      <c r="AG223" s="284"/>
      <c r="AH223" s="215"/>
    </row>
    <row r="224" spans="1:34" ht="13.5" thickBot="1" x14ac:dyDescent="0.25">
      <c r="A224" s="287" t="s">
        <v>7</v>
      </c>
      <c r="B224" s="266"/>
      <c r="C224" s="288">
        <f>C225+C226+C227+C229+C228</f>
        <v>0</v>
      </c>
      <c r="D224" s="288">
        <f>D225+D226+D227+D229+D228</f>
        <v>0</v>
      </c>
      <c r="E224" s="288">
        <f>E225+E226+E227+E229+E228</f>
        <v>0</v>
      </c>
      <c r="F224" s="288">
        <f>F225+F226+F227+F229+F228</f>
        <v>0</v>
      </c>
      <c r="G224" s="288">
        <f>G225+G226+G227+G229+G228</f>
        <v>0</v>
      </c>
      <c r="H224" s="288">
        <f t="shared" ref="H224:AG224" si="23">H225+H226+H227+H229+H228</f>
        <v>0</v>
      </c>
      <c r="I224" s="288">
        <f t="shared" si="23"/>
        <v>0</v>
      </c>
      <c r="J224" s="288">
        <f t="shared" si="23"/>
        <v>0</v>
      </c>
      <c r="K224" s="288">
        <f t="shared" si="23"/>
        <v>0</v>
      </c>
      <c r="L224" s="288">
        <f t="shared" si="23"/>
        <v>0</v>
      </c>
      <c r="M224" s="288">
        <f t="shared" si="23"/>
        <v>0</v>
      </c>
      <c r="N224" s="288">
        <f t="shared" si="23"/>
        <v>0</v>
      </c>
      <c r="O224" s="288">
        <f t="shared" si="23"/>
        <v>0</v>
      </c>
      <c r="P224" s="865">
        <f t="shared" si="23"/>
        <v>0</v>
      </c>
      <c r="Q224" s="288">
        <f t="shared" si="23"/>
        <v>0</v>
      </c>
      <c r="R224" s="288">
        <f t="shared" si="23"/>
        <v>0</v>
      </c>
      <c r="S224" s="288">
        <f t="shared" si="23"/>
        <v>0</v>
      </c>
      <c r="T224" s="288">
        <f t="shared" si="23"/>
        <v>0</v>
      </c>
      <c r="U224" s="288">
        <f t="shared" si="23"/>
        <v>0</v>
      </c>
      <c r="V224" s="288">
        <f t="shared" si="23"/>
        <v>0</v>
      </c>
      <c r="W224" s="288">
        <f t="shared" si="23"/>
        <v>0</v>
      </c>
      <c r="X224" s="288">
        <f t="shared" si="23"/>
        <v>0</v>
      </c>
      <c r="Y224" s="288">
        <f t="shared" si="23"/>
        <v>0</v>
      </c>
      <c r="Z224" s="288">
        <f t="shared" si="23"/>
        <v>0</v>
      </c>
      <c r="AA224" s="288">
        <f t="shared" si="23"/>
        <v>0</v>
      </c>
      <c r="AB224" s="288">
        <f t="shared" si="23"/>
        <v>0</v>
      </c>
      <c r="AC224" s="288">
        <f t="shared" si="23"/>
        <v>0</v>
      </c>
      <c r="AD224" s="288">
        <f>AD225+AD226+AD227+AD229+AD228</f>
        <v>0</v>
      </c>
      <c r="AE224" s="288">
        <f t="shared" si="23"/>
        <v>0</v>
      </c>
      <c r="AF224" s="288">
        <f t="shared" si="23"/>
        <v>0</v>
      </c>
      <c r="AG224" s="288">
        <f t="shared" si="23"/>
        <v>0</v>
      </c>
      <c r="AH224" s="286">
        <f>SUM(C224:AG224)</f>
        <v>0</v>
      </c>
    </row>
    <row r="225" spans="1:34" x14ac:dyDescent="0.2">
      <c r="A225" s="287" t="s">
        <v>8</v>
      </c>
      <c r="B225" s="331"/>
      <c r="C225" s="291"/>
      <c r="D225" s="291"/>
      <c r="E225" s="290"/>
      <c r="F225" s="290"/>
      <c r="G225" s="290"/>
      <c r="H225" s="290"/>
      <c r="I225" s="290"/>
      <c r="J225" s="290"/>
      <c r="K225" s="290"/>
      <c r="L225" s="290"/>
      <c r="M225" s="290"/>
      <c r="N225" s="290"/>
      <c r="O225" s="290"/>
      <c r="P225" s="292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  <c r="AA225" s="290"/>
      <c r="AB225" s="290"/>
      <c r="AC225" s="290"/>
      <c r="AD225" s="290"/>
      <c r="AE225" s="290"/>
      <c r="AF225" s="290"/>
      <c r="AG225" s="290"/>
      <c r="AH225" s="286">
        <f>SUM(C225:AG225)</f>
        <v>0</v>
      </c>
    </row>
    <row r="226" spans="1:34" x14ac:dyDescent="0.2">
      <c r="A226" s="287" t="s">
        <v>9</v>
      </c>
      <c r="B226" s="331"/>
      <c r="C226" s="291"/>
      <c r="D226" s="291"/>
      <c r="E226" s="290"/>
      <c r="F226" s="290"/>
      <c r="G226" s="290"/>
      <c r="H226" s="290"/>
      <c r="I226" s="290"/>
      <c r="J226" s="290"/>
      <c r="K226" s="290"/>
      <c r="L226" s="290"/>
      <c r="M226" s="295"/>
      <c r="N226" s="290"/>
      <c r="O226" s="290"/>
      <c r="P226" s="292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86">
        <f>SUM(C226:AG226)</f>
        <v>0</v>
      </c>
    </row>
    <row r="227" spans="1:34" s="360" customFormat="1" x14ac:dyDescent="0.2">
      <c r="A227" s="662" t="s">
        <v>10</v>
      </c>
      <c r="B227" s="669"/>
      <c r="C227" s="565"/>
      <c r="D227" s="565"/>
      <c r="E227" s="560"/>
      <c r="F227" s="560"/>
      <c r="G227" s="560"/>
      <c r="H227" s="560"/>
      <c r="I227" s="560"/>
      <c r="J227" s="560"/>
      <c r="K227" s="560"/>
      <c r="L227" s="380"/>
      <c r="M227" s="560"/>
      <c r="N227" s="560"/>
      <c r="O227" s="560"/>
      <c r="P227" s="560"/>
      <c r="Q227" s="560"/>
      <c r="R227" s="560"/>
      <c r="S227" s="560"/>
      <c r="T227" s="560"/>
      <c r="U227" s="560"/>
      <c r="V227" s="560"/>
      <c r="W227" s="560"/>
      <c r="X227" s="708"/>
      <c r="Y227" s="560"/>
      <c r="Z227" s="560"/>
      <c r="AA227" s="560"/>
      <c r="AB227" s="560"/>
      <c r="AC227" s="811"/>
      <c r="AD227" s="803"/>
      <c r="AE227" s="560"/>
      <c r="AF227" s="380"/>
      <c r="AG227" s="560"/>
      <c r="AH227" s="379">
        <f>SUM(C227:AG227)</f>
        <v>0</v>
      </c>
    </row>
    <row r="228" spans="1:34" s="360" customFormat="1" x14ac:dyDescent="0.2">
      <c r="A228" s="662" t="s">
        <v>356</v>
      </c>
      <c r="B228" s="669"/>
      <c r="C228" s="565"/>
      <c r="D228" s="565"/>
      <c r="E228" s="565"/>
      <c r="F228" s="560"/>
      <c r="G228" s="560"/>
      <c r="H228" s="560"/>
      <c r="I228" s="560"/>
      <c r="J228" s="560"/>
      <c r="K228" s="560"/>
      <c r="L228" s="560"/>
      <c r="M228" s="560"/>
      <c r="N228" s="560"/>
      <c r="O228" s="560"/>
      <c r="P228" s="560"/>
      <c r="Q228" s="560"/>
      <c r="R228" s="560"/>
      <c r="S228" s="560"/>
      <c r="T228" s="560"/>
      <c r="U228" s="560"/>
      <c r="V228" s="560"/>
      <c r="W228" s="560"/>
      <c r="X228" s="560"/>
      <c r="Y228" s="560"/>
      <c r="Z228" s="560"/>
      <c r="AA228" s="560"/>
      <c r="AB228" s="560"/>
      <c r="AC228" s="560"/>
      <c r="AD228" s="560"/>
      <c r="AE228" s="560"/>
      <c r="AF228" s="560"/>
      <c r="AG228" s="560"/>
      <c r="AH228" s="379">
        <f>SUM(C228:AG228)</f>
        <v>0</v>
      </c>
    </row>
    <row r="229" spans="1:34" x14ac:dyDescent="0.2">
      <c r="A229" s="287" t="s">
        <v>11</v>
      </c>
      <c r="B229" s="266"/>
      <c r="C229" s="291">
        <v>0</v>
      </c>
      <c r="D229" s="289"/>
      <c r="E229" s="289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15"/>
    </row>
    <row r="230" spans="1:34" ht="13.5" thickBot="1" x14ac:dyDescent="0.25">
      <c r="A230" s="296"/>
      <c r="B230" s="266"/>
      <c r="C230" s="291"/>
      <c r="D230" s="291"/>
      <c r="E230" s="291"/>
      <c r="F230" s="290"/>
      <c r="G230" s="290"/>
      <c r="H230" s="290"/>
      <c r="I230" s="290"/>
      <c r="J230" s="290"/>
      <c r="K230" s="290"/>
      <c r="L230" s="290"/>
      <c r="M230" s="290"/>
      <c r="N230" s="290"/>
      <c r="O230" s="290"/>
      <c r="P230" s="292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15"/>
    </row>
    <row r="231" spans="1:34" x14ac:dyDescent="0.2">
      <c r="A231" s="282"/>
      <c r="B231" s="266"/>
      <c r="C231" s="297"/>
      <c r="D231" s="298"/>
      <c r="E231" s="298"/>
      <c r="F231" s="299"/>
      <c r="G231" s="299"/>
      <c r="H231" s="299"/>
      <c r="I231" s="299"/>
      <c r="J231" s="299"/>
      <c r="K231" s="299"/>
      <c r="L231" s="299"/>
      <c r="M231" s="299"/>
      <c r="N231" s="299"/>
      <c r="O231" s="299"/>
      <c r="P231" s="866"/>
      <c r="Q231" s="299"/>
      <c r="R231" s="299"/>
      <c r="S231" s="299"/>
      <c r="T231" s="299"/>
      <c r="U231" s="299"/>
      <c r="V231" s="299"/>
      <c r="W231" s="299"/>
      <c r="X231" s="299"/>
      <c r="Y231" s="299"/>
      <c r="Z231" s="299"/>
      <c r="AA231" s="299"/>
      <c r="AB231" s="299"/>
      <c r="AC231" s="299"/>
      <c r="AD231" s="299"/>
      <c r="AE231" s="299"/>
      <c r="AF231" s="299"/>
      <c r="AG231" s="299"/>
      <c r="AH231" s="215"/>
    </row>
    <row r="232" spans="1:34" ht="13.5" thickBot="1" x14ac:dyDescent="0.25">
      <c r="A232" s="287" t="s">
        <v>12</v>
      </c>
      <c r="B232" s="266"/>
      <c r="C232" s="288">
        <f>C233</f>
        <v>0</v>
      </c>
      <c r="D232" s="288">
        <f t="shared" ref="D232:AG232" si="24">D233</f>
        <v>0</v>
      </c>
      <c r="E232" s="288">
        <f t="shared" si="24"/>
        <v>0</v>
      </c>
      <c r="F232" s="288">
        <f t="shared" si="24"/>
        <v>0</v>
      </c>
      <c r="G232" s="288">
        <f t="shared" si="24"/>
        <v>0</v>
      </c>
      <c r="H232" s="288">
        <f t="shared" si="24"/>
        <v>0</v>
      </c>
      <c r="I232" s="288">
        <f t="shared" si="24"/>
        <v>0</v>
      </c>
      <c r="J232" s="288">
        <f t="shared" si="24"/>
        <v>0</v>
      </c>
      <c r="K232" s="288">
        <f t="shared" si="24"/>
        <v>0</v>
      </c>
      <c r="L232" s="288">
        <f t="shared" si="24"/>
        <v>0</v>
      </c>
      <c r="M232" s="288">
        <f t="shared" si="24"/>
        <v>0</v>
      </c>
      <c r="N232" s="288">
        <f t="shared" si="24"/>
        <v>0</v>
      </c>
      <c r="O232" s="288">
        <f t="shared" si="24"/>
        <v>0</v>
      </c>
      <c r="P232" s="865">
        <f t="shared" si="24"/>
        <v>0</v>
      </c>
      <c r="Q232" s="288">
        <f t="shared" si="24"/>
        <v>0</v>
      </c>
      <c r="R232" s="288">
        <f t="shared" si="24"/>
        <v>0</v>
      </c>
      <c r="S232" s="288">
        <f t="shared" si="24"/>
        <v>0</v>
      </c>
      <c r="T232" s="288">
        <f t="shared" si="24"/>
        <v>0</v>
      </c>
      <c r="U232" s="288">
        <f t="shared" si="24"/>
        <v>0</v>
      </c>
      <c r="V232" s="288">
        <f t="shared" si="24"/>
        <v>0</v>
      </c>
      <c r="W232" s="288">
        <f t="shared" si="24"/>
        <v>0</v>
      </c>
      <c r="X232" s="288">
        <f t="shared" si="24"/>
        <v>0</v>
      </c>
      <c r="Y232" s="288">
        <f t="shared" si="24"/>
        <v>0</v>
      </c>
      <c r="Z232" s="288">
        <f t="shared" si="24"/>
        <v>0</v>
      </c>
      <c r="AA232" s="288">
        <f t="shared" si="24"/>
        <v>0</v>
      </c>
      <c r="AB232" s="288">
        <f t="shared" si="24"/>
        <v>0</v>
      </c>
      <c r="AC232" s="288">
        <f t="shared" si="24"/>
        <v>0</v>
      </c>
      <c r="AD232" s="288">
        <f t="shared" si="24"/>
        <v>0</v>
      </c>
      <c r="AE232" s="288">
        <f t="shared" si="24"/>
        <v>0</v>
      </c>
      <c r="AF232" s="288">
        <f t="shared" si="24"/>
        <v>0</v>
      </c>
      <c r="AG232" s="288">
        <f t="shared" si="24"/>
        <v>0</v>
      </c>
      <c r="AH232" s="215"/>
    </row>
    <row r="233" spans="1:34" x14ac:dyDescent="0.2">
      <c r="A233" s="287" t="s">
        <v>8</v>
      </c>
      <c r="B233" s="266"/>
      <c r="C233" s="291"/>
      <c r="D233" s="291"/>
      <c r="E233" s="291"/>
      <c r="F233" s="290"/>
      <c r="G233" s="290"/>
      <c r="H233" s="290"/>
      <c r="I233" s="290"/>
      <c r="J233" s="290"/>
      <c r="K233" s="290"/>
      <c r="L233" s="290"/>
      <c r="M233" s="290"/>
      <c r="N233" s="290"/>
      <c r="O233" s="290"/>
      <c r="P233" s="292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  <c r="AA233" s="290"/>
      <c r="AB233" s="290"/>
      <c r="AC233" s="290"/>
      <c r="AD233" s="290"/>
      <c r="AE233" s="290"/>
      <c r="AF233" s="290"/>
      <c r="AG233" s="290"/>
      <c r="AH233" s="215"/>
    </row>
    <row r="234" spans="1:34" x14ac:dyDescent="0.2">
      <c r="A234" s="287" t="s">
        <v>775</v>
      </c>
      <c r="B234" s="266"/>
      <c r="C234" s="291"/>
      <c r="D234" s="291"/>
      <c r="E234" s="291"/>
      <c r="F234" s="290">
        <v>1194.019</v>
      </c>
      <c r="G234" s="290">
        <v>2833.1610000000001</v>
      </c>
      <c r="H234" s="290"/>
      <c r="I234" s="290">
        <v>419.82799999999997</v>
      </c>
      <c r="J234" s="290"/>
      <c r="K234" s="290">
        <v>3697.9919999999997</v>
      </c>
      <c r="L234" s="290">
        <v>6712.2820000000002</v>
      </c>
      <c r="M234" s="290"/>
      <c r="N234" s="290"/>
      <c r="O234" s="290"/>
      <c r="P234" s="292">
        <v>419.82799999999997</v>
      </c>
      <c r="Q234" s="290">
        <v>3854.8490000000002</v>
      </c>
      <c r="R234" s="290">
        <v>812.51700000000005</v>
      </c>
      <c r="S234" s="290"/>
      <c r="T234" s="290"/>
      <c r="U234" s="290"/>
      <c r="V234" s="290">
        <v>2234.5810000000001</v>
      </c>
      <c r="W234" s="290">
        <v>3177.038</v>
      </c>
      <c r="X234" s="290">
        <v>950</v>
      </c>
      <c r="Y234" s="290"/>
      <c r="Z234" s="290"/>
      <c r="AA234" s="290">
        <v>4089.6699999999996</v>
      </c>
      <c r="AB234" s="290"/>
      <c r="AC234" s="290"/>
      <c r="AD234" s="290"/>
      <c r="AE234" s="290"/>
      <c r="AF234" s="290">
        <v>2266.6089999999999</v>
      </c>
      <c r="AG234" s="290">
        <v>1087.1859999999999</v>
      </c>
      <c r="AH234" s="286">
        <f>SUM(C234:AG234)</f>
        <v>33749.56</v>
      </c>
    </row>
    <row r="235" spans="1:34" ht="13.5" thickBot="1" x14ac:dyDescent="0.25">
      <c r="A235" s="296"/>
      <c r="B235" s="266"/>
      <c r="C235" s="291"/>
      <c r="D235" s="291"/>
      <c r="E235" s="291"/>
      <c r="F235" s="290"/>
      <c r="G235" s="290"/>
      <c r="H235" s="290"/>
      <c r="I235" s="290"/>
      <c r="J235" s="290"/>
      <c r="K235" s="290"/>
      <c r="L235" s="290"/>
      <c r="M235" s="290"/>
      <c r="N235" s="290"/>
      <c r="O235" s="290"/>
      <c r="P235" s="292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15"/>
    </row>
    <row r="236" spans="1:34" x14ac:dyDescent="0.2">
      <c r="A236" s="282"/>
      <c r="B236" s="266"/>
      <c r="C236" s="297"/>
      <c r="D236" s="298"/>
      <c r="E236" s="298"/>
      <c r="F236" s="299"/>
      <c r="G236" s="299"/>
      <c r="H236" s="299"/>
      <c r="I236" s="299"/>
      <c r="J236" s="299"/>
      <c r="K236" s="299"/>
      <c r="L236" s="299"/>
      <c r="M236" s="299"/>
      <c r="N236" s="299"/>
      <c r="O236" s="299"/>
      <c r="P236" s="866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  <c r="AA236" s="299"/>
      <c r="AB236" s="299"/>
      <c r="AC236" s="299"/>
      <c r="AD236" s="299"/>
      <c r="AE236" s="299"/>
      <c r="AF236" s="299"/>
      <c r="AG236" s="299"/>
      <c r="AH236" s="215"/>
    </row>
    <row r="237" spans="1:34" x14ac:dyDescent="0.2">
      <c r="A237" s="287" t="s">
        <v>13</v>
      </c>
      <c r="B237" s="266"/>
      <c r="C237" s="300">
        <f>C232-C224</f>
        <v>0</v>
      </c>
      <c r="D237" s="300">
        <f>D232-D224</f>
        <v>0</v>
      </c>
      <c r="E237" s="300">
        <f>E232-E224</f>
        <v>0</v>
      </c>
      <c r="F237" s="300">
        <f>F232-F224</f>
        <v>0</v>
      </c>
      <c r="G237" s="300">
        <f>G232-G224</f>
        <v>0</v>
      </c>
      <c r="H237" s="300">
        <f t="shared" ref="H237:AG237" si="25">H232-H224</f>
        <v>0</v>
      </c>
      <c r="I237" s="300">
        <f t="shared" si="25"/>
        <v>0</v>
      </c>
      <c r="J237" s="300">
        <f t="shared" si="25"/>
        <v>0</v>
      </c>
      <c r="K237" s="300">
        <f t="shared" si="25"/>
        <v>0</v>
      </c>
      <c r="L237" s="300">
        <f t="shared" si="25"/>
        <v>0</v>
      </c>
      <c r="M237" s="300">
        <f t="shared" si="25"/>
        <v>0</v>
      </c>
      <c r="N237" s="300">
        <f t="shared" si="25"/>
        <v>0</v>
      </c>
      <c r="O237" s="300">
        <f t="shared" si="25"/>
        <v>0</v>
      </c>
      <c r="P237" s="867">
        <f t="shared" si="25"/>
        <v>0</v>
      </c>
      <c r="Q237" s="300">
        <f t="shared" si="25"/>
        <v>0</v>
      </c>
      <c r="R237" s="300">
        <f t="shared" si="25"/>
        <v>0</v>
      </c>
      <c r="S237" s="300">
        <f t="shared" si="25"/>
        <v>0</v>
      </c>
      <c r="T237" s="300">
        <f t="shared" si="25"/>
        <v>0</v>
      </c>
      <c r="U237" s="300">
        <f t="shared" si="25"/>
        <v>0</v>
      </c>
      <c r="V237" s="300">
        <f t="shared" si="25"/>
        <v>0</v>
      </c>
      <c r="W237" s="300">
        <f t="shared" si="25"/>
        <v>0</v>
      </c>
      <c r="X237" s="300">
        <f t="shared" si="25"/>
        <v>0</v>
      </c>
      <c r="Y237" s="300">
        <f t="shared" si="25"/>
        <v>0</v>
      </c>
      <c r="Z237" s="300">
        <f t="shared" si="25"/>
        <v>0</v>
      </c>
      <c r="AA237" s="300">
        <f t="shared" si="25"/>
        <v>0</v>
      </c>
      <c r="AB237" s="300">
        <f t="shared" si="25"/>
        <v>0</v>
      </c>
      <c r="AC237" s="300">
        <f t="shared" si="25"/>
        <v>0</v>
      </c>
      <c r="AD237" s="300">
        <f t="shared" si="25"/>
        <v>0</v>
      </c>
      <c r="AE237" s="300">
        <f t="shared" si="25"/>
        <v>0</v>
      </c>
      <c r="AF237" s="300">
        <f t="shared" si="25"/>
        <v>0</v>
      </c>
      <c r="AG237" s="300">
        <f t="shared" si="25"/>
        <v>0</v>
      </c>
      <c r="AH237" s="215"/>
    </row>
    <row r="238" spans="1:34" ht="13.5" thickBot="1" x14ac:dyDescent="0.25">
      <c r="A238" s="287"/>
      <c r="B238" s="266"/>
      <c r="C238" s="300"/>
      <c r="D238" s="291"/>
      <c r="E238" s="291"/>
      <c r="F238" s="290"/>
      <c r="G238" s="290"/>
      <c r="H238" s="290"/>
      <c r="I238" s="290"/>
      <c r="J238" s="290"/>
      <c r="K238" s="290"/>
      <c r="L238" s="290"/>
      <c r="M238" s="290"/>
      <c r="N238" s="290"/>
      <c r="O238" s="290"/>
      <c r="P238" s="292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15"/>
    </row>
    <row r="239" spans="1:34" x14ac:dyDescent="0.2">
      <c r="A239" s="263"/>
      <c r="B239" s="264"/>
      <c r="C239" s="301"/>
      <c r="D239" s="298"/>
      <c r="E239" s="298"/>
      <c r="F239" s="299"/>
      <c r="G239" s="299"/>
      <c r="H239" s="299"/>
      <c r="I239" s="299"/>
      <c r="J239" s="299"/>
      <c r="K239" s="299"/>
      <c r="L239" s="299"/>
      <c r="M239" s="299"/>
      <c r="N239" s="299"/>
      <c r="O239" s="299"/>
      <c r="P239" s="866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  <c r="AA239" s="299"/>
      <c r="AB239" s="299"/>
      <c r="AC239" s="299"/>
      <c r="AD239" s="299"/>
      <c r="AE239" s="299"/>
      <c r="AF239" s="299"/>
      <c r="AG239" s="299"/>
      <c r="AH239" s="215"/>
    </row>
    <row r="240" spans="1:34" x14ac:dyDescent="0.2">
      <c r="A240" s="265" t="s">
        <v>15</v>
      </c>
      <c r="B240" s="266"/>
      <c r="C240" s="291">
        <f>B221+C237</f>
        <v>2009.0070000000001</v>
      </c>
      <c r="D240" s="291">
        <f t="shared" ref="D240:AG240" si="26">C247+D237</f>
        <v>2009.0070000000001</v>
      </c>
      <c r="E240" s="291">
        <f t="shared" si="26"/>
        <v>2009.0070000000001</v>
      </c>
      <c r="F240" s="291">
        <f t="shared" si="26"/>
        <v>2009.0070000000001</v>
      </c>
      <c r="G240" s="291">
        <f t="shared" si="26"/>
        <v>2009.0070000000001</v>
      </c>
      <c r="H240" s="291">
        <f t="shared" si="26"/>
        <v>2009.0070000000001</v>
      </c>
      <c r="I240" s="291">
        <f t="shared" si="26"/>
        <v>3000.74</v>
      </c>
      <c r="J240" s="291">
        <f t="shared" si="26"/>
        <v>3000.74</v>
      </c>
      <c r="K240" s="291">
        <f t="shared" si="26"/>
        <v>3000.74</v>
      </c>
      <c r="L240" s="291">
        <f t="shared" si="26"/>
        <v>3000.74</v>
      </c>
      <c r="M240" s="291">
        <f t="shared" si="26"/>
        <v>3000.74</v>
      </c>
      <c r="N240" s="291">
        <f t="shared" si="26"/>
        <v>3000.74</v>
      </c>
      <c r="O240" s="291">
        <f t="shared" si="26"/>
        <v>3000.74</v>
      </c>
      <c r="P240" s="289">
        <f t="shared" si="26"/>
        <v>3000.74</v>
      </c>
      <c r="Q240" s="291">
        <f t="shared" si="26"/>
        <v>3000.74</v>
      </c>
      <c r="R240" s="291">
        <f t="shared" si="26"/>
        <v>3000.74</v>
      </c>
      <c r="S240" s="291">
        <f t="shared" si="26"/>
        <v>3000.74</v>
      </c>
      <c r="T240" s="291">
        <f t="shared" si="26"/>
        <v>3000.74</v>
      </c>
      <c r="U240" s="291">
        <f t="shared" si="26"/>
        <v>3000.74</v>
      </c>
      <c r="V240" s="291">
        <f t="shared" si="26"/>
        <v>3000.74</v>
      </c>
      <c r="W240" s="291">
        <f t="shared" si="26"/>
        <v>3000.74</v>
      </c>
      <c r="X240" s="291">
        <f t="shared" si="26"/>
        <v>3000.74</v>
      </c>
      <c r="Y240" s="291">
        <f t="shared" si="26"/>
        <v>3000.74</v>
      </c>
      <c r="Z240" s="291">
        <f t="shared" si="26"/>
        <v>3000.74</v>
      </c>
      <c r="AA240" s="291">
        <f t="shared" si="26"/>
        <v>3000.74</v>
      </c>
      <c r="AB240" s="291">
        <f t="shared" si="26"/>
        <v>3000.74</v>
      </c>
      <c r="AC240" s="291">
        <f t="shared" si="26"/>
        <v>3000.74</v>
      </c>
      <c r="AD240" s="291">
        <f t="shared" si="26"/>
        <v>3000.74</v>
      </c>
      <c r="AE240" s="291">
        <f t="shared" si="26"/>
        <v>3000.74</v>
      </c>
      <c r="AF240" s="291">
        <f t="shared" si="26"/>
        <v>3000.74</v>
      </c>
      <c r="AG240" s="291">
        <f t="shared" si="26"/>
        <v>3000.74</v>
      </c>
      <c r="AH240" s="215"/>
    </row>
    <row r="241" spans="1:34" ht="13.5" thickBot="1" x14ac:dyDescent="0.25">
      <c r="A241" s="275"/>
      <c r="B241" s="302"/>
      <c r="C241" s="303"/>
      <c r="D241" s="303"/>
      <c r="E241" s="303"/>
      <c r="F241" s="304"/>
      <c r="G241" s="304"/>
      <c r="H241" s="304"/>
      <c r="I241" s="304"/>
      <c r="J241" s="304"/>
      <c r="K241" s="304"/>
      <c r="L241" s="304"/>
      <c r="M241" s="304"/>
      <c r="N241" s="304"/>
      <c r="O241" s="304"/>
      <c r="P241" s="868"/>
      <c r="Q241" s="304"/>
      <c r="R241" s="304"/>
      <c r="S241" s="304"/>
      <c r="T241" s="304"/>
      <c r="U241" s="304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04"/>
      <c r="AF241" s="304"/>
      <c r="AG241" s="304"/>
      <c r="AH241" s="215"/>
    </row>
    <row r="242" spans="1:34" x14ac:dyDescent="0.2">
      <c r="A242" s="263"/>
      <c r="B242" s="264"/>
      <c r="C242" s="298"/>
      <c r="D242" s="298"/>
      <c r="E242" s="298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866"/>
      <c r="Q242" s="299"/>
      <c r="R242" s="299"/>
      <c r="S242" s="299"/>
      <c r="T242" s="299"/>
      <c r="U242" s="299"/>
      <c r="V242" s="299"/>
      <c r="W242" s="299"/>
      <c r="X242" s="299"/>
      <c r="Y242" s="299"/>
      <c r="Z242" s="299"/>
      <c r="AA242" s="299"/>
      <c r="AB242" s="299"/>
      <c r="AC242" s="299"/>
      <c r="AD242" s="299"/>
      <c r="AE242" s="299"/>
      <c r="AF242" s="299"/>
      <c r="AG242" s="299"/>
      <c r="AH242" s="215"/>
    </row>
    <row r="243" spans="1:34" x14ac:dyDescent="0.2">
      <c r="A243" s="265" t="s">
        <v>82</v>
      </c>
      <c r="B243" s="266"/>
      <c r="C243" s="291">
        <f t="shared" ref="C243:AG244" si="27">C251</f>
        <v>0</v>
      </c>
      <c r="D243" s="291">
        <f t="shared" si="27"/>
        <v>0</v>
      </c>
      <c r="E243" s="291">
        <f t="shared" si="27"/>
        <v>0</v>
      </c>
      <c r="F243" s="291">
        <f t="shared" si="27"/>
        <v>0</v>
      </c>
      <c r="G243" s="291">
        <f t="shared" si="27"/>
        <v>0</v>
      </c>
      <c r="H243" s="291">
        <f t="shared" si="27"/>
        <v>991.73299999999995</v>
      </c>
      <c r="I243" s="291">
        <f t="shared" si="27"/>
        <v>0</v>
      </c>
      <c r="J243" s="291">
        <f t="shared" si="27"/>
        <v>0</v>
      </c>
      <c r="K243" s="291">
        <f t="shared" si="27"/>
        <v>0</v>
      </c>
      <c r="L243" s="291">
        <f t="shared" si="27"/>
        <v>0</v>
      </c>
      <c r="M243" s="291">
        <f t="shared" si="27"/>
        <v>0</v>
      </c>
      <c r="N243" s="291">
        <f t="shared" si="27"/>
        <v>0</v>
      </c>
      <c r="O243" s="291">
        <f t="shared" si="27"/>
        <v>0</v>
      </c>
      <c r="P243" s="289">
        <f t="shared" si="27"/>
        <v>0</v>
      </c>
      <c r="Q243" s="291">
        <f t="shared" si="27"/>
        <v>0</v>
      </c>
      <c r="R243" s="291">
        <f t="shared" si="27"/>
        <v>0</v>
      </c>
      <c r="S243" s="291">
        <f t="shared" si="27"/>
        <v>0</v>
      </c>
      <c r="T243" s="291">
        <f t="shared" si="27"/>
        <v>0</v>
      </c>
      <c r="U243" s="291">
        <f t="shared" si="27"/>
        <v>0</v>
      </c>
      <c r="V243" s="291">
        <f t="shared" si="27"/>
        <v>0</v>
      </c>
      <c r="W243" s="291">
        <f t="shared" si="27"/>
        <v>0</v>
      </c>
      <c r="X243" s="291">
        <f t="shared" si="27"/>
        <v>0</v>
      </c>
      <c r="Y243" s="291">
        <f t="shared" si="27"/>
        <v>0</v>
      </c>
      <c r="Z243" s="291">
        <f t="shared" si="27"/>
        <v>0</v>
      </c>
      <c r="AA243" s="291">
        <f t="shared" si="27"/>
        <v>0</v>
      </c>
      <c r="AB243" s="291">
        <f t="shared" si="27"/>
        <v>0</v>
      </c>
      <c r="AC243" s="291">
        <f t="shared" si="27"/>
        <v>0</v>
      </c>
      <c r="AD243" s="291">
        <f t="shared" si="27"/>
        <v>0</v>
      </c>
      <c r="AE243" s="291">
        <f t="shared" si="27"/>
        <v>0</v>
      </c>
      <c r="AF243" s="291">
        <f t="shared" si="27"/>
        <v>0</v>
      </c>
      <c r="AG243" s="291">
        <f t="shared" si="27"/>
        <v>0</v>
      </c>
      <c r="AH243" s="215"/>
    </row>
    <row r="244" spans="1:34" x14ac:dyDescent="0.2">
      <c r="A244" s="265" t="s">
        <v>83</v>
      </c>
      <c r="B244" s="266"/>
      <c r="C244" s="289">
        <f t="shared" si="27"/>
        <v>0</v>
      </c>
      <c r="D244" s="289">
        <f t="shared" si="27"/>
        <v>0</v>
      </c>
      <c r="E244" s="289">
        <f t="shared" si="27"/>
        <v>0</v>
      </c>
      <c r="F244" s="289">
        <f t="shared" si="27"/>
        <v>0</v>
      </c>
      <c r="G244" s="289">
        <f t="shared" si="27"/>
        <v>0</v>
      </c>
      <c r="H244" s="289">
        <f t="shared" si="27"/>
        <v>0</v>
      </c>
      <c r="I244" s="289">
        <f t="shared" si="27"/>
        <v>0</v>
      </c>
      <c r="J244" s="289">
        <f t="shared" si="27"/>
        <v>0</v>
      </c>
      <c r="K244" s="289">
        <f t="shared" si="27"/>
        <v>0</v>
      </c>
      <c r="L244" s="289">
        <f t="shared" si="27"/>
        <v>0</v>
      </c>
      <c r="M244" s="289">
        <f t="shared" si="27"/>
        <v>0</v>
      </c>
      <c r="N244" s="289">
        <f t="shared" si="27"/>
        <v>0</v>
      </c>
      <c r="O244" s="289">
        <f t="shared" si="27"/>
        <v>0</v>
      </c>
      <c r="P244" s="289">
        <f t="shared" si="27"/>
        <v>0</v>
      </c>
      <c r="Q244" s="289">
        <f t="shared" si="27"/>
        <v>0</v>
      </c>
      <c r="R244" s="289">
        <f t="shared" si="27"/>
        <v>0</v>
      </c>
      <c r="S244" s="289">
        <f t="shared" si="27"/>
        <v>0</v>
      </c>
      <c r="T244" s="289">
        <f t="shared" si="27"/>
        <v>0</v>
      </c>
      <c r="U244" s="289">
        <f t="shared" si="27"/>
        <v>0</v>
      </c>
      <c r="V244" s="289">
        <f t="shared" si="27"/>
        <v>0</v>
      </c>
      <c r="W244" s="289">
        <f t="shared" si="27"/>
        <v>0</v>
      </c>
      <c r="X244" s="289">
        <f t="shared" si="27"/>
        <v>0</v>
      </c>
      <c r="Y244" s="289">
        <f t="shared" si="27"/>
        <v>0</v>
      </c>
      <c r="Z244" s="289">
        <f t="shared" si="27"/>
        <v>0</v>
      </c>
      <c r="AA244" s="289">
        <f t="shared" si="27"/>
        <v>0</v>
      </c>
      <c r="AB244" s="289">
        <f t="shared" si="27"/>
        <v>0</v>
      </c>
      <c r="AC244" s="289">
        <f t="shared" si="27"/>
        <v>0</v>
      </c>
      <c r="AD244" s="289">
        <f t="shared" si="27"/>
        <v>0</v>
      </c>
      <c r="AE244" s="289">
        <f t="shared" si="27"/>
        <v>0</v>
      </c>
      <c r="AF244" s="289">
        <f t="shared" si="27"/>
        <v>0</v>
      </c>
      <c r="AG244" s="289">
        <f t="shared" si="27"/>
        <v>0</v>
      </c>
      <c r="AH244" s="215"/>
    </row>
    <row r="245" spans="1:34" ht="13.5" thickBot="1" x14ac:dyDescent="0.25">
      <c r="A245" s="275"/>
      <c r="B245" s="302"/>
      <c r="C245" s="303"/>
      <c r="D245" s="303"/>
      <c r="E245" s="303"/>
      <c r="F245" s="304"/>
      <c r="G245" s="304"/>
      <c r="H245" s="304"/>
      <c r="I245" s="304"/>
      <c r="J245" s="304"/>
      <c r="K245" s="304"/>
      <c r="L245" s="304"/>
      <c r="M245" s="304"/>
      <c r="N245" s="304"/>
      <c r="O245" s="304"/>
      <c r="P245" s="868"/>
      <c r="Q245" s="304"/>
      <c r="R245" s="304"/>
      <c r="S245" s="304"/>
      <c r="T245" s="304"/>
      <c r="U245" s="304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304"/>
      <c r="AF245" s="304"/>
      <c r="AG245" s="304"/>
      <c r="AH245" s="215"/>
    </row>
    <row r="246" spans="1:34" x14ac:dyDescent="0.2">
      <c r="A246" s="265"/>
      <c r="B246" s="266"/>
      <c r="C246" s="291"/>
      <c r="D246" s="291"/>
      <c r="E246" s="291"/>
      <c r="F246" s="290"/>
      <c r="G246" s="290"/>
      <c r="H246" s="290"/>
      <c r="I246" s="290"/>
      <c r="J246" s="290"/>
      <c r="K246" s="290"/>
      <c r="L246" s="290"/>
      <c r="M246" s="290"/>
      <c r="N246" s="290"/>
      <c r="O246" s="290"/>
      <c r="P246" s="292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15"/>
    </row>
    <row r="247" spans="1:34" x14ac:dyDescent="0.2">
      <c r="A247" s="265" t="s">
        <v>14</v>
      </c>
      <c r="B247" s="266"/>
      <c r="C247" s="291">
        <f>C240+C243+C244</f>
        <v>2009.0070000000001</v>
      </c>
      <c r="D247" s="291">
        <f>D240+D243+D244</f>
        <v>2009.0070000000001</v>
      </c>
      <c r="E247" s="291">
        <f>E240+E243+E244</f>
        <v>2009.0070000000001</v>
      </c>
      <c r="F247" s="291">
        <f>F240+F243+F244</f>
        <v>2009.0070000000001</v>
      </c>
      <c r="G247" s="291">
        <f>G240+G243+G244</f>
        <v>2009.0070000000001</v>
      </c>
      <c r="H247" s="291">
        <f t="shared" ref="H247:AG247" si="28">H240+H243+H244</f>
        <v>3000.74</v>
      </c>
      <c r="I247" s="291">
        <f t="shared" si="28"/>
        <v>3000.74</v>
      </c>
      <c r="J247" s="291">
        <f t="shared" si="28"/>
        <v>3000.74</v>
      </c>
      <c r="K247" s="291">
        <f t="shared" si="28"/>
        <v>3000.74</v>
      </c>
      <c r="L247" s="291">
        <f t="shared" si="28"/>
        <v>3000.74</v>
      </c>
      <c r="M247" s="291">
        <f t="shared" si="28"/>
        <v>3000.74</v>
      </c>
      <c r="N247" s="291">
        <f t="shared" si="28"/>
        <v>3000.74</v>
      </c>
      <c r="O247" s="291">
        <f t="shared" si="28"/>
        <v>3000.74</v>
      </c>
      <c r="P247" s="289">
        <f t="shared" si="28"/>
        <v>3000.74</v>
      </c>
      <c r="Q247" s="291">
        <f t="shared" si="28"/>
        <v>3000.74</v>
      </c>
      <c r="R247" s="291">
        <f t="shared" si="28"/>
        <v>3000.74</v>
      </c>
      <c r="S247" s="291">
        <f t="shared" si="28"/>
        <v>3000.74</v>
      </c>
      <c r="T247" s="291">
        <f t="shared" si="28"/>
        <v>3000.74</v>
      </c>
      <c r="U247" s="291">
        <f t="shared" si="28"/>
        <v>3000.74</v>
      </c>
      <c r="V247" s="291">
        <f t="shared" si="28"/>
        <v>3000.74</v>
      </c>
      <c r="W247" s="291">
        <f t="shared" si="28"/>
        <v>3000.74</v>
      </c>
      <c r="X247" s="291">
        <f t="shared" si="28"/>
        <v>3000.74</v>
      </c>
      <c r="Y247" s="291">
        <f t="shared" si="28"/>
        <v>3000.74</v>
      </c>
      <c r="Z247" s="291">
        <f t="shared" si="28"/>
        <v>3000.74</v>
      </c>
      <c r="AA247" s="291">
        <f t="shared" si="28"/>
        <v>3000.74</v>
      </c>
      <c r="AB247" s="291">
        <f t="shared" si="28"/>
        <v>3000.74</v>
      </c>
      <c r="AC247" s="291">
        <f t="shared" si="28"/>
        <v>3000.74</v>
      </c>
      <c r="AD247" s="291">
        <f t="shared" si="28"/>
        <v>3000.74</v>
      </c>
      <c r="AE247" s="291">
        <f t="shared" si="28"/>
        <v>3000.74</v>
      </c>
      <c r="AF247" s="291">
        <f t="shared" si="28"/>
        <v>3000.74</v>
      </c>
      <c r="AG247" s="291">
        <f t="shared" si="28"/>
        <v>3000.74</v>
      </c>
      <c r="AH247" s="215"/>
    </row>
    <row r="248" spans="1:34" x14ac:dyDescent="0.2">
      <c r="A248" s="265"/>
      <c r="B248" s="266"/>
      <c r="C248" s="291"/>
      <c r="D248" s="291"/>
      <c r="E248" s="291"/>
      <c r="F248" s="290"/>
      <c r="G248" s="290"/>
      <c r="H248" s="290"/>
      <c r="I248" s="290"/>
      <c r="J248" s="290"/>
      <c r="K248" s="290"/>
      <c r="L248" s="290"/>
      <c r="M248" s="290"/>
      <c r="N248" s="290"/>
      <c r="O248" s="290"/>
      <c r="P248" s="292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15"/>
    </row>
    <row r="249" spans="1:34" ht="13.5" thickBot="1" x14ac:dyDescent="0.25">
      <c r="A249" s="275"/>
      <c r="B249" s="302"/>
      <c r="C249" s="306"/>
      <c r="D249" s="306"/>
      <c r="E249" s="306"/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869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  <c r="AA249" s="307"/>
      <c r="AB249" s="307"/>
      <c r="AC249" s="307"/>
      <c r="AD249" s="307"/>
      <c r="AE249" s="307"/>
      <c r="AF249" s="307"/>
      <c r="AG249" s="307"/>
      <c r="AH249" s="215"/>
    </row>
    <row r="250" spans="1:34" x14ac:dyDescent="0.2">
      <c r="A250" s="310"/>
      <c r="B250" s="215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308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>
        <f>SUM(C250:AG250)</f>
        <v>0</v>
      </c>
    </row>
    <row r="251" spans="1:34" x14ac:dyDescent="0.2">
      <c r="A251" s="310"/>
      <c r="B251" s="215"/>
      <c r="C251" s="311"/>
      <c r="D251" s="311"/>
      <c r="E251" s="311"/>
      <c r="F251" s="311"/>
      <c r="G251" s="314"/>
      <c r="H251" s="311">
        <v>991.73299999999995</v>
      </c>
      <c r="I251" s="311"/>
      <c r="J251" s="311"/>
      <c r="K251" s="311"/>
      <c r="L251" s="314"/>
      <c r="M251" s="314"/>
      <c r="N251" s="629"/>
      <c r="O251" s="314"/>
      <c r="P251" s="629"/>
      <c r="Q251" s="311"/>
      <c r="R251" s="311"/>
      <c r="S251" s="311"/>
      <c r="T251" s="311"/>
      <c r="U251" s="311"/>
      <c r="V251" s="629"/>
      <c r="W251" s="311"/>
      <c r="X251" s="311"/>
      <c r="Y251" s="311"/>
      <c r="Z251" s="311"/>
      <c r="AA251" s="314"/>
      <c r="AB251" s="311"/>
      <c r="AC251" s="311"/>
      <c r="AD251" s="314"/>
      <c r="AE251" s="311"/>
      <c r="AF251" s="629"/>
      <c r="AG251" s="311"/>
      <c r="AH251" s="262"/>
    </row>
    <row r="252" spans="1:34" x14ac:dyDescent="0.2">
      <c r="A252" s="215"/>
      <c r="B252" s="215"/>
      <c r="C252" s="215"/>
      <c r="D252" s="311"/>
      <c r="E252" s="317"/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309"/>
      <c r="Q252" s="286"/>
      <c r="R252" s="215"/>
      <c r="S252" s="262"/>
      <c r="T252" s="215"/>
      <c r="U252" s="215"/>
      <c r="V252" s="215"/>
      <c r="W252" s="215"/>
      <c r="X252" s="215"/>
      <c r="Y252" s="262"/>
      <c r="Z252" s="262"/>
      <c r="AA252" s="262"/>
      <c r="AB252" s="262"/>
      <c r="AC252" s="262"/>
      <c r="AD252" s="262"/>
      <c r="AE252" s="262"/>
      <c r="AF252" s="262"/>
      <c r="AG252" s="262"/>
      <c r="AH252" s="286">
        <f>SUM(C252:AG252)</f>
        <v>0</v>
      </c>
    </row>
    <row r="253" spans="1:34" x14ac:dyDescent="0.2">
      <c r="A253" s="358" t="s">
        <v>415</v>
      </c>
      <c r="B253" s="359">
        <f>B254+B255+B257</f>
        <v>425000</v>
      </c>
      <c r="C253" s="215"/>
      <c r="D253" s="215"/>
      <c r="E253" s="215"/>
      <c r="F253" s="215"/>
      <c r="G253" s="215"/>
      <c r="H253" s="215"/>
      <c r="I253" s="215"/>
      <c r="J253" s="215"/>
      <c r="K253" s="409"/>
      <c r="L253" s="215"/>
      <c r="M253" s="215"/>
      <c r="N253" s="215"/>
      <c r="O253" s="215"/>
      <c r="P253" s="309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408"/>
      <c r="AB253" s="215"/>
      <c r="AC253" s="215"/>
      <c r="AD253" s="215"/>
      <c r="AE253" s="215"/>
      <c r="AF253" s="215"/>
      <c r="AG253" s="215"/>
      <c r="AH253" s="215"/>
    </row>
    <row r="254" spans="1:34" x14ac:dyDescent="0.2">
      <c r="A254" s="327" t="s">
        <v>414</v>
      </c>
      <c r="B254" s="311">
        <v>25000</v>
      </c>
      <c r="C254" s="215"/>
      <c r="D254" s="215"/>
      <c r="E254" s="286"/>
      <c r="F254" s="286"/>
      <c r="G254" s="286"/>
      <c r="H254" s="215"/>
      <c r="I254" s="215"/>
      <c r="J254" s="215"/>
      <c r="K254" s="215"/>
      <c r="L254" s="215"/>
      <c r="M254" s="215"/>
      <c r="N254" s="215"/>
      <c r="O254" s="215"/>
      <c r="P254" s="309"/>
      <c r="Q254" s="215"/>
      <c r="R254" s="215"/>
      <c r="S254" s="215"/>
      <c r="T254" s="215"/>
      <c r="U254" s="286"/>
      <c r="V254" s="215"/>
      <c r="W254" s="215"/>
      <c r="X254" s="215"/>
      <c r="Y254" s="215"/>
      <c r="Z254" s="215"/>
      <c r="AA254" s="323"/>
      <c r="AB254" s="215"/>
      <c r="AC254" s="215"/>
      <c r="AD254" s="215"/>
      <c r="AE254" s="215"/>
      <c r="AF254" s="215"/>
      <c r="AG254" s="286"/>
      <c r="AH254" s="215"/>
    </row>
    <row r="255" spans="1:34" x14ac:dyDescent="0.2">
      <c r="A255" s="327" t="s">
        <v>287</v>
      </c>
      <c r="B255" s="311">
        <v>300000</v>
      </c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86"/>
      <c r="V255" s="215"/>
      <c r="W255" s="215"/>
      <c r="X255" s="215"/>
      <c r="Y255" s="215"/>
      <c r="Z255" s="215"/>
      <c r="AA255" s="215"/>
      <c r="AB255" s="215"/>
      <c r="AC255" s="215"/>
      <c r="AD255" s="215"/>
      <c r="AE255" s="215"/>
      <c r="AF255" s="409"/>
      <c r="AG255" s="215"/>
      <c r="AH255" s="215"/>
    </row>
    <row r="256" spans="1:34" x14ac:dyDescent="0.2">
      <c r="A256" s="310" t="s">
        <v>413</v>
      </c>
      <c r="B256" s="311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215"/>
      <c r="AG256" s="215"/>
      <c r="AH256" s="215"/>
    </row>
    <row r="257" spans="1:34" x14ac:dyDescent="0.2">
      <c r="A257" s="310" t="s">
        <v>441</v>
      </c>
      <c r="B257" s="311">
        <v>100000</v>
      </c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ht="13.5" thickBot="1" x14ac:dyDescent="0.25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309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</row>
    <row r="261" spans="1:34" x14ac:dyDescent="0.2">
      <c r="A261" s="263"/>
      <c r="B261" s="264"/>
      <c r="C261" s="264"/>
      <c r="D261" s="264"/>
      <c r="E261" s="264"/>
      <c r="F261" s="264"/>
      <c r="G261" s="264"/>
      <c r="H261" s="264"/>
      <c r="I261" s="264"/>
      <c r="J261" s="264"/>
      <c r="K261" s="264"/>
      <c r="L261" s="264"/>
      <c r="M261" s="264"/>
      <c r="N261" s="264"/>
      <c r="O261" s="264"/>
      <c r="P261" s="860"/>
      <c r="Q261" s="264"/>
      <c r="R261" s="264"/>
      <c r="S261" s="264"/>
      <c r="T261" s="264"/>
      <c r="U261" s="264"/>
      <c r="V261" s="264"/>
      <c r="W261" s="264"/>
      <c r="X261" s="264"/>
      <c r="Y261" s="264"/>
      <c r="Z261" s="264"/>
      <c r="AA261" s="264"/>
      <c r="AB261" s="264"/>
      <c r="AC261" s="264"/>
      <c r="AD261" s="264"/>
      <c r="AE261" s="264"/>
      <c r="AF261" s="264"/>
      <c r="AG261" s="264"/>
      <c r="AH261" s="215"/>
    </row>
    <row r="262" spans="1:34" x14ac:dyDescent="0.2">
      <c r="A262" s="265"/>
      <c r="B262" s="266" t="s">
        <v>37</v>
      </c>
      <c r="C262" s="266"/>
      <c r="D262" s="266"/>
      <c r="E262" s="267" t="s">
        <v>905</v>
      </c>
      <c r="F262" s="268" t="s">
        <v>340</v>
      </c>
      <c r="G262" s="269"/>
      <c r="H262" s="268"/>
      <c r="I262" s="268"/>
      <c r="J262" s="268"/>
      <c r="K262" s="268"/>
      <c r="L262" s="268"/>
      <c r="M262" s="268"/>
      <c r="N262" s="268"/>
      <c r="O262" s="268"/>
      <c r="P262" s="861"/>
      <c r="Q262" s="268"/>
      <c r="R262" s="268"/>
      <c r="S262" s="268"/>
      <c r="T262" s="268"/>
      <c r="U262" s="268"/>
      <c r="V262" s="268"/>
      <c r="W262" s="268"/>
      <c r="X262" s="268"/>
      <c r="Y262" s="268"/>
      <c r="Z262" s="268"/>
      <c r="AA262" s="268"/>
      <c r="AB262" s="268"/>
      <c r="AC262" s="268"/>
      <c r="AD262" s="268"/>
      <c r="AE262" s="268"/>
      <c r="AF262" s="268"/>
      <c r="AG262" s="268"/>
      <c r="AH262" s="215"/>
    </row>
    <row r="263" spans="1:34" x14ac:dyDescent="0.2">
      <c r="A263" s="265"/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79"/>
      <c r="Q263" s="266"/>
      <c r="R263" s="266"/>
      <c r="S263" s="266"/>
      <c r="T263" s="266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266"/>
      <c r="AE263" s="266"/>
      <c r="AF263" s="266"/>
      <c r="AG263" s="266"/>
      <c r="AH263" s="215"/>
    </row>
    <row r="264" spans="1:34" x14ac:dyDescent="0.2">
      <c r="A264" s="265"/>
      <c r="B264" s="266"/>
      <c r="C264" s="268"/>
      <c r="D264" s="268">
        <v>42373</v>
      </c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x14ac:dyDescent="0.2">
      <c r="A265" s="265"/>
      <c r="B265" s="266"/>
      <c r="C265" s="268"/>
      <c r="D265" s="268"/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ht="13.5" thickBot="1" x14ac:dyDescent="0.25">
      <c r="A266" s="265"/>
      <c r="B266" s="266"/>
      <c r="C266" s="266"/>
      <c r="D266" s="266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79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  <c r="AH266" s="215"/>
    </row>
    <row r="267" spans="1:34" ht="13.5" thickBot="1" x14ac:dyDescent="0.25">
      <c r="A267" s="265"/>
      <c r="B267" s="266"/>
      <c r="C267" s="270"/>
      <c r="D267" s="271" t="s">
        <v>16</v>
      </c>
      <c r="E267" s="271"/>
      <c r="F267" s="271"/>
      <c r="G267" s="271"/>
      <c r="H267" s="271"/>
      <c r="I267" s="271"/>
      <c r="J267" s="271"/>
      <c r="K267" s="271"/>
      <c r="L267" s="271"/>
      <c r="M267" s="271"/>
      <c r="N267" s="271"/>
      <c r="O267" s="271"/>
      <c r="P267" s="862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  <c r="AA267" s="271"/>
      <c r="AB267" s="271"/>
      <c r="AC267" s="271"/>
      <c r="AD267" s="271"/>
      <c r="AE267" s="271"/>
      <c r="AF267" s="271"/>
      <c r="AG267" s="271"/>
      <c r="AH267" s="215"/>
    </row>
    <row r="268" spans="1:34" ht="13.5" thickBot="1" x14ac:dyDescent="0.25">
      <c r="A268" s="265"/>
      <c r="B268" s="266"/>
      <c r="C268" s="272" t="s">
        <v>452</v>
      </c>
      <c r="D268" s="272" t="s">
        <v>453</v>
      </c>
      <c r="E268" s="272" t="s">
        <v>434</v>
      </c>
      <c r="F268" s="272" t="s">
        <v>390</v>
      </c>
      <c r="G268" s="272" t="s">
        <v>454</v>
      </c>
      <c r="H268" s="272" t="s">
        <v>455</v>
      </c>
      <c r="I268" s="272" t="s">
        <v>456</v>
      </c>
      <c r="J268" s="272" t="s">
        <v>457</v>
      </c>
      <c r="K268" s="272" t="s">
        <v>458</v>
      </c>
      <c r="L268" s="272" t="s">
        <v>216</v>
      </c>
      <c r="M268" s="272" t="s">
        <v>459</v>
      </c>
      <c r="N268" s="272" t="s">
        <v>297</v>
      </c>
      <c r="O268" s="272" t="s">
        <v>211</v>
      </c>
      <c r="P268" s="863" t="s">
        <v>270</v>
      </c>
      <c r="Q268" s="272">
        <v>15</v>
      </c>
      <c r="R268" s="272">
        <v>16</v>
      </c>
      <c r="S268" s="272" t="s">
        <v>461</v>
      </c>
      <c r="T268" s="272" t="s">
        <v>442</v>
      </c>
      <c r="U268" s="272" t="s">
        <v>462</v>
      </c>
      <c r="V268" s="272" t="s">
        <v>470</v>
      </c>
      <c r="W268" s="272" t="s">
        <v>471</v>
      </c>
      <c r="X268" s="272" t="s">
        <v>472</v>
      </c>
      <c r="Y268" s="272" t="s">
        <v>463</v>
      </c>
      <c r="Z268" s="272" t="s">
        <v>465</v>
      </c>
      <c r="AA268" s="272" t="s">
        <v>466</v>
      </c>
      <c r="AB268" s="272" t="s">
        <v>435</v>
      </c>
      <c r="AC268" s="272" t="s">
        <v>467</v>
      </c>
      <c r="AD268" s="272" t="s">
        <v>464</v>
      </c>
      <c r="AE268" s="272" t="s">
        <v>429</v>
      </c>
      <c r="AF268" s="272" t="s">
        <v>149</v>
      </c>
      <c r="AG268" s="272" t="s">
        <v>210</v>
      </c>
      <c r="AH268" s="215"/>
    </row>
    <row r="269" spans="1:34" x14ac:dyDescent="0.2">
      <c r="A269" s="263"/>
      <c r="B269" s="273"/>
      <c r="C269" s="266"/>
      <c r="D269" s="266"/>
      <c r="E269" s="266"/>
      <c r="F269" s="266"/>
      <c r="G269" s="266"/>
      <c r="H269" s="266"/>
      <c r="I269" s="266"/>
      <c r="J269" s="266"/>
      <c r="K269" s="266"/>
      <c r="L269" s="266"/>
      <c r="M269" s="266"/>
      <c r="N269" s="266"/>
      <c r="O269" s="266"/>
      <c r="P269" s="279"/>
      <c r="Q269" s="266"/>
      <c r="R269" s="266"/>
      <c r="S269" s="266"/>
      <c r="T269" s="266"/>
      <c r="U269" s="266"/>
      <c r="V269" s="266"/>
      <c r="W269" s="266"/>
      <c r="X269" s="266"/>
      <c r="Y269" s="266"/>
      <c r="Z269" s="266"/>
      <c r="AA269" s="266"/>
      <c r="AB269" s="266"/>
      <c r="AC269" s="266"/>
      <c r="AD269" s="266"/>
      <c r="AE269" s="266"/>
      <c r="AF269" s="266"/>
      <c r="AG269" s="266"/>
      <c r="AH269" s="215"/>
    </row>
    <row r="270" spans="1:34" x14ac:dyDescent="0.2">
      <c r="A270" s="265" t="s">
        <v>0</v>
      </c>
      <c r="B270" s="274">
        <v>-19402.236000000001</v>
      </c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ht="13.5" thickBot="1" x14ac:dyDescent="0.25">
      <c r="A271" s="275"/>
      <c r="B271" s="276"/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x14ac:dyDescent="0.2">
      <c r="A272" s="263"/>
      <c r="B272" s="278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5" t="s">
        <v>1</v>
      </c>
      <c r="B273" s="274">
        <f>B274+B275+B276</f>
        <v>0</v>
      </c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38</v>
      </c>
      <c r="B274" s="274">
        <f>C322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39</v>
      </c>
      <c r="B275" s="274">
        <f>C345</f>
        <v>0</v>
      </c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x14ac:dyDescent="0.2">
      <c r="A276" s="265" t="s">
        <v>3</v>
      </c>
      <c r="B276" s="274"/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ht="13.5" thickBot="1" x14ac:dyDescent="0.25">
      <c r="A277" s="275"/>
      <c r="B277" s="276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x14ac:dyDescent="0.2">
      <c r="A278" s="263"/>
      <c r="B278" s="278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x14ac:dyDescent="0.2">
      <c r="A279" s="265" t="s">
        <v>4</v>
      </c>
      <c r="B279" s="274">
        <f>B270-B273</f>
        <v>-19402.236000000001</v>
      </c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ht="21" thickBot="1" x14ac:dyDescent="0.35">
      <c r="A280" s="275"/>
      <c r="B280" s="276"/>
      <c r="C280" s="266"/>
      <c r="D280" s="266"/>
      <c r="E280" s="266"/>
      <c r="F280" s="1080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x14ac:dyDescent="0.2">
      <c r="A281" s="263"/>
      <c r="B281" s="278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x14ac:dyDescent="0.2">
      <c r="A282" s="265" t="s">
        <v>17</v>
      </c>
      <c r="B282" s="274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ht="13.5" thickBot="1" x14ac:dyDescent="0.25">
      <c r="A283" s="275"/>
      <c r="B283" s="276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330"/>
      <c r="Y283" s="266"/>
      <c r="Z283" s="266"/>
      <c r="AA283" s="266"/>
      <c r="AB283" s="266"/>
      <c r="AC283" s="266"/>
      <c r="AD283" s="266"/>
      <c r="AE283" s="266"/>
      <c r="AF283" s="269"/>
      <c r="AG283" s="266"/>
      <c r="AH283" s="215"/>
    </row>
    <row r="284" spans="1:34" ht="23.25" x14ac:dyDescent="0.35">
      <c r="A284" s="263"/>
      <c r="B284" s="278"/>
      <c r="D284" s="266"/>
      <c r="E284" s="269"/>
      <c r="F284" s="1756"/>
      <c r="G284" s="1756"/>
      <c r="H284" s="266"/>
      <c r="I284" s="568"/>
      <c r="J284" s="266"/>
      <c r="K284" s="1134"/>
      <c r="L284" s="266"/>
      <c r="M284" s="266"/>
      <c r="N284" s="266"/>
      <c r="O284" s="266"/>
      <c r="P284" s="279"/>
      <c r="R284" s="266"/>
      <c r="S284" s="266"/>
      <c r="T284" s="266"/>
      <c r="U284" s="266"/>
      <c r="V284" s="266"/>
      <c r="W284" s="266"/>
      <c r="X284" s="269"/>
      <c r="Y284" s="269"/>
      <c r="Z284" s="269"/>
      <c r="AA284" s="269"/>
      <c r="AB284" s="266"/>
      <c r="AC284" s="266"/>
      <c r="AD284" s="266"/>
      <c r="AE284" s="269" t="s">
        <v>961</v>
      </c>
      <c r="AF284" s="269" t="s">
        <v>1044</v>
      </c>
      <c r="AH284" s="215"/>
    </row>
    <row r="285" spans="1:34" x14ac:dyDescent="0.2">
      <c r="A285" s="265" t="s">
        <v>5</v>
      </c>
      <c r="B285" s="274">
        <f>B279-B282</f>
        <v>-19402.236000000001</v>
      </c>
      <c r="C285" s="409"/>
      <c r="D285" s="269"/>
      <c r="E285" s="794" t="s">
        <v>49</v>
      </c>
      <c r="F285" s="269"/>
      <c r="G285" s="269"/>
      <c r="H285" s="269"/>
      <c r="I285" s="269"/>
      <c r="J285" s="269"/>
      <c r="K285" s="269"/>
      <c r="L285" s="269" t="s">
        <v>1202</v>
      </c>
      <c r="M285" s="269"/>
      <c r="N285" s="269"/>
      <c r="O285" s="269"/>
      <c r="P285" s="281"/>
      <c r="R285" s="269"/>
      <c r="S285" s="281"/>
      <c r="T285" s="269"/>
      <c r="U285" s="266"/>
      <c r="V285" s="269"/>
      <c r="W285" s="266"/>
      <c r="X285" s="810" t="s">
        <v>1154</v>
      </c>
      <c r="Y285" s="269"/>
      <c r="Z285" s="281"/>
      <c r="AA285" s="281"/>
      <c r="AB285" s="281"/>
      <c r="AC285" s="796"/>
      <c r="AD285" s="796"/>
      <c r="AE285" s="269"/>
      <c r="AF285" s="269"/>
      <c r="AG285" s="934"/>
      <c r="AH285" s="215"/>
    </row>
    <row r="286" spans="1:34" ht="13.5" thickBot="1" x14ac:dyDescent="0.25">
      <c r="A286" s="275"/>
      <c r="B286" s="276"/>
      <c r="C286" s="266"/>
      <c r="D286" s="266"/>
      <c r="E286" s="266"/>
      <c r="F286" s="266"/>
      <c r="G286" s="266"/>
      <c r="H286" s="266"/>
      <c r="I286" s="266"/>
      <c r="J286" s="266"/>
      <c r="K286" s="266"/>
      <c r="L286" s="266"/>
      <c r="M286" s="269"/>
      <c r="N286" s="266"/>
      <c r="O286" s="266"/>
      <c r="P286" s="279"/>
      <c r="Q286" s="266"/>
      <c r="R286" s="266"/>
      <c r="S286" s="266"/>
      <c r="T286" s="266"/>
      <c r="U286" s="266"/>
      <c r="V286" s="266"/>
      <c r="W286" s="266"/>
      <c r="X286" s="266"/>
      <c r="Y286" s="266"/>
      <c r="Z286" s="266"/>
      <c r="AA286" s="266"/>
      <c r="AB286" s="266"/>
      <c r="AC286" s="266"/>
      <c r="AD286" s="266"/>
      <c r="AE286" s="266"/>
      <c r="AF286" s="266"/>
      <c r="AG286" s="266"/>
      <c r="AH286" s="215"/>
    </row>
    <row r="287" spans="1:34" x14ac:dyDescent="0.2">
      <c r="A287" s="282"/>
      <c r="B287" s="266"/>
      <c r="C287" s="283"/>
      <c r="D287" s="285"/>
      <c r="E287" s="285"/>
      <c r="F287" s="284"/>
      <c r="G287" s="284"/>
      <c r="H287" s="284"/>
      <c r="I287" s="284"/>
      <c r="J287" s="284"/>
      <c r="K287" s="284"/>
      <c r="L287" s="284"/>
      <c r="M287" s="284"/>
      <c r="N287" s="284"/>
      <c r="O287" s="284"/>
      <c r="P287" s="864"/>
      <c r="Q287" s="284"/>
      <c r="R287" s="284"/>
      <c r="S287" s="284"/>
      <c r="T287" s="284"/>
      <c r="U287" s="284"/>
      <c r="V287" s="284"/>
      <c r="W287" s="284"/>
      <c r="X287" s="284"/>
      <c r="Y287" s="284"/>
      <c r="Z287" s="284"/>
      <c r="AA287" s="284"/>
      <c r="AB287" s="284"/>
      <c r="AC287" s="284"/>
      <c r="AD287" s="284"/>
      <c r="AE287" s="284"/>
      <c r="AF287" s="284"/>
      <c r="AG287" s="284"/>
      <c r="AH287" s="215"/>
    </row>
    <row r="288" spans="1:34" ht="13.5" thickBot="1" x14ac:dyDescent="0.25">
      <c r="A288" s="287" t="s">
        <v>7</v>
      </c>
      <c r="B288" s="266"/>
      <c r="C288" s="288">
        <f>C289+C290+C291+C293+C292</f>
        <v>0</v>
      </c>
      <c r="D288" s="288">
        <f>D289+D290+D291+D293+D292</f>
        <v>0</v>
      </c>
      <c r="E288" s="288">
        <f>E289+E290+E291+E293+E292</f>
        <v>0</v>
      </c>
      <c r="F288" s="288">
        <f>F289+F290+F291+F293+F292</f>
        <v>0</v>
      </c>
      <c r="G288" s="288">
        <f>G289+G290+G291+G293+G292</f>
        <v>0</v>
      </c>
      <c r="H288" s="288">
        <f t="shared" ref="H288:AF288" si="29">H289+H290+H291+H293+H292</f>
        <v>0</v>
      </c>
      <c r="I288" s="288">
        <f t="shared" si="29"/>
        <v>0.27199999999720603</v>
      </c>
      <c r="J288" s="288">
        <f t="shared" si="29"/>
        <v>0</v>
      </c>
      <c r="K288" s="288">
        <f t="shared" si="29"/>
        <v>0</v>
      </c>
      <c r="L288" s="288">
        <f t="shared" si="29"/>
        <v>0</v>
      </c>
      <c r="M288" s="288">
        <f t="shared" si="29"/>
        <v>0</v>
      </c>
      <c r="N288" s="288">
        <f t="shared" si="29"/>
        <v>0</v>
      </c>
      <c r="O288" s="288">
        <f t="shared" si="29"/>
        <v>0</v>
      </c>
      <c r="P288" s="865">
        <f t="shared" si="29"/>
        <v>0</v>
      </c>
      <c r="Q288" s="288">
        <f t="shared" si="29"/>
        <v>0</v>
      </c>
      <c r="R288" s="288">
        <f t="shared" si="29"/>
        <v>0</v>
      </c>
      <c r="S288" s="288">
        <f t="shared" si="29"/>
        <v>0</v>
      </c>
      <c r="T288" s="288">
        <f t="shared" si="29"/>
        <v>0</v>
      </c>
      <c r="U288" s="288">
        <f t="shared" si="29"/>
        <v>0</v>
      </c>
      <c r="V288" s="288">
        <f t="shared" si="29"/>
        <v>0</v>
      </c>
      <c r="W288" s="288">
        <f t="shared" si="29"/>
        <v>0</v>
      </c>
      <c r="X288" s="288">
        <f t="shared" si="29"/>
        <v>0</v>
      </c>
      <c r="Y288" s="288">
        <f t="shared" si="29"/>
        <v>0</v>
      </c>
      <c r="Z288" s="288">
        <f t="shared" si="29"/>
        <v>0</v>
      </c>
      <c r="AA288" s="288">
        <f t="shared" si="29"/>
        <v>0</v>
      </c>
      <c r="AB288" s="288">
        <f t="shared" si="29"/>
        <v>0</v>
      </c>
      <c r="AC288" s="288">
        <f t="shared" si="29"/>
        <v>0</v>
      </c>
      <c r="AD288" s="288">
        <f t="shared" si="29"/>
        <v>0</v>
      </c>
      <c r="AE288" s="288">
        <f t="shared" si="29"/>
        <v>0</v>
      </c>
      <c r="AF288" s="288">
        <f t="shared" si="29"/>
        <v>0</v>
      </c>
      <c r="AG288" s="288">
        <f>AG289+AG290+AG291+AG293+AG292</f>
        <v>0</v>
      </c>
      <c r="AH288" s="286">
        <f>SUM(C288:AG288)</f>
        <v>0.27199999999720603</v>
      </c>
    </row>
    <row r="289" spans="1:34" x14ac:dyDescent="0.2">
      <c r="A289" s="287" t="s">
        <v>8</v>
      </c>
      <c r="B289" s="331"/>
      <c r="C289" s="291"/>
      <c r="D289" s="291"/>
      <c r="E289" s="362"/>
      <c r="F289" s="290"/>
      <c r="G289" s="290"/>
      <c r="H289" s="290"/>
      <c r="I289" s="295"/>
      <c r="J289" s="290"/>
      <c r="K289" s="290"/>
      <c r="L289" s="290"/>
      <c r="M289" s="290"/>
      <c r="N289" s="290"/>
      <c r="O289" s="290"/>
      <c r="P289" s="292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  <c r="AA289" s="290"/>
      <c r="AB289" s="290"/>
      <c r="AC289" s="290"/>
      <c r="AD289" s="290"/>
      <c r="AE289" s="290"/>
      <c r="AF289" s="290"/>
      <c r="AG289" s="1058"/>
      <c r="AH289" s="286">
        <f>SUM(C289:AG289)</f>
        <v>0</v>
      </c>
    </row>
    <row r="290" spans="1:34" x14ac:dyDescent="0.2">
      <c r="A290" s="287" t="s">
        <v>9</v>
      </c>
      <c r="B290" s="331"/>
      <c r="C290" s="291"/>
      <c r="D290" s="291"/>
      <c r="E290" s="362"/>
      <c r="F290" s="290"/>
      <c r="G290" s="290"/>
      <c r="H290" s="290"/>
      <c r="I290" s="290"/>
      <c r="J290" s="290"/>
      <c r="K290" s="290"/>
      <c r="L290" s="290"/>
      <c r="M290" s="290"/>
      <c r="N290" s="290"/>
      <c r="O290" s="295"/>
      <c r="P290" s="292"/>
      <c r="Q290" s="290"/>
      <c r="R290" s="290"/>
      <c r="S290" s="290"/>
      <c r="T290" s="290"/>
      <c r="U290" s="290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0"/>
      <c r="AF290" s="290"/>
      <c r="AG290" s="1057"/>
      <c r="AH290" s="286">
        <f>SUM(C290:AG290)</f>
        <v>0</v>
      </c>
    </row>
    <row r="291" spans="1:34" s="360" customFormat="1" x14ac:dyDescent="0.2">
      <c r="A291" s="662" t="s">
        <v>10</v>
      </c>
      <c r="B291" s="669"/>
      <c r="C291" s="795"/>
      <c r="D291" s="565"/>
      <c r="E291" s="565"/>
      <c r="F291" s="560"/>
      <c r="G291" s="560"/>
      <c r="H291" s="560"/>
      <c r="I291" s="560"/>
      <c r="J291" s="560"/>
      <c r="K291" s="560"/>
      <c r="L291" s="560"/>
      <c r="M291" s="560"/>
      <c r="N291" s="560"/>
      <c r="O291" s="560"/>
      <c r="P291" s="560"/>
      <c r="Q291" s="560"/>
      <c r="R291" s="560"/>
      <c r="S291" s="560"/>
      <c r="T291" s="560"/>
      <c r="U291" s="560"/>
      <c r="V291" s="560"/>
      <c r="W291" s="560"/>
      <c r="X291" s="811"/>
      <c r="Y291" s="560"/>
      <c r="Z291" s="665"/>
      <c r="AA291" s="1050"/>
      <c r="AB291" s="560"/>
      <c r="AC291" s="560"/>
      <c r="AD291" s="708"/>
      <c r="AE291" s="560"/>
      <c r="AF291" s="560"/>
      <c r="AG291" s="560"/>
      <c r="AH291" s="379">
        <f>SUM(C291:AG291)</f>
        <v>0</v>
      </c>
    </row>
    <row r="292" spans="1:34" s="360" customFormat="1" x14ac:dyDescent="0.2">
      <c r="A292" s="662" t="s">
        <v>356</v>
      </c>
      <c r="B292" s="669"/>
      <c r="C292" s="565"/>
      <c r="D292" s="565"/>
      <c r="E292" s="565"/>
      <c r="F292" s="560"/>
      <c r="G292" s="380"/>
      <c r="H292" s="560"/>
      <c r="I292" s="380">
        <v>73972.271999999997</v>
      </c>
      <c r="J292" s="560"/>
      <c r="K292" s="560"/>
      <c r="L292" s="560"/>
      <c r="M292" s="560"/>
      <c r="N292" s="811"/>
      <c r="O292" s="560"/>
      <c r="P292" s="560">
        <v>23300</v>
      </c>
      <c r="Q292" s="560"/>
      <c r="R292" s="560"/>
      <c r="S292" s="560"/>
      <c r="T292" s="560"/>
      <c r="U292" s="560"/>
      <c r="V292" s="560"/>
      <c r="W292" s="560"/>
      <c r="X292" s="560"/>
      <c r="Y292" s="560"/>
      <c r="Z292" s="560"/>
      <c r="AA292" s="560"/>
      <c r="AB292" s="380"/>
      <c r="AC292" s="811"/>
      <c r="AD292" s="560"/>
      <c r="AE292" s="560"/>
      <c r="AF292" s="560"/>
      <c r="AG292" s="560"/>
      <c r="AH292" s="379">
        <f>SUM(C292:AG292)</f>
        <v>97272.271999999997</v>
      </c>
    </row>
    <row r="293" spans="1:34" x14ac:dyDescent="0.2">
      <c r="A293" s="287" t="s">
        <v>11</v>
      </c>
      <c r="B293" s="266"/>
      <c r="C293" s="291">
        <f>14266.234-5294.388-4485.923-4485.923</f>
        <v>0</v>
      </c>
      <c r="D293" s="289"/>
      <c r="E293" s="294"/>
      <c r="F293" s="292"/>
      <c r="G293" s="292"/>
      <c r="H293" s="292"/>
      <c r="I293" s="292">
        <v>-73972</v>
      </c>
      <c r="J293" s="295"/>
      <c r="K293" s="292"/>
      <c r="L293" s="292"/>
      <c r="M293" s="292"/>
      <c r="N293" s="292"/>
      <c r="O293" s="292"/>
      <c r="P293" s="455">
        <v>-23300</v>
      </c>
      <c r="Q293" s="455"/>
      <c r="R293" s="292"/>
      <c r="S293" s="455"/>
      <c r="T293" s="292"/>
      <c r="U293" s="292"/>
      <c r="V293" s="295"/>
      <c r="W293" s="295"/>
      <c r="X293" s="293"/>
      <c r="Y293" s="455"/>
      <c r="Z293" s="295"/>
      <c r="AA293" s="293"/>
      <c r="AB293" s="295"/>
      <c r="AC293" s="292"/>
      <c r="AD293" s="295"/>
      <c r="AE293" s="292"/>
      <c r="AF293" s="292"/>
      <c r="AG293" s="292"/>
      <c r="AH293" s="215"/>
    </row>
    <row r="294" spans="1:34" ht="13.5" thickBot="1" x14ac:dyDescent="0.25">
      <c r="A294" s="296"/>
      <c r="B294" s="266"/>
      <c r="C294" s="291"/>
      <c r="D294" s="291"/>
      <c r="E294" s="291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2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  <c r="AA294" s="290"/>
      <c r="AB294" s="290"/>
      <c r="AC294" s="290"/>
      <c r="AD294" s="290"/>
      <c r="AE294" s="290"/>
      <c r="AF294" s="290"/>
      <c r="AG294" s="290"/>
      <c r="AH294" s="215"/>
    </row>
    <row r="295" spans="1:34" x14ac:dyDescent="0.2">
      <c r="A295" s="282"/>
      <c r="B295" s="266"/>
      <c r="C295" s="297"/>
      <c r="D295" s="298"/>
      <c r="E295" s="298"/>
      <c r="F295" s="299"/>
      <c r="G295" s="299"/>
      <c r="H295" s="299"/>
      <c r="I295" s="299"/>
      <c r="J295" s="299"/>
      <c r="K295" s="299"/>
      <c r="L295" s="299"/>
      <c r="M295" s="299"/>
      <c r="N295" s="299"/>
      <c r="O295" s="299"/>
      <c r="P295" s="866"/>
      <c r="Q295" s="299"/>
      <c r="R295" s="299"/>
      <c r="S295" s="299"/>
      <c r="T295" s="299"/>
      <c r="U295" s="299"/>
      <c r="V295" s="299"/>
      <c r="W295" s="299"/>
      <c r="X295" s="299"/>
      <c r="Y295" s="299"/>
      <c r="Z295" s="299"/>
      <c r="AA295" s="299"/>
      <c r="AB295" s="299"/>
      <c r="AC295" s="299"/>
      <c r="AD295" s="299"/>
      <c r="AE295" s="299"/>
      <c r="AF295" s="299"/>
      <c r="AG295" s="299"/>
      <c r="AH295" s="215"/>
    </row>
    <row r="296" spans="1:34" ht="13.5" thickBot="1" x14ac:dyDescent="0.25">
      <c r="A296" s="287" t="s">
        <v>12</v>
      </c>
      <c r="B296" s="266"/>
      <c r="C296" s="288">
        <f t="shared" ref="C296:AG296" si="30">C297</f>
        <v>0</v>
      </c>
      <c r="D296" s="288">
        <f t="shared" si="30"/>
        <v>0</v>
      </c>
      <c r="E296" s="288">
        <f t="shared" si="30"/>
        <v>0</v>
      </c>
      <c r="F296" s="288">
        <f t="shared" si="30"/>
        <v>0</v>
      </c>
      <c r="G296" s="288">
        <f t="shared" si="30"/>
        <v>0</v>
      </c>
      <c r="H296" s="288">
        <f t="shared" si="30"/>
        <v>0</v>
      </c>
      <c r="I296" s="288">
        <f t="shared" si="30"/>
        <v>0</v>
      </c>
      <c r="J296" s="288">
        <f t="shared" si="30"/>
        <v>0</v>
      </c>
      <c r="K296" s="288">
        <f t="shared" si="30"/>
        <v>0</v>
      </c>
      <c r="L296" s="288">
        <f t="shared" si="30"/>
        <v>0</v>
      </c>
      <c r="M296" s="288">
        <f t="shared" si="30"/>
        <v>0</v>
      </c>
      <c r="N296" s="288">
        <f t="shared" si="30"/>
        <v>0</v>
      </c>
      <c r="O296" s="288">
        <f t="shared" si="30"/>
        <v>0</v>
      </c>
      <c r="P296" s="865">
        <f t="shared" si="30"/>
        <v>0</v>
      </c>
      <c r="Q296" s="288">
        <f t="shared" si="30"/>
        <v>0</v>
      </c>
      <c r="R296" s="288">
        <f t="shared" si="30"/>
        <v>0</v>
      </c>
      <c r="S296" s="288">
        <f t="shared" si="30"/>
        <v>0</v>
      </c>
      <c r="T296" s="288">
        <f t="shared" si="30"/>
        <v>0</v>
      </c>
      <c r="U296" s="288">
        <f t="shared" si="30"/>
        <v>0</v>
      </c>
      <c r="V296" s="288">
        <f t="shared" si="30"/>
        <v>0</v>
      </c>
      <c r="W296" s="288">
        <f t="shared" si="30"/>
        <v>0</v>
      </c>
      <c r="X296" s="288">
        <f t="shared" si="30"/>
        <v>0</v>
      </c>
      <c r="Y296" s="288">
        <f t="shared" si="30"/>
        <v>0</v>
      </c>
      <c r="Z296" s="288">
        <f t="shared" si="30"/>
        <v>0</v>
      </c>
      <c r="AA296" s="288">
        <f t="shared" si="30"/>
        <v>0</v>
      </c>
      <c r="AB296" s="288">
        <f t="shared" si="30"/>
        <v>0</v>
      </c>
      <c r="AC296" s="288">
        <f t="shared" si="30"/>
        <v>0</v>
      </c>
      <c r="AD296" s="288">
        <f t="shared" si="30"/>
        <v>0</v>
      </c>
      <c r="AE296" s="288">
        <f t="shared" si="30"/>
        <v>0</v>
      </c>
      <c r="AF296" s="288">
        <f t="shared" si="30"/>
        <v>0</v>
      </c>
      <c r="AG296" s="288">
        <f t="shared" si="30"/>
        <v>0</v>
      </c>
      <c r="AH296" s="215"/>
    </row>
    <row r="297" spans="1:34" x14ac:dyDescent="0.2">
      <c r="A297" s="287" t="s">
        <v>8</v>
      </c>
      <c r="B297" s="266"/>
      <c r="C297" s="291"/>
      <c r="D297" s="291"/>
      <c r="E297" s="291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2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  <c r="AA297" s="290"/>
      <c r="AB297" s="290"/>
      <c r="AC297" s="290"/>
      <c r="AD297" s="290"/>
      <c r="AE297" s="290"/>
      <c r="AF297" s="290"/>
      <c r="AG297" s="290"/>
      <c r="AH297" s="215"/>
    </row>
    <row r="298" spans="1:34" x14ac:dyDescent="0.2">
      <c r="A298" s="287" t="s">
        <v>775</v>
      </c>
      <c r="B298" s="266"/>
      <c r="C298" s="291"/>
      <c r="D298" s="291">
        <v>1093</v>
      </c>
      <c r="E298" s="291">
        <v>1080</v>
      </c>
      <c r="F298" s="290"/>
      <c r="G298" s="290">
        <v>532.65200000000004</v>
      </c>
      <c r="H298" s="290">
        <v>1473.8720000000001</v>
      </c>
      <c r="I298" s="290">
        <v>1093</v>
      </c>
      <c r="J298" s="290">
        <v>4743.848</v>
      </c>
      <c r="K298" s="290">
        <v>1473</v>
      </c>
      <c r="L298" s="290">
        <v>10359.781999999999</v>
      </c>
      <c r="M298" s="290">
        <v>922.62699999999995</v>
      </c>
      <c r="N298" s="290">
        <v>2073</v>
      </c>
      <c r="O298" s="290"/>
      <c r="P298" s="292">
        <v>1916.396</v>
      </c>
      <c r="Q298" s="290">
        <v>19123.455000000002</v>
      </c>
      <c r="R298" s="290"/>
      <c r="S298" s="290">
        <v>4460.4359999999997</v>
      </c>
      <c r="T298" s="290">
        <v>4745.5929999999998</v>
      </c>
      <c r="U298" s="290"/>
      <c r="V298" s="290">
        <v>11097.217000000001</v>
      </c>
      <c r="W298" s="290">
        <v>1984.71</v>
      </c>
      <c r="X298" s="290">
        <v>1080</v>
      </c>
      <c r="Y298" s="290">
        <v>3663.848</v>
      </c>
      <c r="Z298" s="290">
        <v>5933.4359999999997</v>
      </c>
      <c r="AA298" s="290">
        <v>12285.289000000001</v>
      </c>
      <c r="AB298" s="290"/>
      <c r="AC298" s="290"/>
      <c r="AD298" s="290">
        <v>3056.45</v>
      </c>
      <c r="AE298" s="290">
        <v>1073.9690000000001</v>
      </c>
      <c r="AF298" s="290">
        <v>15300.327000000001</v>
      </c>
      <c r="AG298" s="290">
        <v>18752.617000000002</v>
      </c>
      <c r="AH298" s="286">
        <f>SUM(C298:AG298)</f>
        <v>129318.524</v>
      </c>
    </row>
    <row r="299" spans="1:34" ht="13.5" thickBot="1" x14ac:dyDescent="0.25">
      <c r="A299" s="296"/>
      <c r="B299" s="266"/>
      <c r="C299" s="291"/>
      <c r="D299" s="291"/>
      <c r="E299" s="291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2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  <c r="AA299" s="290"/>
      <c r="AB299" s="290"/>
      <c r="AC299" s="290"/>
      <c r="AD299" s="290"/>
      <c r="AE299" s="290"/>
      <c r="AF299" s="290"/>
      <c r="AG299" s="290"/>
      <c r="AH299" s="215"/>
    </row>
    <row r="300" spans="1:34" x14ac:dyDescent="0.2">
      <c r="A300" s="282"/>
      <c r="B300" s="266"/>
      <c r="C300" s="297"/>
      <c r="D300" s="298"/>
      <c r="E300" s="298"/>
      <c r="F300" s="299"/>
      <c r="G300" s="299"/>
      <c r="H300" s="299"/>
      <c r="I300" s="299"/>
      <c r="J300" s="299"/>
      <c r="K300" s="299"/>
      <c r="L300" s="299"/>
      <c r="M300" s="299"/>
      <c r="N300" s="299"/>
      <c r="O300" s="299"/>
      <c r="P300" s="866"/>
      <c r="Q300" s="299"/>
      <c r="R300" s="299"/>
      <c r="S300" s="299"/>
      <c r="T300" s="299"/>
      <c r="U300" s="299"/>
      <c r="V300" s="299"/>
      <c r="W300" s="299"/>
      <c r="X300" s="299"/>
      <c r="Y300" s="299"/>
      <c r="Z300" s="299"/>
      <c r="AA300" s="299"/>
      <c r="AB300" s="299"/>
      <c r="AC300" s="299"/>
      <c r="AD300" s="299"/>
      <c r="AE300" s="299"/>
      <c r="AF300" s="299"/>
      <c r="AG300" s="299"/>
      <c r="AH300" s="215"/>
    </row>
    <row r="301" spans="1:34" x14ac:dyDescent="0.2">
      <c r="A301" s="287" t="s">
        <v>13</v>
      </c>
      <c r="B301" s="266"/>
      <c r="C301" s="300">
        <f>C296-C288</f>
        <v>0</v>
      </c>
      <c r="D301" s="300">
        <f>D296-D288</f>
        <v>0</v>
      </c>
      <c r="E301" s="300">
        <f>E296-E288</f>
        <v>0</v>
      </c>
      <c r="F301" s="300">
        <f>F296-F288</f>
        <v>0</v>
      </c>
      <c r="G301" s="300">
        <f>G296-G288</f>
        <v>0</v>
      </c>
      <c r="H301" s="300">
        <f t="shared" ref="H301:AG301" si="31">H296-H288</f>
        <v>0</v>
      </c>
      <c r="I301" s="300">
        <f t="shared" si="31"/>
        <v>-0.27199999999720603</v>
      </c>
      <c r="J301" s="300">
        <f t="shared" si="31"/>
        <v>0</v>
      </c>
      <c r="K301" s="300">
        <f t="shared" si="31"/>
        <v>0</v>
      </c>
      <c r="L301" s="300">
        <f t="shared" si="31"/>
        <v>0</v>
      </c>
      <c r="M301" s="300">
        <f t="shared" si="31"/>
        <v>0</v>
      </c>
      <c r="N301" s="300">
        <f t="shared" si="31"/>
        <v>0</v>
      </c>
      <c r="O301" s="300">
        <f t="shared" si="31"/>
        <v>0</v>
      </c>
      <c r="P301" s="867">
        <f t="shared" si="31"/>
        <v>0</v>
      </c>
      <c r="Q301" s="300">
        <f t="shared" si="31"/>
        <v>0</v>
      </c>
      <c r="R301" s="300">
        <f t="shared" si="31"/>
        <v>0</v>
      </c>
      <c r="S301" s="300">
        <f t="shared" si="31"/>
        <v>0</v>
      </c>
      <c r="T301" s="300">
        <f t="shared" si="31"/>
        <v>0</v>
      </c>
      <c r="U301" s="300">
        <f t="shared" si="31"/>
        <v>0</v>
      </c>
      <c r="V301" s="300">
        <f t="shared" si="31"/>
        <v>0</v>
      </c>
      <c r="W301" s="300">
        <f t="shared" si="31"/>
        <v>0</v>
      </c>
      <c r="X301" s="300">
        <f t="shared" si="31"/>
        <v>0</v>
      </c>
      <c r="Y301" s="300">
        <f t="shared" si="31"/>
        <v>0</v>
      </c>
      <c r="Z301" s="300">
        <f t="shared" si="31"/>
        <v>0</v>
      </c>
      <c r="AA301" s="300">
        <f t="shared" si="31"/>
        <v>0</v>
      </c>
      <c r="AB301" s="300">
        <f t="shared" si="31"/>
        <v>0</v>
      </c>
      <c r="AC301" s="300">
        <f t="shared" si="31"/>
        <v>0</v>
      </c>
      <c r="AD301" s="300">
        <f t="shared" si="31"/>
        <v>0</v>
      </c>
      <c r="AE301" s="300">
        <f t="shared" si="31"/>
        <v>0</v>
      </c>
      <c r="AF301" s="300">
        <f t="shared" si="31"/>
        <v>0</v>
      </c>
      <c r="AG301" s="300">
        <f t="shared" si="31"/>
        <v>0</v>
      </c>
      <c r="AH301" s="215"/>
    </row>
    <row r="302" spans="1:34" ht="13.5" thickBot="1" x14ac:dyDescent="0.25">
      <c r="A302" s="287"/>
      <c r="B302" s="266"/>
      <c r="C302" s="300"/>
      <c r="D302" s="291"/>
      <c r="E302" s="291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2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  <c r="AA302" s="290"/>
      <c r="AB302" s="290"/>
      <c r="AC302" s="290"/>
      <c r="AD302" s="290"/>
      <c r="AE302" s="290"/>
      <c r="AF302" s="290"/>
      <c r="AG302" s="290"/>
      <c r="AH302" s="215"/>
    </row>
    <row r="303" spans="1:34" x14ac:dyDescent="0.2">
      <c r="A303" s="263"/>
      <c r="B303" s="264"/>
      <c r="C303" s="301"/>
      <c r="D303" s="298"/>
      <c r="E303" s="298"/>
      <c r="F303" s="299"/>
      <c r="G303" s="299"/>
      <c r="H303" s="299"/>
      <c r="I303" s="299"/>
      <c r="J303" s="299"/>
      <c r="K303" s="299"/>
      <c r="L303" s="299"/>
      <c r="M303" s="299"/>
      <c r="N303" s="299"/>
      <c r="O303" s="299"/>
      <c r="P303" s="866"/>
      <c r="Q303" s="299"/>
      <c r="R303" s="299"/>
      <c r="S303" s="299"/>
      <c r="T303" s="299"/>
      <c r="U303" s="299"/>
      <c r="V303" s="299"/>
      <c r="W303" s="299"/>
      <c r="X303" s="299"/>
      <c r="Y303" s="299"/>
      <c r="Z303" s="299"/>
      <c r="AA303" s="299"/>
      <c r="AB303" s="299"/>
      <c r="AC303" s="299"/>
      <c r="AD303" s="299"/>
      <c r="AE303" s="299"/>
      <c r="AF303" s="299"/>
      <c r="AG303" s="299"/>
      <c r="AH303" s="215"/>
    </row>
    <row r="304" spans="1:34" x14ac:dyDescent="0.2">
      <c r="A304" s="265" t="s">
        <v>15</v>
      </c>
      <c r="B304" s="266"/>
      <c r="C304" s="291">
        <f>B285+C301</f>
        <v>-19402.236000000001</v>
      </c>
      <c r="D304" s="291">
        <f t="shared" ref="D304:AG304" si="32">C311+D301</f>
        <v>-19402.236000000001</v>
      </c>
      <c r="E304" s="291">
        <f t="shared" si="32"/>
        <v>-19402.236000000001</v>
      </c>
      <c r="F304" s="291">
        <f t="shared" si="32"/>
        <v>-19402.236000000001</v>
      </c>
      <c r="G304" s="291">
        <f t="shared" si="32"/>
        <v>-19402.236000000001</v>
      </c>
      <c r="H304" s="291">
        <f t="shared" si="32"/>
        <v>-19402.236000000001</v>
      </c>
      <c r="I304" s="291">
        <f t="shared" si="32"/>
        <v>-19402.507999999998</v>
      </c>
      <c r="J304" s="291">
        <f t="shared" si="32"/>
        <v>-19402.507999999998</v>
      </c>
      <c r="K304" s="291">
        <f t="shared" si="32"/>
        <v>-19402.507999999998</v>
      </c>
      <c r="L304" s="291">
        <f t="shared" si="32"/>
        <v>-19402.507999999998</v>
      </c>
      <c r="M304" s="291">
        <f t="shared" si="32"/>
        <v>-19402.507999999998</v>
      </c>
      <c r="N304" s="291">
        <f t="shared" si="32"/>
        <v>-19402.507999999998</v>
      </c>
      <c r="O304" s="291">
        <f t="shared" si="32"/>
        <v>-19402.507999999998</v>
      </c>
      <c r="P304" s="289">
        <f t="shared" si="32"/>
        <v>-19402.507999999998</v>
      </c>
      <c r="Q304" s="291">
        <f t="shared" si="32"/>
        <v>-19402.507999999998</v>
      </c>
      <c r="R304" s="291">
        <f t="shared" si="32"/>
        <v>-19402.507999999998</v>
      </c>
      <c r="S304" s="291">
        <f t="shared" si="32"/>
        <v>-19402.507999999998</v>
      </c>
      <c r="T304" s="291">
        <f t="shared" si="32"/>
        <v>-19402.507999999998</v>
      </c>
      <c r="U304" s="291">
        <f t="shared" si="32"/>
        <v>-19402.507999999998</v>
      </c>
      <c r="V304" s="291">
        <f t="shared" si="32"/>
        <v>-19402.507999999998</v>
      </c>
      <c r="W304" s="291">
        <f t="shared" si="32"/>
        <v>-19402.507999999998</v>
      </c>
      <c r="X304" s="291">
        <f t="shared" si="32"/>
        <v>-19402.507999999998</v>
      </c>
      <c r="Y304" s="291">
        <f t="shared" si="32"/>
        <v>-19402.507999999998</v>
      </c>
      <c r="Z304" s="291">
        <f t="shared" si="32"/>
        <v>-19402.507999999998</v>
      </c>
      <c r="AA304" s="291">
        <f t="shared" si="32"/>
        <v>-19402.507999999998</v>
      </c>
      <c r="AB304" s="291">
        <f t="shared" si="32"/>
        <v>-19402.507999999998</v>
      </c>
      <c r="AC304" s="291">
        <f t="shared" si="32"/>
        <v>-19402.507999999998</v>
      </c>
      <c r="AD304" s="291">
        <f t="shared" si="32"/>
        <v>-19402.507999999998</v>
      </c>
      <c r="AE304" s="291">
        <f t="shared" si="32"/>
        <v>-19402.507999999998</v>
      </c>
      <c r="AF304" s="291">
        <f t="shared" si="32"/>
        <v>-19402.507999999998</v>
      </c>
      <c r="AG304" s="291">
        <f t="shared" si="32"/>
        <v>-19402.507999999998</v>
      </c>
      <c r="AH304" s="215"/>
    </row>
    <row r="305" spans="1:34" ht="13.5" thickBot="1" x14ac:dyDescent="0.25">
      <c r="A305" s="275"/>
      <c r="B305" s="302"/>
      <c r="C305" s="303"/>
      <c r="D305" s="303"/>
      <c r="E305" s="303"/>
      <c r="F305" s="304"/>
      <c r="G305" s="304"/>
      <c r="H305" s="304"/>
      <c r="I305" s="304"/>
      <c r="J305" s="304"/>
      <c r="K305" s="304"/>
      <c r="L305" s="304"/>
      <c r="M305" s="304"/>
      <c r="N305" s="304"/>
      <c r="O305" s="304"/>
      <c r="P305" s="868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4"/>
      <c r="AE305" s="304"/>
      <c r="AF305" s="304"/>
      <c r="AG305" s="304"/>
      <c r="AH305" s="215"/>
    </row>
    <row r="306" spans="1:34" x14ac:dyDescent="0.2">
      <c r="A306" s="263"/>
      <c r="B306" s="264"/>
      <c r="C306" s="298"/>
      <c r="D306" s="298"/>
      <c r="E306" s="298"/>
      <c r="F306" s="299"/>
      <c r="G306" s="299"/>
      <c r="H306" s="299"/>
      <c r="I306" s="299"/>
      <c r="J306" s="299"/>
      <c r="K306" s="299"/>
      <c r="L306" s="299"/>
      <c r="M306" s="299"/>
      <c r="N306" s="299"/>
      <c r="O306" s="299"/>
      <c r="P306" s="866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299"/>
      <c r="AH306" s="215"/>
    </row>
    <row r="307" spans="1:34" x14ac:dyDescent="0.2">
      <c r="A307" s="265" t="s">
        <v>82</v>
      </c>
      <c r="B307" s="266"/>
      <c r="C307" s="291">
        <f t="shared" ref="C307:AG308" si="33">C315</f>
        <v>0</v>
      </c>
      <c r="D307" s="291">
        <f t="shared" si="33"/>
        <v>0</v>
      </c>
      <c r="E307" s="291">
        <f t="shared" si="33"/>
        <v>0</v>
      </c>
      <c r="F307" s="291">
        <f t="shared" si="33"/>
        <v>0</v>
      </c>
      <c r="G307" s="291">
        <f t="shared" si="33"/>
        <v>0</v>
      </c>
      <c r="H307" s="291">
        <f t="shared" si="33"/>
        <v>0</v>
      </c>
      <c r="I307" s="291">
        <f t="shared" si="33"/>
        <v>0</v>
      </c>
      <c r="J307" s="291">
        <f t="shared" si="33"/>
        <v>0</v>
      </c>
      <c r="K307" s="291">
        <f t="shared" si="33"/>
        <v>0</v>
      </c>
      <c r="L307" s="291">
        <f t="shared" si="33"/>
        <v>0</v>
      </c>
      <c r="M307" s="291">
        <f t="shared" si="33"/>
        <v>0</v>
      </c>
      <c r="N307" s="291">
        <f t="shared" si="33"/>
        <v>0</v>
      </c>
      <c r="O307" s="291">
        <f t="shared" si="33"/>
        <v>0</v>
      </c>
      <c r="P307" s="289">
        <f t="shared" si="33"/>
        <v>0</v>
      </c>
      <c r="Q307" s="291">
        <f t="shared" si="33"/>
        <v>0</v>
      </c>
      <c r="R307" s="291">
        <f t="shared" si="33"/>
        <v>0</v>
      </c>
      <c r="S307" s="291">
        <f t="shared" si="33"/>
        <v>0</v>
      </c>
      <c r="T307" s="291">
        <f t="shared" si="33"/>
        <v>0</v>
      </c>
      <c r="U307" s="291">
        <f t="shared" si="33"/>
        <v>0</v>
      </c>
      <c r="V307" s="291">
        <f t="shared" si="33"/>
        <v>0</v>
      </c>
      <c r="W307" s="291">
        <f t="shared" si="33"/>
        <v>0</v>
      </c>
      <c r="X307" s="291">
        <f t="shared" si="33"/>
        <v>0</v>
      </c>
      <c r="Y307" s="291">
        <f t="shared" si="33"/>
        <v>0</v>
      </c>
      <c r="Z307" s="291">
        <f t="shared" si="33"/>
        <v>0</v>
      </c>
      <c r="AA307" s="291">
        <f>AA315</f>
        <v>0</v>
      </c>
      <c r="AB307" s="291">
        <f t="shared" si="33"/>
        <v>0</v>
      </c>
      <c r="AC307" s="291">
        <f t="shared" si="33"/>
        <v>0</v>
      </c>
      <c r="AD307" s="291">
        <f t="shared" si="33"/>
        <v>0</v>
      </c>
      <c r="AE307" s="291">
        <f t="shared" si="33"/>
        <v>0</v>
      </c>
      <c r="AF307" s="291">
        <f t="shared" si="33"/>
        <v>0</v>
      </c>
      <c r="AG307" s="291">
        <f t="shared" si="33"/>
        <v>0</v>
      </c>
      <c r="AH307" s="215"/>
    </row>
    <row r="308" spans="1:34" x14ac:dyDescent="0.2">
      <c r="A308" s="265" t="s">
        <v>83</v>
      </c>
      <c r="B308" s="266"/>
      <c r="C308" s="289">
        <f t="shared" si="33"/>
        <v>0</v>
      </c>
      <c r="D308" s="289">
        <f t="shared" si="33"/>
        <v>0</v>
      </c>
      <c r="E308" s="289">
        <f t="shared" si="33"/>
        <v>0</v>
      </c>
      <c r="F308" s="289">
        <f t="shared" si="33"/>
        <v>0</v>
      </c>
      <c r="G308" s="289">
        <f t="shared" si="33"/>
        <v>0</v>
      </c>
      <c r="H308" s="289">
        <f t="shared" si="33"/>
        <v>0</v>
      </c>
      <c r="I308" s="289">
        <f t="shared" si="33"/>
        <v>0</v>
      </c>
      <c r="J308" s="289">
        <f t="shared" si="33"/>
        <v>0</v>
      </c>
      <c r="K308" s="289">
        <f t="shared" si="33"/>
        <v>0</v>
      </c>
      <c r="L308" s="289">
        <f t="shared" si="33"/>
        <v>0</v>
      </c>
      <c r="M308" s="289">
        <f t="shared" si="33"/>
        <v>0</v>
      </c>
      <c r="N308" s="289">
        <f t="shared" si="33"/>
        <v>0</v>
      </c>
      <c r="O308" s="289">
        <f t="shared" si="33"/>
        <v>0</v>
      </c>
      <c r="P308" s="289">
        <f t="shared" si="33"/>
        <v>0</v>
      </c>
      <c r="Q308" s="289">
        <f t="shared" si="33"/>
        <v>0</v>
      </c>
      <c r="R308" s="289">
        <f t="shared" si="33"/>
        <v>0</v>
      </c>
      <c r="S308" s="289">
        <f t="shared" si="33"/>
        <v>0</v>
      </c>
      <c r="T308" s="289">
        <f t="shared" si="33"/>
        <v>0</v>
      </c>
      <c r="U308" s="289">
        <f t="shared" si="33"/>
        <v>0</v>
      </c>
      <c r="V308" s="289">
        <f t="shared" si="33"/>
        <v>0</v>
      </c>
      <c r="W308" s="289">
        <f t="shared" si="33"/>
        <v>0</v>
      </c>
      <c r="X308" s="289">
        <f t="shared" si="33"/>
        <v>0</v>
      </c>
      <c r="Y308" s="289">
        <f t="shared" si="33"/>
        <v>0</v>
      </c>
      <c r="Z308" s="289">
        <f t="shared" si="33"/>
        <v>0</v>
      </c>
      <c r="AA308" s="289">
        <f t="shared" si="33"/>
        <v>0</v>
      </c>
      <c r="AB308" s="289">
        <f t="shared" si="33"/>
        <v>0</v>
      </c>
      <c r="AC308" s="289">
        <f t="shared" si="33"/>
        <v>0</v>
      </c>
      <c r="AD308" s="289">
        <f t="shared" si="33"/>
        <v>0</v>
      </c>
      <c r="AE308" s="289">
        <f t="shared" si="33"/>
        <v>0</v>
      </c>
      <c r="AF308" s="289">
        <f t="shared" si="33"/>
        <v>0</v>
      </c>
      <c r="AG308" s="289">
        <f t="shared" si="33"/>
        <v>0</v>
      </c>
      <c r="AH308" s="215"/>
    </row>
    <row r="309" spans="1:34" ht="13.5" thickBot="1" x14ac:dyDescent="0.25">
      <c r="A309" s="275"/>
      <c r="B309" s="302"/>
      <c r="C309" s="303"/>
      <c r="D309" s="303"/>
      <c r="E309" s="303"/>
      <c r="F309" s="304"/>
      <c r="G309" s="304"/>
      <c r="H309" s="304"/>
      <c r="I309" s="304"/>
      <c r="J309" s="304"/>
      <c r="K309" s="304"/>
      <c r="L309" s="304"/>
      <c r="M309" s="304"/>
      <c r="N309" s="304"/>
      <c r="O309" s="304"/>
      <c r="P309" s="868"/>
      <c r="Q309" s="304"/>
      <c r="R309" s="304"/>
      <c r="S309" s="304"/>
      <c r="T309" s="304"/>
      <c r="U309" s="304"/>
      <c r="V309" s="304"/>
      <c r="W309" s="304"/>
      <c r="X309" s="304"/>
      <c r="Y309" s="304"/>
      <c r="Z309" s="304"/>
      <c r="AA309" s="304"/>
      <c r="AB309" s="304"/>
      <c r="AC309" s="304"/>
      <c r="AD309" s="304"/>
      <c r="AE309" s="304"/>
      <c r="AF309" s="304"/>
      <c r="AG309" s="304"/>
      <c r="AH309" s="215"/>
    </row>
    <row r="310" spans="1:34" x14ac:dyDescent="0.2">
      <c r="A310" s="265"/>
      <c r="B310" s="266"/>
      <c r="C310" s="291"/>
      <c r="D310" s="291"/>
      <c r="E310" s="291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2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  <c r="AA310" s="290"/>
      <c r="AB310" s="290"/>
      <c r="AC310" s="290"/>
      <c r="AD310" s="290"/>
      <c r="AE310" s="290"/>
      <c r="AF310" s="290"/>
      <c r="AG310" s="290"/>
      <c r="AH310" s="215"/>
    </row>
    <row r="311" spans="1:34" x14ac:dyDescent="0.2">
      <c r="A311" s="265" t="s">
        <v>14</v>
      </c>
      <c r="B311" s="266"/>
      <c r="C311" s="291">
        <f>C304+C307+C308</f>
        <v>-19402.236000000001</v>
      </c>
      <c r="D311" s="291">
        <f>D304+D307+D308</f>
        <v>-19402.236000000001</v>
      </c>
      <c r="E311" s="291">
        <f>E304+E307+E308</f>
        <v>-19402.236000000001</v>
      </c>
      <c r="F311" s="291">
        <f>F304+F307+F308</f>
        <v>-19402.236000000001</v>
      </c>
      <c r="G311" s="291">
        <f>G304+G307+G308</f>
        <v>-19402.236000000001</v>
      </c>
      <c r="H311" s="291">
        <f t="shared" ref="H311:AG311" si="34">H304+H307+H308</f>
        <v>-19402.236000000001</v>
      </c>
      <c r="I311" s="291">
        <f t="shared" si="34"/>
        <v>-19402.507999999998</v>
      </c>
      <c r="J311" s="291">
        <f t="shared" si="34"/>
        <v>-19402.507999999998</v>
      </c>
      <c r="K311" s="291">
        <f t="shared" si="34"/>
        <v>-19402.507999999998</v>
      </c>
      <c r="L311" s="291">
        <f t="shared" si="34"/>
        <v>-19402.507999999998</v>
      </c>
      <c r="M311" s="291">
        <f t="shared" si="34"/>
        <v>-19402.507999999998</v>
      </c>
      <c r="N311" s="291">
        <f t="shared" si="34"/>
        <v>-19402.507999999998</v>
      </c>
      <c r="O311" s="291">
        <f t="shared" si="34"/>
        <v>-19402.507999999998</v>
      </c>
      <c r="P311" s="289">
        <f t="shared" si="34"/>
        <v>-19402.507999999998</v>
      </c>
      <c r="Q311" s="291">
        <f t="shared" si="34"/>
        <v>-19402.507999999998</v>
      </c>
      <c r="R311" s="291">
        <f t="shared" si="34"/>
        <v>-19402.507999999998</v>
      </c>
      <c r="S311" s="291">
        <f t="shared" si="34"/>
        <v>-19402.507999999998</v>
      </c>
      <c r="T311" s="291">
        <f t="shared" si="34"/>
        <v>-19402.507999999998</v>
      </c>
      <c r="U311" s="291">
        <f t="shared" si="34"/>
        <v>-19402.507999999998</v>
      </c>
      <c r="V311" s="291">
        <f t="shared" si="34"/>
        <v>-19402.507999999998</v>
      </c>
      <c r="W311" s="291">
        <f t="shared" si="34"/>
        <v>-19402.507999999998</v>
      </c>
      <c r="X311" s="291">
        <f t="shared" si="34"/>
        <v>-19402.507999999998</v>
      </c>
      <c r="Y311" s="291">
        <f t="shared" si="34"/>
        <v>-19402.507999999998</v>
      </c>
      <c r="Z311" s="291">
        <f t="shared" si="34"/>
        <v>-19402.507999999998</v>
      </c>
      <c r="AA311" s="291">
        <f t="shared" si="34"/>
        <v>-19402.507999999998</v>
      </c>
      <c r="AB311" s="291">
        <f t="shared" si="34"/>
        <v>-19402.507999999998</v>
      </c>
      <c r="AC311" s="291">
        <f t="shared" si="34"/>
        <v>-19402.507999999998</v>
      </c>
      <c r="AD311" s="291">
        <f t="shared" si="34"/>
        <v>-19402.507999999998</v>
      </c>
      <c r="AE311" s="291">
        <f t="shared" si="34"/>
        <v>-19402.507999999998</v>
      </c>
      <c r="AF311" s="291">
        <f t="shared" si="34"/>
        <v>-19402.507999999998</v>
      </c>
      <c r="AG311" s="291">
        <f t="shared" si="34"/>
        <v>-19402.507999999998</v>
      </c>
      <c r="AH311" s="215"/>
    </row>
    <row r="312" spans="1:34" x14ac:dyDescent="0.2">
      <c r="A312" s="265"/>
      <c r="B312" s="266"/>
      <c r="C312" s="291"/>
      <c r="D312" s="291"/>
      <c r="E312" s="291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2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  <c r="AA312" s="290"/>
      <c r="AB312" s="290"/>
      <c r="AC312" s="290"/>
      <c r="AD312" s="290"/>
      <c r="AE312" s="290"/>
      <c r="AF312" s="290"/>
      <c r="AG312" s="290"/>
      <c r="AH312" s="215"/>
    </row>
    <row r="313" spans="1:34" ht="13.5" thickBot="1" x14ac:dyDescent="0.25">
      <c r="A313" s="275"/>
      <c r="B313" s="302"/>
      <c r="C313" s="306"/>
      <c r="D313" s="306"/>
      <c r="E313" s="306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869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C313" s="307"/>
      <c r="AD313" s="307"/>
      <c r="AE313" s="307"/>
      <c r="AF313" s="307"/>
      <c r="AG313" s="307"/>
      <c r="AH313" s="215"/>
    </row>
    <row r="314" spans="1:34" x14ac:dyDescent="0.2">
      <c r="A314" s="310"/>
      <c r="B314" s="215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308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>
        <f>SUM(C314:AG314)</f>
        <v>0</v>
      </c>
    </row>
    <row r="315" spans="1:34" x14ac:dyDescent="0.2">
      <c r="A315" s="312"/>
      <c r="B315" s="475"/>
      <c r="C315" s="311"/>
      <c r="D315" s="629"/>
      <c r="E315" s="371"/>
      <c r="F315" s="311"/>
      <c r="G315" s="311"/>
      <c r="H315" s="314"/>
      <c r="I315" s="311">
        <f>31269.34-12460.163-18809.177</f>
        <v>0</v>
      </c>
      <c r="J315" s="311"/>
      <c r="K315" s="311"/>
      <c r="L315" s="311"/>
      <c r="M315" s="314"/>
      <c r="N315" s="314"/>
      <c r="O315" s="314"/>
      <c r="P315" s="629"/>
      <c r="Q315" s="311"/>
      <c r="R315" s="311"/>
      <c r="S315" s="311"/>
      <c r="T315" s="311"/>
      <c r="U315" s="311"/>
      <c r="V315" s="311"/>
      <c r="W315" s="314"/>
      <c r="X315" s="314"/>
      <c r="Y315" s="314"/>
      <c r="Z315" s="314"/>
      <c r="AA315" s="314"/>
      <c r="AB315" s="314"/>
      <c r="AC315" s="314"/>
      <c r="AD315" s="629"/>
      <c r="AE315" s="311"/>
      <c r="AF315" s="311"/>
      <c r="AG315" s="311"/>
      <c r="AH315" s="286"/>
    </row>
    <row r="316" spans="1:34" x14ac:dyDescent="0.2">
      <c r="A316" s="215"/>
      <c r="B316" s="215"/>
      <c r="C316" s="215"/>
      <c r="D316" s="215"/>
      <c r="E316" s="317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309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15"/>
      <c r="AE316" s="215"/>
      <c r="AF316" s="215"/>
      <c r="AG316" s="215"/>
      <c r="AH316" s="286"/>
    </row>
    <row r="317" spans="1:34" x14ac:dyDescent="0.2">
      <c r="A317" s="358" t="s">
        <v>415</v>
      </c>
      <c r="B317" s="359">
        <f>B318+B319+B321+B320</f>
        <v>1020000</v>
      </c>
      <c r="C317" s="316"/>
      <c r="D317" s="215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457"/>
      <c r="V317" s="314"/>
      <c r="W317" s="286"/>
      <c r="X317" s="215"/>
      <c r="Y317" s="215"/>
      <c r="Z317" s="215"/>
      <c r="AA317" s="408"/>
      <c r="AB317" s="215"/>
      <c r="AC317" s="215"/>
      <c r="AD317" s="215"/>
      <c r="AE317" s="215"/>
      <c r="AF317" s="215"/>
      <c r="AG317" s="215"/>
      <c r="AH317" s="215"/>
    </row>
    <row r="318" spans="1:34" x14ac:dyDescent="0.2">
      <c r="A318" s="327" t="s">
        <v>414</v>
      </c>
      <c r="B318" s="311">
        <v>20000</v>
      </c>
      <c r="C318" s="215"/>
      <c r="D318" s="215"/>
      <c r="E318" s="286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309"/>
      <c r="Q318" s="215"/>
      <c r="R318" s="215"/>
      <c r="S318" s="215"/>
      <c r="T318" s="215"/>
      <c r="U318" s="313"/>
      <c r="V318" s="313"/>
      <c r="W318" s="215"/>
      <c r="X318" s="215"/>
      <c r="Y318" s="215"/>
      <c r="Z318" s="215"/>
      <c r="AA318" s="215"/>
      <c r="AB318" s="215"/>
      <c r="AC318" s="286"/>
      <c r="AD318" s="286"/>
      <c r="AE318" s="215"/>
      <c r="AF318" s="215"/>
      <c r="AG318" s="215"/>
      <c r="AH318" s="215"/>
    </row>
    <row r="319" spans="1:34" x14ac:dyDescent="0.2">
      <c r="A319" s="327" t="s">
        <v>287</v>
      </c>
      <c r="B319" s="311">
        <v>600000</v>
      </c>
      <c r="C319" s="215"/>
      <c r="D319" s="215"/>
      <c r="E319" s="215"/>
      <c r="F319" s="215"/>
      <c r="G319" s="215"/>
      <c r="H319" s="215"/>
      <c r="I319" s="215"/>
      <c r="J319" s="215"/>
      <c r="K319" s="286"/>
      <c r="L319" s="215"/>
      <c r="M319" s="215"/>
      <c r="N319" s="215"/>
      <c r="O319" s="215"/>
      <c r="P319" s="309"/>
      <c r="Q319" s="215"/>
      <c r="R319" s="215"/>
      <c r="S319" s="215"/>
      <c r="T319" s="215"/>
      <c r="U319" s="458"/>
      <c r="V319" s="313"/>
      <c r="W319" s="215"/>
      <c r="X319" s="286"/>
      <c r="Y319" s="215"/>
      <c r="Z319" s="215"/>
      <c r="AA319" s="215"/>
      <c r="AB319" s="215"/>
      <c r="AC319" s="215"/>
      <c r="AD319" s="215"/>
      <c r="AE319" s="215"/>
      <c r="AF319" s="215"/>
      <c r="AG319" s="215"/>
    </row>
    <row r="320" spans="1:34" x14ac:dyDescent="0.2">
      <c r="A320" s="310" t="s">
        <v>413</v>
      </c>
      <c r="B320" s="311">
        <v>200000</v>
      </c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309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310" t="s">
        <v>441</v>
      </c>
      <c r="B321" s="311">
        <v>200000</v>
      </c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309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</row>
    <row r="323" spans="1:33" x14ac:dyDescent="0.2">
      <c r="A323" s="183" t="s">
        <v>449</v>
      </c>
      <c r="B323" s="25"/>
      <c r="L323" s="42"/>
    </row>
    <row r="324" spans="1:33" x14ac:dyDescent="0.2">
      <c r="AB324" s="42"/>
      <c r="AC324" s="42"/>
      <c r="AD324" s="42"/>
      <c r="AE324" s="42"/>
    </row>
    <row r="331" spans="1:33" ht="15" x14ac:dyDescent="0.2">
      <c r="A331" s="401"/>
      <c r="B331" s="791"/>
    </row>
    <row r="332" spans="1:33" ht="15" x14ac:dyDescent="0.2">
      <c r="A332" s="401"/>
      <c r="B332" s="791"/>
    </row>
    <row r="333" spans="1:33" ht="15" x14ac:dyDescent="0.2">
      <c r="A333" s="401"/>
      <c r="B333" s="791"/>
    </row>
    <row r="338" spans="1:2" ht="18" x14ac:dyDescent="0.25">
      <c r="A338" s="1757"/>
      <c r="B338" s="1757"/>
    </row>
    <row r="339" spans="1:2" x14ac:dyDescent="0.2">
      <c r="A339" s="54"/>
      <c r="B339" s="54"/>
    </row>
    <row r="341" spans="1:2" x14ac:dyDescent="0.2">
      <c r="A341" s="483"/>
      <c r="B341" s="25"/>
    </row>
    <row r="342" spans="1:2" x14ac:dyDescent="0.2">
      <c r="A342" s="483"/>
      <c r="B342" s="25"/>
    </row>
    <row r="343" spans="1:2" x14ac:dyDescent="0.2">
      <c r="A343" s="483"/>
      <c r="B343" s="25"/>
    </row>
    <row r="344" spans="1:2" x14ac:dyDescent="0.2">
      <c r="A344" s="483"/>
      <c r="B344" s="25"/>
    </row>
    <row r="345" spans="1:2" x14ac:dyDescent="0.2">
      <c r="A345" s="483"/>
      <c r="B345" s="25"/>
    </row>
    <row r="346" spans="1:2" x14ac:dyDescent="0.2">
      <c r="A346" s="483"/>
      <c r="B346" s="25"/>
    </row>
    <row r="347" spans="1:2" x14ac:dyDescent="0.2">
      <c r="A347" s="483"/>
      <c r="B347" s="25"/>
    </row>
    <row r="348" spans="1:2" x14ac:dyDescent="0.2">
      <c r="A348" s="483"/>
      <c r="B348" s="25"/>
    </row>
    <row r="349" spans="1:2" x14ac:dyDescent="0.2">
      <c r="A349" s="483"/>
      <c r="B349" s="25"/>
    </row>
    <row r="350" spans="1:2" x14ac:dyDescent="0.2">
      <c r="A350" s="483"/>
      <c r="B350" s="25"/>
    </row>
    <row r="351" spans="1:2" x14ac:dyDescent="0.2">
      <c r="A351" s="483"/>
      <c r="B351" s="25"/>
    </row>
    <row r="354" spans="2:2" x14ac:dyDescent="0.2">
      <c r="B354" s="25"/>
    </row>
    <row r="355" spans="2:2" x14ac:dyDescent="0.2">
      <c r="B355" s="25"/>
    </row>
    <row r="356" spans="2:2" x14ac:dyDescent="0.2">
      <c r="B356" s="25"/>
    </row>
    <row r="358" spans="2:2" x14ac:dyDescent="0.2">
      <c r="B358" s="889"/>
    </row>
    <row r="405" spans="1:3" x14ac:dyDescent="0.2">
      <c r="A405" s="1" t="s">
        <v>1208</v>
      </c>
      <c r="B405" s="25">
        <v>3693.018</v>
      </c>
      <c r="C405" s="25">
        <v>5326.9089999999997</v>
      </c>
    </row>
    <row r="406" spans="1:3" x14ac:dyDescent="0.2">
      <c r="A406" s="1" t="s">
        <v>1210</v>
      </c>
      <c r="B406" s="25">
        <v>5326.9089999999997</v>
      </c>
      <c r="C406" s="25"/>
    </row>
    <row r="407" spans="1:3" x14ac:dyDescent="0.2">
      <c r="A407" s="1" t="s">
        <v>1209</v>
      </c>
      <c r="B407" s="25">
        <v>4055.098</v>
      </c>
    </row>
    <row r="408" spans="1:3" x14ac:dyDescent="0.2">
      <c r="A408" s="1" t="s">
        <v>1211</v>
      </c>
      <c r="B408" s="25">
        <v>1280</v>
      </c>
    </row>
    <row r="409" spans="1:3" x14ac:dyDescent="0.2">
      <c r="A409" s="1" t="s">
        <v>1212</v>
      </c>
      <c r="B409" s="25">
        <v>3392.8739999999998</v>
      </c>
    </row>
    <row r="410" spans="1:3" x14ac:dyDescent="0.2">
      <c r="A410" s="1" t="s">
        <v>1213</v>
      </c>
      <c r="B410" s="25">
        <v>2794.5219999999999</v>
      </c>
    </row>
  </sheetData>
  <mergeCells count="5">
    <mergeCell ref="AC37:AD37"/>
    <mergeCell ref="M153:U153"/>
    <mergeCell ref="F284:G284"/>
    <mergeCell ref="A338:B338"/>
    <mergeCell ref="I153:L153"/>
  </mergeCells>
  <pageMargins left="0.78740157480314965" right="0.78740157480314965" top="0.98425196850393704" bottom="0.98425196850393704" header="0.51181102362204722" footer="0.51181102362204722"/>
  <pageSetup paperSize="9" fitToHeight="2" orientation="portrait" horizontalDpi="300" verticalDpi="300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8">
    <pageSetUpPr fitToPage="1"/>
  </sheetPr>
  <dimension ref="A1:AQ358"/>
  <sheetViews>
    <sheetView topLeftCell="A133" workbookViewId="0">
      <pane ySplit="2025" topLeftCell="A7" activePane="bottomLeft"/>
      <selection activeCell="W135" sqref="W135"/>
      <selection pane="bottomLeft" activeCell="G112" sqref="G112"/>
    </sheetView>
  </sheetViews>
  <sheetFormatPr defaultColWidth="11.42578125" defaultRowHeight="12.75" x14ac:dyDescent="0.2"/>
  <cols>
    <col min="1" max="1" width="37.42578125" customWidth="1"/>
    <col min="2" max="2" width="13.7109375" customWidth="1"/>
    <col min="3" max="3" width="14" customWidth="1"/>
    <col min="4" max="4" width="14.28515625" customWidth="1"/>
    <col min="5" max="5" width="14.42578125" bestFit="1" customWidth="1"/>
    <col min="6" max="6" width="12.7109375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1.85546875" bestFit="1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6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6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6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6" x14ac:dyDescent="0.2">
      <c r="A4" s="215"/>
      <c r="B4" s="215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81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15"/>
    </row>
    <row r="5" spans="1:36" x14ac:dyDescent="0.2">
      <c r="A5" s="1" t="s">
        <v>689</v>
      </c>
      <c r="B5" s="451" t="s">
        <v>132</v>
      </c>
      <c r="C5" s="359">
        <f>C6+C7+C8+C9</f>
        <v>-98920.184999999998</v>
      </c>
      <c r="D5" s="359">
        <f t="shared" ref="D5:AG5" si="0">D6+D7+D8+D9</f>
        <v>-103562.337</v>
      </c>
      <c r="E5" s="359">
        <f t="shared" si="0"/>
        <v>-103562.586</v>
      </c>
      <c r="F5" s="359">
        <f t="shared" si="0"/>
        <v>-103562.586</v>
      </c>
      <c r="G5" s="359">
        <f t="shared" si="0"/>
        <v>-110093.47899999998</v>
      </c>
      <c r="H5" s="359">
        <f t="shared" si="0"/>
        <v>-110093.47899999998</v>
      </c>
      <c r="I5" s="359">
        <f t="shared" si="0"/>
        <v>-110093.47899999998</v>
      </c>
      <c r="J5" s="453">
        <f t="shared" si="0"/>
        <v>-110093.47899999998</v>
      </c>
      <c r="K5" s="453">
        <f t="shared" si="0"/>
        <v>-110093.47899999998</v>
      </c>
      <c r="L5" s="359">
        <f t="shared" si="0"/>
        <v>-110093.47899999998</v>
      </c>
      <c r="M5" s="359">
        <f t="shared" si="0"/>
        <v>-110093.47899999998</v>
      </c>
      <c r="N5" s="359">
        <f t="shared" si="0"/>
        <v>-110093.47899999998</v>
      </c>
      <c r="O5" s="359">
        <f t="shared" si="0"/>
        <v>-110093.47899999998</v>
      </c>
      <c r="P5" s="858">
        <f t="shared" si="0"/>
        <v>-110093.47899999998</v>
      </c>
      <c r="Q5" s="359">
        <f t="shared" si="0"/>
        <v>-110093.78000000001</v>
      </c>
      <c r="R5" s="359">
        <f t="shared" si="0"/>
        <v>-110093.78000000001</v>
      </c>
      <c r="S5" s="359">
        <f t="shared" si="0"/>
        <v>-110093.78000000001</v>
      </c>
      <c r="T5" s="359">
        <f t="shared" si="0"/>
        <v>-110093.72199999999</v>
      </c>
      <c r="U5" s="359">
        <f t="shared" si="0"/>
        <v>-110093.72199999999</v>
      </c>
      <c r="V5" s="359">
        <f t="shared" si="0"/>
        <v>-110093.28000000001</v>
      </c>
      <c r="W5" s="359">
        <f t="shared" si="0"/>
        <v>-110092.89900000002</v>
      </c>
      <c r="X5" s="359">
        <f t="shared" si="0"/>
        <v>-124092.66000000002</v>
      </c>
      <c r="Y5" s="359">
        <f t="shared" si="0"/>
        <v>-124092.86600000002</v>
      </c>
      <c r="Z5" s="359">
        <f t="shared" si="0"/>
        <v>-124092.00200000002</v>
      </c>
      <c r="AA5" s="359">
        <f t="shared" si="0"/>
        <v>-124092.037</v>
      </c>
      <c r="AB5" s="359">
        <f t="shared" si="0"/>
        <v>-159975.446</v>
      </c>
      <c r="AC5" s="359">
        <f t="shared" si="0"/>
        <v>-159975.766</v>
      </c>
      <c r="AD5" s="359">
        <f t="shared" si="0"/>
        <v>-159976.011</v>
      </c>
      <c r="AE5" s="359">
        <f t="shared" si="0"/>
        <v>-159975.54199999999</v>
      </c>
      <c r="AF5" s="359">
        <f t="shared" si="0"/>
        <v>-168995.66700000002</v>
      </c>
      <c r="AG5" s="359">
        <f t="shared" si="0"/>
        <v>-168995.66700000002</v>
      </c>
      <c r="AH5" s="215"/>
    </row>
    <row r="6" spans="1:36" x14ac:dyDescent="0.2">
      <c r="A6" s="56">
        <v>100000</v>
      </c>
      <c r="B6" s="215" t="s">
        <v>690</v>
      </c>
      <c r="C6" s="311">
        <f>C70</f>
        <v>-112539.35699999999</v>
      </c>
      <c r="D6" s="311">
        <f t="shared" ref="D6:AG6" si="1">D70</f>
        <v>-117181.50899999999</v>
      </c>
      <c r="E6" s="311">
        <f t="shared" si="1"/>
        <v>-117181.75799999999</v>
      </c>
      <c r="F6" s="311">
        <f t="shared" si="1"/>
        <v>-117181.75799999999</v>
      </c>
      <c r="G6" s="311">
        <f t="shared" si="1"/>
        <v>-123712.65099999998</v>
      </c>
      <c r="H6" s="311">
        <f t="shared" si="1"/>
        <v>-123712.65099999998</v>
      </c>
      <c r="I6" s="311">
        <f t="shared" si="1"/>
        <v>-123712.65099999998</v>
      </c>
      <c r="J6" s="314">
        <f t="shared" si="1"/>
        <v>-123712.65099999998</v>
      </c>
      <c r="K6" s="314">
        <f>K70</f>
        <v>-123712.65099999998</v>
      </c>
      <c r="L6" s="311">
        <f t="shared" si="1"/>
        <v>-123712.65099999998</v>
      </c>
      <c r="M6" s="311">
        <f t="shared" si="1"/>
        <v>-123712.65099999998</v>
      </c>
      <c r="N6" s="311">
        <f t="shared" si="1"/>
        <v>-123712.65099999998</v>
      </c>
      <c r="O6" s="311">
        <f t="shared" si="1"/>
        <v>-123712.65099999998</v>
      </c>
      <c r="P6" s="629">
        <f t="shared" si="1"/>
        <v>-123712.65099999998</v>
      </c>
      <c r="Q6" s="311">
        <f t="shared" si="1"/>
        <v>-123712.95199999999</v>
      </c>
      <c r="R6" s="311">
        <f t="shared" si="1"/>
        <v>-123712.95199999999</v>
      </c>
      <c r="S6" s="311">
        <f>S70</f>
        <v>-123712.95199999999</v>
      </c>
      <c r="T6" s="311">
        <f t="shared" si="1"/>
        <v>-123712.89399999999</v>
      </c>
      <c r="U6" s="311">
        <f t="shared" si="1"/>
        <v>-123712.89399999999</v>
      </c>
      <c r="V6" s="311">
        <f t="shared" si="1"/>
        <v>-123712.45199999999</v>
      </c>
      <c r="W6" s="311">
        <f t="shared" si="1"/>
        <v>-123712.071</v>
      </c>
      <c r="X6" s="311">
        <f t="shared" si="1"/>
        <v>-123711.83199999999</v>
      </c>
      <c r="Y6" s="311">
        <f t="shared" si="1"/>
        <v>-123712.038</v>
      </c>
      <c r="Z6" s="311">
        <f t="shared" si="1"/>
        <v>-123711.174</v>
      </c>
      <c r="AA6" s="311">
        <f t="shared" si="1"/>
        <v>-123711.209</v>
      </c>
      <c r="AB6" s="311">
        <f t="shared" si="1"/>
        <v>-159594.61800000002</v>
      </c>
      <c r="AC6" s="311">
        <f t="shared" si="1"/>
        <v>-159594.93800000002</v>
      </c>
      <c r="AD6" s="311">
        <f t="shared" si="1"/>
        <v>-159595.18300000002</v>
      </c>
      <c r="AE6" s="311">
        <f t="shared" si="1"/>
        <v>-159594.71400000001</v>
      </c>
      <c r="AF6" s="311">
        <f t="shared" si="1"/>
        <v>-168614.83900000004</v>
      </c>
      <c r="AG6" s="311">
        <f t="shared" si="1"/>
        <v>-168614.83900000004</v>
      </c>
      <c r="AH6" s="215"/>
    </row>
    <row r="7" spans="1:36" x14ac:dyDescent="0.2">
      <c r="A7" s="56">
        <v>25000</v>
      </c>
      <c r="B7" s="215" t="s">
        <v>666</v>
      </c>
      <c r="C7" s="311">
        <f>C184</f>
        <v>17154.382000000001</v>
      </c>
      <c r="D7" s="311">
        <f t="shared" ref="D7:AG7" si="2">D184</f>
        <v>17154.382000000001</v>
      </c>
      <c r="E7" s="311">
        <f t="shared" si="2"/>
        <v>17154.382000000001</v>
      </c>
      <c r="F7" s="311">
        <f t="shared" si="2"/>
        <v>17154.382000000001</v>
      </c>
      <c r="G7" s="311">
        <f t="shared" si="2"/>
        <v>17154.382000000001</v>
      </c>
      <c r="H7" s="311">
        <f t="shared" si="2"/>
        <v>17154.382000000001</v>
      </c>
      <c r="I7" s="311">
        <f t="shared" si="2"/>
        <v>17154.382000000001</v>
      </c>
      <c r="J7" s="314">
        <f t="shared" si="2"/>
        <v>17154.382000000001</v>
      </c>
      <c r="K7" s="314">
        <f t="shared" si="2"/>
        <v>17154.382000000001</v>
      </c>
      <c r="L7" s="311">
        <f t="shared" si="2"/>
        <v>17154.382000000001</v>
      </c>
      <c r="M7" s="311">
        <f t="shared" si="2"/>
        <v>17154.382000000001</v>
      </c>
      <c r="N7" s="311">
        <f t="shared" si="2"/>
        <v>17154.382000000001</v>
      </c>
      <c r="O7" s="311">
        <f t="shared" si="2"/>
        <v>17154.382000000001</v>
      </c>
      <c r="P7" s="629">
        <f>P184</f>
        <v>17154.382000000001</v>
      </c>
      <c r="Q7" s="311">
        <f t="shared" si="2"/>
        <v>17154.382000000001</v>
      </c>
      <c r="R7" s="311">
        <f t="shared" si="2"/>
        <v>17154.382000000001</v>
      </c>
      <c r="S7" s="784">
        <f t="shared" si="2"/>
        <v>17154.382000000001</v>
      </c>
      <c r="T7" s="311">
        <f t="shared" si="2"/>
        <v>17154.382000000001</v>
      </c>
      <c r="U7" s="311">
        <f t="shared" si="2"/>
        <v>17154.382000000001</v>
      </c>
      <c r="V7" s="311">
        <f t="shared" si="2"/>
        <v>17154.382000000001</v>
      </c>
      <c r="W7" s="311">
        <f t="shared" si="2"/>
        <v>17154.382000000001</v>
      </c>
      <c r="X7" s="311">
        <f t="shared" si="2"/>
        <v>3154.3820000000014</v>
      </c>
      <c r="Y7" s="311">
        <f t="shared" si="2"/>
        <v>3154.3820000000014</v>
      </c>
      <c r="Z7" s="311">
        <f t="shared" si="2"/>
        <v>3154.3820000000014</v>
      </c>
      <c r="AA7" s="311">
        <f t="shared" si="2"/>
        <v>3154.3820000000014</v>
      </c>
      <c r="AB7" s="311">
        <f t="shared" si="2"/>
        <v>3154.3820000000014</v>
      </c>
      <c r="AC7" s="311">
        <f t="shared" si="2"/>
        <v>3154.3820000000014</v>
      </c>
      <c r="AD7" s="311">
        <f t="shared" si="2"/>
        <v>3154.3820000000014</v>
      </c>
      <c r="AE7" s="311">
        <f t="shared" si="2"/>
        <v>3154.3820000000014</v>
      </c>
      <c r="AF7" s="311">
        <f t="shared" si="2"/>
        <v>3154.3820000000014</v>
      </c>
      <c r="AG7" s="311">
        <f t="shared" si="2"/>
        <v>3154.3820000000014</v>
      </c>
      <c r="AH7" s="215"/>
    </row>
    <row r="8" spans="1:36" x14ac:dyDescent="0.2">
      <c r="A8" s="56">
        <v>25000</v>
      </c>
      <c r="B8" s="215" t="s">
        <v>667</v>
      </c>
      <c r="C8" s="311">
        <f>C247</f>
        <v>-30250.864000000001</v>
      </c>
      <c r="D8" s="311">
        <f t="shared" ref="D8:AG8" si="3">D247</f>
        <v>-30250.864000000001</v>
      </c>
      <c r="E8" s="311">
        <f t="shared" si="3"/>
        <v>-30250.864000000001</v>
      </c>
      <c r="F8" s="311">
        <f t="shared" si="3"/>
        <v>-30250.864000000001</v>
      </c>
      <c r="G8" s="311">
        <f t="shared" si="3"/>
        <v>-30250.864000000001</v>
      </c>
      <c r="H8" s="311">
        <f t="shared" si="3"/>
        <v>-30250.864000000001</v>
      </c>
      <c r="I8" s="784">
        <f t="shared" si="3"/>
        <v>-30250.864000000001</v>
      </c>
      <c r="J8" s="314">
        <f t="shared" si="3"/>
        <v>-30250.864000000001</v>
      </c>
      <c r="K8" s="314">
        <f t="shared" si="3"/>
        <v>-30250.864000000001</v>
      </c>
      <c r="L8" s="311">
        <f t="shared" si="3"/>
        <v>-30250.864000000001</v>
      </c>
      <c r="M8" s="311">
        <f t="shared" si="3"/>
        <v>-30250.864000000001</v>
      </c>
      <c r="N8" s="311">
        <f t="shared" si="3"/>
        <v>-30250.864000000001</v>
      </c>
      <c r="O8" s="311">
        <f t="shared" si="3"/>
        <v>-30250.864000000001</v>
      </c>
      <c r="P8" s="629">
        <f t="shared" si="3"/>
        <v>-30250.864000000001</v>
      </c>
      <c r="Q8" s="311">
        <f t="shared" si="3"/>
        <v>-30250.864000000001</v>
      </c>
      <c r="R8" s="311">
        <f t="shared" si="3"/>
        <v>-30250.864000000001</v>
      </c>
      <c r="S8" s="311">
        <f t="shared" si="3"/>
        <v>-30250.864000000001</v>
      </c>
      <c r="T8" s="311">
        <f t="shared" si="3"/>
        <v>-30250.864000000001</v>
      </c>
      <c r="U8" s="311">
        <f t="shared" si="3"/>
        <v>-30250.864000000001</v>
      </c>
      <c r="V8" s="311">
        <f t="shared" si="3"/>
        <v>-30250.864000000001</v>
      </c>
      <c r="W8" s="311">
        <f t="shared" si="3"/>
        <v>-30250.864000000001</v>
      </c>
      <c r="X8" s="311">
        <f t="shared" si="3"/>
        <v>-30250.864000000001</v>
      </c>
      <c r="Y8" s="311">
        <f t="shared" si="3"/>
        <v>-30250.864000000001</v>
      </c>
      <c r="Z8" s="311">
        <f t="shared" si="3"/>
        <v>-30250.864000000001</v>
      </c>
      <c r="AA8" s="311">
        <f t="shared" si="3"/>
        <v>-30250.864000000001</v>
      </c>
      <c r="AB8" s="311">
        <f t="shared" si="3"/>
        <v>-30250.864000000001</v>
      </c>
      <c r="AC8" s="311">
        <f t="shared" si="3"/>
        <v>-30250.864000000001</v>
      </c>
      <c r="AD8" s="311">
        <f t="shared" si="3"/>
        <v>-30250.864000000001</v>
      </c>
      <c r="AE8" s="311">
        <f t="shared" si="3"/>
        <v>-30250.864000000001</v>
      </c>
      <c r="AF8" s="311">
        <f t="shared" si="3"/>
        <v>-30250.864000000001</v>
      </c>
      <c r="AG8" s="311">
        <f t="shared" si="3"/>
        <v>-30250.864000000001</v>
      </c>
      <c r="AH8" s="215"/>
      <c r="AJ8" s="483"/>
    </row>
    <row r="9" spans="1:36" x14ac:dyDescent="0.2">
      <c r="A9" s="56">
        <v>20000</v>
      </c>
      <c r="B9" s="215" t="s">
        <v>691</v>
      </c>
      <c r="C9" s="311">
        <f>C311</f>
        <v>26715.653999999999</v>
      </c>
      <c r="D9" s="311">
        <f t="shared" ref="D9:AG9" si="4">D311</f>
        <v>26715.653999999999</v>
      </c>
      <c r="E9" s="311">
        <f t="shared" si="4"/>
        <v>26715.653999999999</v>
      </c>
      <c r="F9" s="311">
        <f t="shared" si="4"/>
        <v>26715.653999999999</v>
      </c>
      <c r="G9" s="784">
        <f t="shared" si="4"/>
        <v>26715.653999999999</v>
      </c>
      <c r="H9" s="311">
        <f t="shared" si="4"/>
        <v>26715.653999999999</v>
      </c>
      <c r="I9" s="311">
        <f t="shared" si="4"/>
        <v>26715.653999999999</v>
      </c>
      <c r="J9" s="314">
        <f t="shared" si="4"/>
        <v>26715.653999999999</v>
      </c>
      <c r="K9" s="314">
        <f t="shared" si="4"/>
        <v>26715.653999999999</v>
      </c>
      <c r="L9" s="311">
        <f t="shared" si="4"/>
        <v>26715.653999999999</v>
      </c>
      <c r="M9" s="311">
        <f t="shared" si="4"/>
        <v>26715.653999999999</v>
      </c>
      <c r="N9" s="311">
        <f t="shared" si="4"/>
        <v>26715.653999999999</v>
      </c>
      <c r="O9" s="311">
        <f t="shared" si="4"/>
        <v>26715.653999999999</v>
      </c>
      <c r="P9" s="629">
        <f t="shared" si="4"/>
        <v>26715.653999999999</v>
      </c>
      <c r="Q9" s="311">
        <f t="shared" si="4"/>
        <v>26715.653999999999</v>
      </c>
      <c r="R9" s="311">
        <f t="shared" si="4"/>
        <v>26715.653999999999</v>
      </c>
      <c r="S9" s="311">
        <f t="shared" si="4"/>
        <v>26715.653999999999</v>
      </c>
      <c r="T9" s="311">
        <f t="shared" si="4"/>
        <v>26715.653999999999</v>
      </c>
      <c r="U9" s="311">
        <f t="shared" si="4"/>
        <v>26715.653999999999</v>
      </c>
      <c r="V9" s="311">
        <f t="shared" si="4"/>
        <v>26715.653999999999</v>
      </c>
      <c r="W9" s="311">
        <f t="shared" si="4"/>
        <v>26715.653999999999</v>
      </c>
      <c r="X9" s="311">
        <f t="shared" si="4"/>
        <v>26715.653999999999</v>
      </c>
      <c r="Y9" s="311">
        <f t="shared" si="4"/>
        <v>26715.653999999999</v>
      </c>
      <c r="Z9" s="311">
        <f t="shared" si="4"/>
        <v>26715.653999999999</v>
      </c>
      <c r="AA9" s="311">
        <f t="shared" si="4"/>
        <v>26715.653999999999</v>
      </c>
      <c r="AB9" s="311">
        <f t="shared" si="4"/>
        <v>26715.653999999999</v>
      </c>
      <c r="AC9" s="311">
        <f t="shared" si="4"/>
        <v>26715.653999999999</v>
      </c>
      <c r="AD9" s="311">
        <f t="shared" si="4"/>
        <v>26715.653999999999</v>
      </c>
      <c r="AE9" s="311">
        <f t="shared" si="4"/>
        <v>26715.653999999999</v>
      </c>
      <c r="AF9" s="311">
        <f t="shared" si="4"/>
        <v>26715.653999999999</v>
      </c>
      <c r="AG9" s="311">
        <f t="shared" si="4"/>
        <v>26715.653999999999</v>
      </c>
      <c r="AH9" s="215"/>
    </row>
    <row r="10" spans="1:36" x14ac:dyDescent="0.2">
      <c r="A10" s="1" t="s">
        <v>692</v>
      </c>
      <c r="B10" s="451" t="s">
        <v>132</v>
      </c>
      <c r="C10" s="452">
        <f>C11+C12+C13</f>
        <v>2931</v>
      </c>
      <c r="D10" s="452">
        <f t="shared" ref="D10:AG10" si="5">D11+D12+D13</f>
        <v>5084</v>
      </c>
      <c r="E10" s="452">
        <f t="shared" si="5"/>
        <v>0</v>
      </c>
      <c r="F10" s="452">
        <f t="shared" si="5"/>
        <v>16787</v>
      </c>
      <c r="G10" s="452">
        <f t="shared" si="5"/>
        <v>6375</v>
      </c>
      <c r="H10" s="452">
        <f t="shared" si="5"/>
        <v>3040</v>
      </c>
      <c r="I10" s="452">
        <f t="shared" si="5"/>
        <v>2200</v>
      </c>
      <c r="J10" s="454">
        <f t="shared" si="5"/>
        <v>21797</v>
      </c>
      <c r="K10" s="454">
        <f t="shared" si="5"/>
        <v>1400</v>
      </c>
      <c r="L10" s="452">
        <f t="shared" si="5"/>
        <v>4562</v>
      </c>
      <c r="M10" s="452">
        <f t="shared" si="5"/>
        <v>6959</v>
      </c>
      <c r="N10" s="452">
        <f t="shared" si="5"/>
        <v>1080</v>
      </c>
      <c r="O10" s="452">
        <f t="shared" si="5"/>
        <v>1093</v>
      </c>
      <c r="P10" s="859">
        <f t="shared" si="5"/>
        <v>0</v>
      </c>
      <c r="Q10" s="452">
        <f t="shared" si="5"/>
        <v>19827</v>
      </c>
      <c r="R10" s="452">
        <f t="shared" si="5"/>
        <v>0</v>
      </c>
      <c r="S10" s="452">
        <f t="shared" si="5"/>
        <v>4283</v>
      </c>
      <c r="T10" s="452">
        <f t="shared" si="5"/>
        <v>3448</v>
      </c>
      <c r="U10" s="452">
        <f t="shared" si="5"/>
        <v>1080</v>
      </c>
      <c r="V10" s="452">
        <f t="shared" si="5"/>
        <v>15746</v>
      </c>
      <c r="W10" s="452">
        <f t="shared" si="5"/>
        <v>0</v>
      </c>
      <c r="X10" s="452">
        <f t="shared" si="5"/>
        <v>0</v>
      </c>
      <c r="Y10" s="452">
        <f t="shared" si="5"/>
        <v>269</v>
      </c>
      <c r="Z10" s="452">
        <f t="shared" si="5"/>
        <v>1080</v>
      </c>
      <c r="AA10" s="452">
        <f t="shared" si="5"/>
        <v>8355</v>
      </c>
      <c r="AB10" s="452">
        <f t="shared" si="5"/>
        <v>1200</v>
      </c>
      <c r="AC10" s="452">
        <f t="shared" si="5"/>
        <v>2174</v>
      </c>
      <c r="AD10" s="452">
        <f t="shared" si="5"/>
        <v>0</v>
      </c>
      <c r="AE10" s="452">
        <f t="shared" si="5"/>
        <v>0</v>
      </c>
      <c r="AF10" s="452">
        <f t="shared" si="5"/>
        <v>80706</v>
      </c>
      <c r="AG10" s="452">
        <f t="shared" si="5"/>
        <v>0</v>
      </c>
      <c r="AH10" s="286">
        <f>SUM(C10:AG10)</f>
        <v>211476</v>
      </c>
    </row>
    <row r="11" spans="1:36" x14ac:dyDescent="0.2">
      <c r="A11" s="1"/>
      <c r="B11" s="215" t="s">
        <v>666</v>
      </c>
      <c r="C11" s="286">
        <f>C171</f>
        <v>2931</v>
      </c>
      <c r="D11" s="286">
        <f t="shared" ref="D11:AG11" si="6">D171</f>
        <v>0</v>
      </c>
      <c r="E11" s="286">
        <f t="shared" si="6"/>
        <v>0</v>
      </c>
      <c r="F11" s="286">
        <f t="shared" si="6"/>
        <v>0</v>
      </c>
      <c r="G11" s="286">
        <f t="shared" si="6"/>
        <v>6375</v>
      </c>
      <c r="H11" s="286">
        <f t="shared" si="6"/>
        <v>0</v>
      </c>
      <c r="I11" s="286">
        <f t="shared" si="6"/>
        <v>0</v>
      </c>
      <c r="J11" s="315">
        <f t="shared" si="6"/>
        <v>0</v>
      </c>
      <c r="K11" s="315">
        <f t="shared" si="6"/>
        <v>1400</v>
      </c>
      <c r="L11" s="286">
        <f t="shared" si="6"/>
        <v>0</v>
      </c>
      <c r="M11" s="286">
        <f t="shared" si="6"/>
        <v>6959</v>
      </c>
      <c r="N11" s="286">
        <f t="shared" si="6"/>
        <v>0</v>
      </c>
      <c r="O11" s="286">
        <f t="shared" si="6"/>
        <v>0</v>
      </c>
      <c r="P11" s="308">
        <f t="shared" si="6"/>
        <v>0</v>
      </c>
      <c r="Q11" s="286">
        <f t="shared" si="6"/>
        <v>0</v>
      </c>
      <c r="R11" s="286">
        <f t="shared" si="6"/>
        <v>0</v>
      </c>
      <c r="S11" s="286">
        <f t="shared" si="6"/>
        <v>0</v>
      </c>
      <c r="T11" s="286">
        <f t="shared" si="6"/>
        <v>0</v>
      </c>
      <c r="U11" s="286">
        <f t="shared" si="6"/>
        <v>0</v>
      </c>
      <c r="V11" s="286">
        <f t="shared" si="6"/>
        <v>2652</v>
      </c>
      <c r="W11" s="286">
        <f t="shared" si="6"/>
        <v>0</v>
      </c>
      <c r="X11" s="286">
        <f t="shared" si="6"/>
        <v>0</v>
      </c>
      <c r="Y11" s="286">
        <f t="shared" si="6"/>
        <v>269</v>
      </c>
      <c r="Z11" s="286">
        <f t="shared" si="6"/>
        <v>0</v>
      </c>
      <c r="AA11" s="286">
        <f t="shared" si="6"/>
        <v>0</v>
      </c>
      <c r="AB11" s="286">
        <f t="shared" si="6"/>
        <v>1200</v>
      </c>
      <c r="AC11" s="286">
        <f t="shared" si="6"/>
        <v>0</v>
      </c>
      <c r="AD11" s="286">
        <f t="shared" si="6"/>
        <v>0</v>
      </c>
      <c r="AE11" s="286">
        <f t="shared" si="6"/>
        <v>0</v>
      </c>
      <c r="AF11" s="286">
        <f t="shared" si="6"/>
        <v>8676</v>
      </c>
      <c r="AG11" s="286">
        <f t="shared" si="6"/>
        <v>0</v>
      </c>
      <c r="AH11" s="215"/>
    </row>
    <row r="12" spans="1:36" x14ac:dyDescent="0.2">
      <c r="A12" s="1"/>
      <c r="B12" s="215" t="s">
        <v>667</v>
      </c>
      <c r="C12" s="286">
        <f>C234</f>
        <v>0</v>
      </c>
      <c r="D12" s="286">
        <f t="shared" ref="D12:AG12" si="7">D234</f>
        <v>4004</v>
      </c>
      <c r="E12" s="286">
        <f t="shared" si="7"/>
        <v>0</v>
      </c>
      <c r="F12" s="286">
        <f t="shared" si="7"/>
        <v>1400</v>
      </c>
      <c r="G12" s="286">
        <f t="shared" si="7"/>
        <v>0</v>
      </c>
      <c r="H12" s="286">
        <f t="shared" si="7"/>
        <v>3040</v>
      </c>
      <c r="I12" s="286">
        <f t="shared" si="7"/>
        <v>2200</v>
      </c>
      <c r="J12" s="315">
        <f t="shared" si="7"/>
        <v>21112</v>
      </c>
      <c r="K12" s="315">
        <f t="shared" si="7"/>
        <v>0</v>
      </c>
      <c r="L12" s="286">
        <f t="shared" si="7"/>
        <v>2979</v>
      </c>
      <c r="M12" s="286">
        <f t="shared" si="7"/>
        <v>0</v>
      </c>
      <c r="N12" s="286">
        <f t="shared" si="7"/>
        <v>0</v>
      </c>
      <c r="O12" s="286">
        <f t="shared" si="7"/>
        <v>0</v>
      </c>
      <c r="P12" s="308">
        <f t="shared" si="7"/>
        <v>0</v>
      </c>
      <c r="Q12" s="286">
        <f t="shared" si="7"/>
        <v>1089</v>
      </c>
      <c r="R12" s="286">
        <f t="shared" si="7"/>
        <v>0</v>
      </c>
      <c r="S12" s="286">
        <f t="shared" si="7"/>
        <v>0</v>
      </c>
      <c r="T12" s="286">
        <f t="shared" si="7"/>
        <v>1000</v>
      </c>
      <c r="U12" s="286">
        <f t="shared" si="7"/>
        <v>0</v>
      </c>
      <c r="V12" s="286">
        <f t="shared" si="7"/>
        <v>3255</v>
      </c>
      <c r="W12" s="286">
        <f t="shared" si="7"/>
        <v>0</v>
      </c>
      <c r="X12" s="286">
        <f t="shared" si="7"/>
        <v>0</v>
      </c>
      <c r="Y12" s="286">
        <f t="shared" si="7"/>
        <v>0</v>
      </c>
      <c r="Z12" s="286">
        <f t="shared" si="7"/>
        <v>0</v>
      </c>
      <c r="AA12" s="286">
        <f t="shared" si="7"/>
        <v>3431</v>
      </c>
      <c r="AB12" s="286">
        <f t="shared" si="7"/>
        <v>0</v>
      </c>
      <c r="AC12" s="286">
        <f t="shared" si="7"/>
        <v>0</v>
      </c>
      <c r="AD12" s="286">
        <f t="shared" si="7"/>
        <v>0</v>
      </c>
      <c r="AE12" s="286">
        <f t="shared" si="7"/>
        <v>0</v>
      </c>
      <c r="AF12" s="286">
        <f t="shared" si="7"/>
        <v>20978</v>
      </c>
      <c r="AG12" s="286">
        <f t="shared" si="7"/>
        <v>0</v>
      </c>
      <c r="AH12" s="215"/>
    </row>
    <row r="13" spans="1:36" x14ac:dyDescent="0.2">
      <c r="A13" s="1"/>
      <c r="B13" s="215" t="s">
        <v>691</v>
      </c>
      <c r="C13" s="286">
        <f>C298</f>
        <v>0</v>
      </c>
      <c r="D13" s="286">
        <f t="shared" ref="D13:AG13" si="8">D298</f>
        <v>1080</v>
      </c>
      <c r="E13" s="286">
        <f t="shared" si="8"/>
        <v>0</v>
      </c>
      <c r="F13" s="286">
        <f t="shared" si="8"/>
        <v>15387</v>
      </c>
      <c r="G13" s="286">
        <f t="shared" si="8"/>
        <v>0</v>
      </c>
      <c r="H13" s="286">
        <f t="shared" si="8"/>
        <v>0</v>
      </c>
      <c r="I13" s="286">
        <f t="shared" si="8"/>
        <v>0</v>
      </c>
      <c r="J13" s="315">
        <f t="shared" si="8"/>
        <v>685</v>
      </c>
      <c r="K13" s="315">
        <f t="shared" si="8"/>
        <v>0</v>
      </c>
      <c r="L13" s="286">
        <f t="shared" si="8"/>
        <v>1583</v>
      </c>
      <c r="M13" s="286">
        <f t="shared" si="8"/>
        <v>0</v>
      </c>
      <c r="N13" s="286">
        <f t="shared" si="8"/>
        <v>1080</v>
      </c>
      <c r="O13" s="286">
        <f t="shared" si="8"/>
        <v>1093</v>
      </c>
      <c r="P13" s="308">
        <f t="shared" si="8"/>
        <v>0</v>
      </c>
      <c r="Q13" s="286">
        <f t="shared" si="8"/>
        <v>18738</v>
      </c>
      <c r="R13" s="286">
        <f t="shared" si="8"/>
        <v>0</v>
      </c>
      <c r="S13" s="286">
        <f t="shared" si="8"/>
        <v>4283</v>
      </c>
      <c r="T13" s="286">
        <f t="shared" si="8"/>
        <v>2448</v>
      </c>
      <c r="U13" s="286">
        <f t="shared" si="8"/>
        <v>1080</v>
      </c>
      <c r="V13" s="286">
        <f t="shared" si="8"/>
        <v>9839</v>
      </c>
      <c r="W13" s="286">
        <f t="shared" si="8"/>
        <v>0</v>
      </c>
      <c r="X13" s="286">
        <f t="shared" si="8"/>
        <v>0</v>
      </c>
      <c r="Y13" s="286">
        <f t="shared" si="8"/>
        <v>0</v>
      </c>
      <c r="Z13" s="286">
        <f t="shared" si="8"/>
        <v>1080</v>
      </c>
      <c r="AA13" s="286">
        <f t="shared" si="8"/>
        <v>4924</v>
      </c>
      <c r="AB13" s="286">
        <f t="shared" si="8"/>
        <v>0</v>
      </c>
      <c r="AC13" s="286">
        <f t="shared" si="8"/>
        <v>2174</v>
      </c>
      <c r="AD13" s="286">
        <f t="shared" si="8"/>
        <v>0</v>
      </c>
      <c r="AE13" s="286">
        <f t="shared" si="8"/>
        <v>0</v>
      </c>
      <c r="AF13" s="286">
        <f t="shared" si="8"/>
        <v>51052</v>
      </c>
      <c r="AG13" s="286">
        <f t="shared" si="8"/>
        <v>0</v>
      </c>
      <c r="AH13" s="215"/>
    </row>
    <row r="14" spans="1:36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42480.332999999984</v>
      </c>
    </row>
    <row r="15" spans="1:36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902"/>
      <c r="AI15" s="483"/>
    </row>
    <row r="16" spans="1:36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902"/>
      <c r="AI16" s="483"/>
    </row>
    <row r="17" spans="1:35" x14ac:dyDescent="0.2">
      <c r="A17" s="265"/>
      <c r="B17" s="266" t="s">
        <v>37</v>
      </c>
      <c r="C17" s="266"/>
      <c r="D17" s="266"/>
      <c r="E17" s="267" t="s">
        <v>874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902"/>
      <c r="AI17" s="483"/>
    </row>
    <row r="18" spans="1:35" x14ac:dyDescent="0.2">
      <c r="A18" s="265"/>
      <c r="B18" s="266"/>
      <c r="C18" s="266"/>
      <c r="D18" s="268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308"/>
    </row>
    <row r="19" spans="1:35" x14ac:dyDescent="0.2">
      <c r="A19" s="769"/>
      <c r="B19" s="268"/>
      <c r="C19" s="268"/>
      <c r="D19" s="267">
        <v>42356</v>
      </c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5" x14ac:dyDescent="0.2">
      <c r="A20" s="769"/>
      <c r="B20" s="266"/>
      <c r="C20" s="266"/>
      <c r="D20" s="268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5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5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5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5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5" x14ac:dyDescent="0.2">
      <c r="A25" s="265" t="s">
        <v>0</v>
      </c>
      <c r="B25" s="274">
        <v>-128408.90399999999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5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5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5" x14ac:dyDescent="0.2">
      <c r="A28" s="265" t="s">
        <v>1</v>
      </c>
      <c r="B28" s="274">
        <f>B29+B30+B31</f>
        <v>15869.546999999999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5" x14ac:dyDescent="0.2">
      <c r="A29" s="265" t="s">
        <v>38</v>
      </c>
      <c r="B29" s="274">
        <f>C82</f>
        <v>15869.546999999999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5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5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5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ht="18" x14ac:dyDescent="0.25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1135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ht="18" x14ac:dyDescent="0.25">
      <c r="A34" s="265" t="s">
        <v>4</v>
      </c>
      <c r="B34" s="274">
        <f>B25+B28</f>
        <v>-112539.35699999999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1135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8.75" thickBot="1" x14ac:dyDescent="0.3">
      <c r="A35" s="275"/>
      <c r="B35" s="276"/>
      <c r="C35" s="266"/>
      <c r="D35" s="266"/>
      <c r="E35" s="266"/>
      <c r="F35" s="266"/>
      <c r="G35" s="266"/>
      <c r="H35" s="266"/>
      <c r="I35" s="266"/>
      <c r="K35" s="266"/>
      <c r="L35" s="266"/>
      <c r="M35" s="266"/>
      <c r="N35" s="266"/>
      <c r="O35" s="1135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15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15"/>
      <c r="AI36">
        <f>129141+4668.182+9120.324+7600+6522.204+5982.49+5859.492+10600+7650</f>
        <v>187143.69199999998</v>
      </c>
    </row>
    <row r="37" spans="1:40" ht="18" x14ac:dyDescent="0.25">
      <c r="A37" s="265" t="s">
        <v>913</v>
      </c>
      <c r="B37" s="274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1139"/>
      <c r="T37" s="266"/>
      <c r="U37" s="266"/>
      <c r="V37" s="266"/>
      <c r="W37" s="266"/>
      <c r="X37" s="266"/>
      <c r="Y37" s="266"/>
      <c r="Z37" s="266"/>
      <c r="AA37" s="266"/>
      <c r="AB37" s="266"/>
      <c r="AC37" s="1755"/>
      <c r="AD37" s="1755"/>
      <c r="AE37" s="266"/>
      <c r="AF37" s="266"/>
      <c r="AG37" s="266"/>
      <c r="AH37" s="215"/>
      <c r="AI37" s="42"/>
    </row>
    <row r="38" spans="1:40" ht="13.5" thickBot="1" x14ac:dyDescent="0.25">
      <c r="A38" s="275"/>
      <c r="B38" s="276"/>
      <c r="C38" s="266"/>
      <c r="D38" s="266"/>
      <c r="E38" s="269"/>
      <c r="F38" s="266"/>
      <c r="G38" s="266" t="s">
        <v>1177</v>
      </c>
      <c r="H38" s="269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9"/>
      <c r="AE38" s="266"/>
      <c r="AF38" s="266"/>
      <c r="AG38" s="266"/>
      <c r="AH38" s="215"/>
    </row>
    <row r="39" spans="1:40" x14ac:dyDescent="0.2">
      <c r="A39" s="263"/>
      <c r="B39" s="278"/>
      <c r="C39" s="810"/>
      <c r="D39" s="692" t="s">
        <v>1178</v>
      </c>
      <c r="E39" s="1196" t="s">
        <v>1199</v>
      </c>
      <c r="F39" s="692"/>
      <c r="G39" s="692"/>
      <c r="H39" s="692"/>
      <c r="I39" s="266"/>
      <c r="J39" s="266"/>
      <c r="K39" s="266"/>
      <c r="L39" s="266"/>
      <c r="M39" s="266"/>
      <c r="N39" s="266"/>
      <c r="O39" s="330"/>
      <c r="P39" s="281"/>
      <c r="Q39" s="707"/>
      <c r="R39" s="266"/>
      <c r="S39" s="269"/>
      <c r="T39" s="266"/>
      <c r="U39" s="280"/>
      <c r="V39" s="280"/>
      <c r="W39" s="280"/>
      <c r="X39" s="280"/>
      <c r="Y39" s="1179"/>
      <c r="Z39" s="280" t="s">
        <v>1198</v>
      </c>
      <c r="AA39" s="1198" t="s">
        <v>1185</v>
      </c>
      <c r="AB39" s="280" t="s">
        <v>1152</v>
      </c>
      <c r="AC39" s="1179" t="s">
        <v>1184</v>
      </c>
      <c r="AD39" s="1198" t="s">
        <v>1200</v>
      </c>
      <c r="AE39" s="280"/>
      <c r="AF39" s="1198" t="s">
        <v>1185</v>
      </c>
      <c r="AG39" s="280"/>
      <c r="AH39" s="215"/>
    </row>
    <row r="40" spans="1:40" x14ac:dyDescent="0.2">
      <c r="A40" s="265" t="s">
        <v>5</v>
      </c>
      <c r="B40" s="274">
        <f>B34-B37</f>
        <v>-112539.35699999999</v>
      </c>
      <c r="C40" s="810" t="s">
        <v>1176</v>
      </c>
      <c r="D40" s="269"/>
      <c r="E40" s="810"/>
      <c r="F40" s="269"/>
      <c r="G40" s="269"/>
      <c r="H40" s="269"/>
      <c r="I40" s="269"/>
      <c r="J40" s="269" t="s">
        <v>172</v>
      </c>
      <c r="K40" s="269"/>
      <c r="L40" s="568"/>
      <c r="M40" s="281"/>
      <c r="N40" s="281"/>
      <c r="O40" s="269"/>
      <c r="P40" s="281"/>
      <c r="Q40" s="1199" t="s">
        <v>1185</v>
      </c>
      <c r="R40" s="269"/>
      <c r="S40" s="281"/>
      <c r="T40" s="281"/>
      <c r="U40" s="281"/>
      <c r="V40" s="707" t="s">
        <v>1185</v>
      </c>
      <c r="W40" s="281"/>
      <c r="X40" s="1202" t="s">
        <v>1204</v>
      </c>
      <c r="Y40" s="281"/>
      <c r="Z40" s="281" t="s">
        <v>1205</v>
      </c>
      <c r="AA40" s="407"/>
      <c r="AB40" s="281"/>
      <c r="AC40" s="1140"/>
      <c r="AD40" s="1141"/>
      <c r="AE40" s="407"/>
      <c r="AF40" s="281"/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C44+C45+C48+C52+C51+C49+C50+C46+C47+C53</f>
        <v>0</v>
      </c>
      <c r="D43" s="288">
        <f t="shared" ref="D43:AG43" si="10">D44+D45+D48+D52+D51+D49+D50+D46+D47+D53</f>
        <v>4642.1520000000019</v>
      </c>
      <c r="E43" s="288">
        <f t="shared" si="10"/>
        <v>0.24899999999979627</v>
      </c>
      <c r="F43" s="288">
        <f t="shared" si="10"/>
        <v>0</v>
      </c>
      <c r="G43" s="288">
        <f t="shared" si="10"/>
        <v>6530.893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0</v>
      </c>
      <c r="M43" s="288">
        <f t="shared" si="10"/>
        <v>0</v>
      </c>
      <c r="N43" s="288">
        <f t="shared" si="10"/>
        <v>0</v>
      </c>
      <c r="O43" s="288">
        <f t="shared" si="10"/>
        <v>0</v>
      </c>
      <c r="P43" s="288">
        <f t="shared" si="10"/>
        <v>0</v>
      </c>
      <c r="Q43" s="288">
        <f t="shared" si="10"/>
        <v>0.30099999999947613</v>
      </c>
      <c r="R43" s="288">
        <f t="shared" si="10"/>
        <v>0</v>
      </c>
      <c r="S43" s="288">
        <f t="shared" si="10"/>
        <v>0</v>
      </c>
      <c r="T43" s="288">
        <f t="shared" si="10"/>
        <v>-5.8000000000902219E-2</v>
      </c>
      <c r="U43" s="288">
        <f t="shared" si="10"/>
        <v>0</v>
      </c>
      <c r="V43" s="288">
        <f t="shared" si="10"/>
        <v>-0.44200000000273576</v>
      </c>
      <c r="W43" s="288">
        <f t="shared" si="10"/>
        <v>-0.38100000000054024</v>
      </c>
      <c r="X43" s="288">
        <f t="shared" si="10"/>
        <v>-0.23900000000139698</v>
      </c>
      <c r="Y43" s="288">
        <f t="shared" si="10"/>
        <v>0.20599999999922147</v>
      </c>
      <c r="Z43" s="288">
        <f t="shared" si="10"/>
        <v>-0.86400000000139698</v>
      </c>
      <c r="AA43" s="288">
        <f t="shared" si="10"/>
        <v>3.500000000349246E-2</v>
      </c>
      <c r="AB43" s="288">
        <f t="shared" si="10"/>
        <v>35883.409</v>
      </c>
      <c r="AC43" s="288">
        <f t="shared" si="10"/>
        <v>0.31999999999970896</v>
      </c>
      <c r="AD43" s="288">
        <f t="shared" si="10"/>
        <v>0.24499999999898137</v>
      </c>
      <c r="AE43" s="288">
        <f t="shared" si="10"/>
        <v>-0.46900000000096043</v>
      </c>
      <c r="AF43" s="288">
        <f t="shared" si="10"/>
        <v>9020.1250000000146</v>
      </c>
      <c r="AG43" s="288">
        <f t="shared" si="10"/>
        <v>0</v>
      </c>
      <c r="AH43" s="286">
        <f t="shared" si="9"/>
        <v>56075.482000000018</v>
      </c>
    </row>
    <row r="44" spans="1:40" x14ac:dyDescent="0.2">
      <c r="A44" s="287" t="s">
        <v>8</v>
      </c>
      <c r="B44" s="266"/>
      <c r="C44" s="289">
        <f>6084.646-6084.646</f>
        <v>0</v>
      </c>
      <c r="D44" s="290">
        <f>3935+1098.874+5250+3544.367+8200-3935.873-8200-5250</f>
        <v>4642.3680000000022</v>
      </c>
      <c r="E44" s="291">
        <f>6000.751-6000.751</f>
        <v>0</v>
      </c>
      <c r="F44" s="290"/>
      <c r="G44" s="295">
        <f>12721-5900-290.107</f>
        <v>6530.893</v>
      </c>
      <c r="H44" s="290"/>
      <c r="I44" s="290">
        <v>20750</v>
      </c>
      <c r="J44" s="290"/>
      <c r="K44" s="290"/>
      <c r="L44" s="295"/>
      <c r="M44" s="292"/>
      <c r="N44" s="292"/>
      <c r="O44" s="295">
        <v>20780</v>
      </c>
      <c r="P44" s="292"/>
      <c r="Q44" s="295">
        <f>39146-6906.131-9709.124</f>
        <v>22530.744999999999</v>
      </c>
      <c r="R44" s="295"/>
      <c r="S44" s="295"/>
      <c r="T44" s="295"/>
      <c r="U44" s="581">
        <f>20860</f>
        <v>20860</v>
      </c>
      <c r="V44" s="295">
        <f>34136</f>
        <v>34136</v>
      </c>
      <c r="W44" s="295">
        <f>9819-1519.262-8300</f>
        <v>-0.26200000000062573</v>
      </c>
      <c r="X44" s="295"/>
      <c r="Y44" s="581">
        <f>26950+26695.831-26695.831-26950</f>
        <v>0</v>
      </c>
      <c r="Z44" s="295">
        <f>8400+6620.427+895.086-8400-6620.427-895.086</f>
        <v>0</v>
      </c>
      <c r="AA44" s="295">
        <f>59680+8682.249-8682.249-10800-9200</f>
        <v>39680</v>
      </c>
      <c r="AB44" s="295"/>
      <c r="AC44" s="581">
        <f>17250+6618.55-6618.55-9100-8149.334</f>
        <v>0.66600000000016735</v>
      </c>
      <c r="AD44" s="295">
        <f>33007</f>
        <v>33007</v>
      </c>
      <c r="AE44" s="295"/>
      <c r="AF44" s="295">
        <f>128291+4668.182+9120.324+7600+6522.204+5982.49+5859.492+10600+7650-7600-5200-9120.324-6522.204-10600-5859.492-2562.976-20000-3109.548-5000-7650-8500-9577.697-9800-6889.313</f>
        <v>68302.138000000006</v>
      </c>
      <c r="AG44" s="295"/>
      <c r="AH44" s="286">
        <f t="shared" si="9"/>
        <v>271219.54800000001</v>
      </c>
      <c r="AN44" s="25">
        <v>9918.1650000000009</v>
      </c>
    </row>
    <row r="45" spans="1:40" x14ac:dyDescent="0.2">
      <c r="A45" s="287" t="s">
        <v>703</v>
      </c>
      <c r="B45" s="266"/>
      <c r="C45" s="291"/>
      <c r="D45" s="290">
        <f>26852-2353.216</f>
        <v>24498.784</v>
      </c>
      <c r="E45" s="291">
        <v>6001</v>
      </c>
      <c r="F45" s="290"/>
      <c r="G45" s="290"/>
      <c r="H45" s="290"/>
      <c r="I45" s="290"/>
      <c r="J45" s="290"/>
      <c r="K45" s="290"/>
      <c r="L45" s="295"/>
      <c r="M45" s="290"/>
      <c r="N45" s="290"/>
      <c r="O45" s="295"/>
      <c r="P45" s="292"/>
      <c r="Q45" s="1187">
        <f>32435-3661.891-7260-4228.497-5400-463.657-5284.563-685.785</f>
        <v>5450.6070000000018</v>
      </c>
      <c r="R45" s="1187">
        <v>24700</v>
      </c>
      <c r="S45" s="295"/>
      <c r="T45" s="1187">
        <f>25500-918.336</f>
        <v>24581.664000000001</v>
      </c>
      <c r="U45" s="295"/>
      <c r="V45" s="295">
        <f>39536-8000-3753.261-5010.949-638.002-2881.182-802.9-4150-238.048</f>
        <v>14061.657999999998</v>
      </c>
      <c r="W45" s="295">
        <f>1233-1233.119</f>
        <v>-0.11899999999991451</v>
      </c>
      <c r="X45" s="295">
        <f>12484-2836.806-397.433</f>
        <v>9249.7609999999986</v>
      </c>
      <c r="Y45" s="295">
        <f>10396-1341.754-2303.423-1324.964</f>
        <v>5425.8589999999995</v>
      </c>
      <c r="Z45" s="295">
        <f>32634-3314.811-3746.872-1733.379</f>
        <v>23838.937999999998</v>
      </c>
      <c r="AA45" s="295">
        <f>43191-1282.924-2189.251-1263.603-3855.187</f>
        <v>34600.034999999996</v>
      </c>
      <c r="AB45" s="295">
        <f>26370-3948.356-1512.252-4461.465-2555.605</f>
        <v>13892.322</v>
      </c>
      <c r="AC45" s="295">
        <f>40175-2253.024-7252.363-2168.062-4239.068-3812.829</f>
        <v>20449.653999999999</v>
      </c>
      <c r="AD45" s="295">
        <f>14641-1030.265-5996.742-2163.982</f>
        <v>5450.0110000000004</v>
      </c>
      <c r="AE45" s="295">
        <f>29581-1071.469</f>
        <v>28509.530999999999</v>
      </c>
      <c r="AF45" s="295">
        <f>90362-4111.908-4670.01-5914.516-3935.196-1945.179-510.85-3722.306-2853.127-3178.897-1744.45-2929.859</f>
        <v>54845.702000000012</v>
      </c>
      <c r="AG45" s="295"/>
      <c r="AH45" s="286">
        <f>SUM(C45:AG45)</f>
        <v>295555.40700000001</v>
      </c>
      <c r="AI45" s="42">
        <f>+AH45+AH44</f>
        <v>566774.95500000007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1136"/>
      <c r="F46" s="1137"/>
      <c r="G46" s="1137"/>
      <c r="H46" s="1137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86">
        <f t="shared" si="9"/>
        <v>0</v>
      </c>
      <c r="AN46" s="25"/>
    </row>
    <row r="47" spans="1:40" x14ac:dyDescent="0.2">
      <c r="A47" s="287" t="s">
        <v>705</v>
      </c>
      <c r="B47" s="266"/>
      <c r="C47" s="291"/>
      <c r="D47" s="1057">
        <v>-24499</v>
      </c>
      <c r="E47" s="1151">
        <v>-6000.7510000000002</v>
      </c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2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86">
        <f t="shared" si="9"/>
        <v>-30499.751</v>
      </c>
      <c r="AN47" s="25"/>
    </row>
    <row r="48" spans="1:40" s="360" customFormat="1" x14ac:dyDescent="0.2">
      <c r="A48" s="662" t="s">
        <v>10</v>
      </c>
      <c r="B48" s="663"/>
      <c r="C48" s="664"/>
      <c r="D48" s="380"/>
      <c r="E48" s="664"/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560"/>
      <c r="Q48" s="380"/>
      <c r="R48" s="380"/>
      <c r="S48" s="380"/>
      <c r="T48" s="380"/>
      <c r="U48" s="380"/>
      <c r="V48" s="665"/>
      <c r="W48" s="380"/>
      <c r="X48" s="380">
        <v>-9250</v>
      </c>
      <c r="Y48" s="380"/>
      <c r="Z48" s="380">
        <f>-7250-8020</f>
        <v>-15270</v>
      </c>
      <c r="AA48" s="560"/>
      <c r="AB48" s="380">
        <f>140142-26950-26695.831-6618.55-11150-11200-8682.249-48845</f>
        <v>0.36999999999534339</v>
      </c>
      <c r="AC48" s="708"/>
      <c r="AD48" s="811"/>
      <c r="AE48" s="380"/>
      <c r="AF48" s="380"/>
      <c r="AG48" s="380"/>
      <c r="AH48" s="379">
        <f t="shared" si="9"/>
        <v>-24519.630000000005</v>
      </c>
      <c r="AI48" s="666"/>
      <c r="AN48" s="667">
        <v>6347.85</v>
      </c>
    </row>
    <row r="49" spans="1:40" s="360" customFormat="1" x14ac:dyDescent="0.2">
      <c r="A49" s="662" t="s">
        <v>356</v>
      </c>
      <c r="B49" s="668"/>
      <c r="C49" s="565"/>
      <c r="D49" s="380"/>
      <c r="E49" s="565"/>
      <c r="F49" s="560"/>
      <c r="G49" s="560"/>
      <c r="H49" s="560"/>
      <c r="I49" s="560"/>
      <c r="J49" s="560"/>
      <c r="K49" s="560"/>
      <c r="L49" s="560"/>
      <c r="M49" s="560"/>
      <c r="N49" s="380"/>
      <c r="O49" s="560"/>
      <c r="P49" s="560"/>
      <c r="Q49" s="708">
        <v>-11930</v>
      </c>
      <c r="R49" s="560"/>
      <c r="S49" s="560"/>
      <c r="T49" s="560"/>
      <c r="U49" s="560"/>
      <c r="V49" s="708">
        <v>-11950</v>
      </c>
      <c r="W49" s="560"/>
      <c r="X49" s="560"/>
      <c r="Y49" s="560"/>
      <c r="Z49" s="560"/>
      <c r="AA49" s="708">
        <v>-12000</v>
      </c>
      <c r="AB49" s="380">
        <v>35883</v>
      </c>
      <c r="AC49" s="560"/>
      <c r="AD49" s="708">
        <v>-12136.766</v>
      </c>
      <c r="AE49" s="560"/>
      <c r="AF49" s="708">
        <v>-11900</v>
      </c>
      <c r="AG49" s="560"/>
      <c r="AH49" s="379">
        <f t="shared" si="9"/>
        <v>-24033.766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>
        <f>15290-3168.712-12121.09</f>
        <v>0.19800000000032014</v>
      </c>
      <c r="AA50" s="292"/>
      <c r="AB50" s="292"/>
      <c r="AC50" s="292"/>
      <c r="AD50" s="292"/>
      <c r="AE50" s="292"/>
      <c r="AF50" s="290"/>
      <c r="AG50" s="290"/>
      <c r="AH50" s="286">
        <f t="shared" si="9"/>
        <v>0.19800000000032014</v>
      </c>
      <c r="AN50" s="25">
        <v>2246.556</v>
      </c>
    </row>
    <row r="51" spans="1:40" x14ac:dyDescent="0.2">
      <c r="A51" s="287" t="s">
        <v>41</v>
      </c>
      <c r="B51" s="266"/>
      <c r="C51" s="289"/>
      <c r="D51" s="291"/>
      <c r="E51" s="362"/>
      <c r="F51" s="290"/>
      <c r="G51" s="295"/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1145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>
        <f>3693.018+5326.909</f>
        <v>9019.9269999999997</v>
      </c>
      <c r="AG51" s="290"/>
      <c r="AH51" s="286">
        <f t="shared" si="9"/>
        <v>9019.9269999999997</v>
      </c>
      <c r="AN51" s="25"/>
    </row>
    <row r="52" spans="1:40" x14ac:dyDescent="0.2">
      <c r="A52" s="287" t="s">
        <v>11</v>
      </c>
      <c r="B52" s="266"/>
      <c r="C52" s="289"/>
      <c r="D52" s="289"/>
      <c r="E52" s="289"/>
      <c r="F52" s="754"/>
      <c r="G52" s="292"/>
      <c r="H52" s="292"/>
      <c r="I52" s="292"/>
      <c r="J52" s="754"/>
      <c r="K52" s="292"/>
      <c r="L52" s="292"/>
      <c r="M52" s="1061"/>
      <c r="N52" s="754"/>
      <c r="O52" s="1061"/>
      <c r="P52" s="292"/>
      <c r="Q52" s="1188">
        <v>-5451.0510000000004</v>
      </c>
      <c r="R52" s="1188">
        <v>-24700</v>
      </c>
      <c r="S52" s="1188"/>
      <c r="T52" s="1188">
        <v>-24581.722000000002</v>
      </c>
      <c r="U52" s="292"/>
      <c r="V52" s="455">
        <f>-7275.012-6786.984</f>
        <v>-14061.995999999999</v>
      </c>
      <c r="W52" s="1061"/>
      <c r="X52" s="292"/>
      <c r="Y52" s="292">
        <v>-5425.6530000000002</v>
      </c>
      <c r="Z52" s="292">
        <v>-8570</v>
      </c>
      <c r="AA52" s="1189">
        <f>-20400-5000-9200</f>
        <v>-34600</v>
      </c>
      <c r="AB52" s="1062">
        <f>-5350-8542.283</f>
        <v>-13892.282999999999</v>
      </c>
      <c r="AC52" s="1189">
        <v>-20450</v>
      </c>
      <c r="AD52" s="295">
        <v>-5450</v>
      </c>
      <c r="AE52" s="1188">
        <f>-20460-8050</f>
        <v>-28510</v>
      </c>
      <c r="AF52" s="1061">
        <f>-7984.602-4576.895-9263.404-5333.199-9391.399-4116.475-5338.991-8841.1</f>
        <v>-54846.064999999995</v>
      </c>
      <c r="AG52" s="292"/>
      <c r="AH52" s="286">
        <f t="shared" si="9"/>
        <v>-240538.77000000002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>
        <v>-20750</v>
      </c>
      <c r="J53" s="290"/>
      <c r="K53" s="290"/>
      <c r="L53" s="290"/>
      <c r="M53" s="290"/>
      <c r="N53" s="290"/>
      <c r="O53" s="290">
        <v>-20780</v>
      </c>
      <c r="P53" s="292"/>
      <c r="Q53" s="290">
        <v>-10600</v>
      </c>
      <c r="R53" s="290"/>
      <c r="S53" s="290"/>
      <c r="T53" s="290"/>
      <c r="U53" s="290">
        <v>-20860</v>
      </c>
      <c r="V53" s="290">
        <f>-5886.104-10500-5800</f>
        <v>-22186.103999999999</v>
      </c>
      <c r="W53" s="290"/>
      <c r="X53" s="290"/>
      <c r="Y53" s="290"/>
      <c r="Z53" s="290"/>
      <c r="AA53" s="290">
        <f>-20790-6890</f>
        <v>-27680</v>
      </c>
      <c r="AB53" s="295"/>
      <c r="AC53" s="295"/>
      <c r="AD53" s="290">
        <v>-20870</v>
      </c>
      <c r="AE53" s="290"/>
      <c r="AF53" s="290">
        <f>-9800-20544.547-11783.787-5793.846-8479.397</f>
        <v>-56401.577000000005</v>
      </c>
      <c r="AG53" s="290"/>
      <c r="AH53" s="286">
        <f t="shared" si="9"/>
        <v>-200127.68099999998</v>
      </c>
      <c r="AI53" s="42"/>
      <c r="AJ53" s="360"/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/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865">
        <f t="shared" si="11"/>
        <v>0</v>
      </c>
      <c r="N55" s="865">
        <f t="shared" si="11"/>
        <v>0</v>
      </c>
      <c r="O55" s="865">
        <f t="shared" si="11"/>
        <v>0</v>
      </c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>S56</f>
        <v>0</v>
      </c>
      <c r="T55" s="288">
        <f>T56</f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N56" s="25">
        <v>673.17700000000002</v>
      </c>
    </row>
    <row r="57" spans="1:40" x14ac:dyDescent="0.2">
      <c r="A57" s="287" t="s">
        <v>215</v>
      </c>
      <c r="B57" s="266"/>
      <c r="C57" s="289">
        <v>10531</v>
      </c>
      <c r="D57" s="291">
        <v>6931</v>
      </c>
      <c r="E57" s="362">
        <v>3014</v>
      </c>
      <c r="F57" s="290">
        <v>2879</v>
      </c>
      <c r="G57" s="295">
        <v>10585</v>
      </c>
      <c r="H57" s="292">
        <v>5218</v>
      </c>
      <c r="I57" s="290">
        <v>800</v>
      </c>
      <c r="J57" s="290">
        <v>5179</v>
      </c>
      <c r="K57" s="290">
        <v>2655</v>
      </c>
      <c r="L57" s="290">
        <v>9612</v>
      </c>
      <c r="M57" s="290">
        <v>8507</v>
      </c>
      <c r="N57" s="290">
        <v>19770</v>
      </c>
      <c r="O57" s="290">
        <v>6306</v>
      </c>
      <c r="P57" s="292">
        <v>5416</v>
      </c>
      <c r="Q57" s="290">
        <v>37635</v>
      </c>
      <c r="R57" s="290">
        <v>2880</v>
      </c>
      <c r="S57" s="290">
        <v>9429</v>
      </c>
      <c r="T57" s="290">
        <v>9818</v>
      </c>
      <c r="U57" s="290">
        <v>10133</v>
      </c>
      <c r="V57" s="290">
        <v>20593</v>
      </c>
      <c r="W57" s="290">
        <v>1890</v>
      </c>
      <c r="X57" s="290"/>
      <c r="Y57" s="290">
        <v>2963</v>
      </c>
      <c r="Z57" s="290">
        <v>10088</v>
      </c>
      <c r="AA57" s="292">
        <v>12247</v>
      </c>
      <c r="AB57" s="290">
        <v>12041</v>
      </c>
      <c r="AC57" s="290">
        <v>6451</v>
      </c>
      <c r="AD57" s="290">
        <v>3744</v>
      </c>
      <c r="AE57" s="290">
        <v>1000</v>
      </c>
      <c r="AF57" s="290">
        <v>89019</v>
      </c>
      <c r="AG57" s="290"/>
      <c r="AH57" s="286">
        <f t="shared" si="9"/>
        <v>327334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J59">
        <f>18755+17890+17700+17800</f>
        <v>72145</v>
      </c>
      <c r="AN59" s="25">
        <v>1850.7819999999999</v>
      </c>
    </row>
    <row r="60" spans="1:40" x14ac:dyDescent="0.2">
      <c r="A60" s="287" t="s">
        <v>915</v>
      </c>
      <c r="B60" s="266"/>
      <c r="C60" s="300">
        <f>C55-C43</f>
        <v>0</v>
      </c>
      <c r="D60" s="300">
        <f t="shared" ref="D60:AG60" si="12">D55-D43</f>
        <v>-4642.1520000000019</v>
      </c>
      <c r="E60" s="300">
        <f t="shared" si="12"/>
        <v>-0.24899999999979627</v>
      </c>
      <c r="F60" s="300">
        <f t="shared" si="12"/>
        <v>0</v>
      </c>
      <c r="G60" s="300">
        <f t="shared" si="12"/>
        <v>-6530.893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0</v>
      </c>
      <c r="M60" s="300">
        <f t="shared" si="12"/>
        <v>0</v>
      </c>
      <c r="N60" s="300">
        <f t="shared" si="12"/>
        <v>0</v>
      </c>
      <c r="O60" s="300">
        <f t="shared" si="12"/>
        <v>0</v>
      </c>
      <c r="P60" s="867">
        <f t="shared" si="12"/>
        <v>0</v>
      </c>
      <c r="Q60" s="300">
        <f t="shared" si="12"/>
        <v>-0.30099999999947613</v>
      </c>
      <c r="R60" s="300">
        <f>R55-R43</f>
        <v>0</v>
      </c>
      <c r="S60" s="300">
        <f>S55-S43</f>
        <v>0</v>
      </c>
      <c r="T60" s="300">
        <f t="shared" si="12"/>
        <v>5.8000000000902219E-2</v>
      </c>
      <c r="U60" s="300">
        <f t="shared" si="12"/>
        <v>0</v>
      </c>
      <c r="V60" s="300">
        <f t="shared" si="12"/>
        <v>0.44200000000273576</v>
      </c>
      <c r="W60" s="300">
        <f t="shared" si="12"/>
        <v>0.38100000000054024</v>
      </c>
      <c r="X60" s="300">
        <f t="shared" si="12"/>
        <v>0.23900000000139698</v>
      </c>
      <c r="Y60" s="300">
        <f t="shared" si="12"/>
        <v>-0.20599999999922147</v>
      </c>
      <c r="Z60" s="300">
        <f t="shared" si="12"/>
        <v>0.86400000000139698</v>
      </c>
      <c r="AA60" s="300">
        <f t="shared" si="12"/>
        <v>-3.500000000349246E-2</v>
      </c>
      <c r="AB60" s="300">
        <f t="shared" si="12"/>
        <v>-35883.409</v>
      </c>
      <c r="AC60" s="300">
        <f t="shared" si="12"/>
        <v>-0.31999999999970896</v>
      </c>
      <c r="AD60" s="300">
        <f t="shared" si="12"/>
        <v>-0.24499999999898137</v>
      </c>
      <c r="AE60" s="300">
        <f t="shared" si="12"/>
        <v>0.46900000000096043</v>
      </c>
      <c r="AF60" s="300">
        <f t="shared" si="12"/>
        <v>-9020.1250000000146</v>
      </c>
      <c r="AG60" s="300">
        <f t="shared" si="12"/>
        <v>0</v>
      </c>
      <c r="AH60" s="215"/>
      <c r="AJ60">
        <f>AJ59+67000</f>
        <v>139145</v>
      </c>
      <c r="AL60" s="42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-112539.35699999999</v>
      </c>
      <c r="D63" s="291">
        <f>C70+D60</f>
        <v>-117181.50899999999</v>
      </c>
      <c r="E63" s="291">
        <f t="shared" ref="E63:AG63" si="13">D70+E60</f>
        <v>-117181.75799999999</v>
      </c>
      <c r="F63" s="291">
        <f t="shared" si="13"/>
        <v>-117181.75799999999</v>
      </c>
      <c r="G63" s="291">
        <f t="shared" si="13"/>
        <v>-123712.65099999998</v>
      </c>
      <c r="H63" s="291">
        <f t="shared" si="13"/>
        <v>-123712.65099999998</v>
      </c>
      <c r="I63" s="291">
        <f t="shared" si="13"/>
        <v>-123712.65099999998</v>
      </c>
      <c r="J63" s="291">
        <f t="shared" si="13"/>
        <v>-123712.65099999998</v>
      </c>
      <c r="K63" s="291">
        <f t="shared" si="13"/>
        <v>-123712.65099999998</v>
      </c>
      <c r="L63" s="291">
        <f t="shared" si="13"/>
        <v>-123712.65099999998</v>
      </c>
      <c r="M63" s="291">
        <f t="shared" si="13"/>
        <v>-123712.65099999998</v>
      </c>
      <c r="N63" s="291">
        <f t="shared" si="13"/>
        <v>-123712.65099999998</v>
      </c>
      <c r="O63" s="291">
        <f t="shared" si="13"/>
        <v>-123712.65099999998</v>
      </c>
      <c r="P63" s="289">
        <f>O70+P60</f>
        <v>-123712.65099999998</v>
      </c>
      <c r="Q63" s="291">
        <f t="shared" si="13"/>
        <v>-123712.95199999999</v>
      </c>
      <c r="R63" s="291">
        <f t="shared" si="13"/>
        <v>-123712.95199999999</v>
      </c>
      <c r="S63" s="291">
        <f>R70+S60</f>
        <v>-123712.95199999999</v>
      </c>
      <c r="T63" s="291">
        <f>S70+T60</f>
        <v>-123712.89399999999</v>
      </c>
      <c r="U63" s="291">
        <f t="shared" si="13"/>
        <v>-123712.89399999999</v>
      </c>
      <c r="V63" s="291">
        <f t="shared" si="13"/>
        <v>-123712.45199999999</v>
      </c>
      <c r="W63" s="291">
        <f t="shared" si="13"/>
        <v>-123712.071</v>
      </c>
      <c r="X63" s="291">
        <f t="shared" si="13"/>
        <v>-123711.83199999999</v>
      </c>
      <c r="Y63" s="291">
        <f t="shared" si="13"/>
        <v>-123712.038</v>
      </c>
      <c r="Z63" s="291">
        <f t="shared" si="13"/>
        <v>-123711.174</v>
      </c>
      <c r="AA63" s="291">
        <f t="shared" si="13"/>
        <v>-123711.209</v>
      </c>
      <c r="AB63" s="291">
        <f t="shared" si="13"/>
        <v>-159594.61800000002</v>
      </c>
      <c r="AC63" s="291">
        <f t="shared" si="13"/>
        <v>-159594.93800000002</v>
      </c>
      <c r="AD63" s="291">
        <f t="shared" si="13"/>
        <v>-159595.18300000002</v>
      </c>
      <c r="AE63" s="291">
        <f t="shared" si="13"/>
        <v>-159594.71400000001</v>
      </c>
      <c r="AF63" s="291">
        <f t="shared" si="13"/>
        <v>-168614.83900000004</v>
      </c>
      <c r="AG63" s="291">
        <f t="shared" si="13"/>
        <v>-168614.83900000004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-112539.35699999999</v>
      </c>
      <c r="D70" s="291">
        <f t="shared" ref="D70:AG70" si="15">D63+D66+D67</f>
        <v>-117181.50899999999</v>
      </c>
      <c r="E70" s="291">
        <f t="shared" si="15"/>
        <v>-117181.75799999999</v>
      </c>
      <c r="F70" s="291">
        <f t="shared" si="15"/>
        <v>-117181.75799999999</v>
      </c>
      <c r="G70" s="291">
        <f t="shared" si="15"/>
        <v>-123712.65099999998</v>
      </c>
      <c r="H70" s="291">
        <f t="shared" si="15"/>
        <v>-123712.65099999998</v>
      </c>
      <c r="I70" s="291">
        <f t="shared" si="15"/>
        <v>-123712.65099999998</v>
      </c>
      <c r="J70" s="291">
        <f t="shared" si="15"/>
        <v>-123712.65099999998</v>
      </c>
      <c r="K70" s="291">
        <f t="shared" si="15"/>
        <v>-123712.65099999998</v>
      </c>
      <c r="L70" s="291">
        <f t="shared" si="15"/>
        <v>-123712.65099999998</v>
      </c>
      <c r="M70" s="291">
        <f t="shared" si="15"/>
        <v>-123712.65099999998</v>
      </c>
      <c r="N70" s="291">
        <f t="shared" si="15"/>
        <v>-123712.65099999998</v>
      </c>
      <c r="O70" s="291">
        <f t="shared" si="15"/>
        <v>-123712.65099999998</v>
      </c>
      <c r="P70" s="289">
        <f>P63+P66+P67</f>
        <v>-123712.65099999998</v>
      </c>
      <c r="Q70" s="291">
        <f t="shared" si="15"/>
        <v>-123712.95199999999</v>
      </c>
      <c r="R70" s="291">
        <f t="shared" si="15"/>
        <v>-123712.95199999999</v>
      </c>
      <c r="S70" s="291">
        <f>S63+S66+S67</f>
        <v>-123712.95199999999</v>
      </c>
      <c r="T70" s="291">
        <f t="shared" si="15"/>
        <v>-123712.89399999999</v>
      </c>
      <c r="U70" s="291">
        <f t="shared" si="15"/>
        <v>-123712.89399999999</v>
      </c>
      <c r="V70" s="291">
        <f t="shared" si="15"/>
        <v>-123712.45199999999</v>
      </c>
      <c r="W70" s="291">
        <f t="shared" si="15"/>
        <v>-123712.071</v>
      </c>
      <c r="X70" s="291">
        <f t="shared" si="15"/>
        <v>-123711.83199999999</v>
      </c>
      <c r="Y70" s="291">
        <f t="shared" si="15"/>
        <v>-123712.038</v>
      </c>
      <c r="Z70" s="291">
        <f t="shared" si="15"/>
        <v>-123711.174</v>
      </c>
      <c r="AA70" s="291">
        <f t="shared" si="15"/>
        <v>-123711.209</v>
      </c>
      <c r="AB70" s="291">
        <f t="shared" si="15"/>
        <v>-159594.61800000002</v>
      </c>
      <c r="AC70" s="291">
        <f t="shared" si="15"/>
        <v>-159594.93800000002</v>
      </c>
      <c r="AD70" s="291">
        <f t="shared" si="15"/>
        <v>-159595.18300000002</v>
      </c>
      <c r="AE70" s="291">
        <f t="shared" si="15"/>
        <v>-159594.71400000001</v>
      </c>
      <c r="AF70" s="291">
        <f t="shared" si="15"/>
        <v>-168614.83900000004</v>
      </c>
      <c r="AG70" s="291">
        <f t="shared" si="15"/>
        <v>-168614.83900000004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5"/>
      <c r="E74" s="290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3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>
        <f>AB51</f>
        <v>0</v>
      </c>
      <c r="AG74" s="295"/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SUM(C84:C121)</f>
        <v>15869.546999999999</v>
      </c>
      <c r="D82" s="286"/>
      <c r="E82" s="470"/>
      <c r="F82" s="286"/>
      <c r="G82" s="317"/>
      <c r="H82" s="315"/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/>
      <c r="G83" s="319"/>
      <c r="H83" s="215"/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>
        <v>42338</v>
      </c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42255</v>
      </c>
      <c r="C85" s="318"/>
      <c r="D85" s="309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42248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42248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42341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42335</v>
      </c>
      <c r="C89" s="323"/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42338</v>
      </c>
      <c r="C90" s="501"/>
      <c r="D90" s="323"/>
      <c r="E90" s="353"/>
      <c r="F90" s="215"/>
      <c r="G90" s="326"/>
      <c r="H90" s="215"/>
      <c r="I90" s="215"/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42333</v>
      </c>
      <c r="C91" s="325"/>
      <c r="D91" s="323"/>
      <c r="E91" s="323"/>
      <c r="F91" s="215"/>
      <c r="G91" s="326"/>
      <c r="H91" s="215"/>
      <c r="I91" s="215"/>
      <c r="J91" s="215"/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42331</v>
      </c>
      <c r="C92" s="325"/>
      <c r="D92" s="323"/>
      <c r="E92" s="323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42329</v>
      </c>
      <c r="C93" s="324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42330</v>
      </c>
      <c r="C94" s="324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42331</v>
      </c>
      <c r="C95" s="324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42333</v>
      </c>
      <c r="C96" s="324"/>
      <c r="D96" s="323"/>
      <c r="E96" s="323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>
        <v>42335</v>
      </c>
      <c r="C97" s="324"/>
      <c r="D97" s="323"/>
      <c r="E97" s="323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42325</v>
      </c>
      <c r="C98" s="1063">
        <v>4055.098</v>
      </c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42332</v>
      </c>
      <c r="C99" s="1063"/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42336</v>
      </c>
      <c r="C100" s="324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42337</v>
      </c>
      <c r="C101" s="324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42338</v>
      </c>
      <c r="C102" s="324">
        <f>3693.018+5326.909</f>
        <v>9019.9269999999997</v>
      </c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42324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42325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42320</v>
      </c>
      <c r="C105" s="324"/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42321</v>
      </c>
      <c r="C106" s="324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320">
        <v>42326</v>
      </c>
      <c r="C107" s="324"/>
      <c r="D107" s="323" t="s">
        <v>813</v>
      </c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 t="s">
        <v>436</v>
      </c>
      <c r="B108" s="320">
        <v>42248</v>
      </c>
      <c r="C108" s="325"/>
      <c r="D108" s="323"/>
      <c r="E108" s="215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</row>
    <row r="109" spans="1:42" x14ac:dyDescent="0.2">
      <c r="A109" s="327" t="s">
        <v>32</v>
      </c>
      <c r="B109" s="320">
        <v>42341</v>
      </c>
      <c r="C109" s="318"/>
      <c r="D109" s="323"/>
      <c r="E109" s="215"/>
      <c r="F109" s="215"/>
      <c r="G109" s="470"/>
      <c r="H109" s="323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>
        <v>222914.55799999999</v>
      </c>
    </row>
    <row r="110" spans="1:42" x14ac:dyDescent="0.2">
      <c r="A110" s="327" t="s">
        <v>33</v>
      </c>
      <c r="B110" s="320">
        <v>42335</v>
      </c>
      <c r="C110" s="318"/>
      <c r="D110" s="323"/>
      <c r="E110" s="318"/>
      <c r="F110" s="311"/>
      <c r="G110" s="215"/>
      <c r="H110" s="215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</row>
    <row r="111" spans="1:42" x14ac:dyDescent="0.2">
      <c r="A111" s="327" t="s">
        <v>33</v>
      </c>
      <c r="B111" s="320">
        <v>42333</v>
      </c>
      <c r="C111" s="318"/>
      <c r="D111" s="215"/>
      <c r="E111" s="320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  <c r="AN111" s="194">
        <f>AN109-AN93</f>
        <v>55537.753999999957</v>
      </c>
    </row>
    <row r="112" spans="1:42" x14ac:dyDescent="0.2">
      <c r="A112" s="327" t="s">
        <v>33</v>
      </c>
      <c r="B112" s="320">
        <v>42285</v>
      </c>
      <c r="C112" s="318"/>
      <c r="D112" s="215"/>
      <c r="E112" s="320"/>
      <c r="F112" s="311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</row>
    <row r="113" spans="1:34" x14ac:dyDescent="0.2">
      <c r="A113" s="327" t="s">
        <v>32</v>
      </c>
      <c r="B113" s="320">
        <v>42249</v>
      </c>
      <c r="C113" s="318"/>
      <c r="D113" s="215"/>
      <c r="E113" s="215"/>
      <c r="F113" s="215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1036</v>
      </c>
      <c r="B114" s="320">
        <v>42249</v>
      </c>
      <c r="C114" s="318"/>
      <c r="D114" s="215"/>
      <c r="E114" s="323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32</v>
      </c>
      <c r="B115" s="320">
        <v>42250</v>
      </c>
      <c r="C115" s="318"/>
      <c r="D115" s="323"/>
      <c r="E115" s="323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33</v>
      </c>
      <c r="B116" s="320">
        <v>42248</v>
      </c>
      <c r="C116" s="318"/>
      <c r="D116" s="215"/>
      <c r="E116" s="215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33</v>
      </c>
      <c r="B117" s="320">
        <v>42248</v>
      </c>
      <c r="C117" s="318"/>
      <c r="D117" s="215"/>
      <c r="E117" s="323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33</v>
      </c>
      <c r="B118" s="320">
        <v>42248</v>
      </c>
      <c r="C118" s="318"/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33</v>
      </c>
      <c r="B119" s="320">
        <v>42248</v>
      </c>
      <c r="C119" s="318"/>
      <c r="D119" s="215"/>
      <c r="E119" s="500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327" t="s">
        <v>33</v>
      </c>
      <c r="B120" s="320">
        <v>42331</v>
      </c>
      <c r="C120" s="316"/>
      <c r="D120" s="215"/>
      <c r="E120" s="323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310" t="s">
        <v>33</v>
      </c>
      <c r="B121" s="320">
        <v>42317</v>
      </c>
      <c r="C121" s="318">
        <v>2794.5219999999999</v>
      </c>
      <c r="D121" s="215"/>
      <c r="E121" s="215"/>
      <c r="F121" s="215"/>
      <c r="G121" s="323"/>
      <c r="H121" s="323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215"/>
      <c r="B122" s="320"/>
      <c r="C122" s="262"/>
      <c r="D122" s="215"/>
      <c r="E122" s="215"/>
      <c r="F122" s="215"/>
      <c r="G122" s="323"/>
      <c r="H122" s="215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15"/>
      <c r="D123" s="215"/>
      <c r="E123" s="215"/>
      <c r="F123" s="215"/>
      <c r="G123" s="215"/>
      <c r="H123" s="316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215"/>
      <c r="B124" s="320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310"/>
      <c r="B125" s="320"/>
      <c r="C125" s="262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310"/>
      <c r="B126" s="320"/>
      <c r="C126" s="262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ht="13.5" thickBot="1" x14ac:dyDescent="0.25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309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</row>
    <row r="132" spans="1:34" x14ac:dyDescent="0.2">
      <c r="A132" s="263"/>
      <c r="B132" s="264"/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860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15"/>
    </row>
    <row r="133" spans="1:34" x14ac:dyDescent="0.2">
      <c r="A133" s="265"/>
      <c r="B133" s="266" t="s">
        <v>37</v>
      </c>
      <c r="C133" s="266"/>
      <c r="D133" s="266"/>
      <c r="E133" s="267" t="s">
        <v>874</v>
      </c>
      <c r="F133" s="268" t="s">
        <v>95</v>
      </c>
      <c r="G133" s="269" t="s">
        <v>6</v>
      </c>
      <c r="H133" s="268"/>
      <c r="I133" s="268"/>
      <c r="J133" s="268"/>
      <c r="K133" s="268"/>
      <c r="L133" s="268"/>
      <c r="M133" s="268"/>
      <c r="N133" s="268"/>
      <c r="O133" s="268"/>
      <c r="P133" s="861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15"/>
    </row>
    <row r="134" spans="1:34" x14ac:dyDescent="0.2">
      <c r="A134" s="265"/>
      <c r="B134" s="266"/>
      <c r="C134" s="266"/>
      <c r="D134" s="268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79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C134" s="266"/>
      <c r="AD134" s="266"/>
      <c r="AE134" s="266"/>
      <c r="AF134" s="266"/>
      <c r="AG134" s="266"/>
      <c r="AH134" s="215"/>
    </row>
    <row r="135" spans="1:34" x14ac:dyDescent="0.2">
      <c r="A135" s="328"/>
      <c r="B135" s="266"/>
      <c r="C135" s="268"/>
      <c r="D135" s="268">
        <v>42353</v>
      </c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x14ac:dyDescent="0.2">
      <c r="A136" s="265"/>
      <c r="B136" s="266"/>
      <c r="C136" s="268"/>
      <c r="D136" s="268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ht="13.5" thickBot="1" x14ac:dyDescent="0.25">
      <c r="A137" s="265"/>
      <c r="B137" s="266"/>
      <c r="C137" s="266"/>
      <c r="D137" s="266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79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15"/>
    </row>
    <row r="138" spans="1:34" ht="13.5" thickBot="1" x14ac:dyDescent="0.25">
      <c r="A138" s="265"/>
      <c r="B138" s="266"/>
      <c r="C138" s="270"/>
      <c r="D138" s="271" t="s">
        <v>16</v>
      </c>
      <c r="E138" s="271"/>
      <c r="F138" s="271"/>
      <c r="G138" s="271"/>
      <c r="H138" s="271"/>
      <c r="I138" s="271"/>
      <c r="J138" s="271"/>
      <c r="K138" s="271"/>
      <c r="L138" s="271"/>
      <c r="M138" s="271"/>
      <c r="N138" s="271"/>
      <c r="O138" s="271"/>
      <c r="P138" s="862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15"/>
    </row>
    <row r="139" spans="1:34" ht="13.5" thickBot="1" x14ac:dyDescent="0.25">
      <c r="A139" s="265"/>
      <c r="B139" s="266"/>
      <c r="C139" s="272" t="s">
        <v>452</v>
      </c>
      <c r="D139" s="272" t="s">
        <v>453</v>
      </c>
      <c r="E139" s="272" t="s">
        <v>434</v>
      </c>
      <c r="F139" s="272" t="s">
        <v>390</v>
      </c>
      <c r="G139" s="272" t="s">
        <v>454</v>
      </c>
      <c r="H139" s="272" t="s">
        <v>455</v>
      </c>
      <c r="I139" s="272" t="s">
        <v>456</v>
      </c>
      <c r="J139" s="272" t="s">
        <v>457</v>
      </c>
      <c r="K139" s="272" t="s">
        <v>458</v>
      </c>
      <c r="L139" s="272" t="s">
        <v>216</v>
      </c>
      <c r="M139" s="272" t="s">
        <v>459</v>
      </c>
      <c r="N139" s="272" t="s">
        <v>297</v>
      </c>
      <c r="O139" s="272" t="s">
        <v>211</v>
      </c>
      <c r="P139" s="863" t="s">
        <v>270</v>
      </c>
      <c r="Q139" s="272">
        <v>15</v>
      </c>
      <c r="R139" s="272">
        <v>16</v>
      </c>
      <c r="S139" s="272" t="s">
        <v>461</v>
      </c>
      <c r="T139" s="272" t="s">
        <v>442</v>
      </c>
      <c r="U139" s="272" t="s">
        <v>462</v>
      </c>
      <c r="V139" s="272" t="s">
        <v>470</v>
      </c>
      <c r="W139" s="272" t="s">
        <v>471</v>
      </c>
      <c r="X139" s="272" t="s">
        <v>472</v>
      </c>
      <c r="Y139" s="272" t="s">
        <v>463</v>
      </c>
      <c r="Z139" s="272" t="s">
        <v>465</v>
      </c>
      <c r="AA139" s="272" t="s">
        <v>466</v>
      </c>
      <c r="AB139" s="272" t="s">
        <v>435</v>
      </c>
      <c r="AC139" s="272" t="s">
        <v>467</v>
      </c>
      <c r="AD139" s="272" t="s">
        <v>464</v>
      </c>
      <c r="AE139" s="272" t="s">
        <v>429</v>
      </c>
      <c r="AF139" s="272" t="s">
        <v>149</v>
      </c>
      <c r="AG139" s="272" t="s">
        <v>210</v>
      </c>
      <c r="AH139" s="215"/>
    </row>
    <row r="140" spans="1:34" x14ac:dyDescent="0.2">
      <c r="A140" s="263"/>
      <c r="B140" s="273"/>
      <c r="C140" s="266"/>
      <c r="D140" s="266"/>
      <c r="E140" s="266"/>
      <c r="F140" s="266"/>
      <c r="G140" s="266"/>
      <c r="H140" s="266"/>
      <c r="I140" s="266"/>
      <c r="J140" s="266"/>
      <c r="K140" s="266"/>
      <c r="L140" s="266"/>
      <c r="M140" s="266"/>
      <c r="N140" s="266"/>
      <c r="O140" s="266"/>
      <c r="P140" s="279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266"/>
      <c r="AE140" s="266"/>
      <c r="AF140" s="266"/>
      <c r="AG140" s="266"/>
      <c r="AH140" s="215"/>
    </row>
    <row r="141" spans="1:34" x14ac:dyDescent="0.2">
      <c r="A141" s="265" t="s">
        <v>0</v>
      </c>
      <c r="B141" s="274">
        <v>17154.382000000001</v>
      </c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ht="13.5" thickBot="1" x14ac:dyDescent="0.25">
      <c r="A142" s="275"/>
      <c r="B142" s="276"/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x14ac:dyDescent="0.2">
      <c r="A143" s="263"/>
      <c r="B143" s="278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5" t="s">
        <v>1</v>
      </c>
      <c r="B144" s="274">
        <f>B145+B146+B147</f>
        <v>0</v>
      </c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38</v>
      </c>
      <c r="B145" s="274">
        <f>C195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39</v>
      </c>
      <c r="B146" s="274">
        <f>C215</f>
        <v>0</v>
      </c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x14ac:dyDescent="0.2">
      <c r="A147" s="265" t="s">
        <v>3</v>
      </c>
      <c r="B147" s="274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ht="13.5" thickBot="1" x14ac:dyDescent="0.25">
      <c r="A148" s="275"/>
      <c r="B148" s="276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x14ac:dyDescent="0.2">
      <c r="A149" s="263"/>
      <c r="B149" s="278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x14ac:dyDescent="0.2">
      <c r="A150" s="265" t="s">
        <v>4</v>
      </c>
      <c r="B150" s="274">
        <f>B141+B144</f>
        <v>17154.382000000001</v>
      </c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ht="13.5" thickBot="1" x14ac:dyDescent="0.25">
      <c r="A151" s="275"/>
      <c r="B151" s="276"/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x14ac:dyDescent="0.2">
      <c r="A152" s="263"/>
      <c r="B152" s="278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ht="18" x14ac:dyDescent="0.25">
      <c r="A153" s="265" t="s">
        <v>17</v>
      </c>
      <c r="B153" s="274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1755"/>
      <c r="N153" s="1755"/>
      <c r="O153" s="1755"/>
      <c r="P153" s="1755"/>
      <c r="Q153" s="1755"/>
      <c r="R153" s="1755"/>
      <c r="S153" s="1755"/>
      <c r="T153" s="1755"/>
      <c r="U153" s="1755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ht="13.5" thickBot="1" x14ac:dyDescent="0.25">
      <c r="A154" s="275"/>
      <c r="B154" s="276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15"/>
    </row>
    <row r="155" spans="1:34" x14ac:dyDescent="0.2">
      <c r="A155" s="263"/>
      <c r="B155" s="278"/>
      <c r="C155" s="266"/>
      <c r="D155" s="802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79"/>
      <c r="Q155" s="266"/>
      <c r="R155" s="266"/>
      <c r="S155" s="266"/>
      <c r="T155" s="266"/>
      <c r="W155" s="266"/>
      <c r="X155" s="269" t="s">
        <v>1196</v>
      </c>
      <c r="Y155" s="266"/>
      <c r="AA155" s="266"/>
      <c r="AB155" s="266"/>
      <c r="AC155" s="802"/>
      <c r="AD155" s="266"/>
      <c r="AF155" s="266"/>
      <c r="AG155" s="266"/>
      <c r="AH155" s="215"/>
    </row>
    <row r="156" spans="1:34" x14ac:dyDescent="0.2">
      <c r="A156" s="265" t="s">
        <v>5</v>
      </c>
      <c r="B156" s="274">
        <f>B150-B153</f>
        <v>17154.382000000001</v>
      </c>
      <c r="C156" s="269"/>
      <c r="D156" s="802"/>
      <c r="E156" s="269"/>
      <c r="F156" s="269"/>
      <c r="G156" s="810"/>
      <c r="H156" s="269"/>
      <c r="I156" s="269"/>
      <c r="J156" s="266"/>
      <c r="K156" s="269"/>
      <c r="L156" s="707"/>
      <c r="M156" s="269"/>
      <c r="N156" s="266"/>
      <c r="O156" s="269"/>
      <c r="P156" s="281"/>
      <c r="Q156" s="269"/>
      <c r="R156" s="269"/>
      <c r="S156" s="269"/>
      <c r="T156" s="810"/>
      <c r="U156" s="269"/>
      <c r="V156" s="269"/>
      <c r="W156" s="269"/>
      <c r="X156" s="269"/>
      <c r="Y156" s="269"/>
      <c r="Z156" s="269"/>
      <c r="AA156" s="707"/>
      <c r="AB156" s="269" t="s">
        <v>477</v>
      </c>
      <c r="AC156" s="802"/>
      <c r="AD156" s="269"/>
      <c r="AF156" s="269"/>
      <c r="AG156" s="269"/>
      <c r="AH156" s="215"/>
    </row>
    <row r="157" spans="1:34" ht="13.5" thickBot="1" x14ac:dyDescent="0.25">
      <c r="A157" s="275"/>
      <c r="B157" s="276"/>
      <c r="C157" s="266"/>
      <c r="D157" s="266"/>
      <c r="E157" s="266"/>
      <c r="F157" s="266"/>
      <c r="G157" s="266"/>
      <c r="H157" s="266"/>
      <c r="I157" s="266"/>
      <c r="J157" s="266"/>
      <c r="K157" s="266"/>
      <c r="L157" s="266"/>
      <c r="M157" s="266"/>
      <c r="N157" s="266"/>
      <c r="O157" s="266"/>
      <c r="P157" s="281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15"/>
    </row>
    <row r="158" spans="1:34" x14ac:dyDescent="0.2">
      <c r="A158" s="282"/>
      <c r="B158" s="266"/>
      <c r="C158" s="283"/>
      <c r="D158" s="285"/>
      <c r="E158" s="285"/>
      <c r="F158" s="284"/>
      <c r="G158" s="284"/>
      <c r="H158" s="284"/>
      <c r="I158" s="284"/>
      <c r="J158" s="284"/>
      <c r="K158" s="284"/>
      <c r="L158" s="284"/>
      <c r="M158" s="284"/>
      <c r="N158" s="284"/>
      <c r="O158" s="284"/>
      <c r="P158" s="86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15"/>
    </row>
    <row r="159" spans="1:34" ht="13.5" thickBot="1" x14ac:dyDescent="0.25">
      <c r="A159" s="287" t="s">
        <v>7</v>
      </c>
      <c r="B159" s="266"/>
      <c r="C159" s="288">
        <f>C160+C161+C162+C166+C165+C163+C164</f>
        <v>0</v>
      </c>
      <c r="D159" s="288">
        <f t="shared" ref="D159:AE159" si="16">D160+D161+D162+D166+D165+D163+D164</f>
        <v>0</v>
      </c>
      <c r="E159" s="288">
        <f t="shared" si="16"/>
        <v>0</v>
      </c>
      <c r="F159" s="288">
        <f t="shared" si="16"/>
        <v>0</v>
      </c>
      <c r="G159" s="288">
        <f t="shared" si="16"/>
        <v>0</v>
      </c>
      <c r="H159" s="288">
        <f t="shared" si="16"/>
        <v>0</v>
      </c>
      <c r="I159" s="288">
        <f t="shared" si="16"/>
        <v>0</v>
      </c>
      <c r="J159" s="288">
        <f t="shared" si="16"/>
        <v>0</v>
      </c>
      <c r="K159" s="288">
        <f t="shared" si="16"/>
        <v>0</v>
      </c>
      <c r="L159" s="288">
        <f t="shared" si="16"/>
        <v>0</v>
      </c>
      <c r="M159" s="288">
        <f t="shared" si="16"/>
        <v>0</v>
      </c>
      <c r="N159" s="288">
        <f t="shared" si="16"/>
        <v>0</v>
      </c>
      <c r="O159" s="288">
        <f t="shared" si="16"/>
        <v>0</v>
      </c>
      <c r="P159" s="865">
        <f t="shared" si="16"/>
        <v>0</v>
      </c>
      <c r="Q159" s="288">
        <f t="shared" si="16"/>
        <v>0</v>
      </c>
      <c r="R159" s="288">
        <f t="shared" si="16"/>
        <v>0</v>
      </c>
      <c r="S159" s="288">
        <f t="shared" si="16"/>
        <v>0</v>
      </c>
      <c r="T159" s="288">
        <f t="shared" si="16"/>
        <v>0</v>
      </c>
      <c r="U159" s="288">
        <f t="shared" si="16"/>
        <v>0</v>
      </c>
      <c r="V159" s="288">
        <f t="shared" si="16"/>
        <v>0</v>
      </c>
      <c r="W159" s="288">
        <f t="shared" si="16"/>
        <v>0</v>
      </c>
      <c r="X159" s="288">
        <f t="shared" si="16"/>
        <v>14000</v>
      </c>
      <c r="Y159" s="288">
        <f t="shared" si="16"/>
        <v>0</v>
      </c>
      <c r="Z159" s="288">
        <f t="shared" si="16"/>
        <v>0</v>
      </c>
      <c r="AA159" s="288">
        <f t="shared" si="16"/>
        <v>0</v>
      </c>
      <c r="AB159" s="288">
        <f t="shared" si="16"/>
        <v>0</v>
      </c>
      <c r="AC159" s="288">
        <f t="shared" si="16"/>
        <v>0</v>
      </c>
      <c r="AD159" s="288">
        <f t="shared" si="16"/>
        <v>0</v>
      </c>
      <c r="AE159" s="288">
        <f t="shared" si="16"/>
        <v>0</v>
      </c>
      <c r="AF159" s="288">
        <f>AF160+AF161+AF162+AF166+AF165+AF163+AF164</f>
        <v>0</v>
      </c>
      <c r="AG159" s="288">
        <f>AG160+AG161+AG162+AG166+AG165+AG163+AG164</f>
        <v>0</v>
      </c>
      <c r="AH159" s="286">
        <f t="shared" ref="AH159:AH167" si="17">SUM(C159:AG159)</f>
        <v>14000</v>
      </c>
    </row>
    <row r="160" spans="1:34" x14ac:dyDescent="0.2">
      <c r="A160" s="287" t="s">
        <v>8</v>
      </c>
      <c r="B160" s="266"/>
      <c r="C160" s="291"/>
      <c r="D160" s="291"/>
      <c r="E160" s="291"/>
      <c r="F160" s="290"/>
      <c r="G160" s="290"/>
      <c r="H160" s="290"/>
      <c r="I160" s="290"/>
      <c r="J160" s="290"/>
      <c r="K160" s="290"/>
      <c r="L160" s="290"/>
      <c r="M160" s="290"/>
      <c r="N160" s="290"/>
      <c r="O160" s="290"/>
      <c r="P160" s="292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86">
        <f t="shared" si="17"/>
        <v>0</v>
      </c>
    </row>
    <row r="161" spans="1:35" x14ac:dyDescent="0.2">
      <c r="A161" s="287" t="s">
        <v>9</v>
      </c>
      <c r="B161" s="266"/>
      <c r="C161" s="291"/>
      <c r="D161" s="291"/>
      <c r="E161" s="291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2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86">
        <f t="shared" si="17"/>
        <v>0</v>
      </c>
    </row>
    <row r="162" spans="1:35" s="360" customFormat="1" x14ac:dyDescent="0.2">
      <c r="A162" s="662" t="s">
        <v>10</v>
      </c>
      <c r="B162" s="669"/>
      <c r="C162" s="664"/>
      <c r="D162" s="565"/>
      <c r="E162" s="565"/>
      <c r="F162" s="560"/>
      <c r="G162" s="811"/>
      <c r="H162" s="560"/>
      <c r="I162" s="560"/>
      <c r="J162" s="560"/>
      <c r="K162" s="560"/>
      <c r="L162" s="708"/>
      <c r="M162" s="560"/>
      <c r="N162" s="560"/>
      <c r="O162" s="560"/>
      <c r="P162" s="560"/>
      <c r="Q162" s="560"/>
      <c r="R162" s="560"/>
      <c r="S162" s="560"/>
      <c r="T162" s="811"/>
      <c r="U162" s="560"/>
      <c r="V162" s="560"/>
      <c r="W162" s="560"/>
      <c r="X162" s="560">
        <v>14000</v>
      </c>
      <c r="Y162" s="560"/>
      <c r="Z162" s="560"/>
      <c r="AA162" s="708"/>
      <c r="AB162" s="560"/>
      <c r="AC162" s="560"/>
      <c r="AD162" s="560"/>
      <c r="AE162" s="803"/>
      <c r="AF162" s="560"/>
      <c r="AG162" s="560"/>
      <c r="AH162" s="379">
        <f t="shared" si="17"/>
        <v>14000</v>
      </c>
    </row>
    <row r="163" spans="1:35" s="360" customFormat="1" x14ac:dyDescent="0.2">
      <c r="A163" s="662" t="s">
        <v>356</v>
      </c>
      <c r="B163" s="669"/>
      <c r="C163" s="565"/>
      <c r="D163" s="565"/>
      <c r="E163" s="565"/>
      <c r="F163" s="560"/>
      <c r="G163" s="560"/>
      <c r="H163" s="560"/>
      <c r="I163" s="560"/>
      <c r="J163" s="560"/>
      <c r="K163" s="560"/>
      <c r="L163" s="560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560"/>
      <c r="AB163" s="560"/>
      <c r="AC163" s="560"/>
      <c r="AD163" s="560"/>
      <c r="AE163" s="560"/>
      <c r="AF163" s="560"/>
      <c r="AG163" s="560"/>
      <c r="AH163" s="379">
        <f t="shared" si="17"/>
        <v>0</v>
      </c>
    </row>
    <row r="164" spans="1:35" x14ac:dyDescent="0.2">
      <c r="A164" s="287" t="s">
        <v>357</v>
      </c>
      <c r="B164" s="266"/>
      <c r="C164" s="289"/>
      <c r="D164" s="291"/>
      <c r="E164" s="289"/>
      <c r="F164" s="290"/>
      <c r="G164" s="290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86">
        <f t="shared" si="17"/>
        <v>0</v>
      </c>
    </row>
    <row r="165" spans="1:35" x14ac:dyDescent="0.2">
      <c r="A165" s="287" t="s">
        <v>41</v>
      </c>
      <c r="B165" s="266"/>
      <c r="C165" s="289"/>
      <c r="D165" s="291"/>
      <c r="E165" s="289"/>
      <c r="F165" s="290"/>
      <c r="G165" s="290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x14ac:dyDescent="0.2">
      <c r="A166" s="287" t="s">
        <v>11</v>
      </c>
      <c r="B166" s="266"/>
      <c r="C166" s="291"/>
      <c r="D166" s="289"/>
      <c r="E166" s="289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455"/>
      <c r="AC166" s="292"/>
      <c r="AD166" s="292"/>
      <c r="AE166" s="292"/>
      <c r="AF166" s="292"/>
      <c r="AG166" s="292"/>
      <c r="AH166" s="286">
        <f t="shared" si="17"/>
        <v>0</v>
      </c>
    </row>
    <row r="167" spans="1:35" ht="13.5" thickBot="1" x14ac:dyDescent="0.25">
      <c r="A167" s="296"/>
      <c r="B167" s="266"/>
      <c r="C167" s="291"/>
      <c r="D167" s="291"/>
      <c r="E167" s="291"/>
      <c r="F167" s="290"/>
      <c r="G167" s="290"/>
      <c r="H167" s="290"/>
      <c r="I167" s="290"/>
      <c r="J167" s="290"/>
      <c r="K167" s="290"/>
      <c r="L167" s="290"/>
      <c r="M167" s="290"/>
      <c r="N167" s="290"/>
      <c r="O167" s="290"/>
      <c r="P167" s="292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  <c r="AA167" s="290"/>
      <c r="AB167" s="290"/>
      <c r="AC167" s="290"/>
      <c r="AD167" s="290"/>
      <c r="AE167" s="290"/>
      <c r="AF167" s="290"/>
      <c r="AG167" s="290"/>
      <c r="AH167" s="286">
        <f t="shared" si="17"/>
        <v>0</v>
      </c>
    </row>
    <row r="168" spans="1:35" x14ac:dyDescent="0.2">
      <c r="A168" s="282"/>
      <c r="B168" s="266"/>
      <c r="C168" s="297"/>
      <c r="D168" s="298"/>
      <c r="E168" s="298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866"/>
      <c r="Q168" s="299"/>
      <c r="R168" s="299"/>
      <c r="S168" s="299"/>
      <c r="T168" s="299"/>
      <c r="U168" s="299"/>
      <c r="V168" s="299"/>
      <c r="W168" s="299"/>
      <c r="X168" s="299"/>
      <c r="Y168" s="299"/>
      <c r="Z168" s="299"/>
      <c r="AA168" s="299"/>
      <c r="AB168" s="299"/>
      <c r="AC168" s="299"/>
      <c r="AD168" s="299"/>
      <c r="AE168" s="299"/>
      <c r="AF168" s="299"/>
      <c r="AG168" s="299"/>
      <c r="AH168" s="215"/>
    </row>
    <row r="169" spans="1:35" ht="13.5" thickBot="1" x14ac:dyDescent="0.25">
      <c r="A169" s="287" t="s">
        <v>12</v>
      </c>
      <c r="B169" s="266"/>
      <c r="C169" s="288">
        <f t="shared" ref="C169:AG169" si="18">C170</f>
        <v>0</v>
      </c>
      <c r="D169" s="288">
        <f t="shared" si="18"/>
        <v>0</v>
      </c>
      <c r="E169" s="288">
        <f t="shared" si="18"/>
        <v>0</v>
      </c>
      <c r="F169" s="288">
        <f t="shared" si="18"/>
        <v>0</v>
      </c>
      <c r="G169" s="288">
        <f t="shared" si="18"/>
        <v>0</v>
      </c>
      <c r="H169" s="288">
        <f t="shared" si="18"/>
        <v>0</v>
      </c>
      <c r="I169" s="288">
        <f t="shared" si="18"/>
        <v>0</v>
      </c>
      <c r="J169" s="288">
        <f t="shared" si="18"/>
        <v>0</v>
      </c>
      <c r="K169" s="288">
        <f t="shared" si="18"/>
        <v>0</v>
      </c>
      <c r="L169" s="288">
        <f t="shared" si="18"/>
        <v>0</v>
      </c>
      <c r="M169" s="288">
        <f t="shared" si="18"/>
        <v>0</v>
      </c>
      <c r="N169" s="288">
        <f t="shared" si="18"/>
        <v>0</v>
      </c>
      <c r="O169" s="288">
        <f t="shared" si="18"/>
        <v>0</v>
      </c>
      <c r="P169" s="865">
        <f t="shared" si="18"/>
        <v>0</v>
      </c>
      <c r="Q169" s="288">
        <f t="shared" si="18"/>
        <v>0</v>
      </c>
      <c r="R169" s="288">
        <f t="shared" si="18"/>
        <v>0</v>
      </c>
      <c r="S169" s="288">
        <f t="shared" si="18"/>
        <v>0</v>
      </c>
      <c r="T169" s="288">
        <f t="shared" si="18"/>
        <v>0</v>
      </c>
      <c r="U169" s="288">
        <f t="shared" si="18"/>
        <v>0</v>
      </c>
      <c r="V169" s="288">
        <f t="shared" si="18"/>
        <v>0</v>
      </c>
      <c r="W169" s="288">
        <f t="shared" si="18"/>
        <v>0</v>
      </c>
      <c r="X169" s="288">
        <f t="shared" si="18"/>
        <v>0</v>
      </c>
      <c r="Y169" s="288">
        <f t="shared" si="18"/>
        <v>0</v>
      </c>
      <c r="Z169" s="288">
        <f t="shared" si="18"/>
        <v>0</v>
      </c>
      <c r="AA169" s="288">
        <f t="shared" si="18"/>
        <v>0</v>
      </c>
      <c r="AB169" s="288">
        <f t="shared" si="18"/>
        <v>0</v>
      </c>
      <c r="AC169" s="288">
        <f t="shared" si="18"/>
        <v>0</v>
      </c>
      <c r="AD169" s="288">
        <f t="shared" si="18"/>
        <v>0</v>
      </c>
      <c r="AE169" s="288">
        <f t="shared" si="18"/>
        <v>0</v>
      </c>
      <c r="AF169" s="288">
        <f t="shared" si="18"/>
        <v>0</v>
      </c>
      <c r="AG169" s="288">
        <f t="shared" si="18"/>
        <v>0</v>
      </c>
      <c r="AH169" s="215"/>
    </row>
    <row r="170" spans="1:35" x14ac:dyDescent="0.2">
      <c r="A170" s="287" t="s">
        <v>8</v>
      </c>
      <c r="B170" s="266"/>
      <c r="C170" s="291"/>
      <c r="D170" s="291"/>
      <c r="E170" s="291"/>
      <c r="F170" s="290"/>
      <c r="G170" s="290"/>
      <c r="H170" s="290"/>
      <c r="I170" s="290"/>
      <c r="J170" s="290"/>
      <c r="K170" s="290"/>
      <c r="L170" s="290"/>
      <c r="M170" s="290"/>
      <c r="N170" s="290"/>
      <c r="O170" s="290"/>
      <c r="P170" s="292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15"/>
    </row>
    <row r="171" spans="1:35" x14ac:dyDescent="0.2">
      <c r="A171" s="287" t="s">
        <v>775</v>
      </c>
      <c r="B171" s="266"/>
      <c r="C171" s="291">
        <v>2931</v>
      </c>
      <c r="D171" s="291"/>
      <c r="E171" s="291"/>
      <c r="F171" s="290"/>
      <c r="G171" s="290">
        <v>6375</v>
      </c>
      <c r="H171" s="292"/>
      <c r="I171" s="292"/>
      <c r="J171" s="292"/>
      <c r="K171" s="292">
        <v>1400</v>
      </c>
      <c r="L171" s="292"/>
      <c r="M171" s="292">
        <v>6959</v>
      </c>
      <c r="N171" s="292"/>
      <c r="O171" s="292"/>
      <c r="P171" s="292"/>
      <c r="Q171" s="292"/>
      <c r="R171" s="292"/>
      <c r="S171" s="292"/>
      <c r="T171" s="292"/>
      <c r="U171" s="292"/>
      <c r="V171" s="292">
        <v>2652</v>
      </c>
      <c r="W171" s="292"/>
      <c r="X171" s="292"/>
      <c r="Y171" s="292">
        <v>269</v>
      </c>
      <c r="Z171" s="292"/>
      <c r="AA171" s="292"/>
      <c r="AB171" s="292">
        <v>1200</v>
      </c>
      <c r="AC171" s="292"/>
      <c r="AD171" s="292"/>
      <c r="AE171" s="292"/>
      <c r="AF171" s="290">
        <v>8676</v>
      </c>
      <c r="AG171" s="290"/>
      <c r="AH171" s="286">
        <f>SUM(C171:AG171)</f>
        <v>30462</v>
      </c>
    </row>
    <row r="172" spans="1:35" ht="13.5" thickBot="1" x14ac:dyDescent="0.25">
      <c r="A172" s="296"/>
      <c r="B172" s="266"/>
      <c r="C172" s="291"/>
      <c r="D172" s="291"/>
      <c r="E172" s="291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2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15"/>
    </row>
    <row r="173" spans="1:35" x14ac:dyDescent="0.2">
      <c r="A173" s="282"/>
      <c r="B173" s="266"/>
      <c r="C173" s="297"/>
      <c r="D173" s="298"/>
      <c r="E173" s="298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866"/>
      <c r="Q173" s="299"/>
      <c r="R173" s="299"/>
      <c r="S173" s="299"/>
      <c r="T173" s="299"/>
      <c r="U173" s="299"/>
      <c r="V173" s="299"/>
      <c r="W173" s="299"/>
      <c r="X173" s="299"/>
      <c r="Y173" s="299"/>
      <c r="Z173" s="299"/>
      <c r="AA173" s="299"/>
      <c r="AB173" s="299"/>
      <c r="AC173" s="299"/>
      <c r="AD173" s="299"/>
      <c r="AE173" s="299"/>
      <c r="AF173" s="299"/>
      <c r="AG173" s="299"/>
      <c r="AH173" s="215"/>
    </row>
    <row r="174" spans="1:35" x14ac:dyDescent="0.2">
      <c r="A174" s="287" t="s">
        <v>13</v>
      </c>
      <c r="B174" s="266"/>
      <c r="C174" s="300">
        <f t="shared" ref="C174:AE174" si="19">C169-C159</f>
        <v>0</v>
      </c>
      <c r="D174" s="300">
        <f t="shared" si="19"/>
        <v>0</v>
      </c>
      <c r="E174" s="300">
        <f t="shared" si="19"/>
        <v>0</v>
      </c>
      <c r="F174" s="300">
        <f t="shared" si="19"/>
        <v>0</v>
      </c>
      <c r="G174" s="300">
        <f t="shared" si="19"/>
        <v>0</v>
      </c>
      <c r="H174" s="300">
        <f t="shared" si="19"/>
        <v>0</v>
      </c>
      <c r="I174" s="300">
        <f t="shared" si="19"/>
        <v>0</v>
      </c>
      <c r="J174" s="300">
        <f t="shared" si="19"/>
        <v>0</v>
      </c>
      <c r="K174" s="300">
        <f t="shared" si="19"/>
        <v>0</v>
      </c>
      <c r="L174" s="300">
        <f t="shared" si="19"/>
        <v>0</v>
      </c>
      <c r="M174" s="300">
        <f t="shared" si="19"/>
        <v>0</v>
      </c>
      <c r="N174" s="300">
        <f t="shared" si="19"/>
        <v>0</v>
      </c>
      <c r="O174" s="300">
        <f t="shared" si="19"/>
        <v>0</v>
      </c>
      <c r="P174" s="867">
        <f t="shared" si="19"/>
        <v>0</v>
      </c>
      <c r="Q174" s="300">
        <f t="shared" si="19"/>
        <v>0</v>
      </c>
      <c r="R174" s="300">
        <f t="shared" si="19"/>
        <v>0</v>
      </c>
      <c r="S174" s="300">
        <f t="shared" si="19"/>
        <v>0</v>
      </c>
      <c r="T174" s="300">
        <f t="shared" si="19"/>
        <v>0</v>
      </c>
      <c r="U174" s="300">
        <f t="shared" si="19"/>
        <v>0</v>
      </c>
      <c r="V174" s="300">
        <f t="shared" si="19"/>
        <v>0</v>
      </c>
      <c r="W174" s="300">
        <f t="shared" si="19"/>
        <v>0</v>
      </c>
      <c r="X174" s="300">
        <f t="shared" si="19"/>
        <v>-14000</v>
      </c>
      <c r="Y174" s="300">
        <f t="shared" si="19"/>
        <v>0</v>
      </c>
      <c r="Z174" s="300">
        <f t="shared" si="19"/>
        <v>0</v>
      </c>
      <c r="AA174" s="300">
        <f t="shared" si="19"/>
        <v>0</v>
      </c>
      <c r="AB174" s="300">
        <f t="shared" si="19"/>
        <v>0</v>
      </c>
      <c r="AC174" s="300">
        <f t="shared" si="19"/>
        <v>0</v>
      </c>
      <c r="AD174" s="300">
        <f t="shared" si="19"/>
        <v>0</v>
      </c>
      <c r="AE174" s="300">
        <f t="shared" si="19"/>
        <v>0</v>
      </c>
      <c r="AF174" s="300">
        <f>AF169-AF159</f>
        <v>0</v>
      </c>
      <c r="AG174" s="300">
        <f>AG169-AG159</f>
        <v>0</v>
      </c>
      <c r="AH174" s="215"/>
    </row>
    <row r="175" spans="1:35" ht="13.5" thickBot="1" x14ac:dyDescent="0.25">
      <c r="A175" s="287"/>
      <c r="B175" s="266"/>
      <c r="C175" s="300"/>
      <c r="D175" s="291"/>
      <c r="E175" s="291"/>
      <c r="F175" s="290"/>
      <c r="G175" s="290"/>
      <c r="H175" s="290"/>
      <c r="I175" s="290"/>
      <c r="J175" s="290"/>
      <c r="K175" s="290"/>
      <c r="L175" s="290"/>
      <c r="M175" s="290"/>
      <c r="N175" s="290"/>
      <c r="O175" s="290"/>
      <c r="P175" s="292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15"/>
      <c r="AI175" t="s">
        <v>813</v>
      </c>
    </row>
    <row r="176" spans="1:35" x14ac:dyDescent="0.2">
      <c r="A176" s="263"/>
      <c r="B176" s="264"/>
      <c r="C176" s="301"/>
      <c r="D176" s="298"/>
      <c r="E176" s="298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866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299"/>
      <c r="AH176" s="215"/>
    </row>
    <row r="177" spans="1:34" x14ac:dyDescent="0.2">
      <c r="A177" s="265" t="s">
        <v>15</v>
      </c>
      <c r="B177" s="266"/>
      <c r="C177" s="291">
        <f>B156+C174</f>
        <v>17154.382000000001</v>
      </c>
      <c r="D177" s="291">
        <f t="shared" ref="D177:AE177" si="20">C184+D174</f>
        <v>17154.382000000001</v>
      </c>
      <c r="E177" s="291">
        <f t="shared" si="20"/>
        <v>17154.382000000001</v>
      </c>
      <c r="F177" s="291">
        <f t="shared" si="20"/>
        <v>17154.382000000001</v>
      </c>
      <c r="G177" s="291">
        <f t="shared" si="20"/>
        <v>17154.382000000001</v>
      </c>
      <c r="H177" s="291">
        <f t="shared" si="20"/>
        <v>17154.382000000001</v>
      </c>
      <c r="I177" s="291">
        <f t="shared" si="20"/>
        <v>17154.382000000001</v>
      </c>
      <c r="J177" s="291">
        <f t="shared" si="20"/>
        <v>17154.382000000001</v>
      </c>
      <c r="K177" s="291">
        <f t="shared" si="20"/>
        <v>17154.382000000001</v>
      </c>
      <c r="L177" s="291">
        <f t="shared" si="20"/>
        <v>17154.382000000001</v>
      </c>
      <c r="M177" s="291">
        <f t="shared" si="20"/>
        <v>17154.382000000001</v>
      </c>
      <c r="N177" s="291">
        <f t="shared" si="20"/>
        <v>17154.382000000001</v>
      </c>
      <c r="O177" s="291">
        <f t="shared" si="20"/>
        <v>17154.382000000001</v>
      </c>
      <c r="P177" s="289">
        <f t="shared" si="20"/>
        <v>17154.382000000001</v>
      </c>
      <c r="Q177" s="291">
        <f t="shared" si="20"/>
        <v>17154.382000000001</v>
      </c>
      <c r="R177" s="291">
        <f>Q184+R174</f>
        <v>17154.382000000001</v>
      </c>
      <c r="S177" s="291">
        <f>R184+S174</f>
        <v>17154.382000000001</v>
      </c>
      <c r="T177" s="291">
        <f>S184+T174</f>
        <v>17154.382000000001</v>
      </c>
      <c r="U177" s="291">
        <f>T184+U174</f>
        <v>17154.382000000001</v>
      </c>
      <c r="V177" s="291">
        <f>U184+V174</f>
        <v>17154.382000000001</v>
      </c>
      <c r="W177" s="291">
        <f t="shared" si="20"/>
        <v>17154.382000000001</v>
      </c>
      <c r="X177" s="291">
        <f t="shared" si="20"/>
        <v>3154.3820000000014</v>
      </c>
      <c r="Y177" s="291">
        <f t="shared" si="20"/>
        <v>3154.3820000000014</v>
      </c>
      <c r="Z177" s="291">
        <f t="shared" si="20"/>
        <v>3154.3820000000014</v>
      </c>
      <c r="AA177" s="291">
        <f t="shared" si="20"/>
        <v>3154.3820000000014</v>
      </c>
      <c r="AB177" s="291">
        <f t="shared" si="20"/>
        <v>3154.3820000000014</v>
      </c>
      <c r="AC177" s="291">
        <f t="shared" si="20"/>
        <v>3154.3820000000014</v>
      </c>
      <c r="AD177" s="291">
        <f t="shared" si="20"/>
        <v>3154.3820000000014</v>
      </c>
      <c r="AE177" s="291">
        <f t="shared" si="20"/>
        <v>3154.3820000000014</v>
      </c>
      <c r="AF177" s="291">
        <f>AE184+AF174</f>
        <v>3154.3820000000014</v>
      </c>
      <c r="AG177" s="291">
        <f>AF184+AG174</f>
        <v>3154.3820000000014</v>
      </c>
      <c r="AH177" s="215"/>
    </row>
    <row r="178" spans="1:34" ht="13.5" thickBot="1" x14ac:dyDescent="0.25">
      <c r="A178" s="275"/>
      <c r="B178" s="302"/>
      <c r="C178" s="303"/>
      <c r="D178" s="303"/>
      <c r="E178" s="303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868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04"/>
      <c r="AF178" s="304"/>
      <c r="AG178" s="304"/>
      <c r="AH178" s="215"/>
    </row>
    <row r="179" spans="1:34" x14ac:dyDescent="0.2">
      <c r="A179" s="263"/>
      <c r="B179" s="264"/>
      <c r="C179" s="298"/>
      <c r="D179" s="298"/>
      <c r="E179" s="298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866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  <c r="AA179" s="299"/>
      <c r="AB179" s="299"/>
      <c r="AC179" s="299"/>
      <c r="AD179" s="299"/>
      <c r="AE179" s="299"/>
      <c r="AF179" s="299"/>
      <c r="AG179" s="299"/>
      <c r="AH179" s="215"/>
    </row>
    <row r="180" spans="1:34" x14ac:dyDescent="0.2">
      <c r="A180" s="265" t="s">
        <v>82</v>
      </c>
      <c r="B180" s="266"/>
      <c r="C180" s="291">
        <f t="shared" ref="C180:AE181" si="21">C188</f>
        <v>0</v>
      </c>
      <c r="D180" s="291">
        <f t="shared" si="21"/>
        <v>0</v>
      </c>
      <c r="E180" s="291">
        <f t="shared" si="21"/>
        <v>0</v>
      </c>
      <c r="F180" s="291">
        <f t="shared" si="21"/>
        <v>0</v>
      </c>
      <c r="G180" s="291">
        <f t="shared" si="21"/>
        <v>0</v>
      </c>
      <c r="H180" s="291">
        <f t="shared" si="21"/>
        <v>0</v>
      </c>
      <c r="I180" s="291">
        <f t="shared" si="21"/>
        <v>0</v>
      </c>
      <c r="J180" s="291">
        <f t="shared" si="21"/>
        <v>0</v>
      </c>
      <c r="K180" s="291">
        <f t="shared" si="21"/>
        <v>0</v>
      </c>
      <c r="L180" s="291">
        <f t="shared" si="21"/>
        <v>0</v>
      </c>
      <c r="M180" s="291">
        <f t="shared" si="21"/>
        <v>0</v>
      </c>
      <c r="N180" s="291">
        <f t="shared" si="21"/>
        <v>0</v>
      </c>
      <c r="O180" s="291">
        <f t="shared" si="21"/>
        <v>0</v>
      </c>
      <c r="P180" s="289">
        <f t="shared" si="21"/>
        <v>0</v>
      </c>
      <c r="Q180" s="291">
        <f t="shared" si="21"/>
        <v>0</v>
      </c>
      <c r="R180" s="291">
        <f t="shared" si="21"/>
        <v>0</v>
      </c>
      <c r="S180" s="291">
        <f t="shared" si="21"/>
        <v>0</v>
      </c>
      <c r="T180" s="291">
        <f t="shared" si="21"/>
        <v>0</v>
      </c>
      <c r="U180" s="291">
        <f t="shared" si="21"/>
        <v>0</v>
      </c>
      <c r="V180" s="291">
        <f t="shared" si="21"/>
        <v>0</v>
      </c>
      <c r="W180" s="291">
        <f t="shared" si="21"/>
        <v>0</v>
      </c>
      <c r="X180" s="291">
        <f t="shared" si="21"/>
        <v>0</v>
      </c>
      <c r="Y180" s="291">
        <f t="shared" si="21"/>
        <v>0</v>
      </c>
      <c r="Z180" s="291">
        <f t="shared" si="21"/>
        <v>0</v>
      </c>
      <c r="AA180" s="291">
        <f t="shared" si="21"/>
        <v>0</v>
      </c>
      <c r="AB180" s="291">
        <f t="shared" si="21"/>
        <v>0</v>
      </c>
      <c r="AC180" s="291">
        <f t="shared" si="21"/>
        <v>0</v>
      </c>
      <c r="AD180" s="291">
        <f t="shared" si="21"/>
        <v>0</v>
      </c>
      <c r="AE180" s="291">
        <f t="shared" si="21"/>
        <v>0</v>
      </c>
      <c r="AF180" s="291">
        <f>AF188</f>
        <v>0</v>
      </c>
      <c r="AG180" s="291">
        <f>AG188</f>
        <v>0</v>
      </c>
      <c r="AH180" s="215"/>
    </row>
    <row r="181" spans="1:34" x14ac:dyDescent="0.2">
      <c r="A181" s="265" t="s">
        <v>83</v>
      </c>
      <c r="B181" s="266"/>
      <c r="C181" s="289">
        <f t="shared" si="21"/>
        <v>0</v>
      </c>
      <c r="D181" s="289">
        <f t="shared" si="21"/>
        <v>0</v>
      </c>
      <c r="E181" s="289">
        <f t="shared" si="21"/>
        <v>0</v>
      </c>
      <c r="F181" s="289">
        <f t="shared" si="21"/>
        <v>0</v>
      </c>
      <c r="G181" s="289">
        <f t="shared" si="21"/>
        <v>0</v>
      </c>
      <c r="H181" s="289">
        <f t="shared" si="21"/>
        <v>0</v>
      </c>
      <c r="I181" s="289">
        <f t="shared" si="21"/>
        <v>0</v>
      </c>
      <c r="J181" s="289">
        <f t="shared" si="21"/>
        <v>0</v>
      </c>
      <c r="K181" s="289">
        <f t="shared" si="21"/>
        <v>0</v>
      </c>
      <c r="L181" s="289">
        <f t="shared" si="21"/>
        <v>0</v>
      </c>
      <c r="M181" s="289">
        <f t="shared" si="21"/>
        <v>0</v>
      </c>
      <c r="N181" s="289">
        <f t="shared" si="21"/>
        <v>0</v>
      </c>
      <c r="O181" s="289">
        <f t="shared" si="21"/>
        <v>0</v>
      </c>
      <c r="P181" s="289">
        <f t="shared" si="21"/>
        <v>0</v>
      </c>
      <c r="Q181" s="289">
        <f t="shared" si="21"/>
        <v>0</v>
      </c>
      <c r="R181" s="289">
        <f t="shared" si="21"/>
        <v>0</v>
      </c>
      <c r="S181" s="289">
        <f t="shared" si="21"/>
        <v>0</v>
      </c>
      <c r="T181" s="289">
        <f t="shared" si="21"/>
        <v>0</v>
      </c>
      <c r="U181" s="289">
        <f t="shared" si="21"/>
        <v>0</v>
      </c>
      <c r="V181" s="289">
        <f t="shared" si="21"/>
        <v>0</v>
      </c>
      <c r="W181" s="289">
        <f t="shared" si="21"/>
        <v>0</v>
      </c>
      <c r="X181" s="289">
        <f t="shared" si="21"/>
        <v>0</v>
      </c>
      <c r="Y181" s="289">
        <f t="shared" si="21"/>
        <v>0</v>
      </c>
      <c r="Z181" s="289">
        <f t="shared" si="21"/>
        <v>0</v>
      </c>
      <c r="AA181" s="289">
        <f t="shared" si="21"/>
        <v>0</v>
      </c>
      <c r="AB181" s="289">
        <f t="shared" si="21"/>
        <v>0</v>
      </c>
      <c r="AC181" s="289">
        <f t="shared" si="21"/>
        <v>0</v>
      </c>
      <c r="AD181" s="289">
        <f t="shared" si="21"/>
        <v>0</v>
      </c>
      <c r="AE181" s="289">
        <f t="shared" si="21"/>
        <v>0</v>
      </c>
      <c r="AF181" s="289">
        <f>AF189</f>
        <v>0</v>
      </c>
      <c r="AG181" s="289">
        <f>AG189</f>
        <v>0</v>
      </c>
      <c r="AH181" s="215"/>
    </row>
    <row r="182" spans="1:34" ht="13.5" thickBot="1" x14ac:dyDescent="0.25">
      <c r="A182" s="275"/>
      <c r="B182" s="302"/>
      <c r="C182" s="303"/>
      <c r="D182" s="303"/>
      <c r="E182" s="303"/>
      <c r="F182" s="304"/>
      <c r="G182" s="304"/>
      <c r="H182" s="304"/>
      <c r="I182" s="304"/>
      <c r="J182" s="304"/>
      <c r="K182" s="304"/>
      <c r="L182" s="304"/>
      <c r="M182" s="304"/>
      <c r="N182" s="304"/>
      <c r="O182" s="304"/>
      <c r="P182" s="868"/>
      <c r="Q182" s="304"/>
      <c r="R182" s="304"/>
      <c r="S182" s="304"/>
      <c r="T182" s="304"/>
      <c r="U182" s="304"/>
      <c r="V182" s="304"/>
      <c r="W182" s="304"/>
      <c r="X182" s="304"/>
      <c r="Y182" s="304"/>
      <c r="Z182" s="304"/>
      <c r="AA182" s="304"/>
      <c r="AB182" s="304"/>
      <c r="AC182" s="304"/>
      <c r="AD182" s="304"/>
      <c r="AE182" s="304"/>
      <c r="AF182" s="304"/>
      <c r="AG182" s="304"/>
      <c r="AH182" s="215"/>
    </row>
    <row r="183" spans="1:34" x14ac:dyDescent="0.2">
      <c r="A183" s="265"/>
      <c r="B183" s="266"/>
      <c r="C183" s="291"/>
      <c r="D183" s="291"/>
      <c r="E183" s="291"/>
      <c r="F183" s="290"/>
      <c r="G183" s="290"/>
      <c r="H183" s="290"/>
      <c r="I183" s="290"/>
      <c r="J183" s="290"/>
      <c r="K183" s="290"/>
      <c r="L183" s="290"/>
      <c r="M183" s="290"/>
      <c r="N183" s="290"/>
      <c r="O183" s="290"/>
      <c r="P183" s="292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  <c r="AE183" s="290"/>
      <c r="AF183" s="290"/>
      <c r="AG183" s="290"/>
      <c r="AH183" s="309"/>
    </row>
    <row r="184" spans="1:34" x14ac:dyDescent="0.2">
      <c r="A184" s="265" t="s">
        <v>14</v>
      </c>
      <c r="B184" s="266"/>
      <c r="C184" s="291">
        <f t="shared" ref="C184:AE184" si="22">C177+C180+C181</f>
        <v>17154.382000000001</v>
      </c>
      <c r="D184" s="291">
        <f t="shared" si="22"/>
        <v>17154.382000000001</v>
      </c>
      <c r="E184" s="291">
        <f t="shared" si="22"/>
        <v>17154.382000000001</v>
      </c>
      <c r="F184" s="291">
        <f t="shared" si="22"/>
        <v>17154.382000000001</v>
      </c>
      <c r="G184" s="291">
        <f t="shared" si="22"/>
        <v>17154.382000000001</v>
      </c>
      <c r="H184" s="291">
        <f t="shared" si="22"/>
        <v>17154.382000000001</v>
      </c>
      <c r="I184" s="291">
        <f t="shared" si="22"/>
        <v>17154.382000000001</v>
      </c>
      <c r="J184" s="291">
        <f t="shared" si="22"/>
        <v>17154.382000000001</v>
      </c>
      <c r="K184" s="291">
        <f t="shared" si="22"/>
        <v>17154.382000000001</v>
      </c>
      <c r="L184" s="291">
        <f t="shared" si="22"/>
        <v>17154.382000000001</v>
      </c>
      <c r="M184" s="291">
        <f t="shared" si="22"/>
        <v>17154.382000000001</v>
      </c>
      <c r="N184" s="291">
        <f t="shared" si="22"/>
        <v>17154.382000000001</v>
      </c>
      <c r="O184" s="291">
        <f t="shared" si="22"/>
        <v>17154.382000000001</v>
      </c>
      <c r="P184" s="289">
        <f t="shared" si="22"/>
        <v>17154.382000000001</v>
      </c>
      <c r="Q184" s="291">
        <f t="shared" si="22"/>
        <v>17154.382000000001</v>
      </c>
      <c r="R184" s="291">
        <f t="shared" si="22"/>
        <v>17154.382000000001</v>
      </c>
      <c r="S184" s="291">
        <f t="shared" si="22"/>
        <v>17154.382000000001</v>
      </c>
      <c r="T184" s="291">
        <f t="shared" si="22"/>
        <v>17154.382000000001</v>
      </c>
      <c r="U184" s="291">
        <f t="shared" si="22"/>
        <v>17154.382000000001</v>
      </c>
      <c r="V184" s="291">
        <f t="shared" si="22"/>
        <v>17154.382000000001</v>
      </c>
      <c r="W184" s="291">
        <f t="shared" si="22"/>
        <v>17154.382000000001</v>
      </c>
      <c r="X184" s="291">
        <f t="shared" si="22"/>
        <v>3154.3820000000014</v>
      </c>
      <c r="Y184" s="291">
        <f t="shared" si="22"/>
        <v>3154.3820000000014</v>
      </c>
      <c r="Z184" s="291">
        <f t="shared" si="22"/>
        <v>3154.3820000000014</v>
      </c>
      <c r="AA184" s="291">
        <f t="shared" si="22"/>
        <v>3154.3820000000014</v>
      </c>
      <c r="AB184" s="291">
        <f t="shared" si="22"/>
        <v>3154.3820000000014</v>
      </c>
      <c r="AC184" s="291">
        <f t="shared" si="22"/>
        <v>3154.3820000000014</v>
      </c>
      <c r="AD184" s="291">
        <f t="shared" si="22"/>
        <v>3154.3820000000014</v>
      </c>
      <c r="AE184" s="291">
        <f t="shared" si="22"/>
        <v>3154.3820000000014</v>
      </c>
      <c r="AF184" s="291">
        <f>AF177+AF180+AF181</f>
        <v>3154.3820000000014</v>
      </c>
      <c r="AG184" s="291">
        <f>AG177+AG180+AG181</f>
        <v>3154.3820000000014</v>
      </c>
      <c r="AH184" s="308"/>
    </row>
    <row r="185" spans="1:34" x14ac:dyDescent="0.2">
      <c r="A185" s="265"/>
      <c r="B185" s="266"/>
      <c r="C185" s="291"/>
      <c r="D185" s="291"/>
      <c r="E185" s="291"/>
      <c r="F185" s="290"/>
      <c r="G185" s="290"/>
      <c r="H185" s="290"/>
      <c r="I185" s="290"/>
      <c r="J185" s="290"/>
      <c r="K185" s="290"/>
      <c r="L185" s="290"/>
      <c r="M185" s="290"/>
      <c r="N185" s="290"/>
      <c r="O185" s="290"/>
      <c r="P185" s="292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  <c r="AA185" s="290"/>
      <c r="AB185" s="290"/>
      <c r="AC185" s="290"/>
      <c r="AD185" s="290"/>
      <c r="AE185" s="290"/>
      <c r="AF185" s="290"/>
      <c r="AG185" s="290"/>
      <c r="AH185" s="309"/>
    </row>
    <row r="186" spans="1:34" ht="13.5" thickBot="1" x14ac:dyDescent="0.25">
      <c r="A186" s="275"/>
      <c r="B186" s="302"/>
      <c r="C186" s="306"/>
      <c r="D186" s="306"/>
      <c r="E186" s="306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869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9"/>
    </row>
    <row r="187" spans="1:34" x14ac:dyDescent="0.2">
      <c r="A187" s="310"/>
      <c r="B187" s="215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308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309"/>
    </row>
    <row r="188" spans="1:34" x14ac:dyDescent="0.2">
      <c r="A188" s="312"/>
      <c r="B188" s="475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  <c r="O188" s="629"/>
      <c r="P188" s="629"/>
      <c r="Q188" s="311"/>
      <c r="R188" s="311"/>
      <c r="S188" s="311"/>
      <c r="T188" s="311"/>
      <c r="U188" s="311"/>
      <c r="V188" s="311">
        <f>10540.343-1000-2295.092-1683.867-1000-877.517-1683.867-2000</f>
        <v>0</v>
      </c>
      <c r="W188" s="311"/>
      <c r="X188" s="311"/>
      <c r="Y188" s="311"/>
      <c r="Z188" s="311"/>
      <c r="AA188" s="408"/>
      <c r="AB188" s="311"/>
      <c r="AC188" s="311"/>
      <c r="AD188" s="311"/>
      <c r="AE188" s="311"/>
      <c r="AF188" s="311"/>
      <c r="AG188" s="311"/>
      <c r="AH188" s="308"/>
    </row>
    <row r="189" spans="1:34" x14ac:dyDescent="0.2">
      <c r="A189" s="310"/>
      <c r="B189" s="215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311"/>
      <c r="P189" s="629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311"/>
      <c r="AB189" s="311"/>
      <c r="AC189" s="311"/>
      <c r="AD189" s="311"/>
      <c r="AE189" s="311"/>
      <c r="AF189" s="311"/>
      <c r="AG189" s="311"/>
      <c r="AH189" s="308"/>
    </row>
    <row r="190" spans="1:34" x14ac:dyDescent="0.2">
      <c r="A190" s="358" t="s">
        <v>415</v>
      </c>
      <c r="B190" s="359">
        <f>SUM(B191:B194)</f>
        <v>375000</v>
      </c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309"/>
      <c r="Q190" s="215"/>
      <c r="R190" s="215"/>
      <c r="S190" s="215"/>
      <c r="T190" s="456"/>
      <c r="U190" s="262"/>
      <c r="V190" s="215"/>
      <c r="W190" s="215"/>
      <c r="X190" s="215"/>
      <c r="Y190" s="215"/>
      <c r="Z190" s="215"/>
      <c r="AA190" s="408"/>
      <c r="AB190" s="215"/>
      <c r="AC190" s="215"/>
      <c r="AD190" s="215"/>
      <c r="AE190" s="215"/>
      <c r="AF190" s="215"/>
      <c r="AG190" s="215"/>
      <c r="AH190" s="215"/>
    </row>
    <row r="191" spans="1:34" x14ac:dyDescent="0.2">
      <c r="A191" s="327" t="s">
        <v>414</v>
      </c>
      <c r="B191" s="311">
        <v>25000</v>
      </c>
      <c r="C191" s="215"/>
      <c r="D191" s="30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311"/>
      <c r="T191" s="320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27" t="s">
        <v>287</v>
      </c>
      <c r="B192" s="311">
        <v>200000</v>
      </c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10" t="s">
        <v>413</v>
      </c>
      <c r="B193" s="329">
        <v>75000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86"/>
      <c r="M193" s="215"/>
      <c r="N193" s="215"/>
      <c r="O193" s="215"/>
      <c r="P193" s="309"/>
      <c r="Q193" s="215"/>
      <c r="R193" s="215"/>
      <c r="S193" s="311"/>
      <c r="T193" s="320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310" t="s">
        <v>441</v>
      </c>
      <c r="B194" s="311">
        <v>75000</v>
      </c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309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ht="13.5" thickBot="1" x14ac:dyDescent="0.25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309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</row>
    <row r="197" spans="1:34" x14ac:dyDescent="0.2">
      <c r="A197" s="263"/>
      <c r="B197" s="264"/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860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15"/>
    </row>
    <row r="198" spans="1:34" x14ac:dyDescent="0.2">
      <c r="A198" s="265"/>
      <c r="B198" s="266" t="s">
        <v>37</v>
      </c>
      <c r="C198" s="266"/>
      <c r="D198" s="266"/>
      <c r="E198" s="267" t="s">
        <v>874</v>
      </c>
      <c r="F198" s="268" t="s">
        <v>96</v>
      </c>
      <c r="G198" s="269"/>
      <c r="H198" s="268"/>
      <c r="I198" s="268"/>
      <c r="J198" s="268"/>
      <c r="K198" s="268"/>
      <c r="L198" s="268"/>
      <c r="M198" s="268"/>
      <c r="N198" s="268"/>
      <c r="O198" s="268"/>
      <c r="P198" s="861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  <c r="AA198" s="268"/>
      <c r="AB198" s="268"/>
      <c r="AC198" s="268"/>
      <c r="AD198" s="268"/>
      <c r="AE198" s="268"/>
      <c r="AF198" s="268"/>
      <c r="AG198" s="268"/>
      <c r="AH198" s="215"/>
    </row>
    <row r="199" spans="1:34" x14ac:dyDescent="0.2">
      <c r="A199" s="265"/>
      <c r="B199" s="266"/>
      <c r="C199" s="266"/>
      <c r="D199" s="268"/>
      <c r="E199" s="266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79"/>
      <c r="Q199" s="266"/>
      <c r="R199" s="266"/>
      <c r="S199" s="266"/>
      <c r="T199" s="266"/>
      <c r="U199" s="266"/>
      <c r="V199" s="266"/>
      <c r="W199" s="266"/>
      <c r="X199" s="266"/>
      <c r="Y199" s="266"/>
      <c r="Z199" s="266"/>
      <c r="AA199" s="266"/>
      <c r="AB199" s="266"/>
      <c r="AC199" s="266"/>
      <c r="AD199" s="266"/>
      <c r="AE199" s="266"/>
      <c r="AF199" s="266"/>
      <c r="AG199" s="266"/>
      <c r="AH199" s="215"/>
    </row>
    <row r="200" spans="1:34" x14ac:dyDescent="0.2">
      <c r="A200" s="265"/>
      <c r="B200" s="266"/>
      <c r="C200" s="268"/>
      <c r="D200" s="268">
        <v>42353</v>
      </c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x14ac:dyDescent="0.2">
      <c r="A201" s="265"/>
      <c r="B201" s="266"/>
      <c r="C201" s="268"/>
      <c r="D201" s="268"/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ht="13.5" thickBot="1" x14ac:dyDescent="0.25">
      <c r="A202" s="265"/>
      <c r="B202" s="266"/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79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15"/>
    </row>
    <row r="203" spans="1:34" ht="13.5" thickBot="1" x14ac:dyDescent="0.25">
      <c r="A203" s="265"/>
      <c r="B203" s="266"/>
      <c r="C203" s="270"/>
      <c r="D203" s="271" t="s">
        <v>16</v>
      </c>
      <c r="E203" s="271"/>
      <c r="F203" s="271"/>
      <c r="G203" s="271"/>
      <c r="H203" s="271"/>
      <c r="I203" s="271"/>
      <c r="J203" s="271"/>
      <c r="K203" s="271"/>
      <c r="L203" s="271"/>
      <c r="M203" s="271"/>
      <c r="N203" s="271"/>
      <c r="O203" s="271"/>
      <c r="P203" s="862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  <c r="AA203" s="271"/>
      <c r="AB203" s="271"/>
      <c r="AC203" s="271"/>
      <c r="AD203" s="271"/>
      <c r="AE203" s="271"/>
      <c r="AF203" s="271"/>
      <c r="AG203" s="271"/>
      <c r="AH203" s="215"/>
    </row>
    <row r="204" spans="1:34" ht="13.5" thickBot="1" x14ac:dyDescent="0.25">
      <c r="A204" s="265"/>
      <c r="B204" s="266"/>
      <c r="C204" s="272" t="s">
        <v>452</v>
      </c>
      <c r="D204" s="272" t="s">
        <v>453</v>
      </c>
      <c r="E204" s="272" t="s">
        <v>434</v>
      </c>
      <c r="F204" s="272" t="s">
        <v>390</v>
      </c>
      <c r="G204" s="272" t="s">
        <v>454</v>
      </c>
      <c r="H204" s="272" t="s">
        <v>455</v>
      </c>
      <c r="I204" s="272" t="s">
        <v>456</v>
      </c>
      <c r="J204" s="272" t="s">
        <v>457</v>
      </c>
      <c r="K204" s="272" t="s">
        <v>458</v>
      </c>
      <c r="L204" s="272" t="s">
        <v>216</v>
      </c>
      <c r="M204" s="272" t="s">
        <v>459</v>
      </c>
      <c r="N204" s="272" t="s">
        <v>297</v>
      </c>
      <c r="O204" s="272" t="s">
        <v>211</v>
      </c>
      <c r="P204" s="863" t="s">
        <v>270</v>
      </c>
      <c r="Q204" s="272">
        <v>15</v>
      </c>
      <c r="R204" s="272">
        <v>16</v>
      </c>
      <c r="S204" s="272" t="s">
        <v>461</v>
      </c>
      <c r="T204" s="272" t="s">
        <v>442</v>
      </c>
      <c r="U204" s="272" t="s">
        <v>462</v>
      </c>
      <c r="V204" s="272" t="s">
        <v>470</v>
      </c>
      <c r="W204" s="272" t="s">
        <v>471</v>
      </c>
      <c r="X204" s="272" t="s">
        <v>472</v>
      </c>
      <c r="Y204" s="272" t="s">
        <v>463</v>
      </c>
      <c r="Z204" s="272" t="s">
        <v>465</v>
      </c>
      <c r="AA204" s="272" t="s">
        <v>466</v>
      </c>
      <c r="AB204" s="272" t="s">
        <v>435</v>
      </c>
      <c r="AC204" s="272" t="s">
        <v>467</v>
      </c>
      <c r="AD204" s="272" t="s">
        <v>464</v>
      </c>
      <c r="AE204" s="272" t="s">
        <v>429</v>
      </c>
      <c r="AF204" s="272" t="s">
        <v>149</v>
      </c>
      <c r="AG204" s="272" t="s">
        <v>210</v>
      </c>
      <c r="AH204" s="215"/>
    </row>
    <row r="205" spans="1:34" x14ac:dyDescent="0.2">
      <c r="A205" s="263"/>
      <c r="B205" s="273"/>
      <c r="C205" s="266"/>
      <c r="D205" s="266"/>
      <c r="E205" s="266"/>
      <c r="F205" s="266"/>
      <c r="G205" s="266"/>
      <c r="H205" s="266"/>
      <c r="I205" s="266"/>
      <c r="J205" s="266"/>
      <c r="K205" s="266"/>
      <c r="L205" s="266"/>
      <c r="M205" s="266"/>
      <c r="N205" s="266"/>
      <c r="O205" s="266"/>
      <c r="P205" s="279"/>
      <c r="Q205" s="266"/>
      <c r="R205" s="266"/>
      <c r="S205" s="266"/>
      <c r="T205" s="266"/>
      <c r="U205" s="266"/>
      <c r="V205" s="266"/>
      <c r="W205" s="266"/>
      <c r="X205" s="266"/>
      <c r="Y205" s="266"/>
      <c r="Z205" s="266"/>
      <c r="AA205" s="266"/>
      <c r="AB205" s="266"/>
      <c r="AC205" s="266"/>
      <c r="AD205" s="266"/>
      <c r="AE205" s="266"/>
      <c r="AF205" s="266"/>
      <c r="AG205" s="266"/>
      <c r="AH205" s="215"/>
    </row>
    <row r="206" spans="1:34" x14ac:dyDescent="0.2">
      <c r="A206" s="265" t="s">
        <v>0</v>
      </c>
      <c r="B206" s="274">
        <v>-30250.864000000001</v>
      </c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ht="13.5" thickBot="1" x14ac:dyDescent="0.25">
      <c r="A207" s="275"/>
      <c r="B207" s="27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x14ac:dyDescent="0.2">
      <c r="A208" s="263"/>
      <c r="B208" s="278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5" t="s">
        <v>1</v>
      </c>
      <c r="B209" s="274">
        <f>B210+B211+B212</f>
        <v>0</v>
      </c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38</v>
      </c>
      <c r="B210" s="274">
        <f>C258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39</v>
      </c>
      <c r="B211" s="274">
        <f>C280</f>
        <v>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x14ac:dyDescent="0.2">
      <c r="A212" s="265" t="s">
        <v>3</v>
      </c>
      <c r="B212" s="274"/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ht="13.5" thickBot="1" x14ac:dyDescent="0.25">
      <c r="A213" s="275"/>
      <c r="B213" s="276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x14ac:dyDescent="0.2">
      <c r="A214" s="263"/>
      <c r="B214" s="278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x14ac:dyDescent="0.2">
      <c r="A215" s="265" t="s">
        <v>4</v>
      </c>
      <c r="B215" s="274">
        <f>B206-B209</f>
        <v>-30250.864000000001</v>
      </c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ht="13.5" thickBot="1" x14ac:dyDescent="0.25">
      <c r="A216" s="275"/>
      <c r="B216" s="276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x14ac:dyDescent="0.2">
      <c r="A217" s="263"/>
      <c r="B217" s="278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x14ac:dyDescent="0.2">
      <c r="A218" s="265" t="s">
        <v>17</v>
      </c>
      <c r="B218" s="274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ht="13.5" thickBot="1" x14ac:dyDescent="0.25">
      <c r="A219" s="275"/>
      <c r="B219" s="27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330"/>
      <c r="Y219" s="266"/>
      <c r="Z219" s="266"/>
      <c r="AA219" s="266"/>
      <c r="AB219" s="266"/>
      <c r="AC219" s="266"/>
      <c r="AD219" s="266"/>
      <c r="AE219" s="266"/>
      <c r="AF219" s="266"/>
      <c r="AG219" s="266"/>
      <c r="AH219" s="215"/>
    </row>
    <row r="220" spans="1:34" x14ac:dyDescent="0.2">
      <c r="A220" s="263"/>
      <c r="B220" s="278"/>
      <c r="C220" s="281"/>
      <c r="D220" s="269"/>
      <c r="E220" s="266"/>
      <c r="F220" s="266"/>
      <c r="G220" s="269"/>
      <c r="H220" s="269"/>
      <c r="I220" s="266"/>
      <c r="J220" s="269"/>
      <c r="K220" s="266"/>
      <c r="L220" s="266"/>
      <c r="M220" s="266"/>
      <c r="N220" s="266"/>
      <c r="O220" s="266"/>
      <c r="P220" s="279"/>
      <c r="Q220" s="281"/>
      <c r="R220" s="266"/>
      <c r="S220" s="266"/>
      <c r="T220" s="266"/>
      <c r="U220" s="266"/>
      <c r="V220" s="266"/>
      <c r="W220" s="266"/>
      <c r="X220" s="266"/>
      <c r="Y220" s="266"/>
      <c r="Z220" s="266"/>
      <c r="AA220" s="266"/>
      <c r="AB220" s="266"/>
      <c r="AC220" s="810"/>
      <c r="AE220" s="1195"/>
      <c r="AF220" s="269"/>
      <c r="AH220" s="215"/>
    </row>
    <row r="221" spans="1:34" x14ac:dyDescent="0.2">
      <c r="A221" s="265" t="s">
        <v>5</v>
      </c>
      <c r="B221" s="274">
        <f>B215-B218</f>
        <v>-30250.864000000001</v>
      </c>
      <c r="D221" s="269"/>
      <c r="E221" s="934"/>
      <c r="G221" s="269"/>
      <c r="H221" s="269"/>
      <c r="I221" s="269"/>
      <c r="J221" s="269"/>
      <c r="K221" s="281"/>
      <c r="L221" s="269"/>
      <c r="M221" s="269"/>
      <c r="N221" s="281"/>
      <c r="O221" s="269"/>
      <c r="P221" s="279"/>
      <c r="Q221" s="281"/>
      <c r="R221" s="266"/>
      <c r="S221" s="269"/>
      <c r="T221" s="269"/>
      <c r="U221" s="269"/>
      <c r="V221" s="269"/>
      <c r="W221" s="266"/>
      <c r="X221" s="802"/>
      <c r="Y221" s="269"/>
      <c r="Z221" s="266"/>
      <c r="AA221" s="269"/>
      <c r="AB221" s="269"/>
      <c r="AC221" s="802"/>
      <c r="AD221" s="942" t="s">
        <v>1195</v>
      </c>
      <c r="AE221" s="810"/>
      <c r="AF221" s="269"/>
      <c r="AH221" s="215"/>
    </row>
    <row r="222" spans="1:34" ht="13.5" thickBot="1" x14ac:dyDescent="0.25">
      <c r="A222" s="275"/>
      <c r="B222" s="276"/>
      <c r="D222" s="266"/>
      <c r="E222" s="266"/>
      <c r="F222" s="266"/>
      <c r="G222" s="266"/>
      <c r="H222" s="266"/>
      <c r="I222" s="266"/>
      <c r="J222" s="269"/>
      <c r="K222" s="266"/>
      <c r="L222" s="266"/>
      <c r="M222" s="266"/>
      <c r="N222" s="266"/>
      <c r="O222" s="266"/>
      <c r="P222" s="279"/>
      <c r="Q222" s="266"/>
      <c r="R222" s="266"/>
      <c r="S222" s="266"/>
      <c r="T222" s="266"/>
      <c r="U222" s="269"/>
      <c r="V222" s="266"/>
      <c r="W222" s="266"/>
      <c r="X222" s="266"/>
      <c r="Y222" s="266"/>
      <c r="Z222" s="266"/>
      <c r="AA222" s="266"/>
      <c r="AB222" s="266"/>
      <c r="AC222" s="266"/>
      <c r="AD222" s="266"/>
      <c r="AE222" s="266"/>
      <c r="AF222" s="266"/>
      <c r="AG222" s="266"/>
      <c r="AH222" s="215"/>
    </row>
    <row r="223" spans="1:34" x14ac:dyDescent="0.2">
      <c r="A223" s="282"/>
      <c r="B223" s="266"/>
      <c r="C223" s="283"/>
      <c r="D223" s="285"/>
      <c r="E223" s="284"/>
      <c r="F223" s="284"/>
      <c r="G223" s="284"/>
      <c r="H223" s="284"/>
      <c r="I223" s="284"/>
      <c r="J223" s="284"/>
      <c r="K223" s="284"/>
      <c r="L223" s="284"/>
      <c r="M223" s="284"/>
      <c r="N223" s="284"/>
      <c r="O223" s="284"/>
      <c r="P223" s="86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  <c r="AA223" s="284"/>
      <c r="AB223" s="284"/>
      <c r="AC223" s="284"/>
      <c r="AD223" s="284"/>
      <c r="AE223" s="284"/>
      <c r="AF223" s="284"/>
      <c r="AG223" s="284"/>
      <c r="AH223" s="215"/>
    </row>
    <row r="224" spans="1:34" ht="13.5" thickBot="1" x14ac:dyDescent="0.25">
      <c r="A224" s="287" t="s">
        <v>7</v>
      </c>
      <c r="B224" s="266"/>
      <c r="C224" s="288">
        <f>C225+C226+C227+C229+C228</f>
        <v>0</v>
      </c>
      <c r="D224" s="288">
        <f>D225+D226+D227+D229+D228</f>
        <v>0</v>
      </c>
      <c r="E224" s="288">
        <f>E225+E226+E227+E229+E228</f>
        <v>0</v>
      </c>
      <c r="F224" s="288">
        <f>F225+F226+F227+F229+F228</f>
        <v>0</v>
      </c>
      <c r="G224" s="288">
        <f>G225+G226+G227+G229+G228</f>
        <v>0</v>
      </c>
      <c r="H224" s="288">
        <f t="shared" ref="H224:AG224" si="23">H225+H226+H227+H229+H228</f>
        <v>0</v>
      </c>
      <c r="I224" s="288">
        <f t="shared" si="23"/>
        <v>0</v>
      </c>
      <c r="J224" s="288">
        <f t="shared" si="23"/>
        <v>0</v>
      </c>
      <c r="K224" s="288">
        <f t="shared" si="23"/>
        <v>0</v>
      </c>
      <c r="L224" s="288">
        <f t="shared" si="23"/>
        <v>0</v>
      </c>
      <c r="M224" s="288">
        <f t="shared" si="23"/>
        <v>0</v>
      </c>
      <c r="N224" s="288">
        <f t="shared" si="23"/>
        <v>0</v>
      </c>
      <c r="O224" s="288">
        <f t="shared" si="23"/>
        <v>0</v>
      </c>
      <c r="P224" s="865">
        <f t="shared" si="23"/>
        <v>0</v>
      </c>
      <c r="Q224" s="288">
        <f t="shared" si="23"/>
        <v>0</v>
      </c>
      <c r="R224" s="288">
        <f t="shared" si="23"/>
        <v>0</v>
      </c>
      <c r="S224" s="288">
        <f t="shared" si="23"/>
        <v>0</v>
      </c>
      <c r="T224" s="288">
        <f t="shared" si="23"/>
        <v>0</v>
      </c>
      <c r="U224" s="288">
        <f t="shared" si="23"/>
        <v>0</v>
      </c>
      <c r="V224" s="288">
        <f t="shared" si="23"/>
        <v>0</v>
      </c>
      <c r="W224" s="288">
        <f t="shared" si="23"/>
        <v>0</v>
      </c>
      <c r="X224" s="288">
        <f t="shared" si="23"/>
        <v>0</v>
      </c>
      <c r="Y224" s="288">
        <f t="shared" si="23"/>
        <v>0</v>
      </c>
      <c r="Z224" s="288">
        <f t="shared" si="23"/>
        <v>0</v>
      </c>
      <c r="AA224" s="288">
        <f t="shared" si="23"/>
        <v>0</v>
      </c>
      <c r="AB224" s="288">
        <f t="shared" si="23"/>
        <v>0</v>
      </c>
      <c r="AC224" s="288">
        <f t="shared" si="23"/>
        <v>0</v>
      </c>
      <c r="AD224" s="288">
        <f>AD225+AD226+AD227+AD229+AD228</f>
        <v>0</v>
      </c>
      <c r="AE224" s="288">
        <f t="shared" si="23"/>
        <v>0</v>
      </c>
      <c r="AF224" s="288">
        <f t="shared" si="23"/>
        <v>0</v>
      </c>
      <c r="AG224" s="288">
        <f t="shared" si="23"/>
        <v>0</v>
      </c>
      <c r="AH224" s="286">
        <f>SUM(C224:AG224)</f>
        <v>0</v>
      </c>
    </row>
    <row r="225" spans="1:34" x14ac:dyDescent="0.2">
      <c r="A225" s="287" t="s">
        <v>8</v>
      </c>
      <c r="B225" s="331"/>
      <c r="C225" s="291"/>
      <c r="D225" s="291"/>
      <c r="E225" s="290"/>
      <c r="F225" s="290"/>
      <c r="G225" s="290"/>
      <c r="H225" s="290"/>
      <c r="I225" s="290"/>
      <c r="J225" s="290"/>
      <c r="K225" s="290"/>
      <c r="L225" s="290"/>
      <c r="M225" s="290"/>
      <c r="N225" s="290"/>
      <c r="O225" s="290"/>
      <c r="P225" s="292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  <c r="AA225" s="290"/>
      <c r="AB225" s="290"/>
      <c r="AC225" s="290"/>
      <c r="AD225" s="290"/>
      <c r="AE225" s="290"/>
      <c r="AF225" s="290"/>
      <c r="AG225" s="290"/>
      <c r="AH225" s="286">
        <f>SUM(C225:AG225)</f>
        <v>0</v>
      </c>
    </row>
    <row r="226" spans="1:34" x14ac:dyDescent="0.2">
      <c r="A226" s="287" t="s">
        <v>9</v>
      </c>
      <c r="B226" s="331"/>
      <c r="C226" s="291"/>
      <c r="D226" s="291"/>
      <c r="E226" s="290"/>
      <c r="F226" s="290"/>
      <c r="G226" s="290"/>
      <c r="H226" s="290"/>
      <c r="I226" s="290"/>
      <c r="J226" s="290"/>
      <c r="K226" s="290"/>
      <c r="L226" s="290"/>
      <c r="M226" s="295"/>
      <c r="N226" s="290"/>
      <c r="O226" s="290"/>
      <c r="P226" s="292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86">
        <f>SUM(C226:AG226)</f>
        <v>0</v>
      </c>
    </row>
    <row r="227" spans="1:34" s="360" customFormat="1" x14ac:dyDescent="0.2">
      <c r="A227" s="662" t="s">
        <v>10</v>
      </c>
      <c r="B227" s="669"/>
      <c r="C227" s="565"/>
      <c r="D227" s="565"/>
      <c r="E227" s="560"/>
      <c r="F227" s="560"/>
      <c r="G227" s="560"/>
      <c r="H227" s="560"/>
      <c r="I227" s="560"/>
      <c r="J227" s="560"/>
      <c r="K227" s="560"/>
      <c r="L227" s="380"/>
      <c r="M227" s="560"/>
      <c r="N227" s="560"/>
      <c r="O227" s="560"/>
      <c r="P227" s="560"/>
      <c r="Q227" s="560"/>
      <c r="R227" s="560"/>
      <c r="S227" s="560"/>
      <c r="T227" s="560"/>
      <c r="U227" s="560"/>
      <c r="V227" s="560"/>
      <c r="W227" s="560"/>
      <c r="X227" s="708"/>
      <c r="Y227" s="560"/>
      <c r="Z227" s="560"/>
      <c r="AA227" s="560"/>
      <c r="AB227" s="560"/>
      <c r="AC227" s="811"/>
      <c r="AD227" s="803"/>
      <c r="AE227" s="803"/>
      <c r="AF227" s="380"/>
      <c r="AG227" s="560"/>
      <c r="AH227" s="379">
        <f>SUM(C227:AG227)</f>
        <v>0</v>
      </c>
    </row>
    <row r="228" spans="1:34" s="360" customFormat="1" x14ac:dyDescent="0.2">
      <c r="A228" s="662" t="s">
        <v>356</v>
      </c>
      <c r="B228" s="669"/>
      <c r="C228" s="565"/>
      <c r="D228" s="565"/>
      <c r="E228" s="565"/>
      <c r="F228" s="560"/>
      <c r="G228" s="560"/>
      <c r="H228" s="560"/>
      <c r="I228" s="560"/>
      <c r="J228" s="560"/>
      <c r="K228" s="560"/>
      <c r="L228" s="560"/>
      <c r="M228" s="560"/>
      <c r="N228" s="560"/>
      <c r="O228" s="560"/>
      <c r="P228" s="560"/>
      <c r="Q228" s="560"/>
      <c r="R228" s="560"/>
      <c r="S228" s="560"/>
      <c r="T228" s="560"/>
      <c r="U228" s="560"/>
      <c r="V228" s="560"/>
      <c r="W228" s="560"/>
      <c r="X228" s="560"/>
      <c r="Y228" s="560"/>
      <c r="Z228" s="560"/>
      <c r="AA228" s="560"/>
      <c r="AB228" s="560"/>
      <c r="AC228" s="560"/>
      <c r="AD228" s="560"/>
      <c r="AE228" s="560"/>
      <c r="AF228" s="560"/>
      <c r="AG228" s="560"/>
      <c r="AH228" s="379">
        <f>SUM(C228:AG228)</f>
        <v>0</v>
      </c>
    </row>
    <row r="229" spans="1:34" x14ac:dyDescent="0.2">
      <c r="A229" s="287" t="s">
        <v>11</v>
      </c>
      <c r="B229" s="266"/>
      <c r="C229" s="291"/>
      <c r="D229" s="289"/>
      <c r="E229" s="289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455"/>
      <c r="AF229" s="292"/>
      <c r="AG229" s="292"/>
      <c r="AH229" s="215"/>
    </row>
    <row r="230" spans="1:34" ht="13.5" thickBot="1" x14ac:dyDescent="0.25">
      <c r="A230" s="296"/>
      <c r="B230" s="266"/>
      <c r="C230" s="291"/>
      <c r="D230" s="291"/>
      <c r="E230" s="291"/>
      <c r="F230" s="290"/>
      <c r="G230" s="290"/>
      <c r="H230" s="290"/>
      <c r="I230" s="290"/>
      <c r="J230" s="290"/>
      <c r="K230" s="290"/>
      <c r="L230" s="290"/>
      <c r="M230" s="290"/>
      <c r="N230" s="290"/>
      <c r="O230" s="290"/>
      <c r="P230" s="292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15"/>
    </row>
    <row r="231" spans="1:34" x14ac:dyDescent="0.2">
      <c r="A231" s="282"/>
      <c r="B231" s="266"/>
      <c r="C231" s="297"/>
      <c r="D231" s="298"/>
      <c r="E231" s="298"/>
      <c r="F231" s="299"/>
      <c r="G231" s="299"/>
      <c r="H231" s="299"/>
      <c r="I231" s="299"/>
      <c r="J231" s="299"/>
      <c r="K231" s="299"/>
      <c r="L231" s="299"/>
      <c r="M231" s="299"/>
      <c r="N231" s="299"/>
      <c r="O231" s="299"/>
      <c r="P231" s="866"/>
      <c r="Q231" s="299"/>
      <c r="R231" s="299"/>
      <c r="S231" s="299"/>
      <c r="T231" s="299"/>
      <c r="U231" s="299"/>
      <c r="V231" s="299"/>
      <c r="W231" s="299"/>
      <c r="X231" s="299"/>
      <c r="Y231" s="299"/>
      <c r="Z231" s="299"/>
      <c r="AA231" s="299"/>
      <c r="AB231" s="299"/>
      <c r="AC231" s="299"/>
      <c r="AD231" s="299"/>
      <c r="AE231" s="299"/>
      <c r="AF231" s="299"/>
      <c r="AG231" s="299"/>
      <c r="AH231" s="215"/>
    </row>
    <row r="232" spans="1:34" ht="13.5" thickBot="1" x14ac:dyDescent="0.25">
      <c r="A232" s="287" t="s">
        <v>12</v>
      </c>
      <c r="B232" s="266"/>
      <c r="C232" s="288">
        <f>C233</f>
        <v>0</v>
      </c>
      <c r="D232" s="288">
        <f t="shared" ref="D232:AG232" si="24">D233</f>
        <v>0</v>
      </c>
      <c r="E232" s="288">
        <f t="shared" si="24"/>
        <v>0</v>
      </c>
      <c r="F232" s="288">
        <f t="shared" si="24"/>
        <v>0</v>
      </c>
      <c r="G232" s="288">
        <f t="shared" si="24"/>
        <v>0</v>
      </c>
      <c r="H232" s="288">
        <f t="shared" si="24"/>
        <v>0</v>
      </c>
      <c r="I232" s="288">
        <f t="shared" si="24"/>
        <v>0</v>
      </c>
      <c r="J232" s="288">
        <f t="shared" si="24"/>
        <v>0</v>
      </c>
      <c r="K232" s="288">
        <f t="shared" si="24"/>
        <v>0</v>
      </c>
      <c r="L232" s="288">
        <f t="shared" si="24"/>
        <v>0</v>
      </c>
      <c r="M232" s="288">
        <f t="shared" si="24"/>
        <v>0</v>
      </c>
      <c r="N232" s="288">
        <f t="shared" si="24"/>
        <v>0</v>
      </c>
      <c r="O232" s="288">
        <f t="shared" si="24"/>
        <v>0</v>
      </c>
      <c r="P232" s="865">
        <f t="shared" si="24"/>
        <v>0</v>
      </c>
      <c r="Q232" s="288">
        <f t="shared" si="24"/>
        <v>0</v>
      </c>
      <c r="R232" s="288">
        <f t="shared" si="24"/>
        <v>0</v>
      </c>
      <c r="S232" s="288">
        <f t="shared" si="24"/>
        <v>0</v>
      </c>
      <c r="T232" s="288">
        <f t="shared" si="24"/>
        <v>0</v>
      </c>
      <c r="U232" s="288">
        <f t="shared" si="24"/>
        <v>0</v>
      </c>
      <c r="V232" s="288">
        <f t="shared" si="24"/>
        <v>0</v>
      </c>
      <c r="W232" s="288">
        <f t="shared" si="24"/>
        <v>0</v>
      </c>
      <c r="X232" s="288">
        <f t="shared" si="24"/>
        <v>0</v>
      </c>
      <c r="Y232" s="288">
        <f t="shared" si="24"/>
        <v>0</v>
      </c>
      <c r="Z232" s="288">
        <f t="shared" si="24"/>
        <v>0</v>
      </c>
      <c r="AA232" s="288">
        <f t="shared" si="24"/>
        <v>0</v>
      </c>
      <c r="AB232" s="288">
        <f t="shared" si="24"/>
        <v>0</v>
      </c>
      <c r="AC232" s="288">
        <f t="shared" si="24"/>
        <v>0</v>
      </c>
      <c r="AD232" s="288">
        <f t="shared" si="24"/>
        <v>0</v>
      </c>
      <c r="AE232" s="288">
        <f t="shared" si="24"/>
        <v>0</v>
      </c>
      <c r="AF232" s="288">
        <f t="shared" si="24"/>
        <v>0</v>
      </c>
      <c r="AG232" s="288">
        <f t="shared" si="24"/>
        <v>0</v>
      </c>
      <c r="AH232" s="215"/>
    </row>
    <row r="233" spans="1:34" x14ac:dyDescent="0.2">
      <c r="A233" s="287" t="s">
        <v>8</v>
      </c>
      <c r="B233" s="266"/>
      <c r="C233" s="291"/>
      <c r="D233" s="291"/>
      <c r="E233" s="291"/>
      <c r="F233" s="290"/>
      <c r="G233" s="290"/>
      <c r="H233" s="290"/>
      <c r="I233" s="290"/>
      <c r="J233" s="290"/>
      <c r="K233" s="290"/>
      <c r="L233" s="290"/>
      <c r="M233" s="290"/>
      <c r="N233" s="290"/>
      <c r="O233" s="290"/>
      <c r="P233" s="292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  <c r="AA233" s="290"/>
      <c r="AB233" s="290"/>
      <c r="AC233" s="290"/>
      <c r="AD233" s="290"/>
      <c r="AE233" s="290"/>
      <c r="AF233" s="290"/>
      <c r="AG233" s="290"/>
      <c r="AH233" s="215"/>
    </row>
    <row r="234" spans="1:34" x14ac:dyDescent="0.2">
      <c r="A234" s="287" t="s">
        <v>775</v>
      </c>
      <c r="B234" s="266"/>
      <c r="C234" s="291"/>
      <c r="D234" s="291">
        <v>4004</v>
      </c>
      <c r="E234" s="291"/>
      <c r="F234" s="290">
        <v>1400</v>
      </c>
      <c r="G234" s="290"/>
      <c r="H234" s="290">
        <v>3040</v>
      </c>
      <c r="I234" s="290">
        <v>2200</v>
      </c>
      <c r="J234" s="290">
        <v>21112</v>
      </c>
      <c r="K234" s="290"/>
      <c r="L234" s="290">
        <v>2979</v>
      </c>
      <c r="M234" s="290"/>
      <c r="N234" s="290"/>
      <c r="O234" s="290"/>
      <c r="P234" s="292"/>
      <c r="Q234" s="290">
        <v>1089</v>
      </c>
      <c r="R234" s="290"/>
      <c r="S234" s="290"/>
      <c r="T234" s="290">
        <v>1000</v>
      </c>
      <c r="U234" s="290"/>
      <c r="V234" s="290">
        <v>3255</v>
      </c>
      <c r="W234" s="290"/>
      <c r="X234" s="290"/>
      <c r="Y234" s="290"/>
      <c r="Z234" s="290"/>
      <c r="AA234" s="290">
        <v>3431</v>
      </c>
      <c r="AB234" s="290"/>
      <c r="AC234" s="290"/>
      <c r="AD234" s="290"/>
      <c r="AE234" s="290"/>
      <c r="AF234" s="290">
        <v>20978</v>
      </c>
      <c r="AG234" s="290"/>
      <c r="AH234" s="286">
        <f>SUM(C234:AG234)</f>
        <v>64488</v>
      </c>
    </row>
    <row r="235" spans="1:34" ht="13.5" thickBot="1" x14ac:dyDescent="0.25">
      <c r="A235" s="296"/>
      <c r="B235" s="266"/>
      <c r="C235" s="291"/>
      <c r="D235" s="291"/>
      <c r="E235" s="291"/>
      <c r="F235" s="290"/>
      <c r="G235" s="290"/>
      <c r="H235" s="290"/>
      <c r="I235" s="290"/>
      <c r="J235" s="290"/>
      <c r="K235" s="290"/>
      <c r="L235" s="290"/>
      <c r="M235" s="290"/>
      <c r="N235" s="290"/>
      <c r="O235" s="290"/>
      <c r="P235" s="292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15"/>
    </row>
    <row r="236" spans="1:34" x14ac:dyDescent="0.2">
      <c r="A236" s="282"/>
      <c r="B236" s="266"/>
      <c r="C236" s="297"/>
      <c r="D236" s="298"/>
      <c r="E236" s="298"/>
      <c r="F236" s="299"/>
      <c r="G236" s="299"/>
      <c r="H236" s="299"/>
      <c r="I236" s="299"/>
      <c r="J236" s="299"/>
      <c r="K236" s="299"/>
      <c r="L236" s="299"/>
      <c r="M236" s="299"/>
      <c r="N236" s="299"/>
      <c r="O236" s="299"/>
      <c r="P236" s="866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  <c r="AA236" s="299"/>
      <c r="AB236" s="299"/>
      <c r="AC236" s="299"/>
      <c r="AD236" s="299"/>
      <c r="AE236" s="299"/>
      <c r="AF236" s="299"/>
      <c r="AG236" s="299"/>
      <c r="AH236" s="215"/>
    </row>
    <row r="237" spans="1:34" x14ac:dyDescent="0.2">
      <c r="A237" s="287" t="s">
        <v>13</v>
      </c>
      <c r="B237" s="266"/>
      <c r="C237" s="300">
        <f>C232-C224</f>
        <v>0</v>
      </c>
      <c r="D237" s="300">
        <f>D232-D224</f>
        <v>0</v>
      </c>
      <c r="E237" s="300">
        <f>E232-E224</f>
        <v>0</v>
      </c>
      <c r="F237" s="300">
        <f>F232-F224</f>
        <v>0</v>
      </c>
      <c r="G237" s="300">
        <f>G232-G224</f>
        <v>0</v>
      </c>
      <c r="H237" s="300">
        <f t="shared" ref="H237:AG237" si="25">H232-H224</f>
        <v>0</v>
      </c>
      <c r="I237" s="300">
        <f t="shared" si="25"/>
        <v>0</v>
      </c>
      <c r="J237" s="300">
        <f t="shared" si="25"/>
        <v>0</v>
      </c>
      <c r="K237" s="300">
        <f t="shared" si="25"/>
        <v>0</v>
      </c>
      <c r="L237" s="300">
        <f t="shared" si="25"/>
        <v>0</v>
      </c>
      <c r="M237" s="300">
        <f t="shared" si="25"/>
        <v>0</v>
      </c>
      <c r="N237" s="300">
        <f t="shared" si="25"/>
        <v>0</v>
      </c>
      <c r="O237" s="300">
        <f t="shared" si="25"/>
        <v>0</v>
      </c>
      <c r="P237" s="867">
        <f t="shared" si="25"/>
        <v>0</v>
      </c>
      <c r="Q237" s="300">
        <f t="shared" si="25"/>
        <v>0</v>
      </c>
      <c r="R237" s="300">
        <f t="shared" si="25"/>
        <v>0</v>
      </c>
      <c r="S237" s="300">
        <f t="shared" si="25"/>
        <v>0</v>
      </c>
      <c r="T237" s="300">
        <f t="shared" si="25"/>
        <v>0</v>
      </c>
      <c r="U237" s="300">
        <f t="shared" si="25"/>
        <v>0</v>
      </c>
      <c r="V237" s="300">
        <f t="shared" si="25"/>
        <v>0</v>
      </c>
      <c r="W237" s="300">
        <f t="shared" si="25"/>
        <v>0</v>
      </c>
      <c r="X237" s="300">
        <f t="shared" si="25"/>
        <v>0</v>
      </c>
      <c r="Y237" s="300">
        <f t="shared" si="25"/>
        <v>0</v>
      </c>
      <c r="Z237" s="300">
        <f t="shared" si="25"/>
        <v>0</v>
      </c>
      <c r="AA237" s="300">
        <f t="shared" si="25"/>
        <v>0</v>
      </c>
      <c r="AB237" s="300">
        <f t="shared" si="25"/>
        <v>0</v>
      </c>
      <c r="AC237" s="300">
        <f t="shared" si="25"/>
        <v>0</v>
      </c>
      <c r="AD237" s="300">
        <f t="shared" si="25"/>
        <v>0</v>
      </c>
      <c r="AE237" s="300">
        <f t="shared" si="25"/>
        <v>0</v>
      </c>
      <c r="AF237" s="300">
        <f t="shared" si="25"/>
        <v>0</v>
      </c>
      <c r="AG237" s="300">
        <f t="shared" si="25"/>
        <v>0</v>
      </c>
      <c r="AH237" s="215"/>
    </row>
    <row r="238" spans="1:34" ht="13.5" thickBot="1" x14ac:dyDescent="0.25">
      <c r="A238" s="287"/>
      <c r="B238" s="266"/>
      <c r="C238" s="300"/>
      <c r="D238" s="291"/>
      <c r="E238" s="291"/>
      <c r="F238" s="290"/>
      <c r="G238" s="290"/>
      <c r="H238" s="290"/>
      <c r="I238" s="290"/>
      <c r="J238" s="290"/>
      <c r="K238" s="290"/>
      <c r="L238" s="290"/>
      <c r="M238" s="290"/>
      <c r="N238" s="290"/>
      <c r="O238" s="290"/>
      <c r="P238" s="292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15"/>
    </row>
    <row r="239" spans="1:34" x14ac:dyDescent="0.2">
      <c r="A239" s="263"/>
      <c r="B239" s="264"/>
      <c r="C239" s="301"/>
      <c r="D239" s="298"/>
      <c r="E239" s="298"/>
      <c r="F239" s="299"/>
      <c r="G239" s="299"/>
      <c r="H239" s="299"/>
      <c r="I239" s="299"/>
      <c r="J239" s="299"/>
      <c r="K239" s="299"/>
      <c r="L239" s="299"/>
      <c r="M239" s="299"/>
      <c r="N239" s="299"/>
      <c r="O239" s="299"/>
      <c r="P239" s="866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  <c r="AA239" s="299"/>
      <c r="AB239" s="299"/>
      <c r="AC239" s="299"/>
      <c r="AD239" s="299"/>
      <c r="AE239" s="299"/>
      <c r="AF239" s="299"/>
      <c r="AG239" s="299"/>
      <c r="AH239" s="215"/>
    </row>
    <row r="240" spans="1:34" x14ac:dyDescent="0.2">
      <c r="A240" s="265" t="s">
        <v>15</v>
      </c>
      <c r="B240" s="266"/>
      <c r="C240" s="291">
        <f>B221+C237</f>
        <v>-30250.864000000001</v>
      </c>
      <c r="D240" s="291">
        <f t="shared" ref="D240:AG240" si="26">C247+D237</f>
        <v>-30250.864000000001</v>
      </c>
      <c r="E240" s="291">
        <f t="shared" si="26"/>
        <v>-30250.864000000001</v>
      </c>
      <c r="F240" s="291">
        <f t="shared" si="26"/>
        <v>-30250.864000000001</v>
      </c>
      <c r="G240" s="291">
        <f t="shared" si="26"/>
        <v>-30250.864000000001</v>
      </c>
      <c r="H240" s="291">
        <f t="shared" si="26"/>
        <v>-30250.864000000001</v>
      </c>
      <c r="I240" s="291">
        <f t="shared" si="26"/>
        <v>-30250.864000000001</v>
      </c>
      <c r="J240" s="291">
        <f t="shared" si="26"/>
        <v>-30250.864000000001</v>
      </c>
      <c r="K240" s="291">
        <f t="shared" si="26"/>
        <v>-30250.864000000001</v>
      </c>
      <c r="L240" s="291">
        <f t="shared" si="26"/>
        <v>-30250.864000000001</v>
      </c>
      <c r="M240" s="291">
        <f t="shared" si="26"/>
        <v>-30250.864000000001</v>
      </c>
      <c r="N240" s="291">
        <f t="shared" si="26"/>
        <v>-30250.864000000001</v>
      </c>
      <c r="O240" s="291">
        <f t="shared" si="26"/>
        <v>-30250.864000000001</v>
      </c>
      <c r="P240" s="289">
        <f t="shared" si="26"/>
        <v>-30250.864000000001</v>
      </c>
      <c r="Q240" s="291">
        <f t="shared" si="26"/>
        <v>-30250.864000000001</v>
      </c>
      <c r="R240" s="291">
        <f t="shared" si="26"/>
        <v>-30250.864000000001</v>
      </c>
      <c r="S240" s="291">
        <f t="shared" si="26"/>
        <v>-30250.864000000001</v>
      </c>
      <c r="T240" s="291">
        <f t="shared" si="26"/>
        <v>-30250.864000000001</v>
      </c>
      <c r="U240" s="291">
        <f t="shared" si="26"/>
        <v>-30250.864000000001</v>
      </c>
      <c r="V240" s="291">
        <f t="shared" si="26"/>
        <v>-30250.864000000001</v>
      </c>
      <c r="W240" s="291">
        <f t="shared" si="26"/>
        <v>-30250.864000000001</v>
      </c>
      <c r="X240" s="291">
        <f t="shared" si="26"/>
        <v>-30250.864000000001</v>
      </c>
      <c r="Y240" s="291">
        <f t="shared" si="26"/>
        <v>-30250.864000000001</v>
      </c>
      <c r="Z240" s="291">
        <f t="shared" si="26"/>
        <v>-30250.864000000001</v>
      </c>
      <c r="AA240" s="291">
        <f t="shared" si="26"/>
        <v>-30250.864000000001</v>
      </c>
      <c r="AB240" s="291">
        <f t="shared" si="26"/>
        <v>-30250.864000000001</v>
      </c>
      <c r="AC240" s="291">
        <f t="shared" si="26"/>
        <v>-30250.864000000001</v>
      </c>
      <c r="AD240" s="291">
        <f t="shared" si="26"/>
        <v>-30250.864000000001</v>
      </c>
      <c r="AE240" s="291">
        <f t="shared" si="26"/>
        <v>-30250.864000000001</v>
      </c>
      <c r="AF240" s="291">
        <f t="shared" si="26"/>
        <v>-30250.864000000001</v>
      </c>
      <c r="AG240" s="291">
        <f t="shared" si="26"/>
        <v>-30250.864000000001</v>
      </c>
      <c r="AH240" s="215"/>
    </row>
    <row r="241" spans="1:34" ht="13.5" thickBot="1" x14ac:dyDescent="0.25">
      <c r="A241" s="275"/>
      <c r="B241" s="302"/>
      <c r="C241" s="303"/>
      <c r="D241" s="303"/>
      <c r="E241" s="303"/>
      <c r="F241" s="304"/>
      <c r="G241" s="304"/>
      <c r="H241" s="304"/>
      <c r="I241" s="304"/>
      <c r="J241" s="304"/>
      <c r="K241" s="304"/>
      <c r="L241" s="304"/>
      <c r="M241" s="304"/>
      <c r="N241" s="304"/>
      <c r="O241" s="304"/>
      <c r="P241" s="868"/>
      <c r="Q241" s="304"/>
      <c r="R241" s="304"/>
      <c r="S241" s="304"/>
      <c r="T241" s="304"/>
      <c r="U241" s="304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04"/>
      <c r="AF241" s="304"/>
      <c r="AG241" s="304"/>
      <c r="AH241" s="215"/>
    </row>
    <row r="242" spans="1:34" x14ac:dyDescent="0.2">
      <c r="A242" s="263"/>
      <c r="B242" s="264"/>
      <c r="C242" s="298"/>
      <c r="D242" s="298"/>
      <c r="E242" s="298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866"/>
      <c r="Q242" s="299"/>
      <c r="R242" s="299"/>
      <c r="S242" s="299"/>
      <c r="T242" s="299"/>
      <c r="U242" s="299"/>
      <c r="V242" s="299"/>
      <c r="W242" s="299"/>
      <c r="X242" s="299"/>
      <c r="Y242" s="299"/>
      <c r="Z242" s="299"/>
      <c r="AA242" s="299"/>
      <c r="AB242" s="299"/>
      <c r="AC242" s="299"/>
      <c r="AD242" s="299"/>
      <c r="AE242" s="299"/>
      <c r="AF242" s="299"/>
      <c r="AG242" s="299"/>
      <c r="AH242" s="215"/>
    </row>
    <row r="243" spans="1:34" x14ac:dyDescent="0.2">
      <c r="A243" s="265" t="s">
        <v>82</v>
      </c>
      <c r="B243" s="266"/>
      <c r="C243" s="291">
        <f t="shared" ref="C243:AG244" si="27">C251</f>
        <v>0</v>
      </c>
      <c r="D243" s="291">
        <f t="shared" si="27"/>
        <v>0</v>
      </c>
      <c r="E243" s="291">
        <f t="shared" si="27"/>
        <v>0</v>
      </c>
      <c r="F243" s="291">
        <f t="shared" si="27"/>
        <v>0</v>
      </c>
      <c r="G243" s="291">
        <f t="shared" si="27"/>
        <v>0</v>
      </c>
      <c r="H243" s="291">
        <f t="shared" si="27"/>
        <v>0</v>
      </c>
      <c r="I243" s="291">
        <f t="shared" si="27"/>
        <v>0</v>
      </c>
      <c r="J243" s="291">
        <f t="shared" si="27"/>
        <v>0</v>
      </c>
      <c r="K243" s="291">
        <f t="shared" si="27"/>
        <v>0</v>
      </c>
      <c r="L243" s="291">
        <f t="shared" si="27"/>
        <v>0</v>
      </c>
      <c r="M243" s="291">
        <f t="shared" si="27"/>
        <v>0</v>
      </c>
      <c r="N243" s="291">
        <f t="shared" si="27"/>
        <v>0</v>
      </c>
      <c r="O243" s="291">
        <f t="shared" si="27"/>
        <v>0</v>
      </c>
      <c r="P243" s="289">
        <f t="shared" si="27"/>
        <v>0</v>
      </c>
      <c r="Q243" s="291">
        <f t="shared" si="27"/>
        <v>0</v>
      </c>
      <c r="R243" s="291">
        <f t="shared" si="27"/>
        <v>0</v>
      </c>
      <c r="S243" s="291">
        <f t="shared" si="27"/>
        <v>0</v>
      </c>
      <c r="T243" s="291">
        <f t="shared" si="27"/>
        <v>0</v>
      </c>
      <c r="U243" s="291">
        <f t="shared" si="27"/>
        <v>0</v>
      </c>
      <c r="V243" s="291">
        <f t="shared" si="27"/>
        <v>0</v>
      </c>
      <c r="W243" s="291">
        <f t="shared" si="27"/>
        <v>0</v>
      </c>
      <c r="X243" s="291">
        <f t="shared" si="27"/>
        <v>0</v>
      </c>
      <c r="Y243" s="291">
        <f t="shared" si="27"/>
        <v>0</v>
      </c>
      <c r="Z243" s="291">
        <f t="shared" si="27"/>
        <v>0</v>
      </c>
      <c r="AA243" s="291">
        <f t="shared" si="27"/>
        <v>0</v>
      </c>
      <c r="AB243" s="291">
        <f t="shared" si="27"/>
        <v>0</v>
      </c>
      <c r="AC243" s="291">
        <f t="shared" si="27"/>
        <v>0</v>
      </c>
      <c r="AD243" s="291">
        <f t="shared" si="27"/>
        <v>0</v>
      </c>
      <c r="AE243" s="291">
        <f t="shared" si="27"/>
        <v>0</v>
      </c>
      <c r="AF243" s="291">
        <f t="shared" si="27"/>
        <v>0</v>
      </c>
      <c r="AG243" s="291">
        <f t="shared" si="27"/>
        <v>0</v>
      </c>
      <c r="AH243" s="215"/>
    </row>
    <row r="244" spans="1:34" x14ac:dyDescent="0.2">
      <c r="A244" s="265" t="s">
        <v>83</v>
      </c>
      <c r="B244" s="266"/>
      <c r="C244" s="289">
        <f t="shared" si="27"/>
        <v>0</v>
      </c>
      <c r="D244" s="289">
        <f t="shared" si="27"/>
        <v>0</v>
      </c>
      <c r="E244" s="289">
        <f t="shared" si="27"/>
        <v>0</v>
      </c>
      <c r="F244" s="289">
        <f t="shared" si="27"/>
        <v>0</v>
      </c>
      <c r="G244" s="289">
        <f t="shared" si="27"/>
        <v>0</v>
      </c>
      <c r="H244" s="289">
        <f t="shared" si="27"/>
        <v>0</v>
      </c>
      <c r="I244" s="289">
        <f t="shared" si="27"/>
        <v>0</v>
      </c>
      <c r="J244" s="289">
        <f t="shared" si="27"/>
        <v>0</v>
      </c>
      <c r="K244" s="289">
        <f t="shared" si="27"/>
        <v>0</v>
      </c>
      <c r="L244" s="289">
        <f t="shared" si="27"/>
        <v>0</v>
      </c>
      <c r="M244" s="289">
        <f t="shared" si="27"/>
        <v>0</v>
      </c>
      <c r="N244" s="289">
        <f t="shared" si="27"/>
        <v>0</v>
      </c>
      <c r="O244" s="289">
        <f t="shared" si="27"/>
        <v>0</v>
      </c>
      <c r="P244" s="289">
        <f t="shared" si="27"/>
        <v>0</v>
      </c>
      <c r="Q244" s="289">
        <f t="shared" si="27"/>
        <v>0</v>
      </c>
      <c r="R244" s="289">
        <f t="shared" si="27"/>
        <v>0</v>
      </c>
      <c r="S244" s="289">
        <f t="shared" si="27"/>
        <v>0</v>
      </c>
      <c r="T244" s="289">
        <f t="shared" si="27"/>
        <v>0</v>
      </c>
      <c r="U244" s="289">
        <f t="shared" si="27"/>
        <v>0</v>
      </c>
      <c r="V244" s="289">
        <f t="shared" si="27"/>
        <v>0</v>
      </c>
      <c r="W244" s="289">
        <f t="shared" si="27"/>
        <v>0</v>
      </c>
      <c r="X244" s="289">
        <f t="shared" si="27"/>
        <v>0</v>
      </c>
      <c r="Y244" s="289">
        <f t="shared" si="27"/>
        <v>0</v>
      </c>
      <c r="Z244" s="289">
        <f t="shared" si="27"/>
        <v>0</v>
      </c>
      <c r="AA244" s="289">
        <f t="shared" si="27"/>
        <v>0</v>
      </c>
      <c r="AB244" s="289">
        <f t="shared" si="27"/>
        <v>0</v>
      </c>
      <c r="AC244" s="289">
        <f t="shared" si="27"/>
        <v>0</v>
      </c>
      <c r="AD244" s="289">
        <f t="shared" si="27"/>
        <v>0</v>
      </c>
      <c r="AE244" s="289">
        <f t="shared" si="27"/>
        <v>0</v>
      </c>
      <c r="AF244" s="289">
        <f t="shared" si="27"/>
        <v>0</v>
      </c>
      <c r="AG244" s="289">
        <f t="shared" si="27"/>
        <v>0</v>
      </c>
      <c r="AH244" s="215"/>
    </row>
    <row r="245" spans="1:34" ht="13.5" thickBot="1" x14ac:dyDescent="0.25">
      <c r="A245" s="275"/>
      <c r="B245" s="302"/>
      <c r="C245" s="303"/>
      <c r="D245" s="303"/>
      <c r="E245" s="303"/>
      <c r="F245" s="304"/>
      <c r="G245" s="304"/>
      <c r="H245" s="304"/>
      <c r="I245" s="304"/>
      <c r="J245" s="304"/>
      <c r="K245" s="304"/>
      <c r="L245" s="304"/>
      <c r="M245" s="304"/>
      <c r="N245" s="304"/>
      <c r="O245" s="304"/>
      <c r="P245" s="868"/>
      <c r="Q245" s="304"/>
      <c r="R245" s="304"/>
      <c r="S245" s="304"/>
      <c r="T245" s="304"/>
      <c r="U245" s="304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304"/>
      <c r="AF245" s="304"/>
      <c r="AG245" s="304"/>
      <c r="AH245" s="215"/>
    </row>
    <row r="246" spans="1:34" x14ac:dyDescent="0.2">
      <c r="A246" s="265"/>
      <c r="B246" s="266"/>
      <c r="C246" s="291"/>
      <c r="D246" s="291"/>
      <c r="E246" s="291"/>
      <c r="F246" s="290"/>
      <c r="G246" s="290"/>
      <c r="H246" s="290"/>
      <c r="I246" s="290"/>
      <c r="J246" s="290"/>
      <c r="K246" s="290"/>
      <c r="L246" s="290"/>
      <c r="M246" s="290"/>
      <c r="N246" s="290"/>
      <c r="O246" s="290"/>
      <c r="P246" s="292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15"/>
    </row>
    <row r="247" spans="1:34" x14ac:dyDescent="0.2">
      <c r="A247" s="265" t="s">
        <v>14</v>
      </c>
      <c r="B247" s="266"/>
      <c r="C247" s="291">
        <f>C240+C243+C244</f>
        <v>-30250.864000000001</v>
      </c>
      <c r="D247" s="291">
        <f>D240+D243+D244</f>
        <v>-30250.864000000001</v>
      </c>
      <c r="E247" s="291">
        <f>E240+E243+E244</f>
        <v>-30250.864000000001</v>
      </c>
      <c r="F247" s="291">
        <f>F240+F243+F244</f>
        <v>-30250.864000000001</v>
      </c>
      <c r="G247" s="291">
        <f>G240+G243+G244</f>
        <v>-30250.864000000001</v>
      </c>
      <c r="H247" s="291">
        <f t="shared" ref="H247:AG247" si="28">H240+H243+H244</f>
        <v>-30250.864000000001</v>
      </c>
      <c r="I247" s="291">
        <f t="shared" si="28"/>
        <v>-30250.864000000001</v>
      </c>
      <c r="J247" s="291">
        <f t="shared" si="28"/>
        <v>-30250.864000000001</v>
      </c>
      <c r="K247" s="291">
        <f t="shared" si="28"/>
        <v>-30250.864000000001</v>
      </c>
      <c r="L247" s="291">
        <f t="shared" si="28"/>
        <v>-30250.864000000001</v>
      </c>
      <c r="M247" s="291">
        <f t="shared" si="28"/>
        <v>-30250.864000000001</v>
      </c>
      <c r="N247" s="291">
        <f t="shared" si="28"/>
        <v>-30250.864000000001</v>
      </c>
      <c r="O247" s="291">
        <f t="shared" si="28"/>
        <v>-30250.864000000001</v>
      </c>
      <c r="P247" s="289">
        <f t="shared" si="28"/>
        <v>-30250.864000000001</v>
      </c>
      <c r="Q247" s="291">
        <f t="shared" si="28"/>
        <v>-30250.864000000001</v>
      </c>
      <c r="R247" s="291">
        <f t="shared" si="28"/>
        <v>-30250.864000000001</v>
      </c>
      <c r="S247" s="291">
        <f t="shared" si="28"/>
        <v>-30250.864000000001</v>
      </c>
      <c r="T247" s="291">
        <f t="shared" si="28"/>
        <v>-30250.864000000001</v>
      </c>
      <c r="U247" s="291">
        <f t="shared" si="28"/>
        <v>-30250.864000000001</v>
      </c>
      <c r="V247" s="291">
        <f t="shared" si="28"/>
        <v>-30250.864000000001</v>
      </c>
      <c r="W247" s="291">
        <f t="shared" si="28"/>
        <v>-30250.864000000001</v>
      </c>
      <c r="X247" s="291">
        <f t="shared" si="28"/>
        <v>-30250.864000000001</v>
      </c>
      <c r="Y247" s="291">
        <f t="shared" si="28"/>
        <v>-30250.864000000001</v>
      </c>
      <c r="Z247" s="291">
        <f t="shared" si="28"/>
        <v>-30250.864000000001</v>
      </c>
      <c r="AA247" s="291">
        <f t="shared" si="28"/>
        <v>-30250.864000000001</v>
      </c>
      <c r="AB247" s="291">
        <f t="shared" si="28"/>
        <v>-30250.864000000001</v>
      </c>
      <c r="AC247" s="291">
        <f t="shared" si="28"/>
        <v>-30250.864000000001</v>
      </c>
      <c r="AD247" s="291">
        <f t="shared" si="28"/>
        <v>-30250.864000000001</v>
      </c>
      <c r="AE247" s="291">
        <f t="shared" si="28"/>
        <v>-30250.864000000001</v>
      </c>
      <c r="AF247" s="291">
        <f t="shared" si="28"/>
        <v>-30250.864000000001</v>
      </c>
      <c r="AG247" s="291">
        <f t="shared" si="28"/>
        <v>-30250.864000000001</v>
      </c>
      <c r="AH247" s="215"/>
    </row>
    <row r="248" spans="1:34" x14ac:dyDescent="0.2">
      <c r="A248" s="265"/>
      <c r="B248" s="266"/>
      <c r="C248" s="291"/>
      <c r="D248" s="291"/>
      <c r="E248" s="291"/>
      <c r="F248" s="290"/>
      <c r="G248" s="290"/>
      <c r="H248" s="290"/>
      <c r="I248" s="290"/>
      <c r="J248" s="290"/>
      <c r="K248" s="290"/>
      <c r="L248" s="290"/>
      <c r="M248" s="290"/>
      <c r="N248" s="290"/>
      <c r="O248" s="290"/>
      <c r="P248" s="292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15"/>
    </row>
    <row r="249" spans="1:34" ht="13.5" thickBot="1" x14ac:dyDescent="0.25">
      <c r="A249" s="275"/>
      <c r="B249" s="302"/>
      <c r="C249" s="306"/>
      <c r="D249" s="306"/>
      <c r="E249" s="306"/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869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  <c r="AA249" s="307"/>
      <c r="AB249" s="307"/>
      <c r="AC249" s="307"/>
      <c r="AD249" s="307"/>
      <c r="AE249" s="307"/>
      <c r="AF249" s="307"/>
      <c r="AG249" s="307"/>
      <c r="AH249" s="215"/>
    </row>
    <row r="250" spans="1:34" x14ac:dyDescent="0.2">
      <c r="A250" s="310"/>
      <c r="B250" s="215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308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>
        <f>SUM(C250:AG250)</f>
        <v>0</v>
      </c>
    </row>
    <row r="251" spans="1:34" x14ac:dyDescent="0.2">
      <c r="A251" s="310"/>
      <c r="B251" s="215"/>
      <c r="C251" s="311"/>
      <c r="D251" s="311"/>
      <c r="E251" s="311"/>
      <c r="F251" s="311"/>
      <c r="G251" s="314"/>
      <c r="H251" s="311"/>
      <c r="I251" s="311"/>
      <c r="J251" s="311"/>
      <c r="K251" s="311"/>
      <c r="L251" s="314"/>
      <c r="M251" s="314"/>
      <c r="N251" s="629"/>
      <c r="O251" s="314"/>
      <c r="P251" s="629"/>
      <c r="Q251" s="311"/>
      <c r="R251" s="311"/>
      <c r="S251" s="311"/>
      <c r="T251" s="311"/>
      <c r="U251" s="311"/>
      <c r="V251" s="629"/>
      <c r="W251" s="311"/>
      <c r="X251" s="311"/>
      <c r="Y251" s="311"/>
      <c r="Z251" s="311"/>
      <c r="AA251" s="408"/>
      <c r="AB251" s="311"/>
      <c r="AC251" s="311"/>
      <c r="AD251" s="314"/>
      <c r="AE251" s="311"/>
      <c r="AF251" s="629"/>
      <c r="AG251" s="311"/>
      <c r="AH251" s="262"/>
    </row>
    <row r="252" spans="1:34" x14ac:dyDescent="0.2">
      <c r="A252" s="215"/>
      <c r="B252" s="215"/>
      <c r="C252" s="215"/>
      <c r="D252" s="311"/>
      <c r="E252" s="317"/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309"/>
      <c r="Q252" s="286"/>
      <c r="R252" s="215"/>
      <c r="S252" s="262"/>
      <c r="T252" s="215"/>
      <c r="U252" s="215"/>
      <c r="V252" s="215"/>
      <c r="W252" s="215"/>
      <c r="X252" s="215"/>
      <c r="Y252" s="262"/>
      <c r="Z252" s="262"/>
      <c r="AA252" s="262"/>
      <c r="AB252" s="262"/>
      <c r="AC252" s="262"/>
      <c r="AD252" s="262"/>
      <c r="AE252" s="262"/>
      <c r="AF252" s="262"/>
      <c r="AG252" s="262"/>
      <c r="AH252" s="286">
        <f>SUM(C252:AG252)</f>
        <v>0</v>
      </c>
    </row>
    <row r="253" spans="1:34" x14ac:dyDescent="0.2">
      <c r="A253" s="358" t="s">
        <v>415</v>
      </c>
      <c r="B253" s="359">
        <f>B254+B255+B257</f>
        <v>425000</v>
      </c>
      <c r="C253" s="215"/>
      <c r="D253" s="215"/>
      <c r="E253" s="215"/>
      <c r="F253" s="215"/>
      <c r="G253" s="215"/>
      <c r="H253" s="215"/>
      <c r="I253" s="215"/>
      <c r="J253" s="215"/>
      <c r="K253" s="409"/>
      <c r="L253" s="215"/>
      <c r="M253" s="215"/>
      <c r="N253" s="215"/>
      <c r="O253" s="215"/>
      <c r="P253" s="309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408"/>
      <c r="AB253" s="215"/>
      <c r="AC253" s="215"/>
      <c r="AD253" s="215"/>
      <c r="AE253" s="215"/>
      <c r="AF253" s="215"/>
      <c r="AG253" s="215"/>
      <c r="AH253" s="215"/>
    </row>
    <row r="254" spans="1:34" x14ac:dyDescent="0.2">
      <c r="A254" s="327" t="s">
        <v>414</v>
      </c>
      <c r="B254" s="311">
        <v>25000</v>
      </c>
      <c r="C254" s="215"/>
      <c r="D254" s="215"/>
      <c r="E254" s="286"/>
      <c r="F254" s="286"/>
      <c r="G254" s="286"/>
      <c r="H254" s="215"/>
      <c r="I254" s="215"/>
      <c r="J254" s="215"/>
      <c r="K254" s="215"/>
      <c r="L254" s="215"/>
      <c r="M254" s="215"/>
      <c r="N254" s="215"/>
      <c r="O254" s="215"/>
      <c r="P254" s="309"/>
      <c r="Q254" s="215"/>
      <c r="R254" s="215"/>
      <c r="S254" s="215"/>
      <c r="T254" s="215"/>
      <c r="U254" s="286"/>
      <c r="V254" s="215"/>
      <c r="W254" s="215"/>
      <c r="X254" s="215"/>
      <c r="Y254" s="215"/>
      <c r="Z254" s="215"/>
      <c r="AA254" s="323"/>
      <c r="AB254" s="215"/>
      <c r="AC254" s="215"/>
      <c r="AD254" s="215"/>
      <c r="AE254" s="215"/>
      <c r="AF254" s="215"/>
      <c r="AG254" s="286"/>
      <c r="AH254" s="215"/>
    </row>
    <row r="255" spans="1:34" x14ac:dyDescent="0.2">
      <c r="A255" s="327" t="s">
        <v>287</v>
      </c>
      <c r="B255" s="311">
        <v>300000</v>
      </c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86"/>
      <c r="V255" s="215"/>
      <c r="W255" s="215"/>
      <c r="X255" s="215"/>
      <c r="Y255" s="215"/>
      <c r="Z255" s="215"/>
      <c r="AA255" s="215"/>
      <c r="AB255" s="215"/>
      <c r="AC255" s="215"/>
      <c r="AD255" s="215"/>
      <c r="AE255" s="215"/>
      <c r="AF255" s="409"/>
      <c r="AG255" s="215"/>
      <c r="AH255" s="215"/>
    </row>
    <row r="256" spans="1:34" x14ac:dyDescent="0.2">
      <c r="A256" s="310" t="s">
        <v>413</v>
      </c>
      <c r="B256" s="311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215"/>
      <c r="AG256" s="215"/>
      <c r="AH256" s="215"/>
    </row>
    <row r="257" spans="1:34" x14ac:dyDescent="0.2">
      <c r="A257" s="310" t="s">
        <v>441</v>
      </c>
      <c r="B257" s="311">
        <v>100000</v>
      </c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ht="13.5" thickBot="1" x14ac:dyDescent="0.25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309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</row>
    <row r="261" spans="1:34" x14ac:dyDescent="0.2">
      <c r="A261" s="263"/>
      <c r="B261" s="264"/>
      <c r="C261" s="264"/>
      <c r="D261" s="264"/>
      <c r="E261" s="264"/>
      <c r="F261" s="264"/>
      <c r="G261" s="264"/>
      <c r="H261" s="264"/>
      <c r="I261" s="264"/>
      <c r="J261" s="264"/>
      <c r="K261" s="264"/>
      <c r="L261" s="264"/>
      <c r="M261" s="264"/>
      <c r="N261" s="264"/>
      <c r="O261" s="264"/>
      <c r="P261" s="860"/>
      <c r="Q261" s="264"/>
      <c r="R261" s="264"/>
      <c r="S261" s="264"/>
      <c r="T261" s="264"/>
      <c r="U261" s="264"/>
      <c r="V261" s="264"/>
      <c r="W261" s="264"/>
      <c r="X261" s="264"/>
      <c r="Y261" s="264"/>
      <c r="Z261" s="264"/>
      <c r="AA261" s="264"/>
      <c r="AB261" s="264"/>
      <c r="AC261" s="264"/>
      <c r="AD261" s="264"/>
      <c r="AE261" s="264"/>
      <c r="AF261" s="264"/>
      <c r="AG261" s="264"/>
      <c r="AH261" s="215"/>
    </row>
    <row r="262" spans="1:34" x14ac:dyDescent="0.2">
      <c r="A262" s="265"/>
      <c r="B262" s="266" t="s">
        <v>37</v>
      </c>
      <c r="C262" s="266"/>
      <c r="D262" s="266"/>
      <c r="E262" s="267" t="s">
        <v>874</v>
      </c>
      <c r="F262" s="268" t="s">
        <v>340</v>
      </c>
      <c r="G262" s="269"/>
      <c r="H262" s="268"/>
      <c r="I262" s="268"/>
      <c r="J262" s="268"/>
      <c r="K262" s="268"/>
      <c r="L262" s="268"/>
      <c r="M262" s="268"/>
      <c r="N262" s="268"/>
      <c r="O262" s="268"/>
      <c r="P262" s="861"/>
      <c r="Q262" s="268"/>
      <c r="R262" s="268"/>
      <c r="S262" s="268"/>
      <c r="T262" s="268"/>
      <c r="U262" s="268"/>
      <c r="V262" s="268"/>
      <c r="W262" s="268"/>
      <c r="X262" s="268"/>
      <c r="Y262" s="268"/>
      <c r="Z262" s="268"/>
      <c r="AA262" s="268"/>
      <c r="AB262" s="268"/>
      <c r="AC262" s="268"/>
      <c r="AD262" s="268"/>
      <c r="AE262" s="268"/>
      <c r="AF262" s="268"/>
      <c r="AG262" s="268"/>
      <c r="AH262" s="215"/>
    </row>
    <row r="263" spans="1:34" x14ac:dyDescent="0.2">
      <c r="A263" s="265"/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79"/>
      <c r="Q263" s="266"/>
      <c r="R263" s="266"/>
      <c r="S263" s="266"/>
      <c r="T263" s="266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266"/>
      <c r="AE263" s="266"/>
      <c r="AF263" s="266"/>
      <c r="AG263" s="266"/>
      <c r="AH263" s="215"/>
    </row>
    <row r="264" spans="1:34" x14ac:dyDescent="0.2">
      <c r="A264" s="265"/>
      <c r="B264" s="266"/>
      <c r="C264" s="268"/>
      <c r="D264" s="268">
        <v>42353</v>
      </c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x14ac:dyDescent="0.2">
      <c r="A265" s="265"/>
      <c r="B265" s="266"/>
      <c r="C265" s="268"/>
      <c r="D265" s="268"/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ht="13.5" thickBot="1" x14ac:dyDescent="0.25">
      <c r="A266" s="265"/>
      <c r="B266" s="266"/>
      <c r="C266" s="266"/>
      <c r="D266" s="266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79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  <c r="AH266" s="215"/>
    </row>
    <row r="267" spans="1:34" ht="13.5" thickBot="1" x14ac:dyDescent="0.25">
      <c r="A267" s="265"/>
      <c r="B267" s="266"/>
      <c r="C267" s="270"/>
      <c r="D267" s="271" t="s">
        <v>16</v>
      </c>
      <c r="E267" s="271"/>
      <c r="F267" s="271"/>
      <c r="G267" s="271"/>
      <c r="H267" s="271"/>
      <c r="I267" s="271"/>
      <c r="J267" s="271"/>
      <c r="K267" s="271"/>
      <c r="L267" s="271"/>
      <c r="M267" s="271"/>
      <c r="N267" s="271"/>
      <c r="O267" s="271"/>
      <c r="P267" s="862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  <c r="AA267" s="271"/>
      <c r="AB267" s="271"/>
      <c r="AC267" s="271"/>
      <c r="AD267" s="271"/>
      <c r="AE267" s="271"/>
      <c r="AF267" s="271"/>
      <c r="AG267" s="271"/>
      <c r="AH267" s="215"/>
    </row>
    <row r="268" spans="1:34" ht="13.5" thickBot="1" x14ac:dyDescent="0.25">
      <c r="A268" s="265"/>
      <c r="B268" s="266"/>
      <c r="C268" s="272" t="s">
        <v>452</v>
      </c>
      <c r="D268" s="272" t="s">
        <v>453</v>
      </c>
      <c r="E268" s="272" t="s">
        <v>434</v>
      </c>
      <c r="F268" s="272" t="s">
        <v>390</v>
      </c>
      <c r="G268" s="272" t="s">
        <v>454</v>
      </c>
      <c r="H268" s="272" t="s">
        <v>455</v>
      </c>
      <c r="I268" s="272" t="s">
        <v>456</v>
      </c>
      <c r="J268" s="272" t="s">
        <v>457</v>
      </c>
      <c r="K268" s="272" t="s">
        <v>458</v>
      </c>
      <c r="L268" s="272" t="s">
        <v>216</v>
      </c>
      <c r="M268" s="272" t="s">
        <v>459</v>
      </c>
      <c r="N268" s="272" t="s">
        <v>297</v>
      </c>
      <c r="O268" s="272" t="s">
        <v>211</v>
      </c>
      <c r="P268" s="863" t="s">
        <v>270</v>
      </c>
      <c r="Q268" s="272">
        <v>15</v>
      </c>
      <c r="R268" s="272">
        <v>16</v>
      </c>
      <c r="S268" s="272" t="s">
        <v>461</v>
      </c>
      <c r="T268" s="272" t="s">
        <v>442</v>
      </c>
      <c r="U268" s="272" t="s">
        <v>462</v>
      </c>
      <c r="V268" s="272" t="s">
        <v>470</v>
      </c>
      <c r="W268" s="272" t="s">
        <v>471</v>
      </c>
      <c r="X268" s="272" t="s">
        <v>472</v>
      </c>
      <c r="Y268" s="272" t="s">
        <v>463</v>
      </c>
      <c r="Z268" s="272" t="s">
        <v>465</v>
      </c>
      <c r="AA268" s="272" t="s">
        <v>466</v>
      </c>
      <c r="AB268" s="272" t="s">
        <v>435</v>
      </c>
      <c r="AC268" s="272" t="s">
        <v>467</v>
      </c>
      <c r="AD268" s="272" t="s">
        <v>464</v>
      </c>
      <c r="AE268" s="272" t="s">
        <v>429</v>
      </c>
      <c r="AF268" s="272" t="s">
        <v>149</v>
      </c>
      <c r="AG268" s="272" t="s">
        <v>210</v>
      </c>
      <c r="AH268" s="215"/>
    </row>
    <row r="269" spans="1:34" x14ac:dyDescent="0.2">
      <c r="A269" s="263"/>
      <c r="B269" s="273"/>
      <c r="C269" s="266"/>
      <c r="D269" s="266"/>
      <c r="E269" s="266"/>
      <c r="F269" s="266"/>
      <c r="G269" s="266"/>
      <c r="H269" s="266"/>
      <c r="I269" s="266"/>
      <c r="J269" s="266"/>
      <c r="K269" s="266"/>
      <c r="L269" s="266"/>
      <c r="M269" s="266"/>
      <c r="N269" s="266"/>
      <c r="O269" s="266"/>
      <c r="P269" s="279"/>
      <c r="Q269" s="266"/>
      <c r="R269" s="266"/>
      <c r="S269" s="266"/>
      <c r="T269" s="266"/>
      <c r="U269" s="266"/>
      <c r="V269" s="266"/>
      <c r="W269" s="266"/>
      <c r="X269" s="266"/>
      <c r="Y269" s="266"/>
      <c r="Z269" s="266"/>
      <c r="AA269" s="266"/>
      <c r="AB269" s="266"/>
      <c r="AC269" s="266"/>
      <c r="AD269" s="266"/>
      <c r="AE269" s="266"/>
      <c r="AF269" s="266"/>
      <c r="AG269" s="266"/>
      <c r="AH269" s="215"/>
    </row>
    <row r="270" spans="1:34" x14ac:dyDescent="0.2">
      <c r="A270" s="265" t="s">
        <v>0</v>
      </c>
      <c r="B270" s="274">
        <v>26715.653999999999</v>
      </c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ht="13.5" thickBot="1" x14ac:dyDescent="0.25">
      <c r="A271" s="275"/>
      <c r="B271" s="276"/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x14ac:dyDescent="0.2">
      <c r="A272" s="263"/>
      <c r="B272" s="278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5" t="s">
        <v>1</v>
      </c>
      <c r="B273" s="274">
        <f>B274+B275+B276</f>
        <v>0</v>
      </c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38</v>
      </c>
      <c r="B274" s="274">
        <f>C322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39</v>
      </c>
      <c r="B275" s="274">
        <f>C345</f>
        <v>0</v>
      </c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x14ac:dyDescent="0.2">
      <c r="A276" s="265" t="s">
        <v>3</v>
      </c>
      <c r="B276" s="274"/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ht="13.5" thickBot="1" x14ac:dyDescent="0.25">
      <c r="A277" s="275"/>
      <c r="B277" s="276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x14ac:dyDescent="0.2">
      <c r="A278" s="263"/>
      <c r="B278" s="278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x14ac:dyDescent="0.2">
      <c r="A279" s="265" t="s">
        <v>4</v>
      </c>
      <c r="B279" s="274">
        <f>B270-B273</f>
        <v>26715.653999999999</v>
      </c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ht="21" thickBot="1" x14ac:dyDescent="0.35">
      <c r="A280" s="275"/>
      <c r="B280" s="276"/>
      <c r="C280" s="266"/>
      <c r="D280" s="266"/>
      <c r="E280" s="266"/>
      <c r="F280" s="1080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x14ac:dyDescent="0.2">
      <c r="A281" s="263"/>
      <c r="B281" s="278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x14ac:dyDescent="0.2">
      <c r="A282" s="265" t="s">
        <v>17</v>
      </c>
      <c r="B282" s="274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ht="13.5" thickBot="1" x14ac:dyDescent="0.25">
      <c r="A283" s="275"/>
      <c r="B283" s="276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330"/>
      <c r="Y283" s="266"/>
      <c r="Z283" s="266"/>
      <c r="AA283" s="266"/>
      <c r="AB283" s="266"/>
      <c r="AC283" s="266"/>
      <c r="AD283" s="266"/>
      <c r="AE283" s="266"/>
      <c r="AF283" s="269"/>
      <c r="AG283" s="266"/>
      <c r="AH283" s="215"/>
    </row>
    <row r="284" spans="1:34" ht="23.25" x14ac:dyDescent="0.35">
      <c r="A284" s="263"/>
      <c r="B284" s="278"/>
      <c r="D284" s="266"/>
      <c r="E284" s="269"/>
      <c r="F284" s="1756"/>
      <c r="G284" s="1756"/>
      <c r="H284" s="266"/>
      <c r="I284" s="568"/>
      <c r="J284" s="266"/>
      <c r="K284" s="1134"/>
      <c r="L284" s="266"/>
      <c r="M284" s="266"/>
      <c r="N284" s="266"/>
      <c r="O284" s="266"/>
      <c r="P284" s="279"/>
      <c r="R284" s="266"/>
      <c r="S284" s="266"/>
      <c r="T284" s="266"/>
      <c r="U284" s="266"/>
      <c r="V284" s="266"/>
      <c r="W284" s="266"/>
      <c r="X284" s="269"/>
      <c r="Y284" s="269"/>
      <c r="Z284" s="269"/>
      <c r="AA284" s="269"/>
      <c r="AB284" s="266"/>
      <c r="AC284" s="266"/>
      <c r="AD284" s="266"/>
      <c r="AE284" s="266"/>
      <c r="AF284" s="269"/>
      <c r="AH284" s="215"/>
    </row>
    <row r="285" spans="1:34" x14ac:dyDescent="0.2">
      <c r="A285" s="265" t="s">
        <v>5</v>
      </c>
      <c r="B285" s="274">
        <f>B279-B282</f>
        <v>26715.653999999999</v>
      </c>
      <c r="C285" s="409"/>
      <c r="D285" s="269"/>
      <c r="E285" s="794"/>
      <c r="F285" s="269"/>
      <c r="G285" s="269"/>
      <c r="H285" s="269"/>
      <c r="I285" s="269"/>
      <c r="J285" s="269"/>
      <c r="K285" s="269" t="s">
        <v>139</v>
      </c>
      <c r="L285" s="269"/>
      <c r="M285" s="269"/>
      <c r="N285" s="269"/>
      <c r="O285" s="269"/>
      <c r="P285" s="281"/>
      <c r="R285" s="269" t="s">
        <v>166</v>
      </c>
      <c r="S285" s="281"/>
      <c r="T285" s="269"/>
      <c r="U285" s="266"/>
      <c r="V285" s="269"/>
      <c r="W285" s="266"/>
      <c r="X285" s="810"/>
      <c r="Y285" s="269" t="s">
        <v>145</v>
      </c>
      <c r="Z285" s="281"/>
      <c r="AA285" s="281"/>
      <c r="AB285" s="281"/>
      <c r="AC285" s="796"/>
      <c r="AD285" s="796"/>
      <c r="AE285" s="269"/>
      <c r="AF285" s="269" t="s">
        <v>171</v>
      </c>
      <c r="AG285" s="934"/>
      <c r="AH285" s="215"/>
    </row>
    <row r="286" spans="1:34" ht="13.5" thickBot="1" x14ac:dyDescent="0.25">
      <c r="A286" s="275"/>
      <c r="B286" s="276"/>
      <c r="C286" s="266"/>
      <c r="D286" s="266"/>
      <c r="E286" s="266"/>
      <c r="F286" s="266"/>
      <c r="G286" s="266"/>
      <c r="H286" s="266"/>
      <c r="I286" s="266"/>
      <c r="J286" s="266"/>
      <c r="K286" s="266"/>
      <c r="L286" s="266"/>
      <c r="M286" s="269"/>
      <c r="N286" s="266"/>
      <c r="O286" s="266"/>
      <c r="P286" s="279"/>
      <c r="Q286" s="266"/>
      <c r="R286" s="266"/>
      <c r="S286" s="266"/>
      <c r="T286" s="266"/>
      <c r="U286" s="266"/>
      <c r="V286" s="266"/>
      <c r="W286" s="266"/>
      <c r="X286" s="266"/>
      <c r="Y286" s="266"/>
      <c r="Z286" s="266"/>
      <c r="AA286" s="266"/>
      <c r="AB286" s="266"/>
      <c r="AC286" s="266"/>
      <c r="AD286" s="266"/>
      <c r="AE286" s="266"/>
      <c r="AF286" s="266"/>
      <c r="AG286" s="266"/>
      <c r="AH286" s="215"/>
    </row>
    <row r="287" spans="1:34" x14ac:dyDescent="0.2">
      <c r="A287" s="282"/>
      <c r="B287" s="266"/>
      <c r="C287" s="283"/>
      <c r="D287" s="285"/>
      <c r="E287" s="285"/>
      <c r="F287" s="284"/>
      <c r="G287" s="284"/>
      <c r="H287" s="284"/>
      <c r="I287" s="284"/>
      <c r="J287" s="284"/>
      <c r="K287" s="284"/>
      <c r="L287" s="284"/>
      <c r="M287" s="284"/>
      <c r="N287" s="284"/>
      <c r="O287" s="284"/>
      <c r="P287" s="864"/>
      <c r="Q287" s="284"/>
      <c r="R287" s="284"/>
      <c r="S287" s="284"/>
      <c r="T287" s="284"/>
      <c r="U287" s="284"/>
      <c r="V287" s="284"/>
      <c r="W287" s="284"/>
      <c r="X287" s="284"/>
      <c r="Y287" s="284"/>
      <c r="Z287" s="284"/>
      <c r="AA287" s="284"/>
      <c r="AB287" s="284"/>
      <c r="AC287" s="284"/>
      <c r="AD287" s="284"/>
      <c r="AE287" s="284"/>
      <c r="AF287" s="284"/>
      <c r="AG287" s="284"/>
      <c r="AH287" s="215"/>
    </row>
    <row r="288" spans="1:34" ht="13.5" thickBot="1" x14ac:dyDescent="0.25">
      <c r="A288" s="287" t="s">
        <v>7</v>
      </c>
      <c r="B288" s="266"/>
      <c r="C288" s="288">
        <f>C289+C290+C291+C293+C292</f>
        <v>0</v>
      </c>
      <c r="D288" s="288">
        <f>D289+D290+D291+D293+D292</f>
        <v>0</v>
      </c>
      <c r="E288" s="288">
        <f>E289+E290+E291+E293+E292</f>
        <v>0</v>
      </c>
      <c r="F288" s="288">
        <f>F289+F290+F291+F293+F292</f>
        <v>0</v>
      </c>
      <c r="G288" s="288">
        <f>G289+G290+G291+G293+G292</f>
        <v>0</v>
      </c>
      <c r="H288" s="288">
        <f t="shared" ref="H288:AF288" si="29">H289+H290+H291+H293+H292</f>
        <v>0</v>
      </c>
      <c r="I288" s="288">
        <f t="shared" si="29"/>
        <v>0</v>
      </c>
      <c r="J288" s="288">
        <f t="shared" si="29"/>
        <v>0</v>
      </c>
      <c r="K288" s="288">
        <f t="shared" si="29"/>
        <v>0</v>
      </c>
      <c r="L288" s="288">
        <f t="shared" si="29"/>
        <v>0</v>
      </c>
      <c r="M288" s="288">
        <f t="shared" si="29"/>
        <v>0</v>
      </c>
      <c r="N288" s="288">
        <f t="shared" si="29"/>
        <v>0</v>
      </c>
      <c r="O288" s="288">
        <f t="shared" si="29"/>
        <v>0</v>
      </c>
      <c r="P288" s="865">
        <f t="shared" si="29"/>
        <v>0</v>
      </c>
      <c r="Q288" s="288">
        <f t="shared" si="29"/>
        <v>0</v>
      </c>
      <c r="R288" s="288">
        <f t="shared" si="29"/>
        <v>0</v>
      </c>
      <c r="S288" s="288">
        <f t="shared" si="29"/>
        <v>0</v>
      </c>
      <c r="T288" s="288">
        <f t="shared" si="29"/>
        <v>0</v>
      </c>
      <c r="U288" s="288">
        <f t="shared" si="29"/>
        <v>0</v>
      </c>
      <c r="V288" s="288">
        <f t="shared" si="29"/>
        <v>0</v>
      </c>
      <c r="W288" s="288">
        <f t="shared" si="29"/>
        <v>0</v>
      </c>
      <c r="X288" s="288">
        <f t="shared" si="29"/>
        <v>0</v>
      </c>
      <c r="Y288" s="288">
        <f t="shared" si="29"/>
        <v>0</v>
      </c>
      <c r="Z288" s="288">
        <f t="shared" si="29"/>
        <v>0</v>
      </c>
      <c r="AA288" s="288">
        <f t="shared" si="29"/>
        <v>0</v>
      </c>
      <c r="AB288" s="288">
        <f t="shared" si="29"/>
        <v>0</v>
      </c>
      <c r="AC288" s="288">
        <f t="shared" si="29"/>
        <v>0</v>
      </c>
      <c r="AD288" s="288">
        <f t="shared" si="29"/>
        <v>0</v>
      </c>
      <c r="AE288" s="288">
        <f t="shared" si="29"/>
        <v>0</v>
      </c>
      <c r="AF288" s="288">
        <f t="shared" si="29"/>
        <v>0</v>
      </c>
      <c r="AG288" s="288">
        <f>AG289+AG290+AG291+AG293+AG292</f>
        <v>0</v>
      </c>
      <c r="AH288" s="286">
        <f>SUM(C288:AG288)</f>
        <v>0</v>
      </c>
    </row>
    <row r="289" spans="1:34" x14ac:dyDescent="0.2">
      <c r="A289" s="287" t="s">
        <v>8</v>
      </c>
      <c r="B289" s="331"/>
      <c r="C289" s="291"/>
      <c r="D289" s="291"/>
      <c r="E289" s="362"/>
      <c r="F289" s="290"/>
      <c r="G289" s="290"/>
      <c r="H289" s="290"/>
      <c r="I289" s="295"/>
      <c r="J289" s="290"/>
      <c r="K289" s="290"/>
      <c r="L289" s="290"/>
      <c r="M289" s="290"/>
      <c r="N289" s="290"/>
      <c r="O289" s="290"/>
      <c r="P289" s="292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  <c r="AA289" s="290"/>
      <c r="AB289" s="290"/>
      <c r="AC289" s="290"/>
      <c r="AD289" s="290"/>
      <c r="AE289" s="290"/>
      <c r="AF289" s="290"/>
      <c r="AG289" s="1058"/>
      <c r="AH289" s="286">
        <f>SUM(C289:AG289)</f>
        <v>0</v>
      </c>
    </row>
    <row r="290" spans="1:34" x14ac:dyDescent="0.2">
      <c r="A290" s="287" t="s">
        <v>9</v>
      </c>
      <c r="B290" s="331"/>
      <c r="C290" s="291"/>
      <c r="D290" s="291"/>
      <c r="E290" s="362"/>
      <c r="F290" s="290"/>
      <c r="G290" s="290"/>
      <c r="H290" s="290"/>
      <c r="I290" s="290"/>
      <c r="J290" s="290"/>
      <c r="K290" s="290"/>
      <c r="L290" s="290"/>
      <c r="M290" s="290"/>
      <c r="N290" s="290"/>
      <c r="O290" s="295"/>
      <c r="P290" s="292"/>
      <c r="Q290" s="290"/>
      <c r="R290" s="290"/>
      <c r="S290" s="290"/>
      <c r="T290" s="290"/>
      <c r="U290" s="290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0"/>
      <c r="AF290" s="290"/>
      <c r="AG290" s="1057"/>
      <c r="AH290" s="286">
        <f>SUM(C290:AG290)</f>
        <v>0</v>
      </c>
    </row>
    <row r="291" spans="1:34" s="360" customFormat="1" x14ac:dyDescent="0.2">
      <c r="A291" s="662" t="s">
        <v>10</v>
      </c>
      <c r="B291" s="669"/>
      <c r="C291" s="795"/>
      <c r="D291" s="565"/>
      <c r="E291" s="565"/>
      <c r="F291" s="560"/>
      <c r="G291" s="560"/>
      <c r="H291" s="560"/>
      <c r="I291" s="560"/>
      <c r="J291" s="560"/>
      <c r="K291" s="560"/>
      <c r="L291" s="560"/>
      <c r="M291" s="560"/>
      <c r="N291" s="560"/>
      <c r="O291" s="560"/>
      <c r="P291" s="560"/>
      <c r="Q291" s="560"/>
      <c r="R291" s="560"/>
      <c r="S291" s="560"/>
      <c r="T291" s="560"/>
      <c r="U291" s="560"/>
      <c r="V291" s="560"/>
      <c r="W291" s="560"/>
      <c r="X291" s="811"/>
      <c r="Y291" s="560"/>
      <c r="Z291" s="665"/>
      <c r="AA291" s="1050"/>
      <c r="AB291" s="560"/>
      <c r="AC291" s="560"/>
      <c r="AD291" s="708"/>
      <c r="AE291" s="560"/>
      <c r="AF291" s="560"/>
      <c r="AG291" s="560"/>
      <c r="AH291" s="379">
        <f>SUM(C291:AG291)</f>
        <v>0</v>
      </c>
    </row>
    <row r="292" spans="1:34" s="360" customFormat="1" x14ac:dyDescent="0.2">
      <c r="A292" s="662" t="s">
        <v>356</v>
      </c>
      <c r="B292" s="669"/>
      <c r="C292" s="565"/>
      <c r="D292" s="565"/>
      <c r="E292" s="565"/>
      <c r="F292" s="560"/>
      <c r="G292" s="380"/>
      <c r="H292" s="560"/>
      <c r="I292" s="380"/>
      <c r="J292" s="560"/>
      <c r="K292" s="560"/>
      <c r="L292" s="560"/>
      <c r="M292" s="560"/>
      <c r="N292" s="811"/>
      <c r="O292" s="560"/>
      <c r="P292" s="560"/>
      <c r="Q292" s="560"/>
      <c r="R292" s="560">
        <v>118347</v>
      </c>
      <c r="S292" s="560"/>
      <c r="T292" s="560"/>
      <c r="U292" s="560"/>
      <c r="V292" s="560"/>
      <c r="W292" s="560"/>
      <c r="X292" s="560"/>
      <c r="Y292" s="560"/>
      <c r="Z292" s="560"/>
      <c r="AA292" s="560"/>
      <c r="AB292" s="380"/>
      <c r="AC292" s="811"/>
      <c r="AD292" s="560"/>
      <c r="AE292" s="560"/>
      <c r="AF292" s="560"/>
      <c r="AG292" s="560"/>
      <c r="AH292" s="379">
        <f>SUM(C292:AG292)</f>
        <v>118347</v>
      </c>
    </row>
    <row r="293" spans="1:34" x14ac:dyDescent="0.2">
      <c r="A293" s="287" t="s">
        <v>11</v>
      </c>
      <c r="B293" s="266"/>
      <c r="C293" s="291">
        <f>14266.234-5294.388-4485.923-4485.923</f>
        <v>0</v>
      </c>
      <c r="D293" s="289"/>
      <c r="E293" s="294"/>
      <c r="F293" s="292"/>
      <c r="G293" s="292"/>
      <c r="H293" s="292"/>
      <c r="I293" s="292"/>
      <c r="J293" s="295"/>
      <c r="K293" s="292"/>
      <c r="L293" s="292"/>
      <c r="M293" s="292"/>
      <c r="N293" s="292"/>
      <c r="O293" s="292"/>
      <c r="P293" s="455"/>
      <c r="Q293" s="455"/>
      <c r="R293" s="292">
        <v>-118347</v>
      </c>
      <c r="S293" s="455"/>
      <c r="T293" s="292"/>
      <c r="U293" s="292"/>
      <c r="V293" s="295"/>
      <c r="W293" s="295"/>
      <c r="X293" s="293"/>
      <c r="Y293" s="455"/>
      <c r="Z293" s="295"/>
      <c r="AA293" s="293"/>
      <c r="AB293" s="295"/>
      <c r="AC293" s="292"/>
      <c r="AD293" s="295"/>
      <c r="AE293" s="292"/>
      <c r="AF293" s="292"/>
      <c r="AG293" s="292"/>
      <c r="AH293" s="215"/>
    </row>
    <row r="294" spans="1:34" ht="13.5" thickBot="1" x14ac:dyDescent="0.25">
      <c r="A294" s="296"/>
      <c r="B294" s="266"/>
      <c r="C294" s="291"/>
      <c r="D294" s="291"/>
      <c r="E294" s="291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2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  <c r="AA294" s="290"/>
      <c r="AB294" s="290"/>
      <c r="AC294" s="290"/>
      <c r="AD294" s="290"/>
      <c r="AE294" s="290"/>
      <c r="AF294" s="290"/>
      <c r="AG294" s="290"/>
      <c r="AH294" s="215"/>
    </row>
    <row r="295" spans="1:34" x14ac:dyDescent="0.2">
      <c r="A295" s="282"/>
      <c r="B295" s="266"/>
      <c r="C295" s="297"/>
      <c r="D295" s="298"/>
      <c r="E295" s="298"/>
      <c r="F295" s="299"/>
      <c r="G295" s="299"/>
      <c r="H295" s="299"/>
      <c r="I295" s="299"/>
      <c r="J295" s="299"/>
      <c r="K295" s="299"/>
      <c r="L295" s="299"/>
      <c r="M295" s="299"/>
      <c r="N295" s="299"/>
      <c r="O295" s="299"/>
      <c r="P295" s="866"/>
      <c r="Q295" s="299"/>
      <c r="R295" s="299"/>
      <c r="S295" s="299"/>
      <c r="T295" s="299"/>
      <c r="U295" s="299"/>
      <c r="V295" s="299"/>
      <c r="W295" s="299"/>
      <c r="X295" s="299"/>
      <c r="Y295" s="299"/>
      <c r="Z295" s="299"/>
      <c r="AA295" s="299"/>
      <c r="AB295" s="299"/>
      <c r="AC295" s="299"/>
      <c r="AD295" s="299"/>
      <c r="AE295" s="299"/>
      <c r="AF295" s="299"/>
      <c r="AG295" s="299"/>
      <c r="AH295" s="215"/>
    </row>
    <row r="296" spans="1:34" ht="13.5" thickBot="1" x14ac:dyDescent="0.25">
      <c r="A296" s="287" t="s">
        <v>12</v>
      </c>
      <c r="B296" s="266"/>
      <c r="C296" s="288">
        <f t="shared" ref="C296:AG296" si="30">C297</f>
        <v>0</v>
      </c>
      <c r="D296" s="288">
        <f t="shared" si="30"/>
        <v>0</v>
      </c>
      <c r="E296" s="288">
        <f t="shared" si="30"/>
        <v>0</v>
      </c>
      <c r="F296" s="288">
        <f t="shared" si="30"/>
        <v>0</v>
      </c>
      <c r="G296" s="288">
        <f t="shared" si="30"/>
        <v>0</v>
      </c>
      <c r="H296" s="288">
        <f t="shared" si="30"/>
        <v>0</v>
      </c>
      <c r="I296" s="288">
        <f t="shared" si="30"/>
        <v>0</v>
      </c>
      <c r="J296" s="288">
        <f t="shared" si="30"/>
        <v>0</v>
      </c>
      <c r="K296" s="288">
        <f t="shared" si="30"/>
        <v>0</v>
      </c>
      <c r="L296" s="288">
        <f t="shared" si="30"/>
        <v>0</v>
      </c>
      <c r="M296" s="288">
        <f t="shared" si="30"/>
        <v>0</v>
      </c>
      <c r="N296" s="288">
        <f t="shared" si="30"/>
        <v>0</v>
      </c>
      <c r="O296" s="288">
        <f t="shared" si="30"/>
        <v>0</v>
      </c>
      <c r="P296" s="865">
        <f t="shared" si="30"/>
        <v>0</v>
      </c>
      <c r="Q296" s="288">
        <f t="shared" si="30"/>
        <v>0</v>
      </c>
      <c r="R296" s="288">
        <f t="shared" si="30"/>
        <v>0</v>
      </c>
      <c r="S296" s="288">
        <f t="shared" si="30"/>
        <v>0</v>
      </c>
      <c r="T296" s="288">
        <f t="shared" si="30"/>
        <v>0</v>
      </c>
      <c r="U296" s="288">
        <f t="shared" si="30"/>
        <v>0</v>
      </c>
      <c r="V296" s="288">
        <f t="shared" si="30"/>
        <v>0</v>
      </c>
      <c r="W296" s="288">
        <f t="shared" si="30"/>
        <v>0</v>
      </c>
      <c r="X296" s="288">
        <f t="shared" si="30"/>
        <v>0</v>
      </c>
      <c r="Y296" s="288">
        <f t="shared" si="30"/>
        <v>0</v>
      </c>
      <c r="Z296" s="288">
        <f t="shared" si="30"/>
        <v>0</v>
      </c>
      <c r="AA296" s="288">
        <f t="shared" si="30"/>
        <v>0</v>
      </c>
      <c r="AB296" s="288">
        <f t="shared" si="30"/>
        <v>0</v>
      </c>
      <c r="AC296" s="288">
        <f t="shared" si="30"/>
        <v>0</v>
      </c>
      <c r="AD296" s="288">
        <f t="shared" si="30"/>
        <v>0</v>
      </c>
      <c r="AE296" s="288">
        <f t="shared" si="30"/>
        <v>0</v>
      </c>
      <c r="AF296" s="288">
        <f t="shared" si="30"/>
        <v>0</v>
      </c>
      <c r="AG296" s="288">
        <f t="shared" si="30"/>
        <v>0</v>
      </c>
      <c r="AH296" s="215"/>
    </row>
    <row r="297" spans="1:34" x14ac:dyDescent="0.2">
      <c r="A297" s="287" t="s">
        <v>8</v>
      </c>
      <c r="B297" s="266"/>
      <c r="C297" s="291"/>
      <c r="D297" s="291"/>
      <c r="E297" s="291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2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  <c r="AA297" s="290"/>
      <c r="AB297" s="290"/>
      <c r="AC297" s="290"/>
      <c r="AD297" s="290"/>
      <c r="AE297" s="290"/>
      <c r="AF297" s="290"/>
      <c r="AG297" s="290"/>
      <c r="AH297" s="215"/>
    </row>
    <row r="298" spans="1:34" x14ac:dyDescent="0.2">
      <c r="A298" s="287" t="s">
        <v>775</v>
      </c>
      <c r="B298" s="266"/>
      <c r="C298" s="291"/>
      <c r="D298" s="291">
        <v>1080</v>
      </c>
      <c r="E298" s="291"/>
      <c r="F298" s="290">
        <v>15387</v>
      </c>
      <c r="G298" s="290"/>
      <c r="H298" s="290"/>
      <c r="I298" s="290"/>
      <c r="J298" s="290">
        <v>685</v>
      </c>
      <c r="K298" s="290"/>
      <c r="L298" s="290">
        <v>1583</v>
      </c>
      <c r="M298" s="290"/>
      <c r="N298" s="290">
        <v>1080</v>
      </c>
      <c r="O298" s="290">
        <v>1093</v>
      </c>
      <c r="P298" s="292"/>
      <c r="Q298" s="290">
        <v>18738</v>
      </c>
      <c r="R298" s="290"/>
      <c r="S298" s="290">
        <v>4283</v>
      </c>
      <c r="T298" s="290">
        <v>2448</v>
      </c>
      <c r="U298" s="290">
        <v>1080</v>
      </c>
      <c r="V298" s="290">
        <v>9839</v>
      </c>
      <c r="W298" s="290"/>
      <c r="X298" s="290"/>
      <c r="Y298" s="290"/>
      <c r="Z298" s="290">
        <v>1080</v>
      </c>
      <c r="AA298" s="290">
        <v>4924</v>
      </c>
      <c r="AB298" s="290"/>
      <c r="AC298" s="290">
        <v>2174</v>
      </c>
      <c r="AD298" s="290"/>
      <c r="AE298" s="290"/>
      <c r="AF298" s="290">
        <v>51052</v>
      </c>
      <c r="AG298" s="290"/>
      <c r="AH298" s="286">
        <f>SUM(C298:AG298)</f>
        <v>116526</v>
      </c>
    </row>
    <row r="299" spans="1:34" ht="13.5" thickBot="1" x14ac:dyDescent="0.25">
      <c r="A299" s="296"/>
      <c r="B299" s="266"/>
      <c r="C299" s="291"/>
      <c r="D299" s="291"/>
      <c r="E299" s="291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2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  <c r="AA299" s="290"/>
      <c r="AB299" s="290"/>
      <c r="AC299" s="290"/>
      <c r="AD299" s="290"/>
      <c r="AE299" s="290"/>
      <c r="AF299" s="290"/>
      <c r="AG299" s="290"/>
      <c r="AH299" s="215"/>
    </row>
    <row r="300" spans="1:34" x14ac:dyDescent="0.2">
      <c r="A300" s="282"/>
      <c r="B300" s="266"/>
      <c r="C300" s="297"/>
      <c r="D300" s="298"/>
      <c r="E300" s="298"/>
      <c r="F300" s="299"/>
      <c r="G300" s="299"/>
      <c r="H300" s="299"/>
      <c r="I300" s="299"/>
      <c r="J300" s="299"/>
      <c r="K300" s="299"/>
      <c r="L300" s="299"/>
      <c r="M300" s="299"/>
      <c r="N300" s="299"/>
      <c r="O300" s="299"/>
      <c r="P300" s="866"/>
      <c r="Q300" s="299"/>
      <c r="R300" s="299"/>
      <c r="S300" s="299"/>
      <c r="T300" s="299"/>
      <c r="U300" s="299"/>
      <c r="V300" s="299"/>
      <c r="W300" s="299"/>
      <c r="X300" s="299"/>
      <c r="Y300" s="299"/>
      <c r="Z300" s="299"/>
      <c r="AA300" s="299"/>
      <c r="AB300" s="299"/>
      <c r="AC300" s="299"/>
      <c r="AD300" s="299"/>
      <c r="AE300" s="299"/>
      <c r="AF300" s="299"/>
      <c r="AG300" s="299"/>
      <c r="AH300" s="215"/>
    </row>
    <row r="301" spans="1:34" x14ac:dyDescent="0.2">
      <c r="A301" s="287" t="s">
        <v>13</v>
      </c>
      <c r="B301" s="266"/>
      <c r="C301" s="300">
        <f>C296-C288</f>
        <v>0</v>
      </c>
      <c r="D301" s="300">
        <f>D296-D288</f>
        <v>0</v>
      </c>
      <c r="E301" s="300">
        <f>E296-E288</f>
        <v>0</v>
      </c>
      <c r="F301" s="300">
        <f>F296-F288</f>
        <v>0</v>
      </c>
      <c r="G301" s="300">
        <f>G296-G288</f>
        <v>0</v>
      </c>
      <c r="H301" s="300">
        <f t="shared" ref="H301:AG301" si="31">H296-H288</f>
        <v>0</v>
      </c>
      <c r="I301" s="300">
        <f t="shared" si="31"/>
        <v>0</v>
      </c>
      <c r="J301" s="300">
        <f t="shared" si="31"/>
        <v>0</v>
      </c>
      <c r="K301" s="300">
        <f t="shared" si="31"/>
        <v>0</v>
      </c>
      <c r="L301" s="300">
        <f t="shared" si="31"/>
        <v>0</v>
      </c>
      <c r="M301" s="300">
        <f t="shared" si="31"/>
        <v>0</v>
      </c>
      <c r="N301" s="300">
        <f t="shared" si="31"/>
        <v>0</v>
      </c>
      <c r="O301" s="300">
        <f t="shared" si="31"/>
        <v>0</v>
      </c>
      <c r="P301" s="867">
        <f t="shared" si="31"/>
        <v>0</v>
      </c>
      <c r="Q301" s="300">
        <f t="shared" si="31"/>
        <v>0</v>
      </c>
      <c r="R301" s="300">
        <f t="shared" si="31"/>
        <v>0</v>
      </c>
      <c r="S301" s="300">
        <f t="shared" si="31"/>
        <v>0</v>
      </c>
      <c r="T301" s="300">
        <f t="shared" si="31"/>
        <v>0</v>
      </c>
      <c r="U301" s="300">
        <f t="shared" si="31"/>
        <v>0</v>
      </c>
      <c r="V301" s="300">
        <f t="shared" si="31"/>
        <v>0</v>
      </c>
      <c r="W301" s="300">
        <f t="shared" si="31"/>
        <v>0</v>
      </c>
      <c r="X301" s="300">
        <f t="shared" si="31"/>
        <v>0</v>
      </c>
      <c r="Y301" s="300">
        <f t="shared" si="31"/>
        <v>0</v>
      </c>
      <c r="Z301" s="300">
        <f t="shared" si="31"/>
        <v>0</v>
      </c>
      <c r="AA301" s="300">
        <f t="shared" si="31"/>
        <v>0</v>
      </c>
      <c r="AB301" s="300">
        <f t="shared" si="31"/>
        <v>0</v>
      </c>
      <c r="AC301" s="300">
        <f t="shared" si="31"/>
        <v>0</v>
      </c>
      <c r="AD301" s="300">
        <f t="shared" si="31"/>
        <v>0</v>
      </c>
      <c r="AE301" s="300">
        <f t="shared" si="31"/>
        <v>0</v>
      </c>
      <c r="AF301" s="300">
        <f t="shared" si="31"/>
        <v>0</v>
      </c>
      <c r="AG301" s="300">
        <f t="shared" si="31"/>
        <v>0</v>
      </c>
      <c r="AH301" s="215"/>
    </row>
    <row r="302" spans="1:34" ht="13.5" thickBot="1" x14ac:dyDescent="0.25">
      <c r="A302" s="287"/>
      <c r="B302" s="266"/>
      <c r="C302" s="300"/>
      <c r="D302" s="291"/>
      <c r="E302" s="291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2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  <c r="AA302" s="290"/>
      <c r="AB302" s="290"/>
      <c r="AC302" s="290"/>
      <c r="AD302" s="290"/>
      <c r="AE302" s="290"/>
      <c r="AF302" s="290"/>
      <c r="AG302" s="290"/>
      <c r="AH302" s="215"/>
    </row>
    <row r="303" spans="1:34" x14ac:dyDescent="0.2">
      <c r="A303" s="263"/>
      <c r="B303" s="264"/>
      <c r="C303" s="301"/>
      <c r="D303" s="298"/>
      <c r="E303" s="298"/>
      <c r="F303" s="299"/>
      <c r="G303" s="299"/>
      <c r="H303" s="299"/>
      <c r="I303" s="299"/>
      <c r="J303" s="299"/>
      <c r="K303" s="299"/>
      <c r="L303" s="299"/>
      <c r="M303" s="299"/>
      <c r="N303" s="299"/>
      <c r="O303" s="299"/>
      <c r="P303" s="866"/>
      <c r="Q303" s="299"/>
      <c r="R303" s="299"/>
      <c r="S303" s="299"/>
      <c r="T303" s="299"/>
      <c r="U303" s="299"/>
      <c r="V303" s="299"/>
      <c r="W303" s="299"/>
      <c r="X303" s="299"/>
      <c r="Y303" s="299"/>
      <c r="Z303" s="299"/>
      <c r="AA303" s="299"/>
      <c r="AB303" s="299"/>
      <c r="AC303" s="299"/>
      <c r="AD303" s="299"/>
      <c r="AE303" s="299"/>
      <c r="AF303" s="299"/>
      <c r="AG303" s="299"/>
      <c r="AH303" s="215"/>
    </row>
    <row r="304" spans="1:34" x14ac:dyDescent="0.2">
      <c r="A304" s="265" t="s">
        <v>15</v>
      </c>
      <c r="B304" s="266"/>
      <c r="C304" s="291">
        <f>B285+C301</f>
        <v>26715.653999999999</v>
      </c>
      <c r="D304" s="291">
        <f t="shared" ref="D304:AG304" si="32">C311+D301</f>
        <v>26715.653999999999</v>
      </c>
      <c r="E304" s="291">
        <f t="shared" si="32"/>
        <v>26715.653999999999</v>
      </c>
      <c r="F304" s="291">
        <f t="shared" si="32"/>
        <v>26715.653999999999</v>
      </c>
      <c r="G304" s="291">
        <f t="shared" si="32"/>
        <v>26715.653999999999</v>
      </c>
      <c r="H304" s="291">
        <f t="shared" si="32"/>
        <v>26715.653999999999</v>
      </c>
      <c r="I304" s="291">
        <f t="shared" si="32"/>
        <v>26715.653999999999</v>
      </c>
      <c r="J304" s="291">
        <f t="shared" si="32"/>
        <v>26715.653999999999</v>
      </c>
      <c r="K304" s="291">
        <f t="shared" si="32"/>
        <v>26715.653999999999</v>
      </c>
      <c r="L304" s="291">
        <f t="shared" si="32"/>
        <v>26715.653999999999</v>
      </c>
      <c r="M304" s="291">
        <f t="shared" si="32"/>
        <v>26715.653999999999</v>
      </c>
      <c r="N304" s="291">
        <f t="shared" si="32"/>
        <v>26715.653999999999</v>
      </c>
      <c r="O304" s="291">
        <f t="shared" si="32"/>
        <v>26715.653999999999</v>
      </c>
      <c r="P304" s="289">
        <f t="shared" si="32"/>
        <v>26715.653999999999</v>
      </c>
      <c r="Q304" s="291">
        <f t="shared" si="32"/>
        <v>26715.653999999999</v>
      </c>
      <c r="R304" s="291">
        <f t="shared" si="32"/>
        <v>26715.653999999999</v>
      </c>
      <c r="S304" s="291">
        <f t="shared" si="32"/>
        <v>26715.653999999999</v>
      </c>
      <c r="T304" s="291">
        <f t="shared" si="32"/>
        <v>26715.653999999999</v>
      </c>
      <c r="U304" s="291">
        <f t="shared" si="32"/>
        <v>26715.653999999999</v>
      </c>
      <c r="V304" s="291">
        <f t="shared" si="32"/>
        <v>26715.653999999999</v>
      </c>
      <c r="W304" s="291">
        <f t="shared" si="32"/>
        <v>26715.653999999999</v>
      </c>
      <c r="X304" s="291">
        <f t="shared" si="32"/>
        <v>26715.653999999999</v>
      </c>
      <c r="Y304" s="291">
        <f t="shared" si="32"/>
        <v>26715.653999999999</v>
      </c>
      <c r="Z304" s="291">
        <f t="shared" si="32"/>
        <v>26715.653999999999</v>
      </c>
      <c r="AA304" s="291">
        <f t="shared" si="32"/>
        <v>26715.653999999999</v>
      </c>
      <c r="AB304" s="291">
        <f t="shared" si="32"/>
        <v>26715.653999999999</v>
      </c>
      <c r="AC304" s="291">
        <f t="shared" si="32"/>
        <v>26715.653999999999</v>
      </c>
      <c r="AD304" s="291">
        <f t="shared" si="32"/>
        <v>26715.653999999999</v>
      </c>
      <c r="AE304" s="291">
        <f t="shared" si="32"/>
        <v>26715.653999999999</v>
      </c>
      <c r="AF304" s="291">
        <f t="shared" si="32"/>
        <v>26715.653999999999</v>
      </c>
      <c r="AG304" s="291">
        <f t="shared" si="32"/>
        <v>26715.653999999999</v>
      </c>
      <c r="AH304" s="215"/>
    </row>
    <row r="305" spans="1:34" ht="13.5" thickBot="1" x14ac:dyDescent="0.25">
      <c r="A305" s="275"/>
      <c r="B305" s="302"/>
      <c r="C305" s="303"/>
      <c r="D305" s="303"/>
      <c r="E305" s="303"/>
      <c r="F305" s="304"/>
      <c r="G305" s="304"/>
      <c r="H305" s="304"/>
      <c r="I305" s="304"/>
      <c r="J305" s="304"/>
      <c r="K305" s="304"/>
      <c r="L305" s="304"/>
      <c r="M305" s="304"/>
      <c r="N305" s="304"/>
      <c r="O305" s="304"/>
      <c r="P305" s="868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4"/>
      <c r="AE305" s="304"/>
      <c r="AF305" s="304"/>
      <c r="AG305" s="304"/>
      <c r="AH305" s="215"/>
    </row>
    <row r="306" spans="1:34" x14ac:dyDescent="0.2">
      <c r="A306" s="263"/>
      <c r="B306" s="264"/>
      <c r="C306" s="298"/>
      <c r="D306" s="298"/>
      <c r="E306" s="298"/>
      <c r="F306" s="299"/>
      <c r="G306" s="299"/>
      <c r="H306" s="299"/>
      <c r="I306" s="299"/>
      <c r="J306" s="299"/>
      <c r="K306" s="299"/>
      <c r="L306" s="299"/>
      <c r="M306" s="299"/>
      <c r="N306" s="299"/>
      <c r="O306" s="299"/>
      <c r="P306" s="866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299"/>
      <c r="AH306" s="215"/>
    </row>
    <row r="307" spans="1:34" x14ac:dyDescent="0.2">
      <c r="A307" s="265" t="s">
        <v>82</v>
      </c>
      <c r="B307" s="266"/>
      <c r="C307" s="291">
        <f t="shared" ref="C307:AG308" si="33">C315</f>
        <v>0</v>
      </c>
      <c r="D307" s="291">
        <f t="shared" si="33"/>
        <v>0</v>
      </c>
      <c r="E307" s="291">
        <f t="shared" si="33"/>
        <v>0</v>
      </c>
      <c r="F307" s="291">
        <f t="shared" si="33"/>
        <v>0</v>
      </c>
      <c r="G307" s="291">
        <f t="shared" si="33"/>
        <v>0</v>
      </c>
      <c r="H307" s="291">
        <f t="shared" si="33"/>
        <v>0</v>
      </c>
      <c r="I307" s="291">
        <f t="shared" si="33"/>
        <v>0</v>
      </c>
      <c r="J307" s="291">
        <f t="shared" si="33"/>
        <v>0</v>
      </c>
      <c r="K307" s="291">
        <f t="shared" si="33"/>
        <v>0</v>
      </c>
      <c r="L307" s="291">
        <f t="shared" si="33"/>
        <v>0</v>
      </c>
      <c r="M307" s="291">
        <f t="shared" si="33"/>
        <v>0</v>
      </c>
      <c r="N307" s="291">
        <f t="shared" si="33"/>
        <v>0</v>
      </c>
      <c r="O307" s="291">
        <f t="shared" si="33"/>
        <v>0</v>
      </c>
      <c r="P307" s="289">
        <f t="shared" si="33"/>
        <v>0</v>
      </c>
      <c r="Q307" s="291">
        <f t="shared" si="33"/>
        <v>0</v>
      </c>
      <c r="R307" s="291">
        <f t="shared" si="33"/>
        <v>0</v>
      </c>
      <c r="S307" s="291">
        <f t="shared" si="33"/>
        <v>0</v>
      </c>
      <c r="T307" s="291">
        <f t="shared" si="33"/>
        <v>0</v>
      </c>
      <c r="U307" s="291">
        <f t="shared" si="33"/>
        <v>0</v>
      </c>
      <c r="V307" s="291">
        <f t="shared" si="33"/>
        <v>0</v>
      </c>
      <c r="W307" s="291">
        <f t="shared" si="33"/>
        <v>0</v>
      </c>
      <c r="X307" s="291">
        <f t="shared" si="33"/>
        <v>0</v>
      </c>
      <c r="Y307" s="291">
        <f t="shared" si="33"/>
        <v>0</v>
      </c>
      <c r="Z307" s="291">
        <f t="shared" si="33"/>
        <v>0</v>
      </c>
      <c r="AA307" s="291">
        <f>AA315</f>
        <v>0</v>
      </c>
      <c r="AB307" s="291">
        <f t="shared" si="33"/>
        <v>0</v>
      </c>
      <c r="AC307" s="291">
        <f t="shared" si="33"/>
        <v>0</v>
      </c>
      <c r="AD307" s="291">
        <f t="shared" si="33"/>
        <v>0</v>
      </c>
      <c r="AE307" s="291">
        <f t="shared" si="33"/>
        <v>0</v>
      </c>
      <c r="AF307" s="291">
        <f t="shared" si="33"/>
        <v>0</v>
      </c>
      <c r="AG307" s="291">
        <f t="shared" si="33"/>
        <v>0</v>
      </c>
      <c r="AH307" s="215"/>
    </row>
    <row r="308" spans="1:34" x14ac:dyDescent="0.2">
      <c r="A308" s="265" t="s">
        <v>83</v>
      </c>
      <c r="B308" s="266"/>
      <c r="C308" s="289">
        <f t="shared" si="33"/>
        <v>0</v>
      </c>
      <c r="D308" s="289">
        <f t="shared" si="33"/>
        <v>0</v>
      </c>
      <c r="E308" s="289">
        <f t="shared" si="33"/>
        <v>0</v>
      </c>
      <c r="F308" s="289">
        <f t="shared" si="33"/>
        <v>0</v>
      </c>
      <c r="G308" s="289">
        <f t="shared" si="33"/>
        <v>0</v>
      </c>
      <c r="H308" s="289">
        <f t="shared" si="33"/>
        <v>0</v>
      </c>
      <c r="I308" s="289">
        <f t="shared" si="33"/>
        <v>0</v>
      </c>
      <c r="J308" s="289">
        <f t="shared" si="33"/>
        <v>0</v>
      </c>
      <c r="K308" s="289">
        <f t="shared" si="33"/>
        <v>0</v>
      </c>
      <c r="L308" s="289">
        <f t="shared" si="33"/>
        <v>0</v>
      </c>
      <c r="M308" s="289">
        <f t="shared" si="33"/>
        <v>0</v>
      </c>
      <c r="N308" s="289">
        <f t="shared" si="33"/>
        <v>0</v>
      </c>
      <c r="O308" s="289">
        <f t="shared" si="33"/>
        <v>0</v>
      </c>
      <c r="P308" s="289">
        <f t="shared" si="33"/>
        <v>0</v>
      </c>
      <c r="Q308" s="289">
        <f t="shared" si="33"/>
        <v>0</v>
      </c>
      <c r="R308" s="289">
        <f t="shared" si="33"/>
        <v>0</v>
      </c>
      <c r="S308" s="289">
        <f t="shared" si="33"/>
        <v>0</v>
      </c>
      <c r="T308" s="289">
        <f t="shared" si="33"/>
        <v>0</v>
      </c>
      <c r="U308" s="289">
        <f t="shared" si="33"/>
        <v>0</v>
      </c>
      <c r="V308" s="289">
        <f t="shared" si="33"/>
        <v>0</v>
      </c>
      <c r="W308" s="289">
        <f t="shared" si="33"/>
        <v>0</v>
      </c>
      <c r="X308" s="289">
        <f t="shared" si="33"/>
        <v>0</v>
      </c>
      <c r="Y308" s="289">
        <f t="shared" si="33"/>
        <v>0</v>
      </c>
      <c r="Z308" s="289">
        <f t="shared" si="33"/>
        <v>0</v>
      </c>
      <c r="AA308" s="289">
        <f t="shared" si="33"/>
        <v>0</v>
      </c>
      <c r="AB308" s="289">
        <f t="shared" si="33"/>
        <v>0</v>
      </c>
      <c r="AC308" s="289">
        <f t="shared" si="33"/>
        <v>0</v>
      </c>
      <c r="AD308" s="289">
        <f t="shared" si="33"/>
        <v>0</v>
      </c>
      <c r="AE308" s="289">
        <f t="shared" si="33"/>
        <v>0</v>
      </c>
      <c r="AF308" s="289">
        <f t="shared" si="33"/>
        <v>0</v>
      </c>
      <c r="AG308" s="289">
        <f t="shared" si="33"/>
        <v>0</v>
      </c>
      <c r="AH308" s="215"/>
    </row>
    <row r="309" spans="1:34" ht="13.5" thickBot="1" x14ac:dyDescent="0.25">
      <c r="A309" s="275"/>
      <c r="B309" s="302"/>
      <c r="C309" s="303"/>
      <c r="D309" s="303"/>
      <c r="E309" s="303"/>
      <c r="F309" s="304"/>
      <c r="G309" s="304"/>
      <c r="H309" s="304"/>
      <c r="I309" s="304"/>
      <c r="J309" s="304"/>
      <c r="K309" s="304"/>
      <c r="L309" s="304"/>
      <c r="M309" s="304"/>
      <c r="N309" s="304"/>
      <c r="O309" s="304"/>
      <c r="P309" s="868"/>
      <c r="Q309" s="304"/>
      <c r="R309" s="304"/>
      <c r="S309" s="304"/>
      <c r="T309" s="304"/>
      <c r="U309" s="304"/>
      <c r="V309" s="304"/>
      <c r="W309" s="304"/>
      <c r="X309" s="304"/>
      <c r="Y309" s="304"/>
      <c r="Z309" s="304"/>
      <c r="AA309" s="304"/>
      <c r="AB309" s="304"/>
      <c r="AC309" s="304"/>
      <c r="AD309" s="304"/>
      <c r="AE309" s="304"/>
      <c r="AF309" s="304"/>
      <c r="AG309" s="304"/>
      <c r="AH309" s="215"/>
    </row>
    <row r="310" spans="1:34" x14ac:dyDescent="0.2">
      <c r="A310" s="265"/>
      <c r="B310" s="266"/>
      <c r="C310" s="291"/>
      <c r="D310" s="291"/>
      <c r="E310" s="291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2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  <c r="AA310" s="290"/>
      <c r="AB310" s="290"/>
      <c r="AC310" s="290"/>
      <c r="AD310" s="290"/>
      <c r="AE310" s="290"/>
      <c r="AF310" s="290"/>
      <c r="AG310" s="290"/>
      <c r="AH310" s="215"/>
    </row>
    <row r="311" spans="1:34" x14ac:dyDescent="0.2">
      <c r="A311" s="265" t="s">
        <v>14</v>
      </c>
      <c r="B311" s="266"/>
      <c r="C311" s="291">
        <f>C304+C307+C308</f>
        <v>26715.653999999999</v>
      </c>
      <c r="D311" s="291">
        <f>D304+D307+D308</f>
        <v>26715.653999999999</v>
      </c>
      <c r="E311" s="291">
        <f>E304+E307+E308</f>
        <v>26715.653999999999</v>
      </c>
      <c r="F311" s="291">
        <f>F304+F307+F308</f>
        <v>26715.653999999999</v>
      </c>
      <c r="G311" s="291">
        <f>G304+G307+G308</f>
        <v>26715.653999999999</v>
      </c>
      <c r="H311" s="291">
        <f t="shared" ref="H311:AG311" si="34">H304+H307+H308</f>
        <v>26715.653999999999</v>
      </c>
      <c r="I311" s="291">
        <f t="shared" si="34"/>
        <v>26715.653999999999</v>
      </c>
      <c r="J311" s="291">
        <f t="shared" si="34"/>
        <v>26715.653999999999</v>
      </c>
      <c r="K311" s="291">
        <f t="shared" si="34"/>
        <v>26715.653999999999</v>
      </c>
      <c r="L311" s="291">
        <f t="shared" si="34"/>
        <v>26715.653999999999</v>
      </c>
      <c r="M311" s="291">
        <f t="shared" si="34"/>
        <v>26715.653999999999</v>
      </c>
      <c r="N311" s="291">
        <f t="shared" si="34"/>
        <v>26715.653999999999</v>
      </c>
      <c r="O311" s="291">
        <f t="shared" si="34"/>
        <v>26715.653999999999</v>
      </c>
      <c r="P311" s="289">
        <f t="shared" si="34"/>
        <v>26715.653999999999</v>
      </c>
      <c r="Q311" s="291">
        <f t="shared" si="34"/>
        <v>26715.653999999999</v>
      </c>
      <c r="R311" s="291">
        <f t="shared" si="34"/>
        <v>26715.653999999999</v>
      </c>
      <c r="S311" s="291">
        <f t="shared" si="34"/>
        <v>26715.653999999999</v>
      </c>
      <c r="T311" s="291">
        <f t="shared" si="34"/>
        <v>26715.653999999999</v>
      </c>
      <c r="U311" s="291">
        <f t="shared" si="34"/>
        <v>26715.653999999999</v>
      </c>
      <c r="V311" s="291">
        <f t="shared" si="34"/>
        <v>26715.653999999999</v>
      </c>
      <c r="W311" s="291">
        <f t="shared" si="34"/>
        <v>26715.653999999999</v>
      </c>
      <c r="X311" s="291">
        <f t="shared" si="34"/>
        <v>26715.653999999999</v>
      </c>
      <c r="Y311" s="291">
        <f t="shared" si="34"/>
        <v>26715.653999999999</v>
      </c>
      <c r="Z311" s="291">
        <f t="shared" si="34"/>
        <v>26715.653999999999</v>
      </c>
      <c r="AA311" s="291">
        <f t="shared" si="34"/>
        <v>26715.653999999999</v>
      </c>
      <c r="AB311" s="291">
        <f t="shared" si="34"/>
        <v>26715.653999999999</v>
      </c>
      <c r="AC311" s="291">
        <f t="shared" si="34"/>
        <v>26715.653999999999</v>
      </c>
      <c r="AD311" s="291">
        <f t="shared" si="34"/>
        <v>26715.653999999999</v>
      </c>
      <c r="AE311" s="291">
        <f t="shared" si="34"/>
        <v>26715.653999999999</v>
      </c>
      <c r="AF311" s="291">
        <f t="shared" si="34"/>
        <v>26715.653999999999</v>
      </c>
      <c r="AG311" s="291">
        <f t="shared" si="34"/>
        <v>26715.653999999999</v>
      </c>
      <c r="AH311" s="215"/>
    </row>
    <row r="312" spans="1:34" x14ac:dyDescent="0.2">
      <c r="A312" s="265"/>
      <c r="B312" s="266"/>
      <c r="C312" s="291"/>
      <c r="D312" s="291"/>
      <c r="E312" s="291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2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  <c r="AA312" s="290"/>
      <c r="AB312" s="290"/>
      <c r="AC312" s="290"/>
      <c r="AD312" s="290"/>
      <c r="AE312" s="290"/>
      <c r="AF312" s="290"/>
      <c r="AG312" s="290"/>
      <c r="AH312" s="215"/>
    </row>
    <row r="313" spans="1:34" ht="13.5" thickBot="1" x14ac:dyDescent="0.25">
      <c r="A313" s="275"/>
      <c r="B313" s="302"/>
      <c r="C313" s="306"/>
      <c r="D313" s="306"/>
      <c r="E313" s="306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869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C313" s="307"/>
      <c r="AD313" s="307"/>
      <c r="AE313" s="307"/>
      <c r="AF313" s="307"/>
      <c r="AG313" s="307"/>
      <c r="AH313" s="215"/>
    </row>
    <row r="314" spans="1:34" x14ac:dyDescent="0.2">
      <c r="A314" s="310"/>
      <c r="B314" s="215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308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>
        <f>SUM(C314:AG314)</f>
        <v>0</v>
      </c>
    </row>
    <row r="315" spans="1:34" x14ac:dyDescent="0.2">
      <c r="A315" s="312"/>
      <c r="B315" s="475"/>
      <c r="C315" s="311"/>
      <c r="D315" s="629"/>
      <c r="E315" s="371"/>
      <c r="F315" s="311"/>
      <c r="G315" s="311"/>
      <c r="H315" s="314"/>
      <c r="I315" s="311"/>
      <c r="J315" s="311"/>
      <c r="K315" s="311"/>
      <c r="L315" s="311"/>
      <c r="M315" s="314"/>
      <c r="N315" s="314"/>
      <c r="O315" s="314"/>
      <c r="P315" s="629"/>
      <c r="Q315" s="311"/>
      <c r="R315" s="311"/>
      <c r="S315" s="311"/>
      <c r="T315" s="311"/>
      <c r="U315" s="311"/>
      <c r="V315" s="311"/>
      <c r="W315" s="314"/>
      <c r="X315" s="314"/>
      <c r="Y315" s="314"/>
      <c r="Z315" s="314"/>
      <c r="AA315" s="314"/>
      <c r="AB315" s="314"/>
      <c r="AC315" s="314"/>
      <c r="AD315" s="629"/>
      <c r="AE315" s="311"/>
      <c r="AF315" s="311"/>
      <c r="AG315" s="311"/>
      <c r="AH315" s="286"/>
    </row>
    <row r="316" spans="1:34" x14ac:dyDescent="0.2">
      <c r="A316" s="215"/>
      <c r="B316" s="215"/>
      <c r="C316" s="215"/>
      <c r="D316" s="215"/>
      <c r="E316" s="317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309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15"/>
      <c r="AE316" s="215"/>
      <c r="AF316" s="215"/>
      <c r="AG316" s="215"/>
      <c r="AH316" s="286"/>
    </row>
    <row r="317" spans="1:34" x14ac:dyDescent="0.2">
      <c r="A317" s="358" t="s">
        <v>415</v>
      </c>
      <c r="B317" s="359">
        <f>B318+B319+B321+B320</f>
        <v>1020000</v>
      </c>
      <c r="C317" s="316"/>
      <c r="D317" s="215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457"/>
      <c r="V317" s="314"/>
      <c r="W317" s="286"/>
      <c r="X317" s="215"/>
      <c r="Y317" s="215"/>
      <c r="Z317" s="215"/>
      <c r="AA317" s="408"/>
      <c r="AB317" s="215"/>
      <c r="AC317" s="215"/>
      <c r="AD317" s="215"/>
      <c r="AE317" s="215"/>
      <c r="AF317" s="215"/>
      <c r="AG317" s="215"/>
      <c r="AH317" s="215"/>
    </row>
    <row r="318" spans="1:34" x14ac:dyDescent="0.2">
      <c r="A318" s="327" t="s">
        <v>414</v>
      </c>
      <c r="B318" s="311">
        <v>20000</v>
      </c>
      <c r="C318" s="215"/>
      <c r="D318" s="215"/>
      <c r="E318" s="286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309"/>
      <c r="Q318" s="215"/>
      <c r="R318" s="215"/>
      <c r="S318" s="215"/>
      <c r="T318" s="215"/>
      <c r="U318" s="313"/>
      <c r="V318" s="313"/>
      <c r="W318" s="215"/>
      <c r="X318" s="215"/>
      <c r="Y318" s="215"/>
      <c r="Z318" s="215"/>
      <c r="AA318" s="215"/>
      <c r="AB318" s="215"/>
      <c r="AC318" s="286"/>
      <c r="AD318" s="286"/>
      <c r="AE318" s="215"/>
      <c r="AF318" s="215"/>
      <c r="AG318" s="215"/>
      <c r="AH318" s="215"/>
    </row>
    <row r="319" spans="1:34" x14ac:dyDescent="0.2">
      <c r="A319" s="327" t="s">
        <v>287</v>
      </c>
      <c r="B319" s="311">
        <v>600000</v>
      </c>
      <c r="C319" s="215"/>
      <c r="D319" s="215"/>
      <c r="E319" s="215"/>
      <c r="F319" s="215"/>
      <c r="G319" s="215"/>
      <c r="H319" s="215"/>
      <c r="I319" s="215"/>
      <c r="J319" s="215"/>
      <c r="K319" s="286"/>
      <c r="L319" s="215"/>
      <c r="M319" s="215"/>
      <c r="N319" s="215"/>
      <c r="O319" s="215"/>
      <c r="P319" s="309"/>
      <c r="Q319" s="215"/>
      <c r="R319" s="215"/>
      <c r="S319" s="215"/>
      <c r="T319" s="215"/>
      <c r="U319" s="458"/>
      <c r="V319" s="313"/>
      <c r="W319" s="215"/>
      <c r="X319" s="286"/>
      <c r="Y319" s="215"/>
      <c r="Z319" s="215"/>
      <c r="AA319" s="215"/>
      <c r="AB319" s="215"/>
      <c r="AC319" s="215"/>
      <c r="AD319" s="215"/>
      <c r="AE319" s="215"/>
      <c r="AF319" s="215"/>
      <c r="AG319" s="215"/>
    </row>
    <row r="320" spans="1:34" x14ac:dyDescent="0.2">
      <c r="A320" s="310" t="s">
        <v>413</v>
      </c>
      <c r="B320" s="311">
        <v>200000</v>
      </c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309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310" t="s">
        <v>441</v>
      </c>
      <c r="B321" s="311">
        <v>200000</v>
      </c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309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</row>
    <row r="323" spans="1:33" x14ac:dyDescent="0.2">
      <c r="A323" s="183" t="s">
        <v>449</v>
      </c>
      <c r="B323" s="25"/>
      <c r="L323" s="42"/>
    </row>
    <row r="324" spans="1:33" x14ac:dyDescent="0.2">
      <c r="AB324" s="42"/>
      <c r="AC324" s="42"/>
      <c r="AD324" s="42"/>
      <c r="AE324" s="42"/>
    </row>
    <row r="331" spans="1:33" ht="15" x14ac:dyDescent="0.2">
      <c r="A331" s="401"/>
      <c r="B331" s="791"/>
    </row>
    <row r="332" spans="1:33" ht="15" x14ac:dyDescent="0.2">
      <c r="A332" s="401"/>
      <c r="B332" s="791"/>
    </row>
    <row r="333" spans="1:33" ht="15" x14ac:dyDescent="0.2">
      <c r="A333" s="401"/>
      <c r="B333" s="791"/>
    </row>
    <row r="338" spans="1:2" ht="18" x14ac:dyDescent="0.25">
      <c r="A338" s="1757"/>
      <c r="B338" s="1757"/>
    </row>
    <row r="339" spans="1:2" x14ac:dyDescent="0.2">
      <c r="A339" s="54"/>
      <c r="B339" s="54"/>
    </row>
    <row r="341" spans="1:2" x14ac:dyDescent="0.2">
      <c r="A341" s="483"/>
      <c r="B341" s="25"/>
    </row>
    <row r="342" spans="1:2" x14ac:dyDescent="0.2">
      <c r="A342" s="483"/>
      <c r="B342" s="25"/>
    </row>
    <row r="343" spans="1:2" x14ac:dyDescent="0.2">
      <c r="A343" s="483"/>
      <c r="B343" s="25"/>
    </row>
    <row r="344" spans="1:2" x14ac:dyDescent="0.2">
      <c r="A344" s="483"/>
      <c r="B344" s="25"/>
    </row>
    <row r="345" spans="1:2" x14ac:dyDescent="0.2">
      <c r="A345" s="483"/>
      <c r="B345" s="25"/>
    </row>
    <row r="346" spans="1:2" x14ac:dyDescent="0.2">
      <c r="A346" s="483"/>
      <c r="B346" s="25"/>
    </row>
    <row r="347" spans="1:2" x14ac:dyDescent="0.2">
      <c r="A347" s="483"/>
      <c r="B347" s="25"/>
    </row>
    <row r="348" spans="1:2" x14ac:dyDescent="0.2">
      <c r="A348" s="483"/>
      <c r="B348" s="25"/>
    </row>
    <row r="349" spans="1:2" x14ac:dyDescent="0.2">
      <c r="A349" s="483"/>
      <c r="B349" s="25"/>
    </row>
    <row r="350" spans="1:2" x14ac:dyDescent="0.2">
      <c r="A350" s="483"/>
      <c r="B350" s="25"/>
    </row>
    <row r="351" spans="1:2" x14ac:dyDescent="0.2">
      <c r="A351" s="483"/>
      <c r="B351" s="25"/>
    </row>
    <row r="354" spans="2:2" x14ac:dyDescent="0.2">
      <c r="B354" s="25"/>
    </row>
    <row r="355" spans="2:2" x14ac:dyDescent="0.2">
      <c r="B355" s="25"/>
    </row>
    <row r="356" spans="2:2" x14ac:dyDescent="0.2">
      <c r="B356" s="25"/>
    </row>
    <row r="358" spans="2:2" x14ac:dyDescent="0.2">
      <c r="B358" s="889"/>
    </row>
  </sheetData>
  <mergeCells count="4">
    <mergeCell ref="AC37:AD37"/>
    <mergeCell ref="M153:U153"/>
    <mergeCell ref="F284:G284"/>
    <mergeCell ref="A338:B338"/>
  </mergeCells>
  <pageMargins left="0.78740157480314965" right="0.78740157480314965" top="0.98425196850393704" bottom="0.98425196850393704" header="0.51181102362204722" footer="0.51181102362204722"/>
  <pageSetup paperSize="9" fitToHeight="2" orientation="landscape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">
    <pageSetUpPr fitToPage="1"/>
  </sheetPr>
  <dimension ref="A1:AQ358"/>
  <sheetViews>
    <sheetView topLeftCell="A21" workbookViewId="0">
      <pane ySplit="2025" topLeftCell="A22" activePane="bottomLeft"/>
      <selection activeCell="K24" sqref="K23:K40"/>
      <selection pane="bottomLeft" activeCell="AE35" sqref="AE35"/>
    </sheetView>
  </sheetViews>
  <sheetFormatPr defaultColWidth="11.42578125" defaultRowHeight="12.75" x14ac:dyDescent="0.2"/>
  <cols>
    <col min="1" max="1" width="37.42578125" customWidth="1"/>
    <col min="2" max="2" width="13.7109375" customWidth="1"/>
    <col min="3" max="3" width="14" customWidth="1"/>
    <col min="4" max="4" width="14.28515625" customWidth="1"/>
    <col min="5" max="5" width="14.42578125" bestFit="1" customWidth="1"/>
    <col min="6" max="6" width="12.7109375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1.85546875" bestFit="1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6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6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6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6" x14ac:dyDescent="0.2">
      <c r="A4" s="215"/>
      <c r="B4" s="215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81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15"/>
    </row>
    <row r="5" spans="1:36" x14ac:dyDescent="0.2">
      <c r="A5" s="1" t="s">
        <v>689</v>
      </c>
      <c r="B5" s="451" t="s">
        <v>132</v>
      </c>
      <c r="C5" s="359">
        <f>C6+C7+C8+C9</f>
        <v>-518015.35800000001</v>
      </c>
      <c r="D5" s="359">
        <f t="shared" ref="D5:AG5" si="0">D6+D7+D8+D9</f>
        <v>-518015.35800000001</v>
      </c>
      <c r="E5" s="359">
        <f t="shared" si="0"/>
        <v>-518015.35800000001</v>
      </c>
      <c r="F5" s="359">
        <f t="shared" si="0"/>
        <v>-518015.35800000001</v>
      </c>
      <c r="G5" s="359">
        <f t="shared" si="0"/>
        <v>-518015.35800000001</v>
      </c>
      <c r="H5" s="359">
        <f t="shared" si="0"/>
        <v>-518015.35800000001</v>
      </c>
      <c r="I5" s="359">
        <f t="shared" si="0"/>
        <v>-518015.35800000001</v>
      </c>
      <c r="J5" s="453">
        <f t="shared" si="0"/>
        <v>-518015.35800000001</v>
      </c>
      <c r="K5" s="453">
        <f t="shared" si="0"/>
        <v>-518015.35800000001</v>
      </c>
      <c r="L5" s="359">
        <f t="shared" si="0"/>
        <v>-518015.35800000001</v>
      </c>
      <c r="M5" s="359">
        <f t="shared" si="0"/>
        <v>-518015.35800000001</v>
      </c>
      <c r="N5" s="359">
        <f t="shared" si="0"/>
        <v>-518015.35800000001</v>
      </c>
      <c r="O5" s="359">
        <f t="shared" si="0"/>
        <v>-518015.35800000001</v>
      </c>
      <c r="P5" s="858">
        <f t="shared" si="0"/>
        <v>-518015.35800000001</v>
      </c>
      <c r="Q5" s="359">
        <f t="shared" si="0"/>
        <v>-560513.35800000001</v>
      </c>
      <c r="R5" s="359">
        <f t="shared" si="0"/>
        <v>-560513.35800000001</v>
      </c>
      <c r="S5" s="359">
        <f t="shared" si="0"/>
        <v>-560513.35800000001</v>
      </c>
      <c r="T5" s="359">
        <f t="shared" si="0"/>
        <v>-560513.35800000001</v>
      </c>
      <c r="U5" s="359">
        <f t="shared" si="0"/>
        <v>-560513.35800000001</v>
      </c>
      <c r="V5" s="359">
        <f t="shared" si="0"/>
        <v>-560513.35800000001</v>
      </c>
      <c r="W5" s="359">
        <f t="shared" si="0"/>
        <v>-560513.35800000001</v>
      </c>
      <c r="X5" s="359">
        <f t="shared" si="0"/>
        <v>-560513.35800000001</v>
      </c>
      <c r="Y5" s="359">
        <f t="shared" si="0"/>
        <v>-560513.35800000001</v>
      </c>
      <c r="Z5" s="359">
        <f t="shared" si="0"/>
        <v>-560513.348</v>
      </c>
      <c r="AA5" s="359">
        <f t="shared" si="0"/>
        <v>-560513.348</v>
      </c>
      <c r="AB5" s="359">
        <f t="shared" si="0"/>
        <v>-560513.348</v>
      </c>
      <c r="AC5" s="359">
        <f t="shared" si="0"/>
        <v>-560512.98399999994</v>
      </c>
      <c r="AD5" s="359">
        <f t="shared" si="0"/>
        <v>-560512.84100000001</v>
      </c>
      <c r="AE5" s="359">
        <f t="shared" si="0"/>
        <v>-560512.84100000001</v>
      </c>
      <c r="AF5" s="359">
        <f t="shared" si="0"/>
        <v>-564964.61800000002</v>
      </c>
      <c r="AG5" s="359">
        <f t="shared" si="0"/>
        <v>-582472.16899999999</v>
      </c>
      <c r="AH5" s="215"/>
    </row>
    <row r="6" spans="1:36" x14ac:dyDescent="0.2">
      <c r="A6" s="56">
        <v>100000</v>
      </c>
      <c r="B6" s="215" t="s">
        <v>690</v>
      </c>
      <c r="C6" s="311">
        <f>C70</f>
        <v>-316484.234</v>
      </c>
      <c r="D6" s="311">
        <f t="shared" ref="D6:AG6" si="1">D70</f>
        <v>-316484.234</v>
      </c>
      <c r="E6" s="311">
        <f t="shared" si="1"/>
        <v>-316484.234</v>
      </c>
      <c r="F6" s="311">
        <f t="shared" si="1"/>
        <v>-316484.234</v>
      </c>
      <c r="G6" s="311">
        <f t="shared" si="1"/>
        <v>-316484.234</v>
      </c>
      <c r="H6" s="311">
        <f t="shared" si="1"/>
        <v>-316484.234</v>
      </c>
      <c r="I6" s="311">
        <f t="shared" si="1"/>
        <v>-316484.234</v>
      </c>
      <c r="J6" s="314">
        <f t="shared" si="1"/>
        <v>-316484.234</v>
      </c>
      <c r="K6" s="314">
        <f>K70</f>
        <v>-316484.234</v>
      </c>
      <c r="L6" s="311">
        <f t="shared" si="1"/>
        <v>-316484.234</v>
      </c>
      <c r="M6" s="311">
        <f t="shared" si="1"/>
        <v>-316484.234</v>
      </c>
      <c r="N6" s="311">
        <f t="shared" si="1"/>
        <v>-316484.234</v>
      </c>
      <c r="O6" s="311">
        <f t="shared" si="1"/>
        <v>-316484.234</v>
      </c>
      <c r="P6" s="629">
        <f t="shared" si="1"/>
        <v>-316484.234</v>
      </c>
      <c r="Q6" s="311">
        <f t="shared" si="1"/>
        <v>-316484.234</v>
      </c>
      <c r="R6" s="311">
        <f t="shared" si="1"/>
        <v>-316484.234</v>
      </c>
      <c r="S6" s="311">
        <f>S70</f>
        <v>-316484.234</v>
      </c>
      <c r="T6" s="311">
        <f t="shared" si="1"/>
        <v>-316484.234</v>
      </c>
      <c r="U6" s="311">
        <f t="shared" si="1"/>
        <v>-316484.234</v>
      </c>
      <c r="V6" s="311">
        <f t="shared" si="1"/>
        <v>-316484.234</v>
      </c>
      <c r="W6" s="311">
        <f t="shared" si="1"/>
        <v>-316484.234</v>
      </c>
      <c r="X6" s="311">
        <f t="shared" si="1"/>
        <v>-316484.234</v>
      </c>
      <c r="Y6" s="311">
        <f t="shared" si="1"/>
        <v>-316484.234</v>
      </c>
      <c r="Z6" s="311">
        <f t="shared" si="1"/>
        <v>-316484.22399999999</v>
      </c>
      <c r="AA6" s="311">
        <f t="shared" si="1"/>
        <v>-316484.22399999999</v>
      </c>
      <c r="AB6" s="311">
        <f t="shared" si="1"/>
        <v>-316484.22399999999</v>
      </c>
      <c r="AC6" s="311">
        <f t="shared" si="1"/>
        <v>-316483.86</v>
      </c>
      <c r="AD6" s="311">
        <f t="shared" si="1"/>
        <v>-316483.717</v>
      </c>
      <c r="AE6" s="311">
        <f t="shared" si="1"/>
        <v>-316483.717</v>
      </c>
      <c r="AF6" s="311">
        <f t="shared" si="1"/>
        <v>-320935.49400000001</v>
      </c>
      <c r="AG6" s="311">
        <f t="shared" si="1"/>
        <v>-338443.04499999998</v>
      </c>
      <c r="AH6" s="215"/>
    </row>
    <row r="7" spans="1:36" x14ac:dyDescent="0.2">
      <c r="A7" s="56">
        <v>25000</v>
      </c>
      <c r="B7" s="215" t="s">
        <v>666</v>
      </c>
      <c r="C7" s="311">
        <f>C184</f>
        <v>-136465.82</v>
      </c>
      <c r="D7" s="311">
        <f t="shared" ref="D7:AG7" si="2">D184</f>
        <v>-136465.82</v>
      </c>
      <c r="E7" s="311">
        <f t="shared" si="2"/>
        <v>-136465.82</v>
      </c>
      <c r="F7" s="311">
        <f t="shared" si="2"/>
        <v>-136465.82</v>
      </c>
      <c r="G7" s="311">
        <f t="shared" si="2"/>
        <v>-136465.82</v>
      </c>
      <c r="H7" s="311">
        <f t="shared" si="2"/>
        <v>-136465.82</v>
      </c>
      <c r="I7" s="311">
        <f t="shared" si="2"/>
        <v>-136465.82</v>
      </c>
      <c r="J7" s="314">
        <f t="shared" si="2"/>
        <v>-136465.82</v>
      </c>
      <c r="K7" s="314">
        <f t="shared" si="2"/>
        <v>-136465.82</v>
      </c>
      <c r="L7" s="311">
        <f t="shared" si="2"/>
        <v>-136465.82</v>
      </c>
      <c r="M7" s="311">
        <f t="shared" si="2"/>
        <v>-136465.82</v>
      </c>
      <c r="N7" s="311">
        <f t="shared" si="2"/>
        <v>-136465.82</v>
      </c>
      <c r="O7" s="311">
        <f t="shared" si="2"/>
        <v>-136465.82</v>
      </c>
      <c r="P7" s="629">
        <f>P184</f>
        <v>-136465.82</v>
      </c>
      <c r="Q7" s="311">
        <f t="shared" si="2"/>
        <v>-136465.82</v>
      </c>
      <c r="R7" s="311">
        <f t="shared" si="2"/>
        <v>-136465.82</v>
      </c>
      <c r="S7" s="784">
        <f t="shared" si="2"/>
        <v>-136465.82</v>
      </c>
      <c r="T7" s="311">
        <f t="shared" si="2"/>
        <v>-136465.82</v>
      </c>
      <c r="U7" s="311">
        <f t="shared" si="2"/>
        <v>-136465.82</v>
      </c>
      <c r="V7" s="311">
        <f t="shared" si="2"/>
        <v>-136465.82</v>
      </c>
      <c r="W7" s="311">
        <f t="shared" si="2"/>
        <v>-136465.82</v>
      </c>
      <c r="X7" s="311">
        <f t="shared" si="2"/>
        <v>-136465.82</v>
      </c>
      <c r="Y7" s="311">
        <f t="shared" si="2"/>
        <v>-136465.82</v>
      </c>
      <c r="Z7" s="311">
        <f t="shared" si="2"/>
        <v>-136465.82</v>
      </c>
      <c r="AA7" s="311">
        <f t="shared" si="2"/>
        <v>-136465.82</v>
      </c>
      <c r="AB7" s="311">
        <f t="shared" si="2"/>
        <v>-136465.82</v>
      </c>
      <c r="AC7" s="311">
        <f t="shared" si="2"/>
        <v>-136465.82</v>
      </c>
      <c r="AD7" s="311">
        <f t="shared" si="2"/>
        <v>-136465.82</v>
      </c>
      <c r="AE7" s="311">
        <f t="shared" si="2"/>
        <v>-136465.82</v>
      </c>
      <c r="AF7" s="311">
        <f t="shared" si="2"/>
        <v>-136465.82</v>
      </c>
      <c r="AG7" s="311">
        <f t="shared" si="2"/>
        <v>-136465.82</v>
      </c>
      <c r="AH7" s="215"/>
    </row>
    <row r="8" spans="1:36" x14ac:dyDescent="0.2">
      <c r="A8" s="56">
        <v>25000</v>
      </c>
      <c r="B8" s="215" t="s">
        <v>667</v>
      </c>
      <c r="C8" s="311">
        <f>C247</f>
        <v>-29289.460999999999</v>
      </c>
      <c r="D8" s="311">
        <f t="shared" ref="D8:AG8" si="3">D247</f>
        <v>-29289.460999999999</v>
      </c>
      <c r="E8" s="311">
        <f t="shared" si="3"/>
        <v>-29289.460999999999</v>
      </c>
      <c r="F8" s="311">
        <f t="shared" si="3"/>
        <v>-29289.460999999999</v>
      </c>
      <c r="G8" s="311">
        <f t="shared" si="3"/>
        <v>-29289.460999999999</v>
      </c>
      <c r="H8" s="311">
        <f t="shared" si="3"/>
        <v>-29289.460999999999</v>
      </c>
      <c r="I8" s="784">
        <f t="shared" si="3"/>
        <v>-29289.460999999999</v>
      </c>
      <c r="J8" s="314">
        <f t="shared" si="3"/>
        <v>-29289.460999999999</v>
      </c>
      <c r="K8" s="314">
        <f t="shared" si="3"/>
        <v>-29289.460999999999</v>
      </c>
      <c r="L8" s="311">
        <f t="shared" si="3"/>
        <v>-29289.460999999999</v>
      </c>
      <c r="M8" s="311">
        <f t="shared" si="3"/>
        <v>-29289.460999999999</v>
      </c>
      <c r="N8" s="311">
        <f t="shared" si="3"/>
        <v>-29289.460999999999</v>
      </c>
      <c r="O8" s="311">
        <f t="shared" si="3"/>
        <v>-29289.460999999999</v>
      </c>
      <c r="P8" s="629">
        <f t="shared" si="3"/>
        <v>-29289.460999999999</v>
      </c>
      <c r="Q8" s="311">
        <f t="shared" si="3"/>
        <v>-71787.460999999996</v>
      </c>
      <c r="R8" s="311">
        <f t="shared" si="3"/>
        <v>-71787.460999999996</v>
      </c>
      <c r="S8" s="311">
        <f t="shared" si="3"/>
        <v>-71787.460999999996</v>
      </c>
      <c r="T8" s="311">
        <f t="shared" si="3"/>
        <v>-71787.460999999996</v>
      </c>
      <c r="U8" s="311">
        <f t="shared" si="3"/>
        <v>-71787.460999999996</v>
      </c>
      <c r="V8" s="311">
        <f t="shared" si="3"/>
        <v>-71787.460999999996</v>
      </c>
      <c r="W8" s="311">
        <f t="shared" si="3"/>
        <v>-71787.460999999996</v>
      </c>
      <c r="X8" s="311">
        <f t="shared" si="3"/>
        <v>-71787.460999999996</v>
      </c>
      <c r="Y8" s="311">
        <f t="shared" si="3"/>
        <v>-71787.460999999996</v>
      </c>
      <c r="Z8" s="311">
        <f t="shared" si="3"/>
        <v>-71787.460999999996</v>
      </c>
      <c r="AA8" s="311">
        <f t="shared" si="3"/>
        <v>-71787.460999999996</v>
      </c>
      <c r="AB8" s="311">
        <f t="shared" si="3"/>
        <v>-71787.460999999996</v>
      </c>
      <c r="AC8" s="311">
        <f t="shared" si="3"/>
        <v>-71787.460999999996</v>
      </c>
      <c r="AD8" s="311">
        <f t="shared" si="3"/>
        <v>-71787.460999999996</v>
      </c>
      <c r="AE8" s="311">
        <f t="shared" si="3"/>
        <v>-71787.460999999996</v>
      </c>
      <c r="AF8" s="311">
        <f t="shared" si="3"/>
        <v>-71787.460999999996</v>
      </c>
      <c r="AG8" s="311">
        <f t="shared" si="3"/>
        <v>-71787.460999999996</v>
      </c>
      <c r="AH8" s="215"/>
      <c r="AJ8" s="483"/>
    </row>
    <row r="9" spans="1:36" x14ac:dyDescent="0.2">
      <c r="A9" s="56">
        <v>20000</v>
      </c>
      <c r="B9" s="215" t="s">
        <v>691</v>
      </c>
      <c r="C9" s="311">
        <f>C311</f>
        <v>-35775.843000000001</v>
      </c>
      <c r="D9" s="311">
        <f t="shared" ref="D9:AG9" si="4">D311</f>
        <v>-35775.843000000001</v>
      </c>
      <c r="E9" s="311">
        <f t="shared" si="4"/>
        <v>-35775.843000000001</v>
      </c>
      <c r="F9" s="311">
        <f t="shared" si="4"/>
        <v>-35775.843000000001</v>
      </c>
      <c r="G9" s="784">
        <f t="shared" si="4"/>
        <v>-35775.843000000001</v>
      </c>
      <c r="H9" s="311">
        <f t="shared" si="4"/>
        <v>-35775.843000000001</v>
      </c>
      <c r="I9" s="311">
        <f t="shared" si="4"/>
        <v>-35775.843000000001</v>
      </c>
      <c r="J9" s="314">
        <f t="shared" si="4"/>
        <v>-35775.843000000001</v>
      </c>
      <c r="K9" s="314">
        <f t="shared" si="4"/>
        <v>-35775.843000000001</v>
      </c>
      <c r="L9" s="311">
        <f t="shared" si="4"/>
        <v>-35775.843000000001</v>
      </c>
      <c r="M9" s="311">
        <f t="shared" si="4"/>
        <v>-35775.843000000001</v>
      </c>
      <c r="N9" s="311">
        <f t="shared" si="4"/>
        <v>-35775.843000000001</v>
      </c>
      <c r="O9" s="311">
        <f t="shared" si="4"/>
        <v>-35775.843000000001</v>
      </c>
      <c r="P9" s="629">
        <f t="shared" si="4"/>
        <v>-35775.843000000001</v>
      </c>
      <c r="Q9" s="311">
        <f t="shared" si="4"/>
        <v>-35775.843000000001</v>
      </c>
      <c r="R9" s="311">
        <f t="shared" si="4"/>
        <v>-35775.843000000001</v>
      </c>
      <c r="S9" s="311">
        <f t="shared" si="4"/>
        <v>-35775.843000000001</v>
      </c>
      <c r="T9" s="311">
        <f t="shared" si="4"/>
        <v>-35775.843000000001</v>
      </c>
      <c r="U9" s="311">
        <f t="shared" si="4"/>
        <v>-35775.843000000001</v>
      </c>
      <c r="V9" s="311">
        <f t="shared" si="4"/>
        <v>-35775.843000000001</v>
      </c>
      <c r="W9" s="311">
        <f t="shared" si="4"/>
        <v>-35775.843000000001</v>
      </c>
      <c r="X9" s="311">
        <f t="shared" si="4"/>
        <v>-35775.843000000001</v>
      </c>
      <c r="Y9" s="311">
        <f t="shared" si="4"/>
        <v>-35775.843000000001</v>
      </c>
      <c r="Z9" s="311">
        <f t="shared" si="4"/>
        <v>-35775.843000000001</v>
      </c>
      <c r="AA9" s="311">
        <f t="shared" si="4"/>
        <v>-35775.843000000001</v>
      </c>
      <c r="AB9" s="311">
        <f t="shared" si="4"/>
        <v>-35775.843000000001</v>
      </c>
      <c r="AC9" s="311">
        <f t="shared" si="4"/>
        <v>-35775.843000000001</v>
      </c>
      <c r="AD9" s="311">
        <f t="shared" si="4"/>
        <v>-35775.843000000001</v>
      </c>
      <c r="AE9" s="311">
        <f t="shared" si="4"/>
        <v>-35775.843000000001</v>
      </c>
      <c r="AF9" s="311">
        <f t="shared" si="4"/>
        <v>-35775.843000000001</v>
      </c>
      <c r="AG9" s="311">
        <f t="shared" si="4"/>
        <v>-35775.843000000001</v>
      </c>
      <c r="AH9" s="215"/>
    </row>
    <row r="10" spans="1:36" x14ac:dyDescent="0.2">
      <c r="A10" s="1" t="s">
        <v>692</v>
      </c>
      <c r="B10" s="451" t="s">
        <v>132</v>
      </c>
      <c r="C10" s="452">
        <f>C11+C12+C13</f>
        <v>0</v>
      </c>
      <c r="D10" s="452">
        <f t="shared" ref="D10:AG10" si="5">D11+D12+D13</f>
        <v>3311</v>
      </c>
      <c r="E10" s="452">
        <f t="shared" si="5"/>
        <v>0</v>
      </c>
      <c r="F10" s="452">
        <f t="shared" si="5"/>
        <v>0</v>
      </c>
      <c r="G10" s="452">
        <f t="shared" si="5"/>
        <v>5932</v>
      </c>
      <c r="H10" s="452">
        <f t="shared" si="5"/>
        <v>0</v>
      </c>
      <c r="I10" s="452">
        <f t="shared" si="5"/>
        <v>4003</v>
      </c>
      <c r="J10" s="454">
        <f t="shared" si="5"/>
        <v>4736</v>
      </c>
      <c r="K10" s="454">
        <f t="shared" si="5"/>
        <v>9637</v>
      </c>
      <c r="L10" s="452">
        <f t="shared" si="5"/>
        <v>17018</v>
      </c>
      <c r="M10" s="452">
        <f t="shared" si="5"/>
        <v>1000</v>
      </c>
      <c r="N10" s="452">
        <f t="shared" si="5"/>
        <v>2968</v>
      </c>
      <c r="O10" s="452">
        <f t="shared" si="5"/>
        <v>0</v>
      </c>
      <c r="P10" s="859">
        <f t="shared" si="5"/>
        <v>3481</v>
      </c>
      <c r="Q10" s="452">
        <f t="shared" si="5"/>
        <v>41188</v>
      </c>
      <c r="R10" s="452">
        <f t="shared" si="5"/>
        <v>1790</v>
      </c>
      <c r="S10" s="452">
        <f t="shared" si="5"/>
        <v>3105</v>
      </c>
      <c r="T10" s="452">
        <f t="shared" si="5"/>
        <v>0</v>
      </c>
      <c r="U10" s="452">
        <f t="shared" si="5"/>
        <v>1790</v>
      </c>
      <c r="V10" s="452">
        <f t="shared" si="5"/>
        <v>15201</v>
      </c>
      <c r="W10" s="452">
        <f t="shared" si="5"/>
        <v>1790</v>
      </c>
      <c r="X10" s="452">
        <f t="shared" si="5"/>
        <v>0</v>
      </c>
      <c r="Y10" s="452">
        <f t="shared" si="5"/>
        <v>3927</v>
      </c>
      <c r="Z10" s="452">
        <f t="shared" si="5"/>
        <v>0</v>
      </c>
      <c r="AA10" s="452">
        <f t="shared" si="5"/>
        <v>14754</v>
      </c>
      <c r="AB10" s="452">
        <f t="shared" si="5"/>
        <v>2474</v>
      </c>
      <c r="AC10" s="452">
        <f t="shared" si="5"/>
        <v>0</v>
      </c>
      <c r="AD10" s="452">
        <f t="shared" si="5"/>
        <v>4101</v>
      </c>
      <c r="AE10" s="452">
        <f t="shared" si="5"/>
        <v>0</v>
      </c>
      <c r="AF10" s="452">
        <f t="shared" si="5"/>
        <v>29051</v>
      </c>
      <c r="AG10" s="452">
        <f t="shared" si="5"/>
        <v>38386</v>
      </c>
      <c r="AH10" s="286">
        <f>SUM(C10:AG10)</f>
        <v>209643</v>
      </c>
    </row>
    <row r="11" spans="1:36" x14ac:dyDescent="0.2">
      <c r="A11" s="1"/>
      <c r="B11" s="215" t="s">
        <v>666</v>
      </c>
      <c r="C11" s="286">
        <f>C171</f>
        <v>0</v>
      </c>
      <c r="D11" s="286">
        <f t="shared" ref="D11:AG11" si="6">D171</f>
        <v>0</v>
      </c>
      <c r="E11" s="286">
        <f t="shared" si="6"/>
        <v>0</v>
      </c>
      <c r="F11" s="286">
        <f t="shared" si="6"/>
        <v>0</v>
      </c>
      <c r="G11" s="286">
        <f t="shared" si="6"/>
        <v>535</v>
      </c>
      <c r="H11" s="286">
        <f t="shared" si="6"/>
        <v>0</v>
      </c>
      <c r="I11" s="286">
        <f t="shared" si="6"/>
        <v>745</v>
      </c>
      <c r="J11" s="315">
        <f t="shared" si="6"/>
        <v>0</v>
      </c>
      <c r="K11" s="315">
        <f t="shared" si="6"/>
        <v>0</v>
      </c>
      <c r="L11" s="286">
        <f t="shared" si="6"/>
        <v>5469</v>
      </c>
      <c r="M11" s="286">
        <f t="shared" si="6"/>
        <v>0</v>
      </c>
      <c r="N11" s="286">
        <f t="shared" si="6"/>
        <v>0</v>
      </c>
      <c r="O11" s="286">
        <f t="shared" si="6"/>
        <v>0</v>
      </c>
      <c r="P11" s="308">
        <f t="shared" si="6"/>
        <v>0</v>
      </c>
      <c r="Q11" s="286">
        <f t="shared" si="6"/>
        <v>6129</v>
      </c>
      <c r="R11" s="286">
        <f t="shared" si="6"/>
        <v>0</v>
      </c>
      <c r="S11" s="286">
        <f t="shared" si="6"/>
        <v>1614</v>
      </c>
      <c r="T11" s="286">
        <f t="shared" si="6"/>
        <v>0</v>
      </c>
      <c r="U11" s="286">
        <f t="shared" si="6"/>
        <v>0</v>
      </c>
      <c r="V11" s="286">
        <f t="shared" si="6"/>
        <v>7651</v>
      </c>
      <c r="W11" s="286">
        <f t="shared" si="6"/>
        <v>0</v>
      </c>
      <c r="X11" s="286">
        <f t="shared" si="6"/>
        <v>0</v>
      </c>
      <c r="Y11" s="286">
        <f t="shared" si="6"/>
        <v>0</v>
      </c>
      <c r="Z11" s="286">
        <f t="shared" si="6"/>
        <v>0</v>
      </c>
      <c r="AA11" s="286">
        <f t="shared" si="6"/>
        <v>1049</v>
      </c>
      <c r="AB11" s="286">
        <f t="shared" si="6"/>
        <v>684</v>
      </c>
      <c r="AC11" s="286">
        <f t="shared" si="6"/>
        <v>0</v>
      </c>
      <c r="AD11" s="286">
        <f t="shared" si="6"/>
        <v>660</v>
      </c>
      <c r="AE11" s="286">
        <f t="shared" si="6"/>
        <v>0</v>
      </c>
      <c r="AF11" s="286">
        <f t="shared" si="6"/>
        <v>4285</v>
      </c>
      <c r="AG11" s="286">
        <f t="shared" si="6"/>
        <v>16518</v>
      </c>
      <c r="AH11" s="215"/>
    </row>
    <row r="12" spans="1:36" x14ac:dyDescent="0.2">
      <c r="A12" s="1"/>
      <c r="B12" s="215" t="s">
        <v>667</v>
      </c>
      <c r="C12" s="286">
        <f>C234</f>
        <v>0</v>
      </c>
      <c r="D12" s="286">
        <f t="shared" ref="D12:AG12" si="7">D234</f>
        <v>0</v>
      </c>
      <c r="E12" s="286">
        <f t="shared" si="7"/>
        <v>0</v>
      </c>
      <c r="F12" s="286">
        <f t="shared" si="7"/>
        <v>0</v>
      </c>
      <c r="G12" s="286">
        <f t="shared" si="7"/>
        <v>1152</v>
      </c>
      <c r="H12" s="286">
        <f t="shared" si="7"/>
        <v>0</v>
      </c>
      <c r="I12" s="286">
        <f t="shared" si="7"/>
        <v>0</v>
      </c>
      <c r="J12" s="315">
        <f t="shared" si="7"/>
        <v>4736</v>
      </c>
      <c r="K12" s="315">
        <f t="shared" si="7"/>
        <v>0</v>
      </c>
      <c r="L12" s="286">
        <f t="shared" si="7"/>
        <v>1442</v>
      </c>
      <c r="M12" s="286">
        <f t="shared" si="7"/>
        <v>0</v>
      </c>
      <c r="N12" s="286">
        <f t="shared" si="7"/>
        <v>1178</v>
      </c>
      <c r="O12" s="286">
        <f t="shared" si="7"/>
        <v>0</v>
      </c>
      <c r="P12" s="308">
        <f t="shared" si="7"/>
        <v>1691</v>
      </c>
      <c r="Q12" s="286">
        <f t="shared" si="7"/>
        <v>15964</v>
      </c>
      <c r="R12" s="286">
        <f t="shared" si="7"/>
        <v>0</v>
      </c>
      <c r="S12" s="286">
        <f t="shared" si="7"/>
        <v>1491</v>
      </c>
      <c r="T12" s="286">
        <f t="shared" si="7"/>
        <v>0</v>
      </c>
      <c r="U12" s="286">
        <f t="shared" si="7"/>
        <v>0</v>
      </c>
      <c r="V12" s="286">
        <f t="shared" si="7"/>
        <v>4441</v>
      </c>
      <c r="W12" s="286">
        <f t="shared" si="7"/>
        <v>0</v>
      </c>
      <c r="X12" s="286">
        <f t="shared" si="7"/>
        <v>0</v>
      </c>
      <c r="Y12" s="286">
        <f t="shared" si="7"/>
        <v>3927</v>
      </c>
      <c r="Z12" s="286">
        <f t="shared" si="7"/>
        <v>0</v>
      </c>
      <c r="AA12" s="286">
        <f t="shared" si="7"/>
        <v>7980</v>
      </c>
      <c r="AB12" s="286">
        <f t="shared" si="7"/>
        <v>1790</v>
      </c>
      <c r="AC12" s="286">
        <f t="shared" si="7"/>
        <v>0</v>
      </c>
      <c r="AD12" s="286">
        <f t="shared" si="7"/>
        <v>0</v>
      </c>
      <c r="AE12" s="286">
        <f t="shared" si="7"/>
        <v>0</v>
      </c>
      <c r="AF12" s="286">
        <f t="shared" si="7"/>
        <v>5490</v>
      </c>
      <c r="AG12" s="286">
        <f t="shared" si="7"/>
        <v>0</v>
      </c>
      <c r="AH12" s="215"/>
    </row>
    <row r="13" spans="1:36" x14ac:dyDescent="0.2">
      <c r="A13" s="1"/>
      <c r="B13" s="215" t="s">
        <v>691</v>
      </c>
      <c r="C13" s="286">
        <f>C298</f>
        <v>0</v>
      </c>
      <c r="D13" s="286">
        <f t="shared" ref="D13:AG13" si="8">D298</f>
        <v>3311</v>
      </c>
      <c r="E13" s="286">
        <f t="shared" si="8"/>
        <v>0</v>
      </c>
      <c r="F13" s="286">
        <f t="shared" si="8"/>
        <v>0</v>
      </c>
      <c r="G13" s="286">
        <f t="shared" si="8"/>
        <v>4245</v>
      </c>
      <c r="H13" s="286">
        <f t="shared" si="8"/>
        <v>0</v>
      </c>
      <c r="I13" s="286">
        <f t="shared" si="8"/>
        <v>3258</v>
      </c>
      <c r="J13" s="315">
        <f t="shared" si="8"/>
        <v>0</v>
      </c>
      <c r="K13" s="315">
        <f t="shared" si="8"/>
        <v>9637</v>
      </c>
      <c r="L13" s="286">
        <f t="shared" si="8"/>
        <v>10107</v>
      </c>
      <c r="M13" s="286">
        <f t="shared" si="8"/>
        <v>1000</v>
      </c>
      <c r="N13" s="286">
        <f t="shared" si="8"/>
        <v>1790</v>
      </c>
      <c r="O13" s="286">
        <f t="shared" si="8"/>
        <v>0</v>
      </c>
      <c r="P13" s="308">
        <f t="shared" si="8"/>
        <v>1790</v>
      </c>
      <c r="Q13" s="286">
        <f t="shared" si="8"/>
        <v>19095</v>
      </c>
      <c r="R13" s="286">
        <f t="shared" si="8"/>
        <v>1790</v>
      </c>
      <c r="S13" s="286">
        <f t="shared" si="8"/>
        <v>0</v>
      </c>
      <c r="T13" s="286">
        <f t="shared" si="8"/>
        <v>0</v>
      </c>
      <c r="U13" s="286">
        <f t="shared" si="8"/>
        <v>1790</v>
      </c>
      <c r="V13" s="286">
        <f t="shared" si="8"/>
        <v>3109</v>
      </c>
      <c r="W13" s="286">
        <f t="shared" si="8"/>
        <v>1790</v>
      </c>
      <c r="X13" s="286">
        <f t="shared" si="8"/>
        <v>0</v>
      </c>
      <c r="Y13" s="286">
        <f t="shared" si="8"/>
        <v>0</v>
      </c>
      <c r="Z13" s="286">
        <f t="shared" si="8"/>
        <v>0</v>
      </c>
      <c r="AA13" s="286">
        <f t="shared" si="8"/>
        <v>5725</v>
      </c>
      <c r="AB13" s="286">
        <f t="shared" si="8"/>
        <v>0</v>
      </c>
      <c r="AC13" s="286">
        <f t="shared" si="8"/>
        <v>0</v>
      </c>
      <c r="AD13" s="286">
        <f t="shared" si="8"/>
        <v>3441</v>
      </c>
      <c r="AE13" s="286">
        <f t="shared" si="8"/>
        <v>0</v>
      </c>
      <c r="AF13" s="286">
        <f t="shared" si="8"/>
        <v>19276</v>
      </c>
      <c r="AG13" s="286">
        <f t="shared" si="8"/>
        <v>21868</v>
      </c>
      <c r="AH13" s="215"/>
    </row>
    <row r="14" spans="1:36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-372829.16899999999</v>
      </c>
    </row>
    <row r="15" spans="1:36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902"/>
      <c r="AI15" s="483"/>
    </row>
    <row r="16" spans="1:36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902"/>
      <c r="AI16" s="483"/>
    </row>
    <row r="17" spans="1:35" x14ac:dyDescent="0.2">
      <c r="A17" s="265"/>
      <c r="B17" s="266" t="s">
        <v>37</v>
      </c>
      <c r="C17" s="266"/>
      <c r="D17" s="266"/>
      <c r="E17" s="267" t="s">
        <v>852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902"/>
      <c r="AI17" s="483"/>
    </row>
    <row r="18" spans="1:35" x14ac:dyDescent="0.2">
      <c r="A18" s="265"/>
      <c r="B18" s="266"/>
      <c r="C18" s="266"/>
      <c r="D18" s="268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308"/>
    </row>
    <row r="19" spans="1:35" x14ac:dyDescent="0.2">
      <c r="A19" s="769"/>
      <c r="B19" s="268"/>
      <c r="C19" s="268"/>
      <c r="D19" s="267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5" x14ac:dyDescent="0.2">
      <c r="A20" s="769"/>
      <c r="B20" s="266"/>
      <c r="C20" s="266"/>
      <c r="D20" s="268">
        <v>42335</v>
      </c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5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5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5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5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5" x14ac:dyDescent="0.2">
      <c r="A25" s="265" t="s">
        <v>0</v>
      </c>
      <c r="B25" s="274">
        <v>-316484.234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5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5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5" x14ac:dyDescent="0.2">
      <c r="A28" s="265" t="s">
        <v>1</v>
      </c>
      <c r="B28" s="274">
        <f>B29+B30+B31</f>
        <v>0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5" x14ac:dyDescent="0.2">
      <c r="A29" s="265" t="s">
        <v>38</v>
      </c>
      <c r="B29" s="274">
        <f>C82</f>
        <v>0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5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5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5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ht="18" x14ac:dyDescent="0.25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1135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ht="18" x14ac:dyDescent="0.25">
      <c r="A34" s="265" t="s">
        <v>4</v>
      </c>
      <c r="B34" s="274">
        <f>B25+B28</f>
        <v>-316484.234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1135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8.75" thickBot="1" x14ac:dyDescent="0.3">
      <c r="A35" s="275"/>
      <c r="B35" s="276"/>
      <c r="C35" s="266"/>
      <c r="D35" s="266"/>
      <c r="E35" s="266"/>
      <c r="F35" s="266"/>
      <c r="G35" s="266"/>
      <c r="H35" s="266"/>
      <c r="I35" s="266"/>
      <c r="K35" s="266"/>
      <c r="L35" s="266"/>
      <c r="M35" s="266"/>
      <c r="N35" s="266"/>
      <c r="O35" s="1135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1154" t="s">
        <v>1021</v>
      </c>
      <c r="AA35" s="1154"/>
      <c r="AB35" s="1154"/>
      <c r="AC35" s="1154" t="s">
        <v>1163</v>
      </c>
      <c r="AD35" s="1154" t="s">
        <v>1021</v>
      </c>
      <c r="AE35" s="1154"/>
      <c r="AF35" s="1154"/>
      <c r="AG35" s="1154" t="s">
        <v>1164</v>
      </c>
      <c r="AH35" s="1153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266"/>
      <c r="Z36" s="1152"/>
      <c r="AA36" s="1152"/>
      <c r="AB36" s="1152"/>
      <c r="AC36" s="1152"/>
      <c r="AD36" s="1152"/>
      <c r="AE36" s="1152"/>
      <c r="AF36" s="1152"/>
      <c r="AG36" s="1152"/>
      <c r="AH36" s="1153"/>
    </row>
    <row r="37" spans="1:40" ht="18" x14ac:dyDescent="0.25">
      <c r="A37" s="265" t="s">
        <v>913</v>
      </c>
      <c r="B37" s="274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1139"/>
      <c r="T37" s="266"/>
      <c r="U37" s="266"/>
      <c r="V37" s="266"/>
      <c r="W37" s="266"/>
      <c r="X37" s="266"/>
      <c r="Y37" s="266"/>
      <c r="Z37" s="266"/>
      <c r="AA37" s="266"/>
      <c r="AB37" s="266"/>
      <c r="AC37" s="1759" t="s">
        <v>897</v>
      </c>
      <c r="AD37" s="1759"/>
      <c r="AE37" s="266"/>
      <c r="AF37" s="266"/>
      <c r="AG37" s="266"/>
      <c r="AH37" s="215"/>
    </row>
    <row r="38" spans="1:40" ht="13.5" thickBot="1" x14ac:dyDescent="0.25">
      <c r="A38" s="275"/>
      <c r="B38" s="276"/>
      <c r="C38" s="266"/>
      <c r="D38" s="266"/>
      <c r="E38" s="269"/>
      <c r="F38" s="266"/>
      <c r="G38" s="266"/>
      <c r="H38" s="269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330" t="s">
        <v>1152</v>
      </c>
      <c r="AA38" s="266"/>
      <c r="AB38" s="266"/>
      <c r="AC38" s="330" t="s">
        <v>1152</v>
      </c>
      <c r="AD38" s="266"/>
      <c r="AE38" s="266"/>
      <c r="AF38" s="330" t="s">
        <v>1152</v>
      </c>
      <c r="AG38" s="330" t="s">
        <v>1152</v>
      </c>
      <c r="AH38" s="215"/>
    </row>
    <row r="39" spans="1:40" x14ac:dyDescent="0.2">
      <c r="A39" s="263"/>
      <c r="B39" s="278"/>
      <c r="C39" s="810"/>
      <c r="D39" s="269"/>
      <c r="E39" s="692" t="s">
        <v>1152</v>
      </c>
      <c r="F39" s="692" t="s">
        <v>1152</v>
      </c>
      <c r="G39" s="692" t="s">
        <v>1152</v>
      </c>
      <c r="H39" s="692"/>
      <c r="I39" s="266"/>
      <c r="J39" s="266"/>
      <c r="K39" s="266"/>
      <c r="L39" s="266"/>
      <c r="M39" s="266"/>
      <c r="N39" s="266"/>
      <c r="O39" s="330"/>
      <c r="P39" s="281"/>
      <c r="Q39" s="707"/>
      <c r="R39" s="266"/>
      <c r="S39" s="269"/>
      <c r="T39" s="266"/>
      <c r="U39" s="280" t="s">
        <v>813</v>
      </c>
      <c r="V39" s="280"/>
      <c r="W39" s="280"/>
      <c r="X39" s="280"/>
      <c r="Y39" s="280"/>
      <c r="Z39" s="280"/>
      <c r="AA39" s="407"/>
      <c r="AB39" s="280"/>
      <c r="AC39" s="280"/>
      <c r="AD39" s="280"/>
      <c r="AE39" s="280"/>
      <c r="AF39" s="280"/>
      <c r="AG39" s="280"/>
      <c r="AH39" s="215"/>
    </row>
    <row r="40" spans="1:40" x14ac:dyDescent="0.2">
      <c r="A40" s="265" t="s">
        <v>5</v>
      </c>
      <c r="B40" s="274">
        <f>B34-B37</f>
        <v>-316484.234</v>
      </c>
      <c r="D40" s="269"/>
      <c r="E40" s="810"/>
      <c r="F40" s="269"/>
      <c r="G40" s="269"/>
      <c r="H40" s="269"/>
      <c r="I40" s="269"/>
      <c r="J40" s="269"/>
      <c r="K40" s="269"/>
      <c r="L40" s="568"/>
      <c r="M40" s="281"/>
      <c r="N40" s="281"/>
      <c r="O40" s="269"/>
      <c r="P40" s="281"/>
      <c r="Q40" s="568"/>
      <c r="R40" s="269"/>
      <c r="S40" s="281"/>
      <c r="T40" s="281"/>
      <c r="U40" s="281"/>
      <c r="V40" s="269"/>
      <c r="W40" s="281"/>
      <c r="X40" s="269"/>
      <c r="Y40" s="281"/>
      <c r="Z40" s="281"/>
      <c r="AA40" s="407"/>
      <c r="AB40" s="281"/>
      <c r="AC40" s="1140" t="s">
        <v>69</v>
      </c>
      <c r="AD40" s="1141" t="s">
        <v>603</v>
      </c>
      <c r="AE40" s="407"/>
      <c r="AF40" s="281"/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</f>
        <v>0</v>
      </c>
      <c r="D43" s="288">
        <f t="shared" ref="D43:AG43" si="10">D44+D45+D48+D52+D51+D49+D50+D46+D47</f>
        <v>0</v>
      </c>
      <c r="E43" s="288">
        <f t="shared" si="10"/>
        <v>0</v>
      </c>
      <c r="F43" s="288">
        <f t="shared" si="10"/>
        <v>0</v>
      </c>
      <c r="G43" s="288">
        <f t="shared" si="10"/>
        <v>0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0</v>
      </c>
      <c r="M43" s="288">
        <f t="shared" si="10"/>
        <v>0</v>
      </c>
      <c r="N43" s="288">
        <f t="shared" si="10"/>
        <v>0</v>
      </c>
      <c r="O43" s="288">
        <f t="shared" si="10"/>
        <v>0</v>
      </c>
      <c r="P43" s="865">
        <f>P44+P45+P48+P52+P51+P49+P50+P46+P47</f>
        <v>0</v>
      </c>
      <c r="Q43" s="288">
        <f t="shared" si="10"/>
        <v>0</v>
      </c>
      <c r="R43" s="288">
        <f>R44+R45+R48+R52+R51+R49+R50+R46+R47</f>
        <v>0</v>
      </c>
      <c r="S43" s="288">
        <f>S44+S45+S48+S52+S51+S49+S50+S46+S47</f>
        <v>0</v>
      </c>
      <c r="T43" s="288">
        <f t="shared" si="10"/>
        <v>0</v>
      </c>
      <c r="U43" s="288">
        <f t="shared" si="10"/>
        <v>0</v>
      </c>
      <c r="V43" s="288">
        <f t="shared" si="10"/>
        <v>0</v>
      </c>
      <c r="W43" s="288">
        <f t="shared" si="10"/>
        <v>0</v>
      </c>
      <c r="X43" s="288">
        <f t="shared" si="10"/>
        <v>0</v>
      </c>
      <c r="Y43" s="288">
        <f t="shared" si="10"/>
        <v>0</v>
      </c>
      <c r="Z43" s="288">
        <f t="shared" si="10"/>
        <v>-9.9999999947613105E-3</v>
      </c>
      <c r="AA43" s="288">
        <f t="shared" si="10"/>
        <v>0</v>
      </c>
      <c r="AB43" s="288">
        <f t="shared" si="10"/>
        <v>0</v>
      </c>
      <c r="AC43" s="288">
        <f t="shared" si="10"/>
        <v>-0.36400000000139698</v>
      </c>
      <c r="AD43" s="288">
        <f t="shared" si="10"/>
        <v>-0.14299999999639113</v>
      </c>
      <c r="AE43" s="288">
        <f t="shared" si="10"/>
        <v>0</v>
      </c>
      <c r="AF43" s="288">
        <f t="shared" si="10"/>
        <v>4451.7769999999982</v>
      </c>
      <c r="AG43" s="288">
        <f t="shared" si="10"/>
        <v>17507.550999999992</v>
      </c>
      <c r="AH43" s="286">
        <f t="shared" si="9"/>
        <v>21958.810999999998</v>
      </c>
    </row>
    <row r="44" spans="1:40" x14ac:dyDescent="0.2">
      <c r="A44" s="287" t="s">
        <v>8</v>
      </c>
      <c r="B44" s="266"/>
      <c r="C44" s="289"/>
      <c r="D44" s="290"/>
      <c r="E44" s="291"/>
      <c r="F44" s="290"/>
      <c r="G44" s="295"/>
      <c r="H44" s="290"/>
      <c r="I44" s="290"/>
      <c r="J44" s="290"/>
      <c r="K44" s="290"/>
      <c r="L44" s="295"/>
      <c r="M44" s="292"/>
      <c r="N44" s="292"/>
      <c r="O44" s="295"/>
      <c r="P44" s="292"/>
      <c r="Q44" s="295"/>
      <c r="R44" s="295"/>
      <c r="S44" s="295"/>
      <c r="T44" s="295"/>
      <c r="U44" s="581"/>
      <c r="V44" s="295"/>
      <c r="W44" s="295"/>
      <c r="X44" s="295"/>
      <c r="Y44" s="581"/>
      <c r="Z44" s="295"/>
      <c r="AA44" s="295"/>
      <c r="AB44" s="295"/>
      <c r="AC44" s="581"/>
      <c r="AD44" s="295"/>
      <c r="AE44" s="295"/>
      <c r="AF44" s="295"/>
      <c r="AG44" s="295"/>
      <c r="AH44" s="286">
        <f t="shared" si="9"/>
        <v>0</v>
      </c>
      <c r="AN44" s="25">
        <v>9918.1650000000009</v>
      </c>
    </row>
    <row r="45" spans="1:40" x14ac:dyDescent="0.2">
      <c r="A45" s="287" t="s">
        <v>703</v>
      </c>
      <c r="B45" s="266"/>
      <c r="C45" s="291"/>
      <c r="D45" s="290"/>
      <c r="E45" s="1136">
        <v>7582</v>
      </c>
      <c r="F45" s="1137">
        <v>41415</v>
      </c>
      <c r="G45" s="1137">
        <v>19910</v>
      </c>
      <c r="H45" s="1137"/>
      <c r="I45" s="290"/>
      <c r="J45" s="290"/>
      <c r="K45" s="290"/>
      <c r="L45" s="295"/>
      <c r="M45" s="290"/>
      <c r="N45" s="290"/>
      <c r="O45" s="295"/>
      <c r="P45" s="292"/>
      <c r="Q45" s="295"/>
      <c r="R45" s="295"/>
      <c r="S45" s="295"/>
      <c r="T45" s="295"/>
      <c r="U45" s="295"/>
      <c r="V45" s="295"/>
      <c r="W45" s="295"/>
      <c r="X45" s="295"/>
      <c r="Y45" s="295"/>
      <c r="Z45" s="295">
        <f>63848-6830-6737.725-903.2-1046.256-2180.829-8100-11100</f>
        <v>26949.990000000005</v>
      </c>
      <c r="AA45" s="295"/>
      <c r="AB45" s="295"/>
      <c r="AC45" s="295">
        <f>70036-1188.082-3169.192-3121.181-2108.234-4163.578</f>
        <v>56285.733000000015</v>
      </c>
      <c r="AD45" s="295">
        <f>52251-7057.712-8000-611.741-3886.69-6000</f>
        <v>26694.857</v>
      </c>
      <c r="AE45" s="295"/>
      <c r="AF45" s="295">
        <f>74826-7857.592-5650-3750-2348.927-2500-5173.842-3800-4333.824-5006.495-1628.592-3081.106-3123.103-4118.152-4897.21-3581.422-1957.186</f>
        <v>12018.548999999999</v>
      </c>
      <c r="AG45" s="295">
        <f>74276-3119.56-4111.914-117.201-1700.635-8158.187-7700-8550-3098.262-8167.407-6834.283-6850</f>
        <v>15868.550999999996</v>
      </c>
      <c r="AH45" s="286">
        <f>SUM(C45:AG45)</f>
        <v>206724.68000000002</v>
      </c>
      <c r="AI45" s="42">
        <f>+AH45+AH44</f>
        <v>206724.68000000002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1136">
        <v>-7582</v>
      </c>
      <c r="F46" s="1137">
        <v>-41415</v>
      </c>
      <c r="G46" s="1137">
        <v>-19910</v>
      </c>
      <c r="H46" s="1137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86">
        <f t="shared" si="9"/>
        <v>-68907</v>
      </c>
      <c r="AN46" s="25"/>
    </row>
    <row r="47" spans="1:40" x14ac:dyDescent="0.2">
      <c r="A47" s="287" t="s">
        <v>705</v>
      </c>
      <c r="B47" s="266"/>
      <c r="C47" s="291"/>
      <c r="D47" s="290"/>
      <c r="E47" s="291"/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2"/>
      <c r="W47" s="295"/>
      <c r="X47" s="295"/>
      <c r="Y47" s="295"/>
      <c r="Z47" s="293">
        <v>-26950</v>
      </c>
      <c r="AA47" s="295"/>
      <c r="AB47" s="295"/>
      <c r="AC47" s="293">
        <f>-8682.249-8200-7660.528-8657.338-7650-4285.982-11150</f>
        <v>-56286.097000000009</v>
      </c>
      <c r="AD47" s="293">
        <v>-26695</v>
      </c>
      <c r="AE47" s="293"/>
      <c r="AF47" s="293">
        <f>-6618.55-5401.222</f>
        <v>-12019.772000000001</v>
      </c>
      <c r="AG47" s="293">
        <f>-11200-4670</f>
        <v>-15870</v>
      </c>
      <c r="AH47" s="286">
        <f t="shared" si="9"/>
        <v>-137820.86900000001</v>
      </c>
      <c r="AN47" s="25"/>
    </row>
    <row r="48" spans="1:40" s="360" customFormat="1" x14ac:dyDescent="0.2">
      <c r="A48" s="662" t="s">
        <v>10</v>
      </c>
      <c r="B48" s="663"/>
      <c r="C48" s="664">
        <v>-38438</v>
      </c>
      <c r="D48" s="380"/>
      <c r="E48" s="664"/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560"/>
      <c r="Q48" s="380"/>
      <c r="R48" s="380"/>
      <c r="S48" s="380"/>
      <c r="T48" s="380"/>
      <c r="U48" s="380"/>
      <c r="V48" s="665"/>
      <c r="W48" s="380"/>
      <c r="X48" s="380"/>
      <c r="Y48" s="380"/>
      <c r="Z48" s="380"/>
      <c r="AA48" s="560"/>
      <c r="AB48" s="380"/>
      <c r="AC48" s="708">
        <v>38707</v>
      </c>
      <c r="AD48" s="811">
        <v>16794</v>
      </c>
      <c r="AE48" s="380"/>
      <c r="AF48" s="380"/>
      <c r="AG48" s="380"/>
      <c r="AH48" s="379">
        <f t="shared" si="9"/>
        <v>17063</v>
      </c>
      <c r="AI48" s="666"/>
      <c r="AN48" s="667">
        <v>6347.85</v>
      </c>
    </row>
    <row r="49" spans="1:40" s="360" customFormat="1" x14ac:dyDescent="0.2">
      <c r="A49" s="662" t="s">
        <v>356</v>
      </c>
      <c r="B49" s="668"/>
      <c r="C49" s="565">
        <v>38438</v>
      </c>
      <c r="D49" s="380"/>
      <c r="E49" s="565"/>
      <c r="F49" s="560"/>
      <c r="G49" s="560"/>
      <c r="H49" s="560"/>
      <c r="I49" s="560"/>
      <c r="J49" s="560"/>
      <c r="K49" s="560"/>
      <c r="L49" s="560"/>
      <c r="M49" s="560"/>
      <c r="N49" s="38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>
        <v>-38707</v>
      </c>
      <c r="AD49" s="560">
        <v>-16794</v>
      </c>
      <c r="AE49" s="560"/>
      <c r="AF49" s="560"/>
      <c r="AG49" s="560"/>
      <c r="AH49" s="379">
        <f t="shared" si="9"/>
        <v>-17063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0">
        <v>4453</v>
      </c>
      <c r="AG50" s="290">
        <v>17509</v>
      </c>
      <c r="AH50" s="286">
        <f t="shared" si="9"/>
        <v>21962</v>
      </c>
      <c r="AN50" s="25">
        <v>2246.556</v>
      </c>
    </row>
    <row r="51" spans="1:40" x14ac:dyDescent="0.2">
      <c r="A51" s="287" t="s">
        <v>41</v>
      </c>
      <c r="B51" s="266"/>
      <c r="C51" s="289"/>
      <c r="D51" s="291"/>
      <c r="E51" s="362"/>
      <c r="F51" s="290"/>
      <c r="G51" s="295"/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1145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/>
      <c r="AG51" s="290"/>
      <c r="AH51" s="286">
        <f t="shared" si="9"/>
        <v>0</v>
      </c>
      <c r="AN51" s="25"/>
    </row>
    <row r="52" spans="1:40" x14ac:dyDescent="0.2">
      <c r="A52" s="287" t="s">
        <v>11</v>
      </c>
      <c r="B52" s="266"/>
      <c r="C52" s="289"/>
      <c r="D52" s="289"/>
      <c r="E52" s="289"/>
      <c r="F52" s="754"/>
      <c r="G52" s="292"/>
      <c r="H52" s="292"/>
      <c r="I52" s="292"/>
      <c r="J52" s="754"/>
      <c r="K52" s="292"/>
      <c r="L52" s="292"/>
      <c r="M52" s="1061"/>
      <c r="N52" s="754"/>
      <c r="O52" s="1061"/>
      <c r="P52" s="292"/>
      <c r="Q52" s="292"/>
      <c r="R52" s="1061"/>
      <c r="S52" s="292"/>
      <c r="T52" s="292"/>
      <c r="U52" s="292"/>
      <c r="V52" s="455"/>
      <c r="W52" s="1061"/>
      <c r="X52" s="292"/>
      <c r="Y52" s="292"/>
      <c r="Z52" s="292"/>
      <c r="AA52" s="295"/>
      <c r="AB52" s="1062"/>
      <c r="AC52" s="295"/>
      <c r="AD52" s="295"/>
      <c r="AE52" s="292"/>
      <c r="AF52" s="1061"/>
      <c r="AG52" s="292"/>
      <c r="AH52" s="286">
        <f t="shared" si="9"/>
        <v>0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2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5"/>
      <c r="AC53" s="295"/>
      <c r="AD53" s="290"/>
      <c r="AE53" s="290"/>
      <c r="AF53" s="290"/>
      <c r="AG53" s="290"/>
      <c r="AH53" s="286">
        <f t="shared" si="9"/>
        <v>0</v>
      </c>
      <c r="AI53" s="42"/>
      <c r="AJ53" s="360"/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/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1108">
        <f t="shared" si="11"/>
        <v>0</v>
      </c>
      <c r="N55" s="1108">
        <f t="shared" si="11"/>
        <v>0</v>
      </c>
      <c r="O55" s="1108">
        <f t="shared" si="11"/>
        <v>0</v>
      </c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>S56</f>
        <v>0</v>
      </c>
      <c r="T55" s="288">
        <f>T56</f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N56" s="25">
        <v>673.17700000000002</v>
      </c>
    </row>
    <row r="57" spans="1:40" x14ac:dyDescent="0.2">
      <c r="A57" s="287" t="s">
        <v>215</v>
      </c>
      <c r="B57" s="266"/>
      <c r="C57" s="289">
        <v>8935</v>
      </c>
      <c r="D57" s="291">
        <v>3756</v>
      </c>
      <c r="E57" s="362">
        <v>4037</v>
      </c>
      <c r="F57" s="290">
        <v>1872</v>
      </c>
      <c r="G57" s="295">
        <v>40995</v>
      </c>
      <c r="H57" s="292">
        <v>2868</v>
      </c>
      <c r="I57" s="290">
        <v>3434</v>
      </c>
      <c r="J57" s="290">
        <v>13112</v>
      </c>
      <c r="K57" s="290">
        <v>11023</v>
      </c>
      <c r="L57" s="290">
        <v>29056</v>
      </c>
      <c r="M57" s="290">
        <v>1491</v>
      </c>
      <c r="N57" s="290">
        <v>2380</v>
      </c>
      <c r="O57" s="290">
        <v>6277</v>
      </c>
      <c r="P57" s="292">
        <v>4470</v>
      </c>
      <c r="Q57" s="290">
        <v>36929</v>
      </c>
      <c r="R57" s="290">
        <v>2984</v>
      </c>
      <c r="S57" s="290">
        <v>2892</v>
      </c>
      <c r="T57" s="290">
        <v>9455</v>
      </c>
      <c r="U57" s="290">
        <v>1000</v>
      </c>
      <c r="V57" s="290">
        <v>17376</v>
      </c>
      <c r="W57" s="290">
        <v>1000</v>
      </c>
      <c r="X57" s="290">
        <v>4188</v>
      </c>
      <c r="Y57" s="290">
        <v>2492</v>
      </c>
      <c r="Z57" s="290">
        <v>4068</v>
      </c>
      <c r="AA57" s="292">
        <v>8297</v>
      </c>
      <c r="AB57" s="290">
        <v>8547</v>
      </c>
      <c r="AC57" s="290">
        <v>650</v>
      </c>
      <c r="AD57" s="290">
        <v>19727</v>
      </c>
      <c r="AE57" s="290">
        <v>3070</v>
      </c>
      <c r="AF57" s="290">
        <v>42187</v>
      </c>
      <c r="AG57" s="290">
        <v>72141</v>
      </c>
      <c r="AH57" s="286">
        <f t="shared" si="9"/>
        <v>370709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J59">
        <f>18755+17890+17700+17800</f>
        <v>72145</v>
      </c>
      <c r="AN59" s="25">
        <v>1850.7819999999999</v>
      </c>
    </row>
    <row r="60" spans="1:40" x14ac:dyDescent="0.2">
      <c r="A60" s="287" t="s">
        <v>915</v>
      </c>
      <c r="B60" s="266"/>
      <c r="C60" s="300">
        <f>C55-C43</f>
        <v>0</v>
      </c>
      <c r="D60" s="300">
        <f t="shared" ref="D60:AG60" si="12">D55-D43</f>
        <v>0</v>
      </c>
      <c r="E60" s="300">
        <f t="shared" si="12"/>
        <v>0</v>
      </c>
      <c r="F60" s="300">
        <f t="shared" si="12"/>
        <v>0</v>
      </c>
      <c r="G60" s="300">
        <f t="shared" si="12"/>
        <v>0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0</v>
      </c>
      <c r="M60" s="300">
        <f t="shared" si="12"/>
        <v>0</v>
      </c>
      <c r="N60" s="300">
        <f t="shared" si="12"/>
        <v>0</v>
      </c>
      <c r="O60" s="300">
        <f t="shared" si="12"/>
        <v>0</v>
      </c>
      <c r="P60" s="867">
        <f t="shared" si="12"/>
        <v>0</v>
      </c>
      <c r="Q60" s="300">
        <f t="shared" si="12"/>
        <v>0</v>
      </c>
      <c r="R60" s="300">
        <f>R55-R43</f>
        <v>0</v>
      </c>
      <c r="S60" s="300">
        <f>S55-S43</f>
        <v>0</v>
      </c>
      <c r="T60" s="300">
        <f t="shared" si="12"/>
        <v>0</v>
      </c>
      <c r="U60" s="300">
        <f t="shared" si="12"/>
        <v>0</v>
      </c>
      <c r="V60" s="300">
        <f t="shared" si="12"/>
        <v>0</v>
      </c>
      <c r="W60" s="300">
        <f t="shared" si="12"/>
        <v>0</v>
      </c>
      <c r="X60" s="300">
        <f t="shared" si="12"/>
        <v>0</v>
      </c>
      <c r="Y60" s="300">
        <f t="shared" si="12"/>
        <v>0</v>
      </c>
      <c r="Z60" s="300">
        <f t="shared" si="12"/>
        <v>9.9999999947613105E-3</v>
      </c>
      <c r="AA60" s="300">
        <f t="shared" si="12"/>
        <v>0</v>
      </c>
      <c r="AB60" s="300">
        <f t="shared" si="12"/>
        <v>0</v>
      </c>
      <c r="AC60" s="300">
        <f t="shared" si="12"/>
        <v>0.36400000000139698</v>
      </c>
      <c r="AD60" s="300">
        <f t="shared" si="12"/>
        <v>0.14299999999639113</v>
      </c>
      <c r="AE60" s="300">
        <f t="shared" si="12"/>
        <v>0</v>
      </c>
      <c r="AF60" s="300">
        <f t="shared" si="12"/>
        <v>-4451.7769999999982</v>
      </c>
      <c r="AG60" s="300">
        <f t="shared" si="12"/>
        <v>-17507.550999999992</v>
      </c>
      <c r="AH60" s="215"/>
      <c r="AJ60">
        <f>AJ59+67000</f>
        <v>139145</v>
      </c>
      <c r="AL60" s="42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-316484.234</v>
      </c>
      <c r="D63" s="291">
        <f>C70+D60</f>
        <v>-316484.234</v>
      </c>
      <c r="E63" s="291">
        <f t="shared" ref="E63:AG63" si="13">D70+E60</f>
        <v>-316484.234</v>
      </c>
      <c r="F63" s="291">
        <f t="shared" si="13"/>
        <v>-316484.234</v>
      </c>
      <c r="G63" s="291">
        <f t="shared" si="13"/>
        <v>-316484.234</v>
      </c>
      <c r="H63" s="291">
        <f t="shared" si="13"/>
        <v>-316484.234</v>
      </c>
      <c r="I63" s="291">
        <f t="shared" si="13"/>
        <v>-316484.234</v>
      </c>
      <c r="J63" s="291">
        <f t="shared" si="13"/>
        <v>-316484.234</v>
      </c>
      <c r="K63" s="291">
        <f t="shared" si="13"/>
        <v>-316484.234</v>
      </c>
      <c r="L63" s="291">
        <f t="shared" si="13"/>
        <v>-316484.234</v>
      </c>
      <c r="M63" s="291">
        <f t="shared" si="13"/>
        <v>-316484.234</v>
      </c>
      <c r="N63" s="291">
        <f t="shared" si="13"/>
        <v>-316484.234</v>
      </c>
      <c r="O63" s="291">
        <f t="shared" si="13"/>
        <v>-316484.234</v>
      </c>
      <c r="P63" s="289">
        <f>O70+P60</f>
        <v>-316484.234</v>
      </c>
      <c r="Q63" s="291">
        <f t="shared" si="13"/>
        <v>-316484.234</v>
      </c>
      <c r="R63" s="291">
        <f t="shared" si="13"/>
        <v>-316484.234</v>
      </c>
      <c r="S63" s="291">
        <f>R70+S60</f>
        <v>-316484.234</v>
      </c>
      <c r="T63" s="291">
        <f>S70+T60</f>
        <v>-316484.234</v>
      </c>
      <c r="U63" s="291">
        <f t="shared" si="13"/>
        <v>-316484.234</v>
      </c>
      <c r="V63" s="291">
        <f t="shared" si="13"/>
        <v>-316484.234</v>
      </c>
      <c r="W63" s="291">
        <f t="shared" si="13"/>
        <v>-316484.234</v>
      </c>
      <c r="X63" s="291">
        <f t="shared" si="13"/>
        <v>-316484.234</v>
      </c>
      <c r="Y63" s="291">
        <f t="shared" si="13"/>
        <v>-316484.234</v>
      </c>
      <c r="Z63" s="291">
        <f t="shared" si="13"/>
        <v>-316484.22399999999</v>
      </c>
      <c r="AA63" s="291">
        <f t="shared" si="13"/>
        <v>-316484.22399999999</v>
      </c>
      <c r="AB63" s="291">
        <f t="shared" si="13"/>
        <v>-316484.22399999999</v>
      </c>
      <c r="AC63" s="291">
        <f t="shared" si="13"/>
        <v>-316483.86</v>
      </c>
      <c r="AD63" s="291">
        <f t="shared" si="13"/>
        <v>-316483.717</v>
      </c>
      <c r="AE63" s="291">
        <f t="shared" si="13"/>
        <v>-316483.717</v>
      </c>
      <c r="AF63" s="291">
        <f t="shared" si="13"/>
        <v>-320935.49400000001</v>
      </c>
      <c r="AG63" s="291">
        <f t="shared" si="13"/>
        <v>-338443.04499999998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-316484.234</v>
      </c>
      <c r="D70" s="291">
        <f t="shared" ref="D70:AG70" si="15">D63+D66+D67</f>
        <v>-316484.234</v>
      </c>
      <c r="E70" s="291">
        <f t="shared" si="15"/>
        <v>-316484.234</v>
      </c>
      <c r="F70" s="291">
        <f t="shared" si="15"/>
        <v>-316484.234</v>
      </c>
      <c r="G70" s="291">
        <f t="shared" si="15"/>
        <v>-316484.234</v>
      </c>
      <c r="H70" s="291">
        <f t="shared" si="15"/>
        <v>-316484.234</v>
      </c>
      <c r="I70" s="291">
        <f t="shared" si="15"/>
        <v>-316484.234</v>
      </c>
      <c r="J70" s="291">
        <f t="shared" si="15"/>
        <v>-316484.234</v>
      </c>
      <c r="K70" s="291">
        <f t="shared" si="15"/>
        <v>-316484.234</v>
      </c>
      <c r="L70" s="291">
        <f t="shared" si="15"/>
        <v>-316484.234</v>
      </c>
      <c r="M70" s="291">
        <f t="shared" si="15"/>
        <v>-316484.234</v>
      </c>
      <c r="N70" s="291">
        <f t="shared" si="15"/>
        <v>-316484.234</v>
      </c>
      <c r="O70" s="291">
        <f t="shared" si="15"/>
        <v>-316484.234</v>
      </c>
      <c r="P70" s="289">
        <f>P63+P66+P67</f>
        <v>-316484.234</v>
      </c>
      <c r="Q70" s="291">
        <f t="shared" si="15"/>
        <v>-316484.234</v>
      </c>
      <c r="R70" s="291">
        <f t="shared" si="15"/>
        <v>-316484.234</v>
      </c>
      <c r="S70" s="291">
        <f>S63+S66+S67</f>
        <v>-316484.234</v>
      </c>
      <c r="T70" s="291">
        <f t="shared" si="15"/>
        <v>-316484.234</v>
      </c>
      <c r="U70" s="291">
        <f t="shared" si="15"/>
        <v>-316484.234</v>
      </c>
      <c r="V70" s="291">
        <f t="shared" si="15"/>
        <v>-316484.234</v>
      </c>
      <c r="W70" s="291">
        <f t="shared" si="15"/>
        <v>-316484.234</v>
      </c>
      <c r="X70" s="291">
        <f t="shared" si="15"/>
        <v>-316484.234</v>
      </c>
      <c r="Y70" s="291">
        <f t="shared" si="15"/>
        <v>-316484.234</v>
      </c>
      <c r="Z70" s="291">
        <f t="shared" si="15"/>
        <v>-316484.22399999999</v>
      </c>
      <c r="AA70" s="291">
        <f t="shared" si="15"/>
        <v>-316484.22399999999</v>
      </c>
      <c r="AB70" s="291">
        <f t="shared" si="15"/>
        <v>-316484.22399999999</v>
      </c>
      <c r="AC70" s="291">
        <f t="shared" si="15"/>
        <v>-316483.86</v>
      </c>
      <c r="AD70" s="291">
        <f t="shared" si="15"/>
        <v>-316483.717</v>
      </c>
      <c r="AE70" s="291">
        <f t="shared" si="15"/>
        <v>-316483.717</v>
      </c>
      <c r="AF70" s="291">
        <f t="shared" si="15"/>
        <v>-320935.49400000001</v>
      </c>
      <c r="AG70" s="291">
        <f t="shared" si="15"/>
        <v>-338443.04499999998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5"/>
      <c r="E74" s="290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SUM(C84:C121)</f>
        <v>0</v>
      </c>
      <c r="D82" s="286"/>
      <c r="E82" s="470"/>
      <c r="F82" s="286">
        <v>1000</v>
      </c>
      <c r="G82" s="317">
        <v>4064</v>
      </c>
      <c r="H82" s="315">
        <v>29</v>
      </c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>
        <v>108291</v>
      </c>
      <c r="G83" s="319">
        <v>117746</v>
      </c>
      <c r="H83" s="215">
        <v>30</v>
      </c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>
        <v>42293</v>
      </c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42255</v>
      </c>
      <c r="C85" s="318"/>
      <c r="D85" s="309"/>
      <c r="E85" s="215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42248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42248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42305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42306</v>
      </c>
      <c r="C89" s="323"/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42307</v>
      </c>
      <c r="C90" s="501"/>
      <c r="D90" s="323"/>
      <c r="E90" s="353"/>
      <c r="F90" s="215"/>
      <c r="G90" s="326"/>
      <c r="H90" s="215"/>
      <c r="I90" s="215">
        <f>4222.572+2664.896+3519.833+2068.549+14109.571+1200+8149.608+8448.606+6382.169+11296.04+12879.695+2890.595+1046.522+2000+4201.839+5181.102+2041.427+3866.886+1450+3290.558+2666.63+1645.032+2420.123+3427.392+3005.159+6678.401+28170.055+2200+5142.206+2000+1400+4000+4775.589+2000+1180+2165.813</f>
        <v>173786.86800000002</v>
      </c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42298</v>
      </c>
      <c r="C91" s="325"/>
      <c r="D91" s="323"/>
      <c r="E91" s="323"/>
      <c r="F91" s="215"/>
      <c r="G91" s="326"/>
      <c r="H91" s="215"/>
      <c r="I91" s="215">
        <f>1180+2165.813+1626.142+1521.754+1374.025+2156.48+1200+3290.446+2000+1669.595+3427.392+2666.63+2053.42+837.175+1046.522+3519.833+3382.11+1393.479+4222.572+1450+3005.159+1650+2000+687.236+2108.081+2346.889+5346.691+1762.891+1339.024+4819.306+1500+1830.302+2840.988+6382.169+2340.114+1038.653+2514+3880.486+4000+2000+2462.565+1685.217+1298.774+1100+1100+1400+3290.558+1068.549+1000+1000+1000+4335.999+3499.554+1866.886+1000+1000+770.123+3237.577+964.262+7886.965+3200+3495.433+5557.735+8029.922+1332.448+1332.448+4000+3181.202+3428.815</f>
        <v>170100.40899999999</v>
      </c>
      <c r="J91" s="215">
        <f>2041.427+1645.032</f>
        <v>3686.4589999999998</v>
      </c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42261</v>
      </c>
      <c r="C92" s="325"/>
      <c r="D92" s="323"/>
      <c r="E92" s="323"/>
      <c r="F92" s="215"/>
      <c r="G92" s="215"/>
      <c r="H92" s="215"/>
      <c r="I92" s="215">
        <f>I90-I91</f>
        <v>3686.4590000000317</v>
      </c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42254</v>
      </c>
      <c r="C93" s="325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42254</v>
      </c>
      <c r="C94" s="325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31</v>
      </c>
      <c r="C95" s="324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42307</v>
      </c>
      <c r="C96" s="324"/>
      <c r="D96" s="323"/>
      <c r="E96" s="323"/>
      <c r="F96" s="215"/>
      <c r="G96" s="215"/>
      <c r="H96" s="215"/>
      <c r="I96" s="215"/>
      <c r="J96" s="215">
        <f>I91-2840.988</f>
        <v>167259.42099999997</v>
      </c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>
        <v>42277</v>
      </c>
      <c r="C97" s="324"/>
      <c r="D97" s="323"/>
      <c r="E97" s="323"/>
      <c r="F97" s="215"/>
      <c r="G97" s="215"/>
      <c r="H97" s="215"/>
      <c r="I97" s="215"/>
      <c r="J97" s="215">
        <f>I90-J96</f>
        <v>6527.4470000000438</v>
      </c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42297</v>
      </c>
      <c r="C98" s="324"/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42298</v>
      </c>
      <c r="C99" s="324"/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42299</v>
      </c>
      <c r="C100" s="324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42300</v>
      </c>
      <c r="C101" s="324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42301</v>
      </c>
      <c r="C102" s="324"/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42302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42303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42304</v>
      </c>
      <c r="C105" s="324"/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42305</v>
      </c>
      <c r="C106" s="324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320">
        <v>42306</v>
      </c>
      <c r="C107" s="324"/>
      <c r="D107" s="323"/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 t="s">
        <v>436</v>
      </c>
      <c r="B108" s="320">
        <v>42248</v>
      </c>
      <c r="C108" s="325"/>
      <c r="D108" s="323"/>
      <c r="E108" s="215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</row>
    <row r="109" spans="1:42" x14ac:dyDescent="0.2">
      <c r="A109" s="327" t="s">
        <v>32</v>
      </c>
      <c r="B109" s="320">
        <v>42306</v>
      </c>
      <c r="C109" s="318"/>
      <c r="D109" s="323"/>
      <c r="E109" s="215"/>
      <c r="F109" s="215"/>
      <c r="G109" s="470"/>
      <c r="H109" s="323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>
        <v>222914.55799999999</v>
      </c>
    </row>
    <row r="110" spans="1:42" x14ac:dyDescent="0.2">
      <c r="A110" s="327" t="s">
        <v>33</v>
      </c>
      <c r="B110" s="320">
        <v>42307</v>
      </c>
      <c r="C110" s="318"/>
      <c r="D110" s="323"/>
      <c r="E110" s="318"/>
      <c r="F110" s="311"/>
      <c r="G110" s="215"/>
      <c r="H110" s="215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</row>
    <row r="111" spans="1:42" x14ac:dyDescent="0.2">
      <c r="A111" s="327" t="s">
        <v>33</v>
      </c>
      <c r="B111" s="320">
        <v>42304</v>
      </c>
      <c r="C111" s="318"/>
      <c r="D111" s="215"/>
      <c r="E111" s="320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  <c r="AN111" s="194">
        <f>AN109-AN93</f>
        <v>55537.753999999957</v>
      </c>
    </row>
    <row r="112" spans="1:42" x14ac:dyDescent="0.2">
      <c r="A112" s="327" t="s">
        <v>33</v>
      </c>
      <c r="B112" s="320">
        <v>42299</v>
      </c>
      <c r="C112" s="318"/>
      <c r="D112" s="215"/>
      <c r="E112" s="320"/>
      <c r="F112" s="311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</row>
    <row r="113" spans="1:34" x14ac:dyDescent="0.2">
      <c r="A113" s="327" t="s">
        <v>32</v>
      </c>
      <c r="B113" s="320">
        <v>42249</v>
      </c>
      <c r="C113" s="318"/>
      <c r="D113" s="215"/>
      <c r="E113" s="215"/>
      <c r="F113" s="215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1036</v>
      </c>
      <c r="B114" s="320">
        <v>42249</v>
      </c>
      <c r="C114" s="318"/>
      <c r="D114" s="215"/>
      <c r="E114" s="323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32</v>
      </c>
      <c r="B115" s="320">
        <v>42250</v>
      </c>
      <c r="C115" s="318"/>
      <c r="D115" s="323"/>
      <c r="E115" s="323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33</v>
      </c>
      <c r="B116" s="320">
        <v>42248</v>
      </c>
      <c r="C116" s="318"/>
      <c r="D116" s="215"/>
      <c r="E116" s="215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33</v>
      </c>
      <c r="B117" s="320">
        <v>42248</v>
      </c>
      <c r="C117" s="318"/>
      <c r="D117" s="215"/>
      <c r="E117" s="323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33</v>
      </c>
      <c r="B118" s="320">
        <v>42248</v>
      </c>
      <c r="C118" s="318"/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33</v>
      </c>
      <c r="B119" s="320">
        <v>42248</v>
      </c>
      <c r="C119" s="318"/>
      <c r="D119" s="215"/>
      <c r="E119" s="500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327" t="s">
        <v>32</v>
      </c>
      <c r="B120" s="320">
        <v>42251</v>
      </c>
      <c r="C120" s="316"/>
      <c r="D120" s="215"/>
      <c r="E120" s="323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310" t="s">
        <v>33</v>
      </c>
      <c r="B121" s="320">
        <v>42303</v>
      </c>
      <c r="C121" s="318"/>
      <c r="D121" s="215"/>
      <c r="E121" s="215"/>
      <c r="F121" s="215"/>
      <c r="G121" s="323"/>
      <c r="H121" s="323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215"/>
      <c r="B122" s="320"/>
      <c r="C122" s="262"/>
      <c r="D122" s="215"/>
      <c r="E122" s="215"/>
      <c r="F122" s="215"/>
      <c r="G122" s="323"/>
      <c r="H122" s="215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15"/>
      <c r="D123" s="215"/>
      <c r="E123" s="215"/>
      <c r="F123" s="215"/>
      <c r="G123" s="215"/>
      <c r="H123" s="316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215"/>
      <c r="B124" s="320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310"/>
      <c r="B125" s="320"/>
      <c r="C125" s="262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310"/>
      <c r="B126" s="320"/>
      <c r="C126" s="262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ht="13.5" thickBot="1" x14ac:dyDescent="0.25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309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</row>
    <row r="132" spans="1:34" x14ac:dyDescent="0.2">
      <c r="A132" s="263"/>
      <c r="B132" s="264"/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860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15"/>
    </row>
    <row r="133" spans="1:34" x14ac:dyDescent="0.2">
      <c r="A133" s="265"/>
      <c r="B133" s="266" t="s">
        <v>37</v>
      </c>
      <c r="C133" s="266"/>
      <c r="D133" s="266"/>
      <c r="E133" s="267" t="s">
        <v>852</v>
      </c>
      <c r="F133" s="268" t="s">
        <v>95</v>
      </c>
      <c r="G133" s="269" t="s">
        <v>6</v>
      </c>
      <c r="H133" s="268"/>
      <c r="I133" s="268"/>
      <c r="J133" s="268"/>
      <c r="K133" s="268"/>
      <c r="L133" s="268"/>
      <c r="M133" s="268"/>
      <c r="N133" s="268"/>
      <c r="O133" s="268"/>
      <c r="P133" s="861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15"/>
    </row>
    <row r="134" spans="1:34" x14ac:dyDescent="0.2">
      <c r="A134" s="265"/>
      <c r="B134" s="266"/>
      <c r="C134" s="266"/>
      <c r="D134" s="268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79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C134" s="266"/>
      <c r="AD134" s="266"/>
      <c r="AE134" s="266"/>
      <c r="AF134" s="266"/>
      <c r="AG134" s="266"/>
      <c r="AH134" s="215"/>
    </row>
    <row r="135" spans="1:34" x14ac:dyDescent="0.2">
      <c r="A135" s="328"/>
      <c r="B135" s="266"/>
      <c r="C135" s="268"/>
      <c r="D135" s="268">
        <v>42331</v>
      </c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x14ac:dyDescent="0.2">
      <c r="A136" s="265"/>
      <c r="B136" s="266"/>
      <c r="C136" s="268"/>
      <c r="D136" s="268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ht="13.5" thickBot="1" x14ac:dyDescent="0.25">
      <c r="A137" s="265"/>
      <c r="B137" s="266"/>
      <c r="C137" s="266"/>
      <c r="D137" s="266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79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15"/>
    </row>
    <row r="138" spans="1:34" ht="13.5" thickBot="1" x14ac:dyDescent="0.25">
      <c r="A138" s="265"/>
      <c r="B138" s="266"/>
      <c r="C138" s="270"/>
      <c r="D138" s="271" t="s">
        <v>16</v>
      </c>
      <c r="E138" s="271"/>
      <c r="F138" s="271"/>
      <c r="G138" s="271"/>
      <c r="H138" s="271"/>
      <c r="I138" s="271"/>
      <c r="J138" s="271"/>
      <c r="K138" s="271"/>
      <c r="L138" s="271"/>
      <c r="M138" s="271"/>
      <c r="N138" s="271"/>
      <c r="O138" s="271"/>
      <c r="P138" s="862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15"/>
    </row>
    <row r="139" spans="1:34" ht="13.5" thickBot="1" x14ac:dyDescent="0.25">
      <c r="A139" s="265"/>
      <c r="B139" s="266"/>
      <c r="C139" s="272" t="s">
        <v>452</v>
      </c>
      <c r="D139" s="272" t="s">
        <v>453</v>
      </c>
      <c r="E139" s="272" t="s">
        <v>434</v>
      </c>
      <c r="F139" s="272" t="s">
        <v>390</v>
      </c>
      <c r="G139" s="272" t="s">
        <v>454</v>
      </c>
      <c r="H139" s="272" t="s">
        <v>455</v>
      </c>
      <c r="I139" s="272" t="s">
        <v>456</v>
      </c>
      <c r="J139" s="272" t="s">
        <v>457</v>
      </c>
      <c r="K139" s="272" t="s">
        <v>458</v>
      </c>
      <c r="L139" s="272" t="s">
        <v>216</v>
      </c>
      <c r="M139" s="272" t="s">
        <v>459</v>
      </c>
      <c r="N139" s="272" t="s">
        <v>297</v>
      </c>
      <c r="O139" s="272" t="s">
        <v>211</v>
      </c>
      <c r="P139" s="863" t="s">
        <v>270</v>
      </c>
      <c r="Q139" s="272">
        <v>15</v>
      </c>
      <c r="R139" s="272">
        <v>16</v>
      </c>
      <c r="S139" s="272" t="s">
        <v>461</v>
      </c>
      <c r="T139" s="272" t="s">
        <v>442</v>
      </c>
      <c r="U139" s="272" t="s">
        <v>462</v>
      </c>
      <c r="V139" s="272" t="s">
        <v>470</v>
      </c>
      <c r="W139" s="272" t="s">
        <v>471</v>
      </c>
      <c r="X139" s="272" t="s">
        <v>472</v>
      </c>
      <c r="Y139" s="272" t="s">
        <v>463</v>
      </c>
      <c r="Z139" s="272" t="s">
        <v>465</v>
      </c>
      <c r="AA139" s="272" t="s">
        <v>466</v>
      </c>
      <c r="AB139" s="272" t="s">
        <v>435</v>
      </c>
      <c r="AC139" s="272" t="s">
        <v>467</v>
      </c>
      <c r="AD139" s="272" t="s">
        <v>464</v>
      </c>
      <c r="AE139" s="272" t="s">
        <v>429</v>
      </c>
      <c r="AF139" s="272" t="s">
        <v>149</v>
      </c>
      <c r="AG139" s="272" t="s">
        <v>210</v>
      </c>
      <c r="AH139" s="215"/>
    </row>
    <row r="140" spans="1:34" x14ac:dyDescent="0.2">
      <c r="A140" s="263"/>
      <c r="B140" s="273"/>
      <c r="C140" s="266"/>
      <c r="D140" s="266"/>
      <c r="E140" s="266"/>
      <c r="F140" s="266"/>
      <c r="G140" s="266"/>
      <c r="H140" s="266"/>
      <c r="I140" s="266"/>
      <c r="J140" s="266"/>
      <c r="K140" s="266"/>
      <c r="L140" s="266"/>
      <c r="M140" s="266"/>
      <c r="N140" s="266"/>
      <c r="O140" s="266"/>
      <c r="P140" s="279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266"/>
      <c r="AE140" s="266"/>
      <c r="AF140" s="266"/>
      <c r="AG140" s="266"/>
      <c r="AH140" s="215"/>
    </row>
    <row r="141" spans="1:34" x14ac:dyDescent="0.2">
      <c r="A141" s="265" t="s">
        <v>0</v>
      </c>
      <c r="B141" s="274">
        <v>-136465.82</v>
      </c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ht="13.5" thickBot="1" x14ac:dyDescent="0.25">
      <c r="A142" s="275"/>
      <c r="B142" s="276"/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x14ac:dyDescent="0.2">
      <c r="A143" s="263"/>
      <c r="B143" s="278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5" t="s">
        <v>1</v>
      </c>
      <c r="B144" s="274">
        <f>B145+B146+B147</f>
        <v>0</v>
      </c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38</v>
      </c>
      <c r="B145" s="274">
        <f>C195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39</v>
      </c>
      <c r="B146" s="274">
        <f>C215</f>
        <v>0</v>
      </c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x14ac:dyDescent="0.2">
      <c r="A147" s="265" t="s">
        <v>3</v>
      </c>
      <c r="B147" s="274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ht="13.5" thickBot="1" x14ac:dyDescent="0.25">
      <c r="A148" s="275"/>
      <c r="B148" s="276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x14ac:dyDescent="0.2">
      <c r="A149" s="263"/>
      <c r="B149" s="278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x14ac:dyDescent="0.2">
      <c r="A150" s="265" t="s">
        <v>4</v>
      </c>
      <c r="B150" s="274">
        <f>B141+B144</f>
        <v>-136465.82</v>
      </c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ht="13.5" thickBot="1" x14ac:dyDescent="0.25">
      <c r="A151" s="275"/>
      <c r="B151" s="276"/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x14ac:dyDescent="0.2">
      <c r="A152" s="263"/>
      <c r="B152" s="278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ht="18" x14ac:dyDescent="0.25">
      <c r="A153" s="265" t="s">
        <v>17</v>
      </c>
      <c r="B153" s="274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1755" t="s">
        <v>1156</v>
      </c>
      <c r="N153" s="1755"/>
      <c r="O153" s="1755"/>
      <c r="P153" s="1755"/>
      <c r="Q153" s="1755"/>
      <c r="R153" s="1755"/>
      <c r="S153" s="1755"/>
      <c r="T153" s="1755"/>
      <c r="U153" s="1755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ht="13.5" thickBot="1" x14ac:dyDescent="0.25">
      <c r="A154" s="275"/>
      <c r="B154" s="276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15"/>
    </row>
    <row r="155" spans="1:34" x14ac:dyDescent="0.2">
      <c r="A155" s="263"/>
      <c r="B155" s="278"/>
      <c r="C155" s="266"/>
      <c r="D155" s="802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79"/>
      <c r="Q155" s="266"/>
      <c r="R155" s="266"/>
      <c r="S155" s="266"/>
      <c r="T155" s="266"/>
      <c r="U155" s="269" t="s">
        <v>250</v>
      </c>
      <c r="V155" s="266"/>
      <c r="W155" s="266"/>
      <c r="X155" s="266"/>
      <c r="Y155" s="266"/>
      <c r="Z155" s="266"/>
      <c r="AA155" s="266"/>
      <c r="AB155" s="266"/>
      <c r="AC155" s="802" t="s">
        <v>890</v>
      </c>
      <c r="AD155" s="266"/>
      <c r="AF155" s="266"/>
      <c r="AG155" s="266"/>
      <c r="AH155" s="215"/>
    </row>
    <row r="156" spans="1:34" x14ac:dyDescent="0.2">
      <c r="A156" s="265" t="s">
        <v>5</v>
      </c>
      <c r="B156" s="274">
        <f>B150-B153</f>
        <v>-136465.82</v>
      </c>
      <c r="C156" s="269"/>
      <c r="D156" s="802"/>
      <c r="E156" s="269"/>
      <c r="F156" s="269"/>
      <c r="G156" s="810" t="s">
        <v>712</v>
      </c>
      <c r="H156" s="269"/>
      <c r="I156" s="269"/>
      <c r="J156" s="266"/>
      <c r="K156" s="269"/>
      <c r="L156" s="707"/>
      <c r="M156" s="269" t="s">
        <v>145</v>
      </c>
      <c r="N156" s="266"/>
      <c r="O156" s="269"/>
      <c r="P156" s="281"/>
      <c r="Q156" s="269" t="s">
        <v>604</v>
      </c>
      <c r="R156" s="269"/>
      <c r="S156" s="269"/>
      <c r="T156" s="810"/>
      <c r="U156" s="269" t="s">
        <v>192</v>
      </c>
      <c r="V156" s="269"/>
      <c r="W156" s="269"/>
      <c r="X156" s="269"/>
      <c r="Y156" s="269"/>
      <c r="Z156" s="269"/>
      <c r="AA156" s="707"/>
      <c r="AB156" s="269"/>
      <c r="AC156" s="802" t="s">
        <v>338</v>
      </c>
      <c r="AD156" s="269"/>
      <c r="AF156" s="269"/>
      <c r="AG156" s="269"/>
      <c r="AH156" s="215"/>
    </row>
    <row r="157" spans="1:34" ht="13.5" thickBot="1" x14ac:dyDescent="0.25">
      <c r="A157" s="275"/>
      <c r="B157" s="276"/>
      <c r="C157" s="266"/>
      <c r="D157" s="266"/>
      <c r="E157" s="266"/>
      <c r="F157" s="266"/>
      <c r="G157" s="266"/>
      <c r="H157" s="266"/>
      <c r="I157" s="266"/>
      <c r="J157" s="266"/>
      <c r="K157" s="266"/>
      <c r="L157" s="266"/>
      <c r="M157" s="266"/>
      <c r="N157" s="266"/>
      <c r="O157" s="266"/>
      <c r="P157" s="281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15"/>
    </row>
    <row r="158" spans="1:34" x14ac:dyDescent="0.2">
      <c r="A158" s="282"/>
      <c r="B158" s="266"/>
      <c r="C158" s="283"/>
      <c r="D158" s="285"/>
      <c r="E158" s="285"/>
      <c r="F158" s="284"/>
      <c r="G158" s="284"/>
      <c r="H158" s="284"/>
      <c r="I158" s="284"/>
      <c r="J158" s="284"/>
      <c r="K158" s="284"/>
      <c r="L158" s="284"/>
      <c r="M158" s="284"/>
      <c r="N158" s="284"/>
      <c r="O158" s="284"/>
      <c r="P158" s="86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15"/>
    </row>
    <row r="159" spans="1:34" ht="13.5" thickBot="1" x14ac:dyDescent="0.25">
      <c r="A159" s="287" t="s">
        <v>7</v>
      </c>
      <c r="B159" s="266"/>
      <c r="C159" s="288">
        <f>C160+C161+C162+C166+C165+C163+C164</f>
        <v>0</v>
      </c>
      <c r="D159" s="288">
        <f t="shared" ref="D159:AE159" si="16">D160+D161+D162+D166+D165+D163+D164</f>
        <v>0</v>
      </c>
      <c r="E159" s="288">
        <f t="shared" si="16"/>
        <v>0</v>
      </c>
      <c r="F159" s="288">
        <f t="shared" si="16"/>
        <v>0</v>
      </c>
      <c r="G159" s="288">
        <f t="shared" si="16"/>
        <v>0</v>
      </c>
      <c r="H159" s="288">
        <f t="shared" si="16"/>
        <v>0</v>
      </c>
      <c r="I159" s="288">
        <f t="shared" si="16"/>
        <v>0</v>
      </c>
      <c r="J159" s="288">
        <f t="shared" si="16"/>
        <v>0</v>
      </c>
      <c r="K159" s="288">
        <f t="shared" si="16"/>
        <v>0</v>
      </c>
      <c r="L159" s="288">
        <f t="shared" si="16"/>
        <v>0</v>
      </c>
      <c r="M159" s="288">
        <f t="shared" si="16"/>
        <v>0</v>
      </c>
      <c r="N159" s="288">
        <f t="shared" si="16"/>
        <v>0</v>
      </c>
      <c r="O159" s="288">
        <f t="shared" si="16"/>
        <v>0</v>
      </c>
      <c r="P159" s="865">
        <f t="shared" si="16"/>
        <v>0</v>
      </c>
      <c r="Q159" s="288">
        <f t="shared" si="16"/>
        <v>0</v>
      </c>
      <c r="R159" s="288">
        <f t="shared" si="16"/>
        <v>0</v>
      </c>
      <c r="S159" s="288">
        <f t="shared" si="16"/>
        <v>0</v>
      </c>
      <c r="T159" s="288">
        <f t="shared" si="16"/>
        <v>0</v>
      </c>
      <c r="U159" s="288">
        <f t="shared" si="16"/>
        <v>0</v>
      </c>
      <c r="V159" s="288">
        <f t="shared" si="16"/>
        <v>0</v>
      </c>
      <c r="W159" s="288">
        <f t="shared" si="16"/>
        <v>0</v>
      </c>
      <c r="X159" s="288">
        <f t="shared" si="16"/>
        <v>0</v>
      </c>
      <c r="Y159" s="288">
        <f t="shared" si="16"/>
        <v>0</v>
      </c>
      <c r="Z159" s="288">
        <f t="shared" si="16"/>
        <v>0</v>
      </c>
      <c r="AA159" s="288">
        <f t="shared" si="16"/>
        <v>0</v>
      </c>
      <c r="AB159" s="288">
        <f t="shared" si="16"/>
        <v>0</v>
      </c>
      <c r="AC159" s="288">
        <f t="shared" si="16"/>
        <v>0</v>
      </c>
      <c r="AD159" s="288">
        <f t="shared" si="16"/>
        <v>0</v>
      </c>
      <c r="AE159" s="288">
        <f t="shared" si="16"/>
        <v>0</v>
      </c>
      <c r="AF159" s="288">
        <f>AF160+AF161+AF162+AF166+AF165+AF163+AF164</f>
        <v>0</v>
      </c>
      <c r="AG159" s="288">
        <f>AG160+AG161+AG162+AG166+AG165+AG163+AG164</f>
        <v>0</v>
      </c>
      <c r="AH159" s="286">
        <f t="shared" ref="AH159:AH167" si="17">SUM(C159:AG159)</f>
        <v>0</v>
      </c>
    </row>
    <row r="160" spans="1:34" x14ac:dyDescent="0.2">
      <c r="A160" s="287" t="s">
        <v>8</v>
      </c>
      <c r="B160" s="266"/>
      <c r="C160" s="291"/>
      <c r="D160" s="291"/>
      <c r="E160" s="291"/>
      <c r="F160" s="290"/>
      <c r="G160" s="290"/>
      <c r="H160" s="290"/>
      <c r="I160" s="290"/>
      <c r="J160" s="290"/>
      <c r="K160" s="290"/>
      <c r="L160" s="290"/>
      <c r="M160" s="290"/>
      <c r="N160" s="290"/>
      <c r="O160" s="290"/>
      <c r="P160" s="292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86">
        <f t="shared" si="17"/>
        <v>0</v>
      </c>
    </row>
    <row r="161" spans="1:35" x14ac:dyDescent="0.2">
      <c r="A161" s="287" t="s">
        <v>9</v>
      </c>
      <c r="B161" s="266"/>
      <c r="C161" s="291"/>
      <c r="D161" s="291"/>
      <c r="E161" s="291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2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86">
        <f t="shared" si="17"/>
        <v>0</v>
      </c>
    </row>
    <row r="162" spans="1:35" s="360" customFormat="1" x14ac:dyDescent="0.2">
      <c r="A162" s="662" t="s">
        <v>10</v>
      </c>
      <c r="B162" s="669"/>
      <c r="C162" s="664"/>
      <c r="D162" s="565"/>
      <c r="E162" s="565"/>
      <c r="F162" s="560"/>
      <c r="G162" s="811"/>
      <c r="H162" s="560"/>
      <c r="I162" s="560"/>
      <c r="J162" s="560"/>
      <c r="K162" s="560"/>
      <c r="L162" s="708"/>
      <c r="M162" s="560">
        <v>39255</v>
      </c>
      <c r="N162" s="560"/>
      <c r="O162" s="560"/>
      <c r="P162" s="560"/>
      <c r="Q162" s="560">
        <v>47447</v>
      </c>
      <c r="R162" s="560"/>
      <c r="S162" s="560"/>
      <c r="T162" s="811"/>
      <c r="U162" s="560">
        <v>37000</v>
      </c>
      <c r="V162" s="560"/>
      <c r="W162" s="560"/>
      <c r="X162" s="560"/>
      <c r="Y162" s="560"/>
      <c r="Z162" s="560"/>
      <c r="AA162" s="708"/>
      <c r="AB162" s="560"/>
      <c r="AC162" s="560"/>
      <c r="AD162" s="560"/>
      <c r="AE162" s="803"/>
      <c r="AF162" s="560"/>
      <c r="AG162" s="560"/>
      <c r="AH162" s="379">
        <f t="shared" si="17"/>
        <v>123702</v>
      </c>
    </row>
    <row r="163" spans="1:35" s="360" customFormat="1" x14ac:dyDescent="0.2">
      <c r="A163" s="662" t="s">
        <v>356</v>
      </c>
      <c r="B163" s="669"/>
      <c r="C163" s="565"/>
      <c r="D163" s="565"/>
      <c r="E163" s="565"/>
      <c r="F163" s="560"/>
      <c r="G163" s="560"/>
      <c r="H163" s="560"/>
      <c r="I163" s="560"/>
      <c r="J163" s="560"/>
      <c r="K163" s="560"/>
      <c r="L163" s="560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560"/>
      <c r="AB163" s="560"/>
      <c r="AC163" s="560">
        <v>45895</v>
      </c>
      <c r="AD163" s="560"/>
      <c r="AE163" s="560"/>
      <c r="AF163" s="560"/>
      <c r="AG163" s="560"/>
      <c r="AH163" s="379">
        <f t="shared" si="17"/>
        <v>45895</v>
      </c>
    </row>
    <row r="164" spans="1:35" x14ac:dyDescent="0.2">
      <c r="A164" s="287" t="s">
        <v>357</v>
      </c>
      <c r="B164" s="266"/>
      <c r="C164" s="289"/>
      <c r="D164" s="291"/>
      <c r="E164" s="289"/>
      <c r="F164" s="290"/>
      <c r="G164" s="290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86">
        <f t="shared" si="17"/>
        <v>0</v>
      </c>
    </row>
    <row r="165" spans="1:35" x14ac:dyDescent="0.2">
      <c r="A165" s="287" t="s">
        <v>41</v>
      </c>
      <c r="B165" s="266"/>
      <c r="C165" s="289"/>
      <c r="D165" s="291"/>
      <c r="E165" s="289"/>
      <c r="F165" s="290"/>
      <c r="G165" s="290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x14ac:dyDescent="0.2">
      <c r="A166" s="287" t="s">
        <v>11</v>
      </c>
      <c r="B166" s="266"/>
      <c r="C166" s="291"/>
      <c r="D166" s="289"/>
      <c r="E166" s="289"/>
      <c r="F166" s="292"/>
      <c r="G166" s="292"/>
      <c r="H166" s="292"/>
      <c r="I166" s="292"/>
      <c r="J166" s="292"/>
      <c r="K166" s="292"/>
      <c r="L166" s="292"/>
      <c r="M166" s="292">
        <v>-39255</v>
      </c>
      <c r="N166" s="292"/>
      <c r="O166" s="292"/>
      <c r="P166" s="292"/>
      <c r="Q166" s="292">
        <v>-47447</v>
      </c>
      <c r="R166" s="292"/>
      <c r="S166" s="292"/>
      <c r="T166" s="292"/>
      <c r="U166" s="292">
        <v>-37000</v>
      </c>
      <c r="V166" s="292"/>
      <c r="W166" s="292"/>
      <c r="X166" s="292"/>
      <c r="Y166" s="292"/>
      <c r="Z166" s="292"/>
      <c r="AA166" s="292"/>
      <c r="AB166" s="455"/>
      <c r="AC166" s="292">
        <v>-45895</v>
      </c>
      <c r="AD166" s="292"/>
      <c r="AE166" s="292"/>
      <c r="AF166" s="292"/>
      <c r="AG166" s="292"/>
      <c r="AH166" s="286">
        <f t="shared" si="17"/>
        <v>-169597</v>
      </c>
    </row>
    <row r="167" spans="1:35" ht="13.5" thickBot="1" x14ac:dyDescent="0.25">
      <c r="A167" s="296"/>
      <c r="B167" s="266"/>
      <c r="C167" s="291"/>
      <c r="D167" s="291"/>
      <c r="E167" s="291"/>
      <c r="F167" s="290"/>
      <c r="G167" s="290"/>
      <c r="H167" s="290"/>
      <c r="I167" s="290"/>
      <c r="J167" s="290"/>
      <c r="K167" s="290"/>
      <c r="L167" s="290"/>
      <c r="M167" s="290"/>
      <c r="N167" s="290"/>
      <c r="O167" s="290"/>
      <c r="P167" s="292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  <c r="AA167" s="290"/>
      <c r="AB167" s="290"/>
      <c r="AC167" s="290"/>
      <c r="AD167" s="290"/>
      <c r="AE167" s="290"/>
      <c r="AF167" s="290"/>
      <c r="AG167" s="290"/>
      <c r="AH167" s="286">
        <f t="shared" si="17"/>
        <v>0</v>
      </c>
    </row>
    <row r="168" spans="1:35" x14ac:dyDescent="0.2">
      <c r="A168" s="282"/>
      <c r="B168" s="266"/>
      <c r="C168" s="297"/>
      <c r="D168" s="298"/>
      <c r="E168" s="298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866"/>
      <c r="Q168" s="299"/>
      <c r="R168" s="299"/>
      <c r="S168" s="299"/>
      <c r="T168" s="299"/>
      <c r="U168" s="299"/>
      <c r="V168" s="299"/>
      <c r="W168" s="299"/>
      <c r="X168" s="299"/>
      <c r="Y168" s="299"/>
      <c r="Z168" s="299"/>
      <c r="AA168" s="299"/>
      <c r="AB168" s="299"/>
      <c r="AC168" s="299"/>
      <c r="AD168" s="299"/>
      <c r="AE168" s="299"/>
      <c r="AF168" s="299"/>
      <c r="AG168" s="299"/>
      <c r="AH168" s="215"/>
    </row>
    <row r="169" spans="1:35" ht="13.5" thickBot="1" x14ac:dyDescent="0.25">
      <c r="A169" s="287" t="s">
        <v>12</v>
      </c>
      <c r="B169" s="266"/>
      <c r="C169" s="288">
        <f t="shared" ref="C169:AG169" si="18">C170</f>
        <v>0</v>
      </c>
      <c r="D169" s="288">
        <f t="shared" si="18"/>
        <v>0</v>
      </c>
      <c r="E169" s="288">
        <f t="shared" si="18"/>
        <v>0</v>
      </c>
      <c r="F169" s="288">
        <f t="shared" si="18"/>
        <v>0</v>
      </c>
      <c r="G169" s="288">
        <f t="shared" si="18"/>
        <v>0</v>
      </c>
      <c r="H169" s="288">
        <f t="shared" si="18"/>
        <v>0</v>
      </c>
      <c r="I169" s="288">
        <f t="shared" si="18"/>
        <v>0</v>
      </c>
      <c r="J169" s="288">
        <f t="shared" si="18"/>
        <v>0</v>
      </c>
      <c r="K169" s="288">
        <f t="shared" si="18"/>
        <v>0</v>
      </c>
      <c r="L169" s="288">
        <f t="shared" si="18"/>
        <v>0</v>
      </c>
      <c r="M169" s="288">
        <f t="shared" si="18"/>
        <v>0</v>
      </c>
      <c r="N169" s="288">
        <f t="shared" si="18"/>
        <v>0</v>
      </c>
      <c r="O169" s="288">
        <f t="shared" si="18"/>
        <v>0</v>
      </c>
      <c r="P169" s="865">
        <f t="shared" si="18"/>
        <v>0</v>
      </c>
      <c r="Q169" s="288">
        <f t="shared" si="18"/>
        <v>0</v>
      </c>
      <c r="R169" s="288">
        <f t="shared" si="18"/>
        <v>0</v>
      </c>
      <c r="S169" s="288">
        <f t="shared" si="18"/>
        <v>0</v>
      </c>
      <c r="T169" s="288">
        <f t="shared" si="18"/>
        <v>0</v>
      </c>
      <c r="U169" s="288">
        <f t="shared" si="18"/>
        <v>0</v>
      </c>
      <c r="V169" s="288">
        <f t="shared" si="18"/>
        <v>0</v>
      </c>
      <c r="W169" s="288">
        <f t="shared" si="18"/>
        <v>0</v>
      </c>
      <c r="X169" s="288">
        <f t="shared" si="18"/>
        <v>0</v>
      </c>
      <c r="Y169" s="288">
        <f t="shared" si="18"/>
        <v>0</v>
      </c>
      <c r="Z169" s="288">
        <f t="shared" si="18"/>
        <v>0</v>
      </c>
      <c r="AA169" s="288">
        <f t="shared" si="18"/>
        <v>0</v>
      </c>
      <c r="AB169" s="288">
        <f t="shared" si="18"/>
        <v>0</v>
      </c>
      <c r="AC169" s="288">
        <f t="shared" si="18"/>
        <v>0</v>
      </c>
      <c r="AD169" s="288">
        <f t="shared" si="18"/>
        <v>0</v>
      </c>
      <c r="AE169" s="288">
        <f t="shared" si="18"/>
        <v>0</v>
      </c>
      <c r="AF169" s="288">
        <f t="shared" si="18"/>
        <v>0</v>
      </c>
      <c r="AG169" s="288">
        <f t="shared" si="18"/>
        <v>0</v>
      </c>
      <c r="AH169" s="215"/>
    </row>
    <row r="170" spans="1:35" x14ac:dyDescent="0.2">
      <c r="A170" s="287" t="s">
        <v>8</v>
      </c>
      <c r="B170" s="266"/>
      <c r="C170" s="291"/>
      <c r="D170" s="291"/>
      <c r="E170" s="291"/>
      <c r="F170" s="290"/>
      <c r="G170" s="290"/>
      <c r="H170" s="290"/>
      <c r="I170" s="290"/>
      <c r="J170" s="290"/>
      <c r="K170" s="290"/>
      <c r="L170" s="290"/>
      <c r="M170" s="290"/>
      <c r="N170" s="290"/>
      <c r="O170" s="290"/>
      <c r="P170" s="292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15"/>
    </row>
    <row r="171" spans="1:35" x14ac:dyDescent="0.2">
      <c r="A171" s="287" t="s">
        <v>775</v>
      </c>
      <c r="B171" s="266"/>
      <c r="C171" s="291"/>
      <c r="D171" s="291"/>
      <c r="E171" s="291"/>
      <c r="F171" s="290"/>
      <c r="G171" s="290">
        <v>535</v>
      </c>
      <c r="H171" s="292"/>
      <c r="I171" s="292">
        <v>745</v>
      </c>
      <c r="J171" s="292"/>
      <c r="K171" s="292"/>
      <c r="L171" s="292">
        <v>5469</v>
      </c>
      <c r="M171" s="292"/>
      <c r="N171" s="292"/>
      <c r="O171" s="292"/>
      <c r="P171" s="292"/>
      <c r="Q171" s="292">
        <v>6129</v>
      </c>
      <c r="R171" s="292"/>
      <c r="S171" s="292">
        <v>1614</v>
      </c>
      <c r="T171" s="292"/>
      <c r="U171" s="292"/>
      <c r="V171" s="292">
        <v>7651</v>
      </c>
      <c r="W171" s="292"/>
      <c r="X171" s="292"/>
      <c r="Y171" s="292"/>
      <c r="Z171" s="292"/>
      <c r="AA171" s="292">
        <v>1049</v>
      </c>
      <c r="AB171" s="292">
        <v>684</v>
      </c>
      <c r="AC171" s="292"/>
      <c r="AD171" s="292">
        <v>660</v>
      </c>
      <c r="AE171" s="292"/>
      <c r="AF171" s="290">
        <v>4285</v>
      </c>
      <c r="AG171" s="290">
        <v>16518</v>
      </c>
      <c r="AH171" s="286">
        <f>SUM(C171:AG171)</f>
        <v>45339</v>
      </c>
    </row>
    <row r="172" spans="1:35" ht="13.5" thickBot="1" x14ac:dyDescent="0.25">
      <c r="A172" s="296"/>
      <c r="B172" s="266"/>
      <c r="C172" s="291"/>
      <c r="D172" s="291"/>
      <c r="E172" s="291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2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15"/>
    </row>
    <row r="173" spans="1:35" x14ac:dyDescent="0.2">
      <c r="A173" s="282"/>
      <c r="B173" s="266"/>
      <c r="C173" s="297"/>
      <c r="D173" s="298"/>
      <c r="E173" s="298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866"/>
      <c r="Q173" s="299"/>
      <c r="R173" s="299"/>
      <c r="S173" s="299"/>
      <c r="T173" s="299"/>
      <c r="U173" s="299"/>
      <c r="V173" s="299"/>
      <c r="W173" s="299"/>
      <c r="X173" s="299"/>
      <c r="Y173" s="299"/>
      <c r="Z173" s="299"/>
      <c r="AA173" s="299"/>
      <c r="AB173" s="299"/>
      <c r="AC173" s="299"/>
      <c r="AD173" s="299"/>
      <c r="AE173" s="299"/>
      <c r="AF173" s="299"/>
      <c r="AG173" s="299"/>
      <c r="AH173" s="215"/>
    </row>
    <row r="174" spans="1:35" x14ac:dyDescent="0.2">
      <c r="A174" s="287" t="s">
        <v>13</v>
      </c>
      <c r="B174" s="266"/>
      <c r="C174" s="300">
        <f t="shared" ref="C174:AE174" si="19">C169-C159</f>
        <v>0</v>
      </c>
      <c r="D174" s="300">
        <f t="shared" si="19"/>
        <v>0</v>
      </c>
      <c r="E174" s="300">
        <f t="shared" si="19"/>
        <v>0</v>
      </c>
      <c r="F174" s="300">
        <f t="shared" si="19"/>
        <v>0</v>
      </c>
      <c r="G174" s="300">
        <f t="shared" si="19"/>
        <v>0</v>
      </c>
      <c r="H174" s="300">
        <f t="shared" si="19"/>
        <v>0</v>
      </c>
      <c r="I174" s="300">
        <f t="shared" si="19"/>
        <v>0</v>
      </c>
      <c r="J174" s="300">
        <f t="shared" si="19"/>
        <v>0</v>
      </c>
      <c r="K174" s="300">
        <f t="shared" si="19"/>
        <v>0</v>
      </c>
      <c r="L174" s="300">
        <f t="shared" si="19"/>
        <v>0</v>
      </c>
      <c r="M174" s="300">
        <f t="shared" si="19"/>
        <v>0</v>
      </c>
      <c r="N174" s="300">
        <f t="shared" si="19"/>
        <v>0</v>
      </c>
      <c r="O174" s="300">
        <f t="shared" si="19"/>
        <v>0</v>
      </c>
      <c r="P174" s="867">
        <f t="shared" si="19"/>
        <v>0</v>
      </c>
      <c r="Q174" s="300">
        <f t="shared" si="19"/>
        <v>0</v>
      </c>
      <c r="R174" s="300">
        <f t="shared" si="19"/>
        <v>0</v>
      </c>
      <c r="S174" s="300">
        <f t="shared" si="19"/>
        <v>0</v>
      </c>
      <c r="T174" s="300">
        <f t="shared" si="19"/>
        <v>0</v>
      </c>
      <c r="U174" s="300">
        <f t="shared" si="19"/>
        <v>0</v>
      </c>
      <c r="V174" s="300">
        <f t="shared" si="19"/>
        <v>0</v>
      </c>
      <c r="W174" s="300">
        <f t="shared" si="19"/>
        <v>0</v>
      </c>
      <c r="X174" s="300">
        <f t="shared" si="19"/>
        <v>0</v>
      </c>
      <c r="Y174" s="300">
        <f t="shared" si="19"/>
        <v>0</v>
      </c>
      <c r="Z174" s="300">
        <f t="shared" si="19"/>
        <v>0</v>
      </c>
      <c r="AA174" s="300">
        <f t="shared" si="19"/>
        <v>0</v>
      </c>
      <c r="AB174" s="300">
        <f t="shared" si="19"/>
        <v>0</v>
      </c>
      <c r="AC174" s="300">
        <f t="shared" si="19"/>
        <v>0</v>
      </c>
      <c r="AD174" s="300">
        <f t="shared" si="19"/>
        <v>0</v>
      </c>
      <c r="AE174" s="300">
        <f t="shared" si="19"/>
        <v>0</v>
      </c>
      <c r="AF174" s="300">
        <f>AF169-AF159</f>
        <v>0</v>
      </c>
      <c r="AG174" s="300">
        <f>AG169-AG159</f>
        <v>0</v>
      </c>
      <c r="AH174" s="215"/>
    </row>
    <row r="175" spans="1:35" ht="13.5" thickBot="1" x14ac:dyDescent="0.25">
      <c r="A175" s="287"/>
      <c r="B175" s="266"/>
      <c r="C175" s="300"/>
      <c r="D175" s="291"/>
      <c r="E175" s="291"/>
      <c r="F175" s="290"/>
      <c r="G175" s="290"/>
      <c r="H175" s="290"/>
      <c r="I175" s="290"/>
      <c r="J175" s="290"/>
      <c r="K175" s="290"/>
      <c r="L175" s="290"/>
      <c r="M175" s="290"/>
      <c r="N175" s="290"/>
      <c r="O175" s="290"/>
      <c r="P175" s="292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15"/>
      <c r="AI175" t="s">
        <v>813</v>
      </c>
    </row>
    <row r="176" spans="1:35" x14ac:dyDescent="0.2">
      <c r="A176" s="263"/>
      <c r="B176" s="264"/>
      <c r="C176" s="301"/>
      <c r="D176" s="298"/>
      <c r="E176" s="298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866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299"/>
      <c r="AH176" s="215"/>
    </row>
    <row r="177" spans="1:34" x14ac:dyDescent="0.2">
      <c r="A177" s="265" t="s">
        <v>15</v>
      </c>
      <c r="B177" s="266"/>
      <c r="C177" s="291">
        <f>B156+C174</f>
        <v>-136465.82</v>
      </c>
      <c r="D177" s="291">
        <f t="shared" ref="D177:AE177" si="20">C184+D174</f>
        <v>-136465.82</v>
      </c>
      <c r="E177" s="291">
        <f t="shared" si="20"/>
        <v>-136465.82</v>
      </c>
      <c r="F177" s="291">
        <f t="shared" si="20"/>
        <v>-136465.82</v>
      </c>
      <c r="G177" s="291">
        <f t="shared" si="20"/>
        <v>-136465.82</v>
      </c>
      <c r="H177" s="291">
        <f t="shared" si="20"/>
        <v>-136465.82</v>
      </c>
      <c r="I177" s="291">
        <f t="shared" si="20"/>
        <v>-136465.82</v>
      </c>
      <c r="J177" s="291">
        <f t="shared" si="20"/>
        <v>-136465.82</v>
      </c>
      <c r="K177" s="291">
        <f t="shared" si="20"/>
        <v>-136465.82</v>
      </c>
      <c r="L177" s="291">
        <f t="shared" si="20"/>
        <v>-136465.82</v>
      </c>
      <c r="M177" s="291">
        <f t="shared" si="20"/>
        <v>-136465.82</v>
      </c>
      <c r="N177" s="291">
        <f t="shared" si="20"/>
        <v>-136465.82</v>
      </c>
      <c r="O177" s="291">
        <f t="shared" si="20"/>
        <v>-136465.82</v>
      </c>
      <c r="P177" s="289">
        <f t="shared" si="20"/>
        <v>-136465.82</v>
      </c>
      <c r="Q177" s="291">
        <f t="shared" si="20"/>
        <v>-136465.82</v>
      </c>
      <c r="R177" s="291">
        <f>Q184+R174</f>
        <v>-136465.82</v>
      </c>
      <c r="S177" s="291">
        <f>R184+S174</f>
        <v>-136465.82</v>
      </c>
      <c r="T177" s="291">
        <f>S184+T174</f>
        <v>-136465.82</v>
      </c>
      <c r="U177" s="291">
        <f>T184+U174</f>
        <v>-136465.82</v>
      </c>
      <c r="V177" s="291">
        <f>U184+V174</f>
        <v>-136465.82</v>
      </c>
      <c r="W177" s="291">
        <f t="shared" si="20"/>
        <v>-136465.82</v>
      </c>
      <c r="X177" s="291">
        <f t="shared" si="20"/>
        <v>-136465.82</v>
      </c>
      <c r="Y177" s="291">
        <f t="shared" si="20"/>
        <v>-136465.82</v>
      </c>
      <c r="Z177" s="291">
        <f t="shared" si="20"/>
        <v>-136465.82</v>
      </c>
      <c r="AA177" s="291">
        <f t="shared" si="20"/>
        <v>-136465.82</v>
      </c>
      <c r="AB177" s="291">
        <f t="shared" si="20"/>
        <v>-136465.82</v>
      </c>
      <c r="AC177" s="291">
        <f t="shared" si="20"/>
        <v>-136465.82</v>
      </c>
      <c r="AD177" s="291">
        <f t="shared" si="20"/>
        <v>-136465.82</v>
      </c>
      <c r="AE177" s="291">
        <f t="shared" si="20"/>
        <v>-136465.82</v>
      </c>
      <c r="AF177" s="291">
        <f>AE184+AF174</f>
        <v>-136465.82</v>
      </c>
      <c r="AG177" s="291">
        <f>AF184+AG174</f>
        <v>-136465.82</v>
      </c>
      <c r="AH177" s="215"/>
    </row>
    <row r="178" spans="1:34" ht="13.5" thickBot="1" x14ac:dyDescent="0.25">
      <c r="A178" s="275"/>
      <c r="B178" s="302"/>
      <c r="C178" s="303"/>
      <c r="D178" s="303"/>
      <c r="E178" s="303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868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04"/>
      <c r="AF178" s="304"/>
      <c r="AG178" s="304"/>
      <c r="AH178" s="215"/>
    </row>
    <row r="179" spans="1:34" x14ac:dyDescent="0.2">
      <c r="A179" s="263"/>
      <c r="B179" s="264"/>
      <c r="C179" s="298"/>
      <c r="D179" s="298"/>
      <c r="E179" s="298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866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  <c r="AA179" s="299"/>
      <c r="AB179" s="299"/>
      <c r="AC179" s="299"/>
      <c r="AD179" s="299"/>
      <c r="AE179" s="299"/>
      <c r="AF179" s="299"/>
      <c r="AG179" s="299"/>
      <c r="AH179" s="215"/>
    </row>
    <row r="180" spans="1:34" x14ac:dyDescent="0.2">
      <c r="A180" s="265" t="s">
        <v>82</v>
      </c>
      <c r="B180" s="266"/>
      <c r="C180" s="291">
        <f t="shared" ref="C180:AE181" si="21">C188</f>
        <v>0</v>
      </c>
      <c r="D180" s="291">
        <f t="shared" si="21"/>
        <v>0</v>
      </c>
      <c r="E180" s="291">
        <f t="shared" si="21"/>
        <v>0</v>
      </c>
      <c r="F180" s="291">
        <f t="shared" si="21"/>
        <v>0</v>
      </c>
      <c r="G180" s="291">
        <f t="shared" si="21"/>
        <v>0</v>
      </c>
      <c r="H180" s="291">
        <f t="shared" si="21"/>
        <v>0</v>
      </c>
      <c r="I180" s="291">
        <f t="shared" si="21"/>
        <v>0</v>
      </c>
      <c r="J180" s="291">
        <f t="shared" si="21"/>
        <v>0</v>
      </c>
      <c r="K180" s="291">
        <f t="shared" si="21"/>
        <v>0</v>
      </c>
      <c r="L180" s="291">
        <f t="shared" si="21"/>
        <v>0</v>
      </c>
      <c r="M180" s="291">
        <f t="shared" si="21"/>
        <v>0</v>
      </c>
      <c r="N180" s="291">
        <f t="shared" si="21"/>
        <v>0</v>
      </c>
      <c r="O180" s="291">
        <f t="shared" si="21"/>
        <v>0</v>
      </c>
      <c r="P180" s="289">
        <f t="shared" si="21"/>
        <v>0</v>
      </c>
      <c r="Q180" s="291">
        <f t="shared" si="21"/>
        <v>0</v>
      </c>
      <c r="R180" s="291">
        <f t="shared" si="21"/>
        <v>0</v>
      </c>
      <c r="S180" s="291">
        <f t="shared" si="21"/>
        <v>0</v>
      </c>
      <c r="T180" s="291">
        <f t="shared" si="21"/>
        <v>0</v>
      </c>
      <c r="U180" s="291">
        <f t="shared" si="21"/>
        <v>0</v>
      </c>
      <c r="V180" s="291">
        <f t="shared" si="21"/>
        <v>0</v>
      </c>
      <c r="W180" s="291">
        <f t="shared" si="21"/>
        <v>0</v>
      </c>
      <c r="X180" s="291">
        <f t="shared" si="21"/>
        <v>0</v>
      </c>
      <c r="Y180" s="291">
        <f t="shared" si="21"/>
        <v>0</v>
      </c>
      <c r="Z180" s="291">
        <f t="shared" si="21"/>
        <v>0</v>
      </c>
      <c r="AA180" s="291">
        <f t="shared" si="21"/>
        <v>0</v>
      </c>
      <c r="AB180" s="291">
        <f t="shared" si="21"/>
        <v>0</v>
      </c>
      <c r="AC180" s="291">
        <f t="shared" si="21"/>
        <v>0</v>
      </c>
      <c r="AD180" s="291">
        <f t="shared" si="21"/>
        <v>0</v>
      </c>
      <c r="AE180" s="291">
        <f t="shared" si="21"/>
        <v>0</v>
      </c>
      <c r="AF180" s="291">
        <f>AF188</f>
        <v>0</v>
      </c>
      <c r="AG180" s="291">
        <f>AG188</f>
        <v>0</v>
      </c>
      <c r="AH180" s="215"/>
    </row>
    <row r="181" spans="1:34" x14ac:dyDescent="0.2">
      <c r="A181" s="265" t="s">
        <v>83</v>
      </c>
      <c r="B181" s="266"/>
      <c r="C181" s="289">
        <f t="shared" si="21"/>
        <v>0</v>
      </c>
      <c r="D181" s="289">
        <f t="shared" si="21"/>
        <v>0</v>
      </c>
      <c r="E181" s="289">
        <f t="shared" si="21"/>
        <v>0</v>
      </c>
      <c r="F181" s="289">
        <f t="shared" si="21"/>
        <v>0</v>
      </c>
      <c r="G181" s="289">
        <f t="shared" si="21"/>
        <v>0</v>
      </c>
      <c r="H181" s="289">
        <f t="shared" si="21"/>
        <v>0</v>
      </c>
      <c r="I181" s="289">
        <f t="shared" si="21"/>
        <v>0</v>
      </c>
      <c r="J181" s="289">
        <f t="shared" si="21"/>
        <v>0</v>
      </c>
      <c r="K181" s="289">
        <f t="shared" si="21"/>
        <v>0</v>
      </c>
      <c r="L181" s="289">
        <f t="shared" si="21"/>
        <v>0</v>
      </c>
      <c r="M181" s="289">
        <f t="shared" si="21"/>
        <v>0</v>
      </c>
      <c r="N181" s="289">
        <f t="shared" si="21"/>
        <v>0</v>
      </c>
      <c r="O181" s="289">
        <f t="shared" si="21"/>
        <v>0</v>
      </c>
      <c r="P181" s="289">
        <f t="shared" si="21"/>
        <v>0</v>
      </c>
      <c r="Q181" s="289">
        <f t="shared" si="21"/>
        <v>0</v>
      </c>
      <c r="R181" s="289">
        <f t="shared" si="21"/>
        <v>0</v>
      </c>
      <c r="S181" s="289">
        <f t="shared" si="21"/>
        <v>0</v>
      </c>
      <c r="T181" s="289">
        <f t="shared" si="21"/>
        <v>0</v>
      </c>
      <c r="U181" s="289">
        <f t="shared" si="21"/>
        <v>0</v>
      </c>
      <c r="V181" s="289">
        <f t="shared" si="21"/>
        <v>0</v>
      </c>
      <c r="W181" s="289">
        <f t="shared" si="21"/>
        <v>0</v>
      </c>
      <c r="X181" s="289">
        <f t="shared" si="21"/>
        <v>0</v>
      </c>
      <c r="Y181" s="289">
        <f t="shared" si="21"/>
        <v>0</v>
      </c>
      <c r="Z181" s="289">
        <f t="shared" si="21"/>
        <v>0</v>
      </c>
      <c r="AA181" s="289">
        <f t="shared" si="21"/>
        <v>0</v>
      </c>
      <c r="AB181" s="289">
        <f t="shared" si="21"/>
        <v>0</v>
      </c>
      <c r="AC181" s="289">
        <f t="shared" si="21"/>
        <v>0</v>
      </c>
      <c r="AD181" s="289">
        <f t="shared" si="21"/>
        <v>0</v>
      </c>
      <c r="AE181" s="289">
        <f t="shared" si="21"/>
        <v>0</v>
      </c>
      <c r="AF181" s="289">
        <f>AF189</f>
        <v>0</v>
      </c>
      <c r="AG181" s="289">
        <f>AG189</f>
        <v>0</v>
      </c>
      <c r="AH181" s="215"/>
    </row>
    <row r="182" spans="1:34" ht="13.5" thickBot="1" x14ac:dyDescent="0.25">
      <c r="A182" s="275"/>
      <c r="B182" s="302"/>
      <c r="C182" s="303"/>
      <c r="D182" s="303"/>
      <c r="E182" s="303"/>
      <c r="F182" s="304"/>
      <c r="G182" s="304"/>
      <c r="H182" s="304"/>
      <c r="I182" s="304"/>
      <c r="J182" s="304"/>
      <c r="K182" s="304"/>
      <c r="L182" s="304"/>
      <c r="M182" s="304"/>
      <c r="N182" s="304"/>
      <c r="O182" s="304"/>
      <c r="P182" s="868"/>
      <c r="Q182" s="304"/>
      <c r="R182" s="304"/>
      <c r="S182" s="304"/>
      <c r="T182" s="304"/>
      <c r="U182" s="304"/>
      <c r="V182" s="304"/>
      <c r="W182" s="304"/>
      <c r="X182" s="304"/>
      <c r="Y182" s="304"/>
      <c r="Z182" s="304"/>
      <c r="AA182" s="304"/>
      <c r="AB182" s="304"/>
      <c r="AC182" s="304"/>
      <c r="AD182" s="304"/>
      <c r="AE182" s="304"/>
      <c r="AF182" s="304"/>
      <c r="AG182" s="304"/>
      <c r="AH182" s="215"/>
    </row>
    <row r="183" spans="1:34" x14ac:dyDescent="0.2">
      <c r="A183" s="265"/>
      <c r="B183" s="266"/>
      <c r="C183" s="291"/>
      <c r="D183" s="291"/>
      <c r="E183" s="291"/>
      <c r="F183" s="290"/>
      <c r="G183" s="290"/>
      <c r="H183" s="290"/>
      <c r="I183" s="290"/>
      <c r="J183" s="290"/>
      <c r="K183" s="290"/>
      <c r="L183" s="290"/>
      <c r="M183" s="290"/>
      <c r="N183" s="290"/>
      <c r="O183" s="290"/>
      <c r="P183" s="292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  <c r="AE183" s="290"/>
      <c r="AF183" s="290"/>
      <c r="AG183" s="290"/>
      <c r="AH183" s="309"/>
    </row>
    <row r="184" spans="1:34" x14ac:dyDescent="0.2">
      <c r="A184" s="265" t="s">
        <v>14</v>
      </c>
      <c r="B184" s="266"/>
      <c r="C184" s="291">
        <f t="shared" ref="C184:AE184" si="22">C177+C180+C181</f>
        <v>-136465.82</v>
      </c>
      <c r="D184" s="291">
        <f t="shared" si="22"/>
        <v>-136465.82</v>
      </c>
      <c r="E184" s="291">
        <f t="shared" si="22"/>
        <v>-136465.82</v>
      </c>
      <c r="F184" s="291">
        <f t="shared" si="22"/>
        <v>-136465.82</v>
      </c>
      <c r="G184" s="291">
        <f t="shared" si="22"/>
        <v>-136465.82</v>
      </c>
      <c r="H184" s="291">
        <f t="shared" si="22"/>
        <v>-136465.82</v>
      </c>
      <c r="I184" s="291">
        <f t="shared" si="22"/>
        <v>-136465.82</v>
      </c>
      <c r="J184" s="291">
        <f t="shared" si="22"/>
        <v>-136465.82</v>
      </c>
      <c r="K184" s="291">
        <f t="shared" si="22"/>
        <v>-136465.82</v>
      </c>
      <c r="L184" s="291">
        <f t="shared" si="22"/>
        <v>-136465.82</v>
      </c>
      <c r="M184" s="291">
        <f t="shared" si="22"/>
        <v>-136465.82</v>
      </c>
      <c r="N184" s="291">
        <f t="shared" si="22"/>
        <v>-136465.82</v>
      </c>
      <c r="O184" s="291">
        <f t="shared" si="22"/>
        <v>-136465.82</v>
      </c>
      <c r="P184" s="289">
        <f t="shared" si="22"/>
        <v>-136465.82</v>
      </c>
      <c r="Q184" s="291">
        <f t="shared" si="22"/>
        <v>-136465.82</v>
      </c>
      <c r="R184" s="291">
        <f t="shared" si="22"/>
        <v>-136465.82</v>
      </c>
      <c r="S184" s="291">
        <f t="shared" si="22"/>
        <v>-136465.82</v>
      </c>
      <c r="T184" s="291">
        <f t="shared" si="22"/>
        <v>-136465.82</v>
      </c>
      <c r="U184" s="291">
        <f t="shared" si="22"/>
        <v>-136465.82</v>
      </c>
      <c r="V184" s="291">
        <f t="shared" si="22"/>
        <v>-136465.82</v>
      </c>
      <c r="W184" s="291">
        <f t="shared" si="22"/>
        <v>-136465.82</v>
      </c>
      <c r="X184" s="291">
        <f t="shared" si="22"/>
        <v>-136465.82</v>
      </c>
      <c r="Y184" s="291">
        <f t="shared" si="22"/>
        <v>-136465.82</v>
      </c>
      <c r="Z184" s="291">
        <f t="shared" si="22"/>
        <v>-136465.82</v>
      </c>
      <c r="AA184" s="291">
        <f t="shared" si="22"/>
        <v>-136465.82</v>
      </c>
      <c r="AB184" s="291">
        <f t="shared" si="22"/>
        <v>-136465.82</v>
      </c>
      <c r="AC184" s="291">
        <f t="shared" si="22"/>
        <v>-136465.82</v>
      </c>
      <c r="AD184" s="291">
        <f t="shared" si="22"/>
        <v>-136465.82</v>
      </c>
      <c r="AE184" s="291">
        <f t="shared" si="22"/>
        <v>-136465.82</v>
      </c>
      <c r="AF184" s="291">
        <f>AF177+AF180+AF181</f>
        <v>-136465.82</v>
      </c>
      <c r="AG184" s="291">
        <f>AG177+AG180+AG181</f>
        <v>-136465.82</v>
      </c>
      <c r="AH184" s="308"/>
    </row>
    <row r="185" spans="1:34" x14ac:dyDescent="0.2">
      <c r="A185" s="265"/>
      <c r="B185" s="266"/>
      <c r="C185" s="291"/>
      <c r="D185" s="291"/>
      <c r="E185" s="291"/>
      <c r="F185" s="290"/>
      <c r="G185" s="290"/>
      <c r="H185" s="290"/>
      <c r="I185" s="290"/>
      <c r="J185" s="290"/>
      <c r="K185" s="290"/>
      <c r="L185" s="290"/>
      <c r="M185" s="290"/>
      <c r="N185" s="290"/>
      <c r="O185" s="290"/>
      <c r="P185" s="292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  <c r="AA185" s="290"/>
      <c r="AB185" s="290"/>
      <c r="AC185" s="290"/>
      <c r="AD185" s="290"/>
      <c r="AE185" s="290"/>
      <c r="AF185" s="290"/>
      <c r="AG185" s="290"/>
      <c r="AH185" s="309"/>
    </row>
    <row r="186" spans="1:34" ht="13.5" thickBot="1" x14ac:dyDescent="0.25">
      <c r="A186" s="275"/>
      <c r="B186" s="302"/>
      <c r="C186" s="306"/>
      <c r="D186" s="306"/>
      <c r="E186" s="306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869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9"/>
    </row>
    <row r="187" spans="1:34" x14ac:dyDescent="0.2">
      <c r="A187" s="310"/>
      <c r="B187" s="215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308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309"/>
    </row>
    <row r="188" spans="1:34" x14ac:dyDescent="0.2">
      <c r="A188" s="312"/>
      <c r="B188" s="475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  <c r="O188" s="629"/>
      <c r="P188" s="629"/>
      <c r="Q188" s="311"/>
      <c r="R188" s="311"/>
      <c r="S188" s="311"/>
      <c r="T188" s="311"/>
      <c r="U188" s="311"/>
      <c r="V188" s="311"/>
      <c r="W188" s="311"/>
      <c r="X188" s="311"/>
      <c r="Y188" s="311"/>
      <c r="Z188" s="311"/>
      <c r="AA188" s="408"/>
      <c r="AB188" s="311"/>
      <c r="AC188" s="311"/>
      <c r="AD188" s="311"/>
      <c r="AE188" s="311"/>
      <c r="AF188" s="311"/>
      <c r="AG188" s="311"/>
      <c r="AH188" s="308"/>
    </row>
    <row r="189" spans="1:34" x14ac:dyDescent="0.2">
      <c r="A189" s="310"/>
      <c r="B189" s="215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311"/>
      <c r="P189" s="629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311"/>
      <c r="AB189" s="311"/>
      <c r="AC189" s="311"/>
      <c r="AD189" s="311"/>
      <c r="AE189" s="311"/>
      <c r="AF189" s="311"/>
      <c r="AG189" s="311"/>
      <c r="AH189" s="308"/>
    </row>
    <row r="190" spans="1:34" x14ac:dyDescent="0.2">
      <c r="A190" s="358" t="s">
        <v>415</v>
      </c>
      <c r="B190" s="359">
        <f>SUM(B191:B194)</f>
        <v>375000</v>
      </c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309"/>
      <c r="Q190" s="215"/>
      <c r="R190" s="215"/>
      <c r="S190" s="215"/>
      <c r="T190" s="456"/>
      <c r="U190" s="262"/>
      <c r="V190" s="215"/>
      <c r="W190" s="215"/>
      <c r="X190" s="215"/>
      <c r="Y190" s="215"/>
      <c r="Z190" s="215"/>
      <c r="AA190" s="408"/>
      <c r="AB190" s="215"/>
      <c r="AC190" s="215"/>
      <c r="AD190" s="215"/>
      <c r="AE190" s="215"/>
      <c r="AF190" s="215"/>
      <c r="AG190" s="215"/>
      <c r="AH190" s="215"/>
    </row>
    <row r="191" spans="1:34" x14ac:dyDescent="0.2">
      <c r="A191" s="327" t="s">
        <v>414</v>
      </c>
      <c r="B191" s="311">
        <v>25000</v>
      </c>
      <c r="C191" s="215"/>
      <c r="D191" s="30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311"/>
      <c r="T191" s="320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27" t="s">
        <v>287</v>
      </c>
      <c r="B192" s="311">
        <v>200000</v>
      </c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10" t="s">
        <v>413</v>
      </c>
      <c r="B193" s="329">
        <v>75000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86"/>
      <c r="M193" s="215"/>
      <c r="N193" s="215"/>
      <c r="O193" s="215"/>
      <c r="P193" s="309"/>
      <c r="Q193" s="215"/>
      <c r="R193" s="215"/>
      <c r="S193" s="311"/>
      <c r="T193" s="320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310" t="s">
        <v>441</v>
      </c>
      <c r="B194" s="311">
        <v>75000</v>
      </c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309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ht="13.5" thickBot="1" x14ac:dyDescent="0.25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309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</row>
    <row r="197" spans="1:34" x14ac:dyDescent="0.2">
      <c r="A197" s="263"/>
      <c r="B197" s="264"/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860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15"/>
    </row>
    <row r="198" spans="1:34" x14ac:dyDescent="0.2">
      <c r="A198" s="265"/>
      <c r="B198" s="266" t="s">
        <v>37</v>
      </c>
      <c r="C198" s="266"/>
      <c r="D198" s="266"/>
      <c r="E198" s="267" t="s">
        <v>852</v>
      </c>
      <c r="F198" s="268" t="s">
        <v>96</v>
      </c>
      <c r="G198" s="269"/>
      <c r="H198" s="268"/>
      <c r="I198" s="268"/>
      <c r="J198" s="268"/>
      <c r="K198" s="268"/>
      <c r="L198" s="268"/>
      <c r="M198" s="268"/>
      <c r="N198" s="268"/>
      <c r="O198" s="268"/>
      <c r="P198" s="861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  <c r="AA198" s="268"/>
      <c r="AB198" s="268"/>
      <c r="AC198" s="268"/>
      <c r="AD198" s="268"/>
      <c r="AE198" s="268"/>
      <c r="AF198" s="268"/>
      <c r="AG198" s="268"/>
      <c r="AH198" s="215"/>
    </row>
    <row r="199" spans="1:34" x14ac:dyDescent="0.2">
      <c r="A199" s="265"/>
      <c r="B199" s="266"/>
      <c r="C199" s="266"/>
      <c r="D199" s="268"/>
      <c r="E199" s="266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79"/>
      <c r="Q199" s="266"/>
      <c r="R199" s="266"/>
      <c r="S199" s="266"/>
      <c r="T199" s="266"/>
      <c r="U199" s="266"/>
      <c r="V199" s="266"/>
      <c r="W199" s="266"/>
      <c r="X199" s="266"/>
      <c r="Y199" s="266"/>
      <c r="Z199" s="266"/>
      <c r="AA199" s="266"/>
      <c r="AB199" s="266"/>
      <c r="AC199" s="266"/>
      <c r="AD199" s="266"/>
      <c r="AE199" s="266"/>
      <c r="AF199" s="266"/>
      <c r="AG199" s="266"/>
      <c r="AH199" s="215"/>
    </row>
    <row r="200" spans="1:34" x14ac:dyDescent="0.2">
      <c r="A200" s="265"/>
      <c r="B200" s="266"/>
      <c r="C200" s="268"/>
      <c r="D200" s="268">
        <v>42332</v>
      </c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x14ac:dyDescent="0.2">
      <c r="A201" s="265"/>
      <c r="B201" s="266"/>
      <c r="C201" s="268"/>
      <c r="D201" s="268"/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ht="13.5" thickBot="1" x14ac:dyDescent="0.25">
      <c r="A202" s="265"/>
      <c r="B202" s="266"/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79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15"/>
    </row>
    <row r="203" spans="1:34" ht="13.5" thickBot="1" x14ac:dyDescent="0.25">
      <c r="A203" s="265"/>
      <c r="B203" s="266"/>
      <c r="C203" s="270"/>
      <c r="D203" s="271" t="s">
        <v>16</v>
      </c>
      <c r="E203" s="271"/>
      <c r="F203" s="271"/>
      <c r="G203" s="271"/>
      <c r="H203" s="271"/>
      <c r="I203" s="271"/>
      <c r="J203" s="271"/>
      <c r="K203" s="271"/>
      <c r="L203" s="271"/>
      <c r="M203" s="271"/>
      <c r="N203" s="271"/>
      <c r="O203" s="271"/>
      <c r="P203" s="862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  <c r="AA203" s="271"/>
      <c r="AB203" s="271"/>
      <c r="AC203" s="271"/>
      <c r="AD203" s="271"/>
      <c r="AE203" s="271"/>
      <c r="AF203" s="271"/>
      <c r="AG203" s="271"/>
      <c r="AH203" s="215"/>
    </row>
    <row r="204" spans="1:34" ht="13.5" thickBot="1" x14ac:dyDescent="0.25">
      <c r="A204" s="265"/>
      <c r="B204" s="266"/>
      <c r="C204" s="272" t="s">
        <v>452</v>
      </c>
      <c r="D204" s="272" t="s">
        <v>453</v>
      </c>
      <c r="E204" s="272" t="s">
        <v>434</v>
      </c>
      <c r="F204" s="272" t="s">
        <v>390</v>
      </c>
      <c r="G204" s="272" t="s">
        <v>454</v>
      </c>
      <c r="H204" s="272" t="s">
        <v>455</v>
      </c>
      <c r="I204" s="272" t="s">
        <v>456</v>
      </c>
      <c r="J204" s="272" t="s">
        <v>457</v>
      </c>
      <c r="K204" s="272" t="s">
        <v>458</v>
      </c>
      <c r="L204" s="272" t="s">
        <v>216</v>
      </c>
      <c r="M204" s="272" t="s">
        <v>459</v>
      </c>
      <c r="N204" s="272" t="s">
        <v>297</v>
      </c>
      <c r="O204" s="272" t="s">
        <v>211</v>
      </c>
      <c r="P204" s="863" t="s">
        <v>270</v>
      </c>
      <c r="Q204" s="272">
        <v>15</v>
      </c>
      <c r="R204" s="272">
        <v>16</v>
      </c>
      <c r="S204" s="272" t="s">
        <v>461</v>
      </c>
      <c r="T204" s="272" t="s">
        <v>442</v>
      </c>
      <c r="U204" s="272" t="s">
        <v>462</v>
      </c>
      <c r="V204" s="272" t="s">
        <v>470</v>
      </c>
      <c r="W204" s="272" t="s">
        <v>471</v>
      </c>
      <c r="X204" s="272" t="s">
        <v>472</v>
      </c>
      <c r="Y204" s="272" t="s">
        <v>463</v>
      </c>
      <c r="Z204" s="272" t="s">
        <v>465</v>
      </c>
      <c r="AA204" s="272" t="s">
        <v>466</v>
      </c>
      <c r="AB204" s="272" t="s">
        <v>435</v>
      </c>
      <c r="AC204" s="272" t="s">
        <v>467</v>
      </c>
      <c r="AD204" s="272" t="s">
        <v>464</v>
      </c>
      <c r="AE204" s="272" t="s">
        <v>429</v>
      </c>
      <c r="AF204" s="272" t="s">
        <v>149</v>
      </c>
      <c r="AG204" s="272" t="s">
        <v>210</v>
      </c>
      <c r="AH204" s="215"/>
    </row>
    <row r="205" spans="1:34" x14ac:dyDescent="0.2">
      <c r="A205" s="263"/>
      <c r="B205" s="273"/>
      <c r="C205" s="266"/>
      <c r="D205" s="266"/>
      <c r="E205" s="266"/>
      <c r="F205" s="266"/>
      <c r="G205" s="266"/>
      <c r="H205" s="266"/>
      <c r="I205" s="266"/>
      <c r="J205" s="266"/>
      <c r="K205" s="266"/>
      <c r="L205" s="266"/>
      <c r="M205" s="266"/>
      <c r="N205" s="266"/>
      <c r="O205" s="266"/>
      <c r="P205" s="279"/>
      <c r="Q205" s="266"/>
      <c r="R205" s="266"/>
      <c r="S205" s="266"/>
      <c r="T205" s="266"/>
      <c r="U205" s="266"/>
      <c r="V205" s="266"/>
      <c r="W205" s="266"/>
      <c r="X205" s="266"/>
      <c r="Y205" s="266"/>
      <c r="Z205" s="266"/>
      <c r="AA205" s="266"/>
      <c r="AB205" s="266"/>
      <c r="AC205" s="266"/>
      <c r="AD205" s="266"/>
      <c r="AE205" s="266"/>
      <c r="AF205" s="266"/>
      <c r="AG205" s="266"/>
      <c r="AH205" s="215"/>
    </row>
    <row r="206" spans="1:34" x14ac:dyDescent="0.2">
      <c r="A206" s="265" t="s">
        <v>0</v>
      </c>
      <c r="B206" s="274">
        <v>-29289.460999999999</v>
      </c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ht="13.5" thickBot="1" x14ac:dyDescent="0.25">
      <c r="A207" s="275"/>
      <c r="B207" s="27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x14ac:dyDescent="0.2">
      <c r="A208" s="263"/>
      <c r="B208" s="278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5" t="s">
        <v>1</v>
      </c>
      <c r="B209" s="274">
        <f>B210+B211+B212</f>
        <v>0</v>
      </c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38</v>
      </c>
      <c r="B210" s="274">
        <f>C258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39</v>
      </c>
      <c r="B211" s="274">
        <f>C280</f>
        <v>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x14ac:dyDescent="0.2">
      <c r="A212" s="265" t="s">
        <v>3</v>
      </c>
      <c r="B212" s="274"/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ht="13.5" thickBot="1" x14ac:dyDescent="0.25">
      <c r="A213" s="275"/>
      <c r="B213" s="276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x14ac:dyDescent="0.2">
      <c r="A214" s="263"/>
      <c r="B214" s="278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x14ac:dyDescent="0.2">
      <c r="A215" s="265" t="s">
        <v>4</v>
      </c>
      <c r="B215" s="274">
        <f>B206-B209</f>
        <v>-29289.460999999999</v>
      </c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ht="13.5" thickBot="1" x14ac:dyDescent="0.25">
      <c r="A216" s="275"/>
      <c r="B216" s="276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x14ac:dyDescent="0.2">
      <c r="A217" s="263"/>
      <c r="B217" s="278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x14ac:dyDescent="0.2">
      <c r="A218" s="265" t="s">
        <v>17</v>
      </c>
      <c r="B218" s="274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ht="13.5" thickBot="1" x14ac:dyDescent="0.25">
      <c r="A219" s="275"/>
      <c r="B219" s="27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330"/>
      <c r="Y219" s="266"/>
      <c r="Z219" s="266"/>
      <c r="AA219" s="266"/>
      <c r="AB219" s="266"/>
      <c r="AC219" s="266"/>
      <c r="AD219" s="266"/>
      <c r="AE219" s="266"/>
      <c r="AF219" s="266"/>
      <c r="AG219" s="266"/>
      <c r="AH219" s="215"/>
    </row>
    <row r="220" spans="1:34" x14ac:dyDescent="0.2">
      <c r="A220" s="263"/>
      <c r="B220" s="278"/>
      <c r="C220" s="281"/>
      <c r="D220" s="269"/>
      <c r="E220" s="266"/>
      <c r="F220" s="266"/>
      <c r="G220" s="269"/>
      <c r="H220" s="269"/>
      <c r="I220" s="266"/>
      <c r="J220" s="269"/>
      <c r="K220" s="266"/>
      <c r="L220" s="266"/>
      <c r="M220" s="266"/>
      <c r="N220" s="266"/>
      <c r="O220" s="266"/>
      <c r="P220" s="279"/>
      <c r="Q220" s="281"/>
      <c r="R220" s="266"/>
      <c r="S220" s="266"/>
      <c r="T220" s="266"/>
      <c r="U220" s="266"/>
      <c r="V220" s="266"/>
      <c r="W220" s="266"/>
      <c r="X220" s="266"/>
      <c r="Y220" s="266"/>
      <c r="Z220" s="266"/>
      <c r="AA220" s="266"/>
      <c r="AB220" s="266"/>
      <c r="AC220" s="810"/>
      <c r="AD220" s="802"/>
      <c r="AE220" s="269"/>
      <c r="AF220" s="267"/>
      <c r="AG220" s="269" t="s">
        <v>1044</v>
      </c>
      <c r="AH220" s="215"/>
    </row>
    <row r="221" spans="1:34" x14ac:dyDescent="0.2">
      <c r="A221" s="265" t="s">
        <v>5</v>
      </c>
      <c r="B221" s="274">
        <f>B215-B218</f>
        <v>-29289.460999999999</v>
      </c>
      <c r="C221" s="281"/>
      <c r="D221" s="269"/>
      <c r="E221" s="934"/>
      <c r="G221" s="269"/>
      <c r="H221" s="269"/>
      <c r="I221" s="269"/>
      <c r="J221" s="269"/>
      <c r="K221" s="281"/>
      <c r="L221" s="269"/>
      <c r="M221" s="269"/>
      <c r="N221" s="281"/>
      <c r="O221" s="269"/>
      <c r="P221" s="279"/>
      <c r="Q221" s="281" t="s">
        <v>142</v>
      </c>
      <c r="R221" s="266"/>
      <c r="S221" s="269"/>
      <c r="T221" s="269"/>
      <c r="U221" s="269"/>
      <c r="V221" s="269"/>
      <c r="W221" s="266"/>
      <c r="X221" s="710"/>
      <c r="Y221" s="269"/>
      <c r="Z221" s="266"/>
      <c r="AA221" s="269"/>
      <c r="AB221" s="269"/>
      <c r="AC221" s="810"/>
      <c r="AD221" s="802"/>
      <c r="AE221" s="269"/>
      <c r="AF221" s="269"/>
      <c r="AG221" s="269"/>
      <c r="AH221" s="215"/>
    </row>
    <row r="222" spans="1:34" ht="13.5" thickBot="1" x14ac:dyDescent="0.25">
      <c r="A222" s="275"/>
      <c r="B222" s="276"/>
      <c r="D222" s="266"/>
      <c r="E222" s="266"/>
      <c r="F222" s="266"/>
      <c r="G222" s="266"/>
      <c r="H222" s="266"/>
      <c r="I222" s="266"/>
      <c r="J222" s="269"/>
      <c r="K222" s="266"/>
      <c r="L222" s="266"/>
      <c r="M222" s="266"/>
      <c r="N222" s="266"/>
      <c r="O222" s="266"/>
      <c r="P222" s="279"/>
      <c r="Q222" s="266"/>
      <c r="R222" s="266"/>
      <c r="S222" s="266"/>
      <c r="T222" s="266"/>
      <c r="U222" s="269"/>
      <c r="V222" s="266"/>
      <c r="W222" s="266"/>
      <c r="X222" s="266"/>
      <c r="Y222" s="266"/>
      <c r="Z222" s="266"/>
      <c r="AA222" s="266"/>
      <c r="AB222" s="266"/>
      <c r="AC222" s="266"/>
      <c r="AD222" s="266"/>
      <c r="AE222" s="266"/>
      <c r="AF222" s="266"/>
      <c r="AG222" s="266"/>
      <c r="AH222" s="215"/>
    </row>
    <row r="223" spans="1:34" x14ac:dyDescent="0.2">
      <c r="A223" s="282"/>
      <c r="B223" s="266"/>
      <c r="C223" s="283"/>
      <c r="D223" s="285"/>
      <c r="E223" s="284"/>
      <c r="F223" s="284"/>
      <c r="G223" s="284"/>
      <c r="H223" s="284"/>
      <c r="I223" s="284"/>
      <c r="J223" s="284"/>
      <c r="K223" s="284"/>
      <c r="L223" s="284"/>
      <c r="M223" s="284"/>
      <c r="N223" s="284"/>
      <c r="O223" s="284"/>
      <c r="P223" s="86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  <c r="AA223" s="284"/>
      <c r="AB223" s="284"/>
      <c r="AC223" s="284"/>
      <c r="AD223" s="284"/>
      <c r="AE223" s="284"/>
      <c r="AF223" s="284"/>
      <c r="AG223" s="284"/>
      <c r="AH223" s="215"/>
    </row>
    <row r="224" spans="1:34" ht="13.5" thickBot="1" x14ac:dyDescent="0.25">
      <c r="A224" s="287" t="s">
        <v>7</v>
      </c>
      <c r="B224" s="266"/>
      <c r="C224" s="288">
        <f>C225+C226+C227+C229+C228</f>
        <v>0</v>
      </c>
      <c r="D224" s="288">
        <f>D225+D226+D227+D229+D228</f>
        <v>0</v>
      </c>
      <c r="E224" s="288">
        <f>E225+E226+E227+E229+E228</f>
        <v>0</v>
      </c>
      <c r="F224" s="288">
        <f>F225+F226+F227+F229+F228</f>
        <v>0</v>
      </c>
      <c r="G224" s="288">
        <f>G225+G226+G227+G229+G228</f>
        <v>0</v>
      </c>
      <c r="H224" s="288">
        <f t="shared" ref="H224:AG224" si="23">H225+H226+H227+H229+H228</f>
        <v>0</v>
      </c>
      <c r="I224" s="288">
        <f t="shared" si="23"/>
        <v>0</v>
      </c>
      <c r="J224" s="288">
        <f t="shared" si="23"/>
        <v>0</v>
      </c>
      <c r="K224" s="288">
        <f t="shared" si="23"/>
        <v>0</v>
      </c>
      <c r="L224" s="288">
        <f t="shared" si="23"/>
        <v>0</v>
      </c>
      <c r="M224" s="288">
        <f t="shared" si="23"/>
        <v>0</v>
      </c>
      <c r="N224" s="288">
        <f t="shared" si="23"/>
        <v>0</v>
      </c>
      <c r="O224" s="288">
        <f t="shared" si="23"/>
        <v>0</v>
      </c>
      <c r="P224" s="865">
        <f t="shared" si="23"/>
        <v>0</v>
      </c>
      <c r="Q224" s="288">
        <f t="shared" si="23"/>
        <v>42498</v>
      </c>
      <c r="R224" s="288">
        <f t="shared" si="23"/>
        <v>0</v>
      </c>
      <c r="S224" s="288">
        <f t="shared" si="23"/>
        <v>0</v>
      </c>
      <c r="T224" s="288">
        <f t="shared" si="23"/>
        <v>0</v>
      </c>
      <c r="U224" s="288">
        <f t="shared" si="23"/>
        <v>0</v>
      </c>
      <c r="V224" s="288">
        <f t="shared" si="23"/>
        <v>0</v>
      </c>
      <c r="W224" s="288">
        <f t="shared" si="23"/>
        <v>0</v>
      </c>
      <c r="X224" s="288">
        <f t="shared" si="23"/>
        <v>0</v>
      </c>
      <c r="Y224" s="288">
        <f t="shared" si="23"/>
        <v>0</v>
      </c>
      <c r="Z224" s="288">
        <f t="shared" si="23"/>
        <v>0</v>
      </c>
      <c r="AA224" s="288">
        <f t="shared" si="23"/>
        <v>0</v>
      </c>
      <c r="AB224" s="288">
        <f t="shared" si="23"/>
        <v>0</v>
      </c>
      <c r="AC224" s="288">
        <f t="shared" si="23"/>
        <v>0</v>
      </c>
      <c r="AD224" s="288">
        <f>AD225+AD226+AD227+AD229+AD228</f>
        <v>0</v>
      </c>
      <c r="AE224" s="288">
        <f t="shared" si="23"/>
        <v>0</v>
      </c>
      <c r="AF224" s="288">
        <f t="shared" si="23"/>
        <v>0</v>
      </c>
      <c r="AG224" s="288">
        <f t="shared" si="23"/>
        <v>0</v>
      </c>
      <c r="AH224" s="286">
        <f>SUM(C224:AG224)</f>
        <v>42498</v>
      </c>
    </row>
    <row r="225" spans="1:34" x14ac:dyDescent="0.2">
      <c r="A225" s="287" t="s">
        <v>8</v>
      </c>
      <c r="B225" s="331"/>
      <c r="C225" s="291"/>
      <c r="D225" s="291"/>
      <c r="E225" s="290"/>
      <c r="F225" s="290"/>
      <c r="G225" s="290"/>
      <c r="H225" s="290"/>
      <c r="I225" s="290"/>
      <c r="J225" s="290"/>
      <c r="K225" s="290"/>
      <c r="L225" s="290"/>
      <c r="M225" s="290"/>
      <c r="N225" s="290"/>
      <c r="O225" s="290"/>
      <c r="P225" s="292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  <c r="AA225" s="290"/>
      <c r="AB225" s="290"/>
      <c r="AC225" s="290"/>
      <c r="AD225" s="290"/>
      <c r="AE225" s="290"/>
      <c r="AF225" s="290"/>
      <c r="AG225" s="290"/>
      <c r="AH225" s="286">
        <f>SUM(C225:AG225)</f>
        <v>0</v>
      </c>
    </row>
    <row r="226" spans="1:34" x14ac:dyDescent="0.2">
      <c r="A226" s="287" t="s">
        <v>9</v>
      </c>
      <c r="B226" s="331"/>
      <c r="C226" s="291"/>
      <c r="D226" s="291"/>
      <c r="E226" s="290"/>
      <c r="F226" s="290"/>
      <c r="G226" s="290"/>
      <c r="H226" s="290"/>
      <c r="I226" s="290"/>
      <c r="J226" s="290"/>
      <c r="K226" s="290"/>
      <c r="L226" s="290"/>
      <c r="M226" s="295"/>
      <c r="N226" s="290"/>
      <c r="O226" s="290"/>
      <c r="P226" s="292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86">
        <f>SUM(C226:AG226)</f>
        <v>0</v>
      </c>
    </row>
    <row r="227" spans="1:34" s="360" customFormat="1" x14ac:dyDescent="0.2">
      <c r="A227" s="662" t="s">
        <v>10</v>
      </c>
      <c r="B227" s="669"/>
      <c r="C227" s="565"/>
      <c r="D227" s="565"/>
      <c r="E227" s="560"/>
      <c r="F227" s="560"/>
      <c r="G227" s="560"/>
      <c r="H227" s="560"/>
      <c r="I227" s="560"/>
      <c r="J227" s="560"/>
      <c r="K227" s="560"/>
      <c r="L227" s="380"/>
      <c r="M227" s="560"/>
      <c r="N227" s="560"/>
      <c r="O227" s="560"/>
      <c r="P227" s="560"/>
      <c r="Q227" s="560">
        <v>42498</v>
      </c>
      <c r="R227" s="560"/>
      <c r="S227" s="560"/>
      <c r="T227" s="560"/>
      <c r="U227" s="560"/>
      <c r="V227" s="560"/>
      <c r="W227" s="560"/>
      <c r="X227" s="708"/>
      <c r="Y227" s="560"/>
      <c r="Z227" s="560"/>
      <c r="AA227" s="560"/>
      <c r="AB227" s="560"/>
      <c r="AC227" s="811"/>
      <c r="AD227" s="803"/>
      <c r="AE227" s="560"/>
      <c r="AF227" s="380"/>
      <c r="AG227" s="560"/>
      <c r="AH227" s="379">
        <f>SUM(C227:AG227)</f>
        <v>42498</v>
      </c>
    </row>
    <row r="228" spans="1:34" s="360" customFormat="1" x14ac:dyDescent="0.2">
      <c r="A228" s="662" t="s">
        <v>356</v>
      </c>
      <c r="B228" s="669"/>
      <c r="C228" s="565"/>
      <c r="D228" s="565"/>
      <c r="E228" s="565"/>
      <c r="F228" s="560"/>
      <c r="G228" s="560"/>
      <c r="H228" s="560"/>
      <c r="I228" s="560"/>
      <c r="J228" s="560"/>
      <c r="K228" s="560"/>
      <c r="L228" s="560"/>
      <c r="M228" s="560"/>
      <c r="N228" s="560"/>
      <c r="O228" s="560"/>
      <c r="P228" s="560"/>
      <c r="Q228" s="560"/>
      <c r="R228" s="560"/>
      <c r="S228" s="560"/>
      <c r="T228" s="560"/>
      <c r="U228" s="560"/>
      <c r="V228" s="560"/>
      <c r="W228" s="560"/>
      <c r="X228" s="560"/>
      <c r="Y228" s="560"/>
      <c r="Z228" s="560"/>
      <c r="AA228" s="560"/>
      <c r="AB228" s="560"/>
      <c r="AC228" s="560"/>
      <c r="AD228" s="560"/>
      <c r="AE228" s="560"/>
      <c r="AF228" s="560"/>
      <c r="AG228" s="560"/>
      <c r="AH228" s="379">
        <f>SUM(C228:AG228)</f>
        <v>0</v>
      </c>
    </row>
    <row r="229" spans="1:34" x14ac:dyDescent="0.2">
      <c r="A229" s="287" t="s">
        <v>11</v>
      </c>
      <c r="B229" s="266"/>
      <c r="C229" s="291"/>
      <c r="D229" s="289"/>
      <c r="E229" s="289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15"/>
    </row>
    <row r="230" spans="1:34" ht="13.5" thickBot="1" x14ac:dyDescent="0.25">
      <c r="A230" s="296"/>
      <c r="B230" s="266"/>
      <c r="C230" s="291"/>
      <c r="D230" s="291"/>
      <c r="E230" s="291"/>
      <c r="F230" s="290"/>
      <c r="G230" s="290"/>
      <c r="H230" s="290"/>
      <c r="I230" s="290"/>
      <c r="J230" s="290"/>
      <c r="K230" s="290"/>
      <c r="L230" s="290"/>
      <c r="M230" s="290"/>
      <c r="N230" s="290"/>
      <c r="O230" s="290"/>
      <c r="P230" s="292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15"/>
    </row>
    <row r="231" spans="1:34" x14ac:dyDescent="0.2">
      <c r="A231" s="282"/>
      <c r="B231" s="266"/>
      <c r="C231" s="297"/>
      <c r="D231" s="298"/>
      <c r="E231" s="298"/>
      <c r="F231" s="299"/>
      <c r="G231" s="299"/>
      <c r="H231" s="299"/>
      <c r="I231" s="299"/>
      <c r="J231" s="299"/>
      <c r="K231" s="299"/>
      <c r="L231" s="299"/>
      <c r="M231" s="299"/>
      <c r="N231" s="299"/>
      <c r="O231" s="299"/>
      <c r="P231" s="866"/>
      <c r="Q231" s="299"/>
      <c r="R231" s="299"/>
      <c r="S231" s="299"/>
      <c r="T231" s="299"/>
      <c r="U231" s="299"/>
      <c r="V231" s="299"/>
      <c r="W231" s="299"/>
      <c r="X231" s="299"/>
      <c r="Y231" s="299"/>
      <c r="Z231" s="299"/>
      <c r="AA231" s="299"/>
      <c r="AB231" s="299"/>
      <c r="AC231" s="299"/>
      <c r="AD231" s="299"/>
      <c r="AE231" s="299"/>
      <c r="AF231" s="299"/>
      <c r="AG231" s="299"/>
      <c r="AH231" s="215"/>
    </row>
    <row r="232" spans="1:34" ht="13.5" thickBot="1" x14ac:dyDescent="0.25">
      <c r="A232" s="287" t="s">
        <v>12</v>
      </c>
      <c r="B232" s="266"/>
      <c r="C232" s="288">
        <f>C233</f>
        <v>0</v>
      </c>
      <c r="D232" s="288">
        <f t="shared" ref="D232:AG232" si="24">D233</f>
        <v>0</v>
      </c>
      <c r="E232" s="288">
        <f t="shared" si="24"/>
        <v>0</v>
      </c>
      <c r="F232" s="288">
        <f t="shared" si="24"/>
        <v>0</v>
      </c>
      <c r="G232" s="288">
        <f t="shared" si="24"/>
        <v>0</v>
      </c>
      <c r="H232" s="288">
        <f t="shared" si="24"/>
        <v>0</v>
      </c>
      <c r="I232" s="288">
        <f t="shared" si="24"/>
        <v>0</v>
      </c>
      <c r="J232" s="288">
        <f t="shared" si="24"/>
        <v>0</v>
      </c>
      <c r="K232" s="288">
        <f t="shared" si="24"/>
        <v>0</v>
      </c>
      <c r="L232" s="288">
        <f t="shared" si="24"/>
        <v>0</v>
      </c>
      <c r="M232" s="288">
        <f t="shared" si="24"/>
        <v>0</v>
      </c>
      <c r="N232" s="288">
        <f t="shared" si="24"/>
        <v>0</v>
      </c>
      <c r="O232" s="288">
        <f t="shared" si="24"/>
        <v>0</v>
      </c>
      <c r="P232" s="865">
        <f t="shared" si="24"/>
        <v>0</v>
      </c>
      <c r="Q232" s="288">
        <f t="shared" si="24"/>
        <v>0</v>
      </c>
      <c r="R232" s="288">
        <f t="shared" si="24"/>
        <v>0</v>
      </c>
      <c r="S232" s="288">
        <f t="shared" si="24"/>
        <v>0</v>
      </c>
      <c r="T232" s="288">
        <f t="shared" si="24"/>
        <v>0</v>
      </c>
      <c r="U232" s="288">
        <f t="shared" si="24"/>
        <v>0</v>
      </c>
      <c r="V232" s="288">
        <f t="shared" si="24"/>
        <v>0</v>
      </c>
      <c r="W232" s="288">
        <f t="shared" si="24"/>
        <v>0</v>
      </c>
      <c r="X232" s="288">
        <f t="shared" si="24"/>
        <v>0</v>
      </c>
      <c r="Y232" s="288">
        <f t="shared" si="24"/>
        <v>0</v>
      </c>
      <c r="Z232" s="288">
        <f t="shared" si="24"/>
        <v>0</v>
      </c>
      <c r="AA232" s="288">
        <f t="shared" si="24"/>
        <v>0</v>
      </c>
      <c r="AB232" s="288">
        <f t="shared" si="24"/>
        <v>0</v>
      </c>
      <c r="AC232" s="288">
        <f t="shared" si="24"/>
        <v>0</v>
      </c>
      <c r="AD232" s="288">
        <f t="shared" si="24"/>
        <v>0</v>
      </c>
      <c r="AE232" s="288">
        <f t="shared" si="24"/>
        <v>0</v>
      </c>
      <c r="AF232" s="288">
        <f t="shared" si="24"/>
        <v>0</v>
      </c>
      <c r="AG232" s="288">
        <f t="shared" si="24"/>
        <v>0</v>
      </c>
      <c r="AH232" s="215"/>
    </row>
    <row r="233" spans="1:34" x14ac:dyDescent="0.2">
      <c r="A233" s="287" t="s">
        <v>8</v>
      </c>
      <c r="B233" s="266"/>
      <c r="C233" s="291"/>
      <c r="D233" s="291"/>
      <c r="E233" s="291"/>
      <c r="F233" s="290"/>
      <c r="G233" s="290"/>
      <c r="H233" s="290"/>
      <c r="I233" s="290"/>
      <c r="J233" s="290"/>
      <c r="K233" s="290"/>
      <c r="L233" s="290"/>
      <c r="M233" s="290"/>
      <c r="N233" s="290"/>
      <c r="O233" s="290"/>
      <c r="P233" s="292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  <c r="AA233" s="290"/>
      <c r="AB233" s="290"/>
      <c r="AC233" s="290"/>
      <c r="AD233" s="290"/>
      <c r="AE233" s="290"/>
      <c r="AF233" s="290"/>
      <c r="AG233" s="290"/>
      <c r="AH233" s="215"/>
    </row>
    <row r="234" spans="1:34" x14ac:dyDescent="0.2">
      <c r="A234" s="287" t="s">
        <v>775</v>
      </c>
      <c r="B234" s="266"/>
      <c r="C234" s="291"/>
      <c r="D234" s="291"/>
      <c r="E234" s="291"/>
      <c r="F234" s="290"/>
      <c r="G234" s="290">
        <v>1152</v>
      </c>
      <c r="H234" s="290"/>
      <c r="I234" s="290"/>
      <c r="J234" s="290">
        <v>4736</v>
      </c>
      <c r="K234" s="290"/>
      <c r="L234" s="290">
        <v>1442</v>
      </c>
      <c r="M234" s="290"/>
      <c r="N234" s="290">
        <v>1178</v>
      </c>
      <c r="O234" s="290"/>
      <c r="P234" s="292">
        <v>1691</v>
      </c>
      <c r="Q234" s="290">
        <v>15964</v>
      </c>
      <c r="R234" s="290"/>
      <c r="S234" s="290">
        <v>1491</v>
      </c>
      <c r="T234" s="290"/>
      <c r="U234" s="290"/>
      <c r="V234" s="290">
        <v>4441</v>
      </c>
      <c r="W234" s="290"/>
      <c r="X234" s="290"/>
      <c r="Y234" s="290">
        <v>3927</v>
      </c>
      <c r="Z234" s="290"/>
      <c r="AA234" s="290">
        <v>7980</v>
      </c>
      <c r="AB234" s="290">
        <v>1790</v>
      </c>
      <c r="AC234" s="290"/>
      <c r="AD234" s="290"/>
      <c r="AE234" s="290"/>
      <c r="AF234" s="290">
        <v>5490</v>
      </c>
      <c r="AG234" s="290"/>
      <c r="AH234" s="286">
        <f>SUM(C234:AG234)</f>
        <v>51282</v>
      </c>
    </row>
    <row r="235" spans="1:34" ht="13.5" thickBot="1" x14ac:dyDescent="0.25">
      <c r="A235" s="296"/>
      <c r="B235" s="266"/>
      <c r="C235" s="291"/>
      <c r="D235" s="291"/>
      <c r="E235" s="291"/>
      <c r="F235" s="290"/>
      <c r="G235" s="290"/>
      <c r="H235" s="290"/>
      <c r="I235" s="290"/>
      <c r="J235" s="290"/>
      <c r="K235" s="290"/>
      <c r="L235" s="290"/>
      <c r="M235" s="290"/>
      <c r="N235" s="290"/>
      <c r="O235" s="290"/>
      <c r="P235" s="292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15"/>
    </row>
    <row r="236" spans="1:34" x14ac:dyDescent="0.2">
      <c r="A236" s="282"/>
      <c r="B236" s="266"/>
      <c r="C236" s="297"/>
      <c r="D236" s="298"/>
      <c r="E236" s="298"/>
      <c r="F236" s="299"/>
      <c r="G236" s="299"/>
      <c r="H236" s="299"/>
      <c r="I236" s="299"/>
      <c r="J236" s="299"/>
      <c r="K236" s="299"/>
      <c r="L236" s="299"/>
      <c r="M236" s="299"/>
      <c r="N236" s="299"/>
      <c r="O236" s="299"/>
      <c r="P236" s="866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  <c r="AA236" s="299"/>
      <c r="AB236" s="299"/>
      <c r="AC236" s="299"/>
      <c r="AD236" s="299"/>
      <c r="AE236" s="299"/>
      <c r="AF236" s="299"/>
      <c r="AG236" s="299"/>
      <c r="AH236" s="215"/>
    </row>
    <row r="237" spans="1:34" x14ac:dyDescent="0.2">
      <c r="A237" s="287" t="s">
        <v>13</v>
      </c>
      <c r="B237" s="266"/>
      <c r="C237" s="300">
        <f>C232-C224</f>
        <v>0</v>
      </c>
      <c r="D237" s="300">
        <f>D232-D224</f>
        <v>0</v>
      </c>
      <c r="E237" s="300">
        <f>E232-E224</f>
        <v>0</v>
      </c>
      <c r="F237" s="300">
        <f>F232-F224</f>
        <v>0</v>
      </c>
      <c r="G237" s="300">
        <f>G232-G224</f>
        <v>0</v>
      </c>
      <c r="H237" s="300">
        <f t="shared" ref="H237:AG237" si="25">H232-H224</f>
        <v>0</v>
      </c>
      <c r="I237" s="300">
        <f t="shared" si="25"/>
        <v>0</v>
      </c>
      <c r="J237" s="300">
        <f t="shared" si="25"/>
        <v>0</v>
      </c>
      <c r="K237" s="300">
        <f t="shared" si="25"/>
        <v>0</v>
      </c>
      <c r="L237" s="300">
        <f t="shared" si="25"/>
        <v>0</v>
      </c>
      <c r="M237" s="300">
        <f t="shared" si="25"/>
        <v>0</v>
      </c>
      <c r="N237" s="300">
        <f t="shared" si="25"/>
        <v>0</v>
      </c>
      <c r="O237" s="300">
        <f t="shared" si="25"/>
        <v>0</v>
      </c>
      <c r="P237" s="867">
        <f t="shared" si="25"/>
        <v>0</v>
      </c>
      <c r="Q237" s="300">
        <f t="shared" si="25"/>
        <v>-42498</v>
      </c>
      <c r="R237" s="300">
        <f t="shared" si="25"/>
        <v>0</v>
      </c>
      <c r="S237" s="300">
        <f t="shared" si="25"/>
        <v>0</v>
      </c>
      <c r="T237" s="300">
        <f t="shared" si="25"/>
        <v>0</v>
      </c>
      <c r="U237" s="300">
        <f t="shared" si="25"/>
        <v>0</v>
      </c>
      <c r="V237" s="300">
        <f t="shared" si="25"/>
        <v>0</v>
      </c>
      <c r="W237" s="300">
        <f t="shared" si="25"/>
        <v>0</v>
      </c>
      <c r="X237" s="300">
        <f t="shared" si="25"/>
        <v>0</v>
      </c>
      <c r="Y237" s="300">
        <f t="shared" si="25"/>
        <v>0</v>
      </c>
      <c r="Z237" s="300">
        <f t="shared" si="25"/>
        <v>0</v>
      </c>
      <c r="AA237" s="300">
        <f t="shared" si="25"/>
        <v>0</v>
      </c>
      <c r="AB237" s="300">
        <f t="shared" si="25"/>
        <v>0</v>
      </c>
      <c r="AC237" s="300">
        <f t="shared" si="25"/>
        <v>0</v>
      </c>
      <c r="AD237" s="300">
        <f t="shared" si="25"/>
        <v>0</v>
      </c>
      <c r="AE237" s="300">
        <f t="shared" si="25"/>
        <v>0</v>
      </c>
      <c r="AF237" s="300">
        <f t="shared" si="25"/>
        <v>0</v>
      </c>
      <c r="AG237" s="300">
        <f t="shared" si="25"/>
        <v>0</v>
      </c>
      <c r="AH237" s="215"/>
    </row>
    <row r="238" spans="1:34" ht="13.5" thickBot="1" x14ac:dyDescent="0.25">
      <c r="A238" s="287"/>
      <c r="B238" s="266"/>
      <c r="C238" s="300"/>
      <c r="D238" s="291"/>
      <c r="E238" s="291"/>
      <c r="F238" s="290"/>
      <c r="G238" s="290"/>
      <c r="H238" s="290"/>
      <c r="I238" s="290"/>
      <c r="J238" s="290"/>
      <c r="K238" s="290"/>
      <c r="L238" s="290"/>
      <c r="M238" s="290"/>
      <c r="N238" s="290"/>
      <c r="O238" s="290"/>
      <c r="P238" s="292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15"/>
    </row>
    <row r="239" spans="1:34" x14ac:dyDescent="0.2">
      <c r="A239" s="263"/>
      <c r="B239" s="264"/>
      <c r="C239" s="301"/>
      <c r="D239" s="298"/>
      <c r="E239" s="298"/>
      <c r="F239" s="299"/>
      <c r="G239" s="299"/>
      <c r="H239" s="299"/>
      <c r="I239" s="299"/>
      <c r="J239" s="299"/>
      <c r="K239" s="299"/>
      <c r="L239" s="299"/>
      <c r="M239" s="299"/>
      <c r="N239" s="299"/>
      <c r="O239" s="299"/>
      <c r="P239" s="866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  <c r="AA239" s="299"/>
      <c r="AB239" s="299"/>
      <c r="AC239" s="299"/>
      <c r="AD239" s="299"/>
      <c r="AE239" s="299"/>
      <c r="AF239" s="299"/>
      <c r="AG239" s="299"/>
      <c r="AH239" s="215"/>
    </row>
    <row r="240" spans="1:34" x14ac:dyDescent="0.2">
      <c r="A240" s="265" t="s">
        <v>15</v>
      </c>
      <c r="B240" s="266"/>
      <c r="C240" s="291">
        <f>B221+C237</f>
        <v>-29289.460999999999</v>
      </c>
      <c r="D240" s="291">
        <f t="shared" ref="D240:AG240" si="26">C247+D237</f>
        <v>-29289.460999999999</v>
      </c>
      <c r="E240" s="291">
        <f t="shared" si="26"/>
        <v>-29289.460999999999</v>
      </c>
      <c r="F240" s="291">
        <f t="shared" si="26"/>
        <v>-29289.460999999999</v>
      </c>
      <c r="G240" s="291">
        <f t="shared" si="26"/>
        <v>-29289.460999999999</v>
      </c>
      <c r="H240" s="291">
        <f t="shared" si="26"/>
        <v>-29289.460999999999</v>
      </c>
      <c r="I240" s="291">
        <f t="shared" si="26"/>
        <v>-29289.460999999999</v>
      </c>
      <c r="J240" s="291">
        <f t="shared" si="26"/>
        <v>-29289.460999999999</v>
      </c>
      <c r="K240" s="291">
        <f t="shared" si="26"/>
        <v>-29289.460999999999</v>
      </c>
      <c r="L240" s="291">
        <f t="shared" si="26"/>
        <v>-29289.460999999999</v>
      </c>
      <c r="M240" s="291">
        <f t="shared" si="26"/>
        <v>-29289.460999999999</v>
      </c>
      <c r="N240" s="291">
        <f t="shared" si="26"/>
        <v>-29289.460999999999</v>
      </c>
      <c r="O240" s="291">
        <f t="shared" si="26"/>
        <v>-29289.460999999999</v>
      </c>
      <c r="P240" s="289">
        <f t="shared" si="26"/>
        <v>-29289.460999999999</v>
      </c>
      <c r="Q240" s="291">
        <f t="shared" si="26"/>
        <v>-71787.460999999996</v>
      </c>
      <c r="R240" s="291">
        <f t="shared" si="26"/>
        <v>-71787.460999999996</v>
      </c>
      <c r="S240" s="291">
        <f t="shared" si="26"/>
        <v>-71787.460999999996</v>
      </c>
      <c r="T240" s="291">
        <f t="shared" si="26"/>
        <v>-71787.460999999996</v>
      </c>
      <c r="U240" s="291">
        <f t="shared" si="26"/>
        <v>-71787.460999999996</v>
      </c>
      <c r="V240" s="291">
        <f t="shared" si="26"/>
        <v>-71787.460999999996</v>
      </c>
      <c r="W240" s="291">
        <f t="shared" si="26"/>
        <v>-71787.460999999996</v>
      </c>
      <c r="X240" s="291">
        <f t="shared" si="26"/>
        <v>-71787.460999999996</v>
      </c>
      <c r="Y240" s="291">
        <f t="shared" si="26"/>
        <v>-71787.460999999996</v>
      </c>
      <c r="Z240" s="291">
        <f t="shared" si="26"/>
        <v>-71787.460999999996</v>
      </c>
      <c r="AA240" s="291">
        <f t="shared" si="26"/>
        <v>-71787.460999999996</v>
      </c>
      <c r="AB240" s="291">
        <f t="shared" si="26"/>
        <v>-71787.460999999996</v>
      </c>
      <c r="AC240" s="291">
        <f t="shared" si="26"/>
        <v>-71787.460999999996</v>
      </c>
      <c r="AD240" s="291">
        <f t="shared" si="26"/>
        <v>-71787.460999999996</v>
      </c>
      <c r="AE240" s="291">
        <f t="shared" si="26"/>
        <v>-71787.460999999996</v>
      </c>
      <c r="AF240" s="291">
        <f t="shared" si="26"/>
        <v>-71787.460999999996</v>
      </c>
      <c r="AG240" s="291">
        <f t="shared" si="26"/>
        <v>-71787.460999999996</v>
      </c>
      <c r="AH240" s="215"/>
    </row>
    <row r="241" spans="1:34" ht="13.5" thickBot="1" x14ac:dyDescent="0.25">
      <c r="A241" s="275"/>
      <c r="B241" s="302"/>
      <c r="C241" s="303"/>
      <c r="D241" s="303"/>
      <c r="E241" s="303"/>
      <c r="F241" s="304"/>
      <c r="G241" s="304"/>
      <c r="H241" s="304"/>
      <c r="I241" s="304"/>
      <c r="J241" s="304"/>
      <c r="K241" s="304"/>
      <c r="L241" s="304"/>
      <c r="M241" s="304"/>
      <c r="N241" s="304"/>
      <c r="O241" s="304"/>
      <c r="P241" s="868"/>
      <c r="Q241" s="304"/>
      <c r="R241" s="304"/>
      <c r="S241" s="304"/>
      <c r="T241" s="304"/>
      <c r="U241" s="304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04"/>
      <c r="AF241" s="304"/>
      <c r="AG241" s="304"/>
      <c r="AH241" s="215"/>
    </row>
    <row r="242" spans="1:34" x14ac:dyDescent="0.2">
      <c r="A242" s="263"/>
      <c r="B242" s="264"/>
      <c r="C242" s="298"/>
      <c r="D242" s="298"/>
      <c r="E242" s="298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866"/>
      <c r="Q242" s="299"/>
      <c r="R242" s="299"/>
      <c r="S242" s="299"/>
      <c r="T242" s="299"/>
      <c r="U242" s="299"/>
      <c r="V242" s="299"/>
      <c r="W242" s="299"/>
      <c r="X242" s="299"/>
      <c r="Y242" s="299"/>
      <c r="Z242" s="299"/>
      <c r="AA242" s="299"/>
      <c r="AB242" s="299"/>
      <c r="AC242" s="299"/>
      <c r="AD242" s="299"/>
      <c r="AE242" s="299"/>
      <c r="AF242" s="299"/>
      <c r="AG242" s="299"/>
      <c r="AH242" s="215"/>
    </row>
    <row r="243" spans="1:34" x14ac:dyDescent="0.2">
      <c r="A243" s="265" t="s">
        <v>82</v>
      </c>
      <c r="B243" s="266"/>
      <c r="C243" s="291">
        <f t="shared" ref="C243:AG244" si="27">C251</f>
        <v>0</v>
      </c>
      <c r="D243" s="291">
        <f t="shared" si="27"/>
        <v>0</v>
      </c>
      <c r="E243" s="291">
        <f t="shared" si="27"/>
        <v>0</v>
      </c>
      <c r="F243" s="291">
        <f t="shared" si="27"/>
        <v>0</v>
      </c>
      <c r="G243" s="291">
        <f t="shared" si="27"/>
        <v>0</v>
      </c>
      <c r="H243" s="291">
        <f t="shared" si="27"/>
        <v>0</v>
      </c>
      <c r="I243" s="291">
        <f t="shared" si="27"/>
        <v>0</v>
      </c>
      <c r="J243" s="291">
        <f t="shared" si="27"/>
        <v>0</v>
      </c>
      <c r="K243" s="291">
        <f t="shared" si="27"/>
        <v>0</v>
      </c>
      <c r="L243" s="291">
        <f t="shared" si="27"/>
        <v>0</v>
      </c>
      <c r="M243" s="291">
        <f t="shared" si="27"/>
        <v>0</v>
      </c>
      <c r="N243" s="291">
        <f t="shared" si="27"/>
        <v>0</v>
      </c>
      <c r="O243" s="291">
        <f t="shared" si="27"/>
        <v>0</v>
      </c>
      <c r="P243" s="289">
        <f t="shared" si="27"/>
        <v>0</v>
      </c>
      <c r="Q243" s="291">
        <f t="shared" si="27"/>
        <v>0</v>
      </c>
      <c r="R243" s="291">
        <f t="shared" si="27"/>
        <v>0</v>
      </c>
      <c r="S243" s="291">
        <f t="shared" si="27"/>
        <v>0</v>
      </c>
      <c r="T243" s="291">
        <f t="shared" si="27"/>
        <v>0</v>
      </c>
      <c r="U243" s="291">
        <f t="shared" si="27"/>
        <v>0</v>
      </c>
      <c r="V243" s="291">
        <f t="shared" si="27"/>
        <v>0</v>
      </c>
      <c r="W243" s="291">
        <f t="shared" si="27"/>
        <v>0</v>
      </c>
      <c r="X243" s="291">
        <f t="shared" si="27"/>
        <v>0</v>
      </c>
      <c r="Y243" s="291">
        <f t="shared" si="27"/>
        <v>0</v>
      </c>
      <c r="Z243" s="291">
        <f t="shared" si="27"/>
        <v>0</v>
      </c>
      <c r="AA243" s="291">
        <f t="shared" si="27"/>
        <v>0</v>
      </c>
      <c r="AB243" s="291">
        <f t="shared" si="27"/>
        <v>0</v>
      </c>
      <c r="AC243" s="291">
        <f t="shared" si="27"/>
        <v>0</v>
      </c>
      <c r="AD243" s="291">
        <f t="shared" si="27"/>
        <v>0</v>
      </c>
      <c r="AE243" s="291">
        <f t="shared" si="27"/>
        <v>0</v>
      </c>
      <c r="AF243" s="291">
        <f t="shared" si="27"/>
        <v>0</v>
      </c>
      <c r="AG243" s="291">
        <f t="shared" si="27"/>
        <v>0</v>
      </c>
      <c r="AH243" s="215"/>
    </row>
    <row r="244" spans="1:34" x14ac:dyDescent="0.2">
      <c r="A244" s="265" t="s">
        <v>83</v>
      </c>
      <c r="B244" s="266"/>
      <c r="C244" s="289">
        <f t="shared" si="27"/>
        <v>0</v>
      </c>
      <c r="D244" s="289">
        <f t="shared" si="27"/>
        <v>0</v>
      </c>
      <c r="E244" s="289">
        <f t="shared" si="27"/>
        <v>0</v>
      </c>
      <c r="F244" s="289">
        <f t="shared" si="27"/>
        <v>0</v>
      </c>
      <c r="G244" s="289">
        <f t="shared" si="27"/>
        <v>0</v>
      </c>
      <c r="H244" s="289">
        <f t="shared" si="27"/>
        <v>0</v>
      </c>
      <c r="I244" s="289">
        <f t="shared" si="27"/>
        <v>0</v>
      </c>
      <c r="J244" s="289">
        <f t="shared" si="27"/>
        <v>0</v>
      </c>
      <c r="K244" s="289">
        <f t="shared" si="27"/>
        <v>0</v>
      </c>
      <c r="L244" s="289">
        <f t="shared" si="27"/>
        <v>0</v>
      </c>
      <c r="M244" s="289">
        <f t="shared" si="27"/>
        <v>0</v>
      </c>
      <c r="N244" s="289">
        <f t="shared" si="27"/>
        <v>0</v>
      </c>
      <c r="O244" s="289">
        <f t="shared" si="27"/>
        <v>0</v>
      </c>
      <c r="P244" s="289">
        <f t="shared" si="27"/>
        <v>0</v>
      </c>
      <c r="Q244" s="289">
        <f t="shared" si="27"/>
        <v>0</v>
      </c>
      <c r="R244" s="289">
        <f t="shared" si="27"/>
        <v>0</v>
      </c>
      <c r="S244" s="289">
        <f t="shared" si="27"/>
        <v>0</v>
      </c>
      <c r="T244" s="289">
        <f t="shared" si="27"/>
        <v>0</v>
      </c>
      <c r="U244" s="289">
        <f t="shared" si="27"/>
        <v>0</v>
      </c>
      <c r="V244" s="289">
        <f t="shared" si="27"/>
        <v>0</v>
      </c>
      <c r="W244" s="289">
        <f t="shared" si="27"/>
        <v>0</v>
      </c>
      <c r="X244" s="289">
        <f t="shared" si="27"/>
        <v>0</v>
      </c>
      <c r="Y244" s="289">
        <f t="shared" si="27"/>
        <v>0</v>
      </c>
      <c r="Z244" s="289">
        <f t="shared" si="27"/>
        <v>0</v>
      </c>
      <c r="AA244" s="289">
        <f t="shared" si="27"/>
        <v>0</v>
      </c>
      <c r="AB244" s="289">
        <f t="shared" si="27"/>
        <v>0</v>
      </c>
      <c r="AC244" s="289">
        <f t="shared" si="27"/>
        <v>0</v>
      </c>
      <c r="AD244" s="289">
        <f t="shared" si="27"/>
        <v>0</v>
      </c>
      <c r="AE244" s="289">
        <f t="shared" si="27"/>
        <v>0</v>
      </c>
      <c r="AF244" s="289">
        <f t="shared" si="27"/>
        <v>0</v>
      </c>
      <c r="AG244" s="289">
        <f t="shared" si="27"/>
        <v>0</v>
      </c>
      <c r="AH244" s="215"/>
    </row>
    <row r="245" spans="1:34" ht="13.5" thickBot="1" x14ac:dyDescent="0.25">
      <c r="A245" s="275"/>
      <c r="B245" s="302"/>
      <c r="C245" s="303"/>
      <c r="D245" s="303"/>
      <c r="E245" s="303"/>
      <c r="F245" s="304"/>
      <c r="G245" s="304"/>
      <c r="H245" s="304"/>
      <c r="I245" s="304"/>
      <c r="J245" s="304"/>
      <c r="K245" s="304"/>
      <c r="L245" s="304"/>
      <c r="M245" s="304"/>
      <c r="N245" s="304"/>
      <c r="O245" s="304"/>
      <c r="P245" s="868"/>
      <c r="Q245" s="304"/>
      <c r="R245" s="304"/>
      <c r="S245" s="304"/>
      <c r="T245" s="304"/>
      <c r="U245" s="304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304"/>
      <c r="AF245" s="304"/>
      <c r="AG245" s="304"/>
      <c r="AH245" s="215"/>
    </row>
    <row r="246" spans="1:34" x14ac:dyDescent="0.2">
      <c r="A246" s="265"/>
      <c r="B246" s="266"/>
      <c r="C246" s="291"/>
      <c r="D246" s="291"/>
      <c r="E246" s="291"/>
      <c r="F246" s="290"/>
      <c r="G246" s="290"/>
      <c r="H246" s="290"/>
      <c r="I246" s="290"/>
      <c r="J246" s="290"/>
      <c r="K246" s="290"/>
      <c r="L246" s="290"/>
      <c r="M246" s="290"/>
      <c r="N246" s="290"/>
      <c r="O246" s="290"/>
      <c r="P246" s="292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15"/>
    </row>
    <row r="247" spans="1:34" x14ac:dyDescent="0.2">
      <c r="A247" s="265" t="s">
        <v>14</v>
      </c>
      <c r="B247" s="266"/>
      <c r="C247" s="291">
        <f>C240+C243+C244</f>
        <v>-29289.460999999999</v>
      </c>
      <c r="D247" s="291">
        <f>D240+D243+D244</f>
        <v>-29289.460999999999</v>
      </c>
      <c r="E247" s="291">
        <f>E240+E243+E244</f>
        <v>-29289.460999999999</v>
      </c>
      <c r="F247" s="291">
        <f>F240+F243+F244</f>
        <v>-29289.460999999999</v>
      </c>
      <c r="G247" s="291">
        <f>G240+G243+G244</f>
        <v>-29289.460999999999</v>
      </c>
      <c r="H247" s="291">
        <f t="shared" ref="H247:AG247" si="28">H240+H243+H244</f>
        <v>-29289.460999999999</v>
      </c>
      <c r="I247" s="291">
        <f t="shared" si="28"/>
        <v>-29289.460999999999</v>
      </c>
      <c r="J247" s="291">
        <f t="shared" si="28"/>
        <v>-29289.460999999999</v>
      </c>
      <c r="K247" s="291">
        <f t="shared" si="28"/>
        <v>-29289.460999999999</v>
      </c>
      <c r="L247" s="291">
        <f t="shared" si="28"/>
        <v>-29289.460999999999</v>
      </c>
      <c r="M247" s="291">
        <f t="shared" si="28"/>
        <v>-29289.460999999999</v>
      </c>
      <c r="N247" s="291">
        <f t="shared" si="28"/>
        <v>-29289.460999999999</v>
      </c>
      <c r="O247" s="291">
        <f t="shared" si="28"/>
        <v>-29289.460999999999</v>
      </c>
      <c r="P247" s="289">
        <f t="shared" si="28"/>
        <v>-29289.460999999999</v>
      </c>
      <c r="Q247" s="291">
        <f t="shared" si="28"/>
        <v>-71787.460999999996</v>
      </c>
      <c r="R247" s="291">
        <f t="shared" si="28"/>
        <v>-71787.460999999996</v>
      </c>
      <c r="S247" s="291">
        <f t="shared" si="28"/>
        <v>-71787.460999999996</v>
      </c>
      <c r="T247" s="291">
        <f t="shared" si="28"/>
        <v>-71787.460999999996</v>
      </c>
      <c r="U247" s="291">
        <f t="shared" si="28"/>
        <v>-71787.460999999996</v>
      </c>
      <c r="V247" s="291">
        <f t="shared" si="28"/>
        <v>-71787.460999999996</v>
      </c>
      <c r="W247" s="291">
        <f t="shared" si="28"/>
        <v>-71787.460999999996</v>
      </c>
      <c r="X247" s="291">
        <f t="shared" si="28"/>
        <v>-71787.460999999996</v>
      </c>
      <c r="Y247" s="291">
        <f t="shared" si="28"/>
        <v>-71787.460999999996</v>
      </c>
      <c r="Z247" s="291">
        <f t="shared" si="28"/>
        <v>-71787.460999999996</v>
      </c>
      <c r="AA247" s="291">
        <f t="shared" si="28"/>
        <v>-71787.460999999996</v>
      </c>
      <c r="AB247" s="291">
        <f t="shared" si="28"/>
        <v>-71787.460999999996</v>
      </c>
      <c r="AC247" s="291">
        <f t="shared" si="28"/>
        <v>-71787.460999999996</v>
      </c>
      <c r="AD247" s="291">
        <f t="shared" si="28"/>
        <v>-71787.460999999996</v>
      </c>
      <c r="AE247" s="291">
        <f t="shared" si="28"/>
        <v>-71787.460999999996</v>
      </c>
      <c r="AF247" s="291">
        <f t="shared" si="28"/>
        <v>-71787.460999999996</v>
      </c>
      <c r="AG247" s="291">
        <f t="shared" si="28"/>
        <v>-71787.460999999996</v>
      </c>
      <c r="AH247" s="215"/>
    </row>
    <row r="248" spans="1:34" x14ac:dyDescent="0.2">
      <c r="A248" s="265"/>
      <c r="B248" s="266"/>
      <c r="C248" s="291"/>
      <c r="D248" s="291"/>
      <c r="E248" s="291"/>
      <c r="F248" s="290"/>
      <c r="G248" s="290"/>
      <c r="H248" s="290"/>
      <c r="I248" s="290"/>
      <c r="J248" s="290"/>
      <c r="K248" s="290"/>
      <c r="L248" s="290"/>
      <c r="M248" s="290"/>
      <c r="N248" s="290"/>
      <c r="O248" s="290"/>
      <c r="P248" s="292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15"/>
    </row>
    <row r="249" spans="1:34" ht="13.5" thickBot="1" x14ac:dyDescent="0.25">
      <c r="A249" s="275"/>
      <c r="B249" s="302"/>
      <c r="C249" s="306"/>
      <c r="D249" s="306"/>
      <c r="E249" s="306"/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869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  <c r="AA249" s="307"/>
      <c r="AB249" s="307"/>
      <c r="AC249" s="307"/>
      <c r="AD249" s="307"/>
      <c r="AE249" s="307"/>
      <c r="AF249" s="307"/>
      <c r="AG249" s="307"/>
      <c r="AH249" s="215"/>
    </row>
    <row r="250" spans="1:34" x14ac:dyDescent="0.2">
      <c r="A250" s="310"/>
      <c r="B250" s="215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308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>
        <f>SUM(C250:AG250)</f>
        <v>0</v>
      </c>
    </row>
    <row r="251" spans="1:34" x14ac:dyDescent="0.2">
      <c r="A251" s="310"/>
      <c r="B251" s="215"/>
      <c r="C251" s="311"/>
      <c r="D251" s="311"/>
      <c r="E251" s="311"/>
      <c r="F251" s="311"/>
      <c r="G251" s="314"/>
      <c r="H251" s="311"/>
      <c r="I251" s="311"/>
      <c r="J251" s="311"/>
      <c r="K251" s="311"/>
      <c r="L251" s="314"/>
      <c r="M251" s="314"/>
      <c r="N251" s="629"/>
      <c r="O251" s="314"/>
      <c r="P251" s="629"/>
      <c r="Q251" s="311"/>
      <c r="R251" s="311"/>
      <c r="S251" s="311"/>
      <c r="T251" s="311"/>
      <c r="U251" s="311"/>
      <c r="V251" s="629"/>
      <c r="W251" s="311"/>
      <c r="X251" s="311"/>
      <c r="Y251" s="311"/>
      <c r="Z251" s="311"/>
      <c r="AA251" s="408"/>
      <c r="AB251" s="311"/>
      <c r="AC251" s="311"/>
      <c r="AD251" s="314"/>
      <c r="AE251" s="311"/>
      <c r="AF251" s="629"/>
      <c r="AG251" s="311"/>
      <c r="AH251" s="262"/>
    </row>
    <row r="252" spans="1:34" x14ac:dyDescent="0.2">
      <c r="A252" s="215"/>
      <c r="B252" s="215"/>
      <c r="C252" s="215"/>
      <c r="D252" s="311"/>
      <c r="E252" s="317"/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309"/>
      <c r="Q252" s="286"/>
      <c r="R252" s="215"/>
      <c r="S252" s="262"/>
      <c r="T252" s="215"/>
      <c r="U252" s="215"/>
      <c r="V252" s="215"/>
      <c r="W252" s="215"/>
      <c r="X252" s="215"/>
      <c r="Y252" s="262"/>
      <c r="Z252" s="262"/>
      <c r="AA252" s="262"/>
      <c r="AB252" s="262"/>
      <c r="AC252" s="262"/>
      <c r="AD252" s="262"/>
      <c r="AE252" s="262"/>
      <c r="AF252" s="262"/>
      <c r="AG252" s="262"/>
      <c r="AH252" s="286">
        <f>SUM(C252:AG252)</f>
        <v>0</v>
      </c>
    </row>
    <row r="253" spans="1:34" x14ac:dyDescent="0.2">
      <c r="A253" s="358" t="s">
        <v>415</v>
      </c>
      <c r="B253" s="359">
        <f>B254+B255+B257</f>
        <v>425000</v>
      </c>
      <c r="C253" s="215"/>
      <c r="D253" s="215"/>
      <c r="E253" s="215"/>
      <c r="F253" s="215"/>
      <c r="G253" s="215"/>
      <c r="H253" s="215"/>
      <c r="I253" s="215"/>
      <c r="J253" s="215"/>
      <c r="K253" s="409"/>
      <c r="L253" s="215"/>
      <c r="M253" s="215"/>
      <c r="N253" s="215"/>
      <c r="O253" s="215"/>
      <c r="P253" s="309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408"/>
      <c r="AB253" s="215"/>
      <c r="AC253" s="215"/>
      <c r="AD253" s="215"/>
      <c r="AE253" s="215"/>
      <c r="AF253" s="215"/>
      <c r="AG253" s="215"/>
      <c r="AH253" s="215"/>
    </row>
    <row r="254" spans="1:34" x14ac:dyDescent="0.2">
      <c r="A254" s="327" t="s">
        <v>414</v>
      </c>
      <c r="B254" s="311">
        <v>25000</v>
      </c>
      <c r="C254" s="215"/>
      <c r="D254" s="215"/>
      <c r="E254" s="286"/>
      <c r="F254" s="286"/>
      <c r="G254" s="286"/>
      <c r="H254" s="215"/>
      <c r="I254" s="215"/>
      <c r="J254" s="215"/>
      <c r="K254" s="215"/>
      <c r="L254" s="215"/>
      <c r="M254" s="215"/>
      <c r="N254" s="215"/>
      <c r="O254" s="215"/>
      <c r="P254" s="309"/>
      <c r="Q254" s="215"/>
      <c r="R254" s="215"/>
      <c r="S254" s="215"/>
      <c r="T254" s="215"/>
      <c r="U254" s="286"/>
      <c r="V254" s="215"/>
      <c r="W254" s="215"/>
      <c r="X254" s="215"/>
      <c r="Y254" s="215"/>
      <c r="Z254" s="215"/>
      <c r="AA254" s="323"/>
      <c r="AB254" s="215"/>
      <c r="AC254" s="215"/>
      <c r="AD254" s="215"/>
      <c r="AE254" s="215"/>
      <c r="AF254" s="215"/>
      <c r="AG254" s="286"/>
      <c r="AH254" s="215"/>
    </row>
    <row r="255" spans="1:34" x14ac:dyDescent="0.2">
      <c r="A255" s="327" t="s">
        <v>287</v>
      </c>
      <c r="B255" s="311">
        <v>300000</v>
      </c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86"/>
      <c r="V255" s="215"/>
      <c r="W255" s="215"/>
      <c r="X255" s="215"/>
      <c r="Y255" s="215"/>
      <c r="Z255" s="215"/>
      <c r="AA255" s="215"/>
      <c r="AB255" s="215"/>
      <c r="AC255" s="215"/>
      <c r="AD255" s="215"/>
      <c r="AE255" s="215"/>
      <c r="AF255" s="409"/>
      <c r="AG255" s="215"/>
      <c r="AH255" s="215"/>
    </row>
    <row r="256" spans="1:34" x14ac:dyDescent="0.2">
      <c r="A256" s="310" t="s">
        <v>413</v>
      </c>
      <c r="B256" s="311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215"/>
      <c r="AG256" s="215"/>
      <c r="AH256" s="215"/>
    </row>
    <row r="257" spans="1:34" x14ac:dyDescent="0.2">
      <c r="A257" s="310" t="s">
        <v>441</v>
      </c>
      <c r="B257" s="311">
        <v>100000</v>
      </c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ht="13.5" thickBot="1" x14ac:dyDescent="0.25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309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</row>
    <row r="261" spans="1:34" x14ac:dyDescent="0.2">
      <c r="A261" s="263"/>
      <c r="B261" s="264"/>
      <c r="C261" s="264"/>
      <c r="D261" s="264"/>
      <c r="E261" s="264"/>
      <c r="F261" s="264"/>
      <c r="G261" s="264"/>
      <c r="H261" s="264"/>
      <c r="I261" s="264"/>
      <c r="J261" s="264"/>
      <c r="K261" s="264"/>
      <c r="L261" s="264"/>
      <c r="M261" s="264"/>
      <c r="N261" s="264"/>
      <c r="O261" s="264"/>
      <c r="P261" s="860"/>
      <c r="Q261" s="264"/>
      <c r="R261" s="264"/>
      <c r="S261" s="264"/>
      <c r="T261" s="264"/>
      <c r="U261" s="264"/>
      <c r="V261" s="264"/>
      <c r="W261" s="264"/>
      <c r="X261" s="264"/>
      <c r="Y261" s="264"/>
      <c r="Z261" s="264"/>
      <c r="AA261" s="264"/>
      <c r="AB261" s="264"/>
      <c r="AC261" s="264"/>
      <c r="AD261" s="264"/>
      <c r="AE261" s="264"/>
      <c r="AF261" s="264"/>
      <c r="AG261" s="264"/>
      <c r="AH261" s="215"/>
    </row>
    <row r="262" spans="1:34" x14ac:dyDescent="0.2">
      <c r="A262" s="265"/>
      <c r="B262" s="266" t="s">
        <v>37</v>
      </c>
      <c r="C262" s="266"/>
      <c r="D262" s="266"/>
      <c r="E262" s="267" t="s">
        <v>852</v>
      </c>
      <c r="F262" s="268" t="s">
        <v>340</v>
      </c>
      <c r="G262" s="269"/>
      <c r="H262" s="268"/>
      <c r="I262" s="268"/>
      <c r="J262" s="268"/>
      <c r="K262" s="268"/>
      <c r="L262" s="268"/>
      <c r="M262" s="268"/>
      <c r="N262" s="268"/>
      <c r="O262" s="268"/>
      <c r="P262" s="861"/>
      <c r="Q262" s="268"/>
      <c r="R262" s="268"/>
      <c r="S262" s="268"/>
      <c r="T262" s="268"/>
      <c r="U262" s="268"/>
      <c r="V262" s="268"/>
      <c r="W262" s="268"/>
      <c r="X262" s="268"/>
      <c r="Y262" s="268"/>
      <c r="Z262" s="268"/>
      <c r="AA262" s="268"/>
      <c r="AB262" s="268"/>
      <c r="AC262" s="268"/>
      <c r="AD262" s="268"/>
      <c r="AE262" s="268"/>
      <c r="AF262" s="268"/>
      <c r="AG262" s="268"/>
      <c r="AH262" s="215"/>
    </row>
    <row r="263" spans="1:34" x14ac:dyDescent="0.2">
      <c r="A263" s="265"/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79"/>
      <c r="Q263" s="266"/>
      <c r="R263" s="266"/>
      <c r="S263" s="266"/>
      <c r="T263" s="266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266"/>
      <c r="AE263" s="266"/>
      <c r="AF263" s="266"/>
      <c r="AG263" s="266"/>
      <c r="AH263" s="215"/>
    </row>
    <row r="264" spans="1:34" x14ac:dyDescent="0.2">
      <c r="A264" s="265"/>
      <c r="B264" s="266"/>
      <c r="C264" s="268"/>
      <c r="D264" s="268">
        <v>42331</v>
      </c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x14ac:dyDescent="0.2">
      <c r="A265" s="265"/>
      <c r="B265" s="266"/>
      <c r="C265" s="268"/>
      <c r="D265" s="268"/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ht="13.5" thickBot="1" x14ac:dyDescent="0.25">
      <c r="A266" s="265"/>
      <c r="B266" s="266"/>
      <c r="C266" s="266"/>
      <c r="D266" s="266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79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  <c r="AH266" s="215"/>
    </row>
    <row r="267" spans="1:34" ht="13.5" thickBot="1" x14ac:dyDescent="0.25">
      <c r="A267" s="265"/>
      <c r="B267" s="266"/>
      <c r="C267" s="270"/>
      <c r="D267" s="271" t="s">
        <v>16</v>
      </c>
      <c r="E267" s="271"/>
      <c r="F267" s="271"/>
      <c r="G267" s="271"/>
      <c r="H267" s="271"/>
      <c r="I267" s="271"/>
      <c r="J267" s="271"/>
      <c r="K267" s="271"/>
      <c r="L267" s="271"/>
      <c r="M267" s="271"/>
      <c r="N267" s="271"/>
      <c r="O267" s="271"/>
      <c r="P267" s="862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  <c r="AA267" s="271"/>
      <c r="AB267" s="271"/>
      <c r="AC267" s="271"/>
      <c r="AD267" s="271"/>
      <c r="AE267" s="271"/>
      <c r="AF267" s="271"/>
      <c r="AG267" s="271"/>
      <c r="AH267" s="215"/>
    </row>
    <row r="268" spans="1:34" ht="13.5" thickBot="1" x14ac:dyDescent="0.25">
      <c r="A268" s="265"/>
      <c r="B268" s="266"/>
      <c r="C268" s="272" t="s">
        <v>452</v>
      </c>
      <c r="D268" s="272" t="s">
        <v>453</v>
      </c>
      <c r="E268" s="272" t="s">
        <v>434</v>
      </c>
      <c r="F268" s="272" t="s">
        <v>390</v>
      </c>
      <c r="G268" s="272" t="s">
        <v>454</v>
      </c>
      <c r="H268" s="272" t="s">
        <v>455</v>
      </c>
      <c r="I268" s="272" t="s">
        <v>456</v>
      </c>
      <c r="J268" s="272" t="s">
        <v>457</v>
      </c>
      <c r="K268" s="272" t="s">
        <v>458</v>
      </c>
      <c r="L268" s="272" t="s">
        <v>216</v>
      </c>
      <c r="M268" s="272" t="s">
        <v>459</v>
      </c>
      <c r="N268" s="272" t="s">
        <v>297</v>
      </c>
      <c r="O268" s="272" t="s">
        <v>211</v>
      </c>
      <c r="P268" s="863" t="s">
        <v>270</v>
      </c>
      <c r="Q268" s="272">
        <v>15</v>
      </c>
      <c r="R268" s="272">
        <v>16</v>
      </c>
      <c r="S268" s="272" t="s">
        <v>461</v>
      </c>
      <c r="T268" s="272" t="s">
        <v>442</v>
      </c>
      <c r="U268" s="272" t="s">
        <v>462</v>
      </c>
      <c r="V268" s="272" t="s">
        <v>470</v>
      </c>
      <c r="W268" s="272" t="s">
        <v>471</v>
      </c>
      <c r="X268" s="272" t="s">
        <v>472</v>
      </c>
      <c r="Y268" s="272" t="s">
        <v>463</v>
      </c>
      <c r="Z268" s="272" t="s">
        <v>465</v>
      </c>
      <c r="AA268" s="272" t="s">
        <v>466</v>
      </c>
      <c r="AB268" s="272" t="s">
        <v>435</v>
      </c>
      <c r="AC268" s="272" t="s">
        <v>467</v>
      </c>
      <c r="AD268" s="272" t="s">
        <v>464</v>
      </c>
      <c r="AE268" s="272" t="s">
        <v>429</v>
      </c>
      <c r="AF268" s="272" t="s">
        <v>149</v>
      </c>
      <c r="AG268" s="272" t="s">
        <v>210</v>
      </c>
      <c r="AH268" s="215"/>
    </row>
    <row r="269" spans="1:34" x14ac:dyDescent="0.2">
      <c r="A269" s="263"/>
      <c r="B269" s="273"/>
      <c r="C269" s="266"/>
      <c r="D269" s="266"/>
      <c r="E269" s="266"/>
      <c r="F269" s="266"/>
      <c r="G269" s="266"/>
      <c r="H269" s="266"/>
      <c r="I269" s="266"/>
      <c r="J269" s="266"/>
      <c r="K269" s="266"/>
      <c r="L269" s="266"/>
      <c r="M269" s="266"/>
      <c r="N269" s="266"/>
      <c r="O269" s="266"/>
      <c r="P269" s="279"/>
      <c r="Q269" s="266"/>
      <c r="R269" s="266"/>
      <c r="S269" s="266"/>
      <c r="T269" s="266"/>
      <c r="U269" s="266"/>
      <c r="V269" s="266"/>
      <c r="W269" s="266"/>
      <c r="X269" s="266"/>
      <c r="Y269" s="266"/>
      <c r="Z269" s="266"/>
      <c r="AA269" s="266"/>
      <c r="AB269" s="266"/>
      <c r="AC269" s="266"/>
      <c r="AD269" s="266"/>
      <c r="AE269" s="266"/>
      <c r="AF269" s="266"/>
      <c r="AG269" s="266"/>
      <c r="AH269" s="215"/>
    </row>
    <row r="270" spans="1:34" x14ac:dyDescent="0.2">
      <c r="A270" s="265" t="s">
        <v>0</v>
      </c>
      <c r="B270" s="274">
        <v>-35775.843000000001</v>
      </c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ht="13.5" thickBot="1" x14ac:dyDescent="0.25">
      <c r="A271" s="275"/>
      <c r="B271" s="276"/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x14ac:dyDescent="0.2">
      <c r="A272" s="263"/>
      <c r="B272" s="278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5" t="s">
        <v>1</v>
      </c>
      <c r="B273" s="274">
        <f>B274+B275+B276</f>
        <v>0</v>
      </c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38</v>
      </c>
      <c r="B274" s="274">
        <f>C322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39</v>
      </c>
      <c r="B275" s="274">
        <f>C345</f>
        <v>0</v>
      </c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x14ac:dyDescent="0.2">
      <c r="A276" s="265" t="s">
        <v>3</v>
      </c>
      <c r="B276" s="274"/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ht="13.5" thickBot="1" x14ac:dyDescent="0.25">
      <c r="A277" s="275"/>
      <c r="B277" s="276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x14ac:dyDescent="0.2">
      <c r="A278" s="263"/>
      <c r="B278" s="278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x14ac:dyDescent="0.2">
      <c r="A279" s="265" t="s">
        <v>4</v>
      </c>
      <c r="B279" s="274">
        <f>B270-B273</f>
        <v>-35775.843000000001</v>
      </c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ht="21" thickBot="1" x14ac:dyDescent="0.35">
      <c r="A280" s="275"/>
      <c r="B280" s="276"/>
      <c r="C280" s="266"/>
      <c r="D280" s="266"/>
      <c r="E280" s="266"/>
      <c r="F280" s="1080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x14ac:dyDescent="0.2">
      <c r="A281" s="263"/>
      <c r="B281" s="278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x14ac:dyDescent="0.2">
      <c r="A282" s="265" t="s">
        <v>17</v>
      </c>
      <c r="B282" s="274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ht="13.5" thickBot="1" x14ac:dyDescent="0.25">
      <c r="A283" s="275"/>
      <c r="B283" s="276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330"/>
      <c r="Y283" s="266"/>
      <c r="Z283" s="266"/>
      <c r="AA283" s="266"/>
      <c r="AB283" s="266"/>
      <c r="AC283" s="266"/>
      <c r="AD283" s="266"/>
      <c r="AE283" s="266"/>
      <c r="AF283" s="269"/>
      <c r="AG283" s="266"/>
      <c r="AH283" s="215"/>
    </row>
    <row r="284" spans="1:34" ht="23.25" x14ac:dyDescent="0.35">
      <c r="A284" s="263"/>
      <c r="B284" s="278"/>
      <c r="D284" s="266"/>
      <c r="E284" s="269"/>
      <c r="F284" s="1756" t="s">
        <v>897</v>
      </c>
      <c r="G284" s="1756"/>
      <c r="H284" s="266"/>
      <c r="I284" s="266"/>
      <c r="J284" s="266"/>
      <c r="K284" s="1134"/>
      <c r="L284" s="266"/>
      <c r="M284" s="266"/>
      <c r="N284" s="266"/>
      <c r="O284" s="266"/>
      <c r="P284" s="279"/>
      <c r="R284" s="266"/>
      <c r="S284" s="266"/>
      <c r="T284" s="266"/>
      <c r="U284" s="266"/>
      <c r="V284" s="266"/>
      <c r="W284" s="266"/>
      <c r="X284" s="269"/>
      <c r="Y284" s="269"/>
      <c r="Z284" s="269"/>
      <c r="AA284" s="269"/>
      <c r="AB284" s="266"/>
      <c r="AC284" s="266"/>
      <c r="AD284" s="266"/>
      <c r="AE284" s="266"/>
      <c r="AF284" s="269"/>
      <c r="AH284" s="215"/>
    </row>
    <row r="285" spans="1:34" x14ac:dyDescent="0.2">
      <c r="A285" s="265" t="s">
        <v>5</v>
      </c>
      <c r="B285" s="274">
        <f>B279-B282</f>
        <v>-35775.843000000001</v>
      </c>
      <c r="C285" s="409"/>
      <c r="D285" s="269"/>
      <c r="E285" s="794"/>
      <c r="F285" s="269" t="s">
        <v>223</v>
      </c>
      <c r="G285" s="269" t="s">
        <v>208</v>
      </c>
      <c r="H285" s="269"/>
      <c r="I285" s="269"/>
      <c r="J285" s="269"/>
      <c r="K285" s="269"/>
      <c r="L285" s="269"/>
      <c r="M285" s="269"/>
      <c r="N285" s="269"/>
      <c r="O285" s="269"/>
      <c r="P285" s="281"/>
      <c r="Q285" s="568"/>
      <c r="R285" s="269"/>
      <c r="S285" s="281"/>
      <c r="T285" s="269"/>
      <c r="U285" s="266" t="s">
        <v>1162</v>
      </c>
      <c r="V285" s="269"/>
      <c r="W285" s="266" t="s">
        <v>1154</v>
      </c>
      <c r="X285" s="810" t="s">
        <v>1155</v>
      </c>
      <c r="Y285" s="269"/>
      <c r="Z285" s="281"/>
      <c r="AA285" s="281"/>
      <c r="AB285" s="281"/>
      <c r="AC285" s="796"/>
      <c r="AD285" s="796"/>
      <c r="AE285" s="269"/>
      <c r="AF285" s="269"/>
      <c r="AG285" s="934" t="s">
        <v>1044</v>
      </c>
      <c r="AH285" s="215"/>
    </row>
    <row r="286" spans="1:34" ht="13.5" thickBot="1" x14ac:dyDescent="0.25">
      <c r="A286" s="275"/>
      <c r="B286" s="276"/>
      <c r="C286" s="266"/>
      <c r="D286" s="266"/>
      <c r="E286" s="266"/>
      <c r="F286" s="266"/>
      <c r="G286" s="266"/>
      <c r="H286" s="266"/>
      <c r="I286" s="266"/>
      <c r="J286" s="266"/>
      <c r="K286" s="266"/>
      <c r="L286" s="266"/>
      <c r="M286" s="269"/>
      <c r="N286" s="266"/>
      <c r="O286" s="266"/>
      <c r="P286" s="279"/>
      <c r="Q286" s="266"/>
      <c r="R286" s="266"/>
      <c r="S286" s="266"/>
      <c r="T286" s="266"/>
      <c r="U286" s="266"/>
      <c r="V286" s="266"/>
      <c r="W286" s="266"/>
      <c r="X286" s="266"/>
      <c r="Y286" s="266"/>
      <c r="Z286" s="266"/>
      <c r="AA286" s="266"/>
      <c r="AB286" s="266"/>
      <c r="AC286" s="266"/>
      <c r="AD286" s="266"/>
      <c r="AE286" s="266"/>
      <c r="AF286" s="266"/>
      <c r="AG286" s="266"/>
      <c r="AH286" s="215"/>
    </row>
    <row r="287" spans="1:34" x14ac:dyDescent="0.2">
      <c r="A287" s="282"/>
      <c r="B287" s="266"/>
      <c r="C287" s="283"/>
      <c r="D287" s="285"/>
      <c r="E287" s="285"/>
      <c r="F287" s="284"/>
      <c r="G287" s="284"/>
      <c r="H287" s="284"/>
      <c r="I287" s="284"/>
      <c r="J287" s="284"/>
      <c r="K287" s="284"/>
      <c r="L287" s="284"/>
      <c r="M287" s="284"/>
      <c r="N287" s="284"/>
      <c r="O287" s="284"/>
      <c r="P287" s="864"/>
      <c r="Q287" s="284"/>
      <c r="R287" s="284"/>
      <c r="S287" s="284"/>
      <c r="T287" s="284"/>
      <c r="U287" s="284"/>
      <c r="V287" s="284"/>
      <c r="W287" s="284"/>
      <c r="X287" s="284"/>
      <c r="Y287" s="284"/>
      <c r="Z287" s="284"/>
      <c r="AA287" s="284"/>
      <c r="AB287" s="284"/>
      <c r="AC287" s="284"/>
      <c r="AD287" s="284"/>
      <c r="AE287" s="284"/>
      <c r="AF287" s="284"/>
      <c r="AG287" s="284"/>
      <c r="AH287" s="215"/>
    </row>
    <row r="288" spans="1:34" ht="13.5" thickBot="1" x14ac:dyDescent="0.25">
      <c r="A288" s="287" t="s">
        <v>7</v>
      </c>
      <c r="B288" s="266"/>
      <c r="C288" s="288">
        <f>C289+C290+C291+C293+C292</f>
        <v>0</v>
      </c>
      <c r="D288" s="288">
        <f>D289+D290+D291+D293+D292</f>
        <v>0</v>
      </c>
      <c r="E288" s="288">
        <f>E289+E290+E291+E293+E292</f>
        <v>0</v>
      </c>
      <c r="F288" s="288">
        <f>F289+F290+F291+F293+F292</f>
        <v>0</v>
      </c>
      <c r="G288" s="288">
        <f>G289+G290+G291+G293+G292</f>
        <v>0</v>
      </c>
      <c r="H288" s="288">
        <f t="shared" ref="H288:AF288" si="29">H289+H290+H291+H293+H292</f>
        <v>0</v>
      </c>
      <c r="I288" s="288">
        <f t="shared" si="29"/>
        <v>0</v>
      </c>
      <c r="J288" s="288">
        <f t="shared" si="29"/>
        <v>0</v>
      </c>
      <c r="K288" s="288">
        <f t="shared" si="29"/>
        <v>0</v>
      </c>
      <c r="L288" s="288">
        <f t="shared" si="29"/>
        <v>0</v>
      </c>
      <c r="M288" s="288">
        <f t="shared" si="29"/>
        <v>0</v>
      </c>
      <c r="N288" s="288">
        <f t="shared" si="29"/>
        <v>0</v>
      </c>
      <c r="O288" s="288">
        <f t="shared" si="29"/>
        <v>0</v>
      </c>
      <c r="P288" s="865">
        <f t="shared" si="29"/>
        <v>0</v>
      </c>
      <c r="Q288" s="288">
        <f t="shared" si="29"/>
        <v>0</v>
      </c>
      <c r="R288" s="288">
        <f t="shared" si="29"/>
        <v>0</v>
      </c>
      <c r="S288" s="288">
        <f t="shared" si="29"/>
        <v>0</v>
      </c>
      <c r="T288" s="288">
        <f t="shared" si="29"/>
        <v>0</v>
      </c>
      <c r="U288" s="288">
        <f t="shared" si="29"/>
        <v>0</v>
      </c>
      <c r="V288" s="288">
        <f t="shared" si="29"/>
        <v>0</v>
      </c>
      <c r="W288" s="288">
        <f t="shared" si="29"/>
        <v>0</v>
      </c>
      <c r="X288" s="288">
        <f t="shared" si="29"/>
        <v>0</v>
      </c>
      <c r="Y288" s="288">
        <f t="shared" si="29"/>
        <v>0</v>
      </c>
      <c r="Z288" s="288">
        <f t="shared" si="29"/>
        <v>0</v>
      </c>
      <c r="AA288" s="288">
        <f t="shared" si="29"/>
        <v>0</v>
      </c>
      <c r="AB288" s="288">
        <f t="shared" si="29"/>
        <v>0</v>
      </c>
      <c r="AC288" s="288">
        <f t="shared" si="29"/>
        <v>0</v>
      </c>
      <c r="AD288" s="288">
        <f t="shared" si="29"/>
        <v>0</v>
      </c>
      <c r="AE288" s="288">
        <f t="shared" si="29"/>
        <v>0</v>
      </c>
      <c r="AF288" s="288">
        <f t="shared" si="29"/>
        <v>0</v>
      </c>
      <c r="AG288" s="288">
        <f>AG289+AG290+AG291+AG293+AG292</f>
        <v>0</v>
      </c>
      <c r="AH288" s="286">
        <f>SUM(C288:AG288)</f>
        <v>0</v>
      </c>
    </row>
    <row r="289" spans="1:34" x14ac:dyDescent="0.2">
      <c r="A289" s="287" t="s">
        <v>8</v>
      </c>
      <c r="B289" s="331"/>
      <c r="C289" s="291"/>
      <c r="D289" s="291"/>
      <c r="E289" s="362"/>
      <c r="F289" s="290"/>
      <c r="G289" s="290"/>
      <c r="H289" s="290"/>
      <c r="I289" s="295"/>
      <c r="J289" s="290"/>
      <c r="K289" s="290"/>
      <c r="L289" s="290"/>
      <c r="M289" s="290"/>
      <c r="N289" s="290"/>
      <c r="O289" s="290"/>
      <c r="P289" s="292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  <c r="AA289" s="290"/>
      <c r="AB289" s="290"/>
      <c r="AC289" s="290"/>
      <c r="AD289" s="290"/>
      <c r="AE289" s="290"/>
      <c r="AF289" s="290"/>
      <c r="AG289" s="1058"/>
      <c r="AH289" s="286">
        <f>SUM(C289:AG289)</f>
        <v>0</v>
      </c>
    </row>
    <row r="290" spans="1:34" x14ac:dyDescent="0.2">
      <c r="A290" s="287" t="s">
        <v>9</v>
      </c>
      <c r="B290" s="331"/>
      <c r="C290" s="291"/>
      <c r="D290" s="291"/>
      <c r="E290" s="362"/>
      <c r="F290" s="290"/>
      <c r="G290" s="290"/>
      <c r="H290" s="290"/>
      <c r="I290" s="290"/>
      <c r="J290" s="290"/>
      <c r="K290" s="290"/>
      <c r="L290" s="290"/>
      <c r="M290" s="290"/>
      <c r="N290" s="290"/>
      <c r="O290" s="295"/>
      <c r="P290" s="292"/>
      <c r="Q290" s="290"/>
      <c r="R290" s="290"/>
      <c r="S290" s="290"/>
      <c r="T290" s="290"/>
      <c r="U290" s="290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0"/>
      <c r="AF290" s="1057"/>
      <c r="AG290" s="1057"/>
      <c r="AH290" s="286">
        <f>SUM(C290:AG290)</f>
        <v>0</v>
      </c>
    </row>
    <row r="291" spans="1:34" s="360" customFormat="1" x14ac:dyDescent="0.2">
      <c r="A291" s="662" t="s">
        <v>10</v>
      </c>
      <c r="B291" s="669"/>
      <c r="C291" s="795"/>
      <c r="D291" s="565"/>
      <c r="E291" s="565"/>
      <c r="F291" s="560">
        <v>44531</v>
      </c>
      <c r="G291" s="560">
        <v>23955</v>
      </c>
      <c r="H291" s="560"/>
      <c r="I291" s="560"/>
      <c r="J291" s="560"/>
      <c r="K291" s="560"/>
      <c r="L291" s="560"/>
      <c r="M291" s="560"/>
      <c r="N291" s="560"/>
      <c r="O291" s="560"/>
      <c r="P291" s="560"/>
      <c r="Q291" s="560"/>
      <c r="R291" s="560"/>
      <c r="S291" s="560"/>
      <c r="T291" s="560"/>
      <c r="U291" s="560">
        <f>14266.234-5294.388-4485.923-4485.923</f>
        <v>0</v>
      </c>
      <c r="V291" s="560"/>
      <c r="W291" s="560"/>
      <c r="X291" s="811"/>
      <c r="Y291" s="560"/>
      <c r="Z291" s="665"/>
      <c r="AA291" s="1050"/>
      <c r="AB291" s="560"/>
      <c r="AC291" s="560"/>
      <c r="AD291" s="708"/>
      <c r="AE291" s="560"/>
      <c r="AF291" s="560"/>
      <c r="AG291" s="560"/>
      <c r="AH291" s="379">
        <f>SUM(C291:AG291)</f>
        <v>68486</v>
      </c>
    </row>
    <row r="292" spans="1:34" s="360" customFormat="1" x14ac:dyDescent="0.2">
      <c r="A292" s="662" t="s">
        <v>356</v>
      </c>
      <c r="B292" s="669"/>
      <c r="C292" s="565"/>
      <c r="D292" s="565"/>
      <c r="E292" s="565"/>
      <c r="F292" s="560"/>
      <c r="G292" s="380"/>
      <c r="H292" s="560"/>
      <c r="I292" s="380"/>
      <c r="J292" s="560"/>
      <c r="K292" s="560"/>
      <c r="L292" s="560"/>
      <c r="M292" s="560"/>
      <c r="N292" s="811"/>
      <c r="O292" s="560"/>
      <c r="P292" s="560"/>
      <c r="Q292" s="560"/>
      <c r="R292" s="560"/>
      <c r="S292" s="560"/>
      <c r="T292" s="560"/>
      <c r="U292" s="560"/>
      <c r="V292" s="560"/>
      <c r="W292" s="560"/>
      <c r="X292" s="560">
        <v>17300</v>
      </c>
      <c r="Y292" s="560"/>
      <c r="Z292" s="560"/>
      <c r="AA292" s="560"/>
      <c r="AB292" s="380"/>
      <c r="AC292" s="811"/>
      <c r="AD292" s="560"/>
      <c r="AE292" s="560"/>
      <c r="AF292" s="560"/>
      <c r="AG292" s="560"/>
      <c r="AH292" s="379">
        <f>SUM(C292:AG292)</f>
        <v>17300</v>
      </c>
    </row>
    <row r="293" spans="1:34" x14ac:dyDescent="0.2">
      <c r="A293" s="287" t="s">
        <v>11</v>
      </c>
      <c r="B293" s="266"/>
      <c r="C293" s="291"/>
      <c r="D293" s="289"/>
      <c r="E293" s="294"/>
      <c r="F293" s="292">
        <v>-44531</v>
      </c>
      <c r="G293" s="292">
        <v>-23955</v>
      </c>
      <c r="H293" s="292"/>
      <c r="I293" s="292"/>
      <c r="J293" s="295"/>
      <c r="K293" s="292"/>
      <c r="L293" s="292"/>
      <c r="M293" s="292"/>
      <c r="N293" s="292"/>
      <c r="O293" s="292"/>
      <c r="P293" s="455"/>
      <c r="Q293" s="455"/>
      <c r="R293" s="292"/>
      <c r="S293" s="455"/>
      <c r="T293" s="292"/>
      <c r="U293" s="292"/>
      <c r="V293" s="295"/>
      <c r="W293" s="295"/>
      <c r="X293" s="293">
        <v>-17300</v>
      </c>
      <c r="Y293" s="455"/>
      <c r="Z293" s="295"/>
      <c r="AA293" s="293"/>
      <c r="AB293" s="295"/>
      <c r="AC293" s="292"/>
      <c r="AD293" s="295"/>
      <c r="AE293" s="292"/>
      <c r="AF293" s="292"/>
      <c r="AG293" s="292"/>
      <c r="AH293" s="215"/>
    </row>
    <row r="294" spans="1:34" ht="13.5" thickBot="1" x14ac:dyDescent="0.25">
      <c r="A294" s="296"/>
      <c r="B294" s="266"/>
      <c r="C294" s="291"/>
      <c r="D294" s="291"/>
      <c r="E294" s="291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2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  <c r="AA294" s="290"/>
      <c r="AB294" s="290"/>
      <c r="AC294" s="290"/>
      <c r="AD294" s="290"/>
      <c r="AE294" s="290"/>
      <c r="AF294" s="290"/>
      <c r="AG294" s="290"/>
      <c r="AH294" s="215"/>
    </row>
    <row r="295" spans="1:34" x14ac:dyDescent="0.2">
      <c r="A295" s="282"/>
      <c r="B295" s="266"/>
      <c r="C295" s="297"/>
      <c r="D295" s="298"/>
      <c r="E295" s="298"/>
      <c r="F295" s="299"/>
      <c r="G295" s="299"/>
      <c r="H295" s="299"/>
      <c r="I295" s="299"/>
      <c r="J295" s="299"/>
      <c r="K295" s="299"/>
      <c r="L295" s="299"/>
      <c r="M295" s="299"/>
      <c r="N295" s="299"/>
      <c r="O295" s="299"/>
      <c r="P295" s="866"/>
      <c r="Q295" s="299"/>
      <c r="R295" s="299"/>
      <c r="S295" s="299"/>
      <c r="T295" s="299"/>
      <c r="U295" s="299"/>
      <c r="V295" s="299"/>
      <c r="W295" s="299"/>
      <c r="X295" s="299"/>
      <c r="Y295" s="299"/>
      <c r="Z295" s="299"/>
      <c r="AA295" s="299"/>
      <c r="AB295" s="299"/>
      <c r="AC295" s="299"/>
      <c r="AD295" s="299"/>
      <c r="AE295" s="299"/>
      <c r="AF295" s="299"/>
      <c r="AG295" s="299"/>
      <c r="AH295" s="215"/>
    </row>
    <row r="296" spans="1:34" ht="13.5" thickBot="1" x14ac:dyDescent="0.25">
      <c r="A296" s="287" t="s">
        <v>12</v>
      </c>
      <c r="B296" s="266"/>
      <c r="C296" s="288">
        <f t="shared" ref="C296:AG296" si="30">C297</f>
        <v>0</v>
      </c>
      <c r="D296" s="288">
        <f t="shared" si="30"/>
        <v>0</v>
      </c>
      <c r="E296" s="288">
        <f t="shared" si="30"/>
        <v>0</v>
      </c>
      <c r="F296" s="288">
        <f t="shared" si="30"/>
        <v>0</v>
      </c>
      <c r="G296" s="288">
        <f t="shared" si="30"/>
        <v>0</v>
      </c>
      <c r="H296" s="288">
        <f t="shared" si="30"/>
        <v>0</v>
      </c>
      <c r="I296" s="288">
        <f t="shared" si="30"/>
        <v>0</v>
      </c>
      <c r="J296" s="288">
        <f t="shared" si="30"/>
        <v>0</v>
      </c>
      <c r="K296" s="288">
        <f t="shared" si="30"/>
        <v>0</v>
      </c>
      <c r="L296" s="288">
        <f t="shared" si="30"/>
        <v>0</v>
      </c>
      <c r="M296" s="288">
        <f t="shared" si="30"/>
        <v>0</v>
      </c>
      <c r="N296" s="288">
        <f t="shared" si="30"/>
        <v>0</v>
      </c>
      <c r="O296" s="288">
        <f t="shared" si="30"/>
        <v>0</v>
      </c>
      <c r="P296" s="865">
        <f t="shared" si="30"/>
        <v>0</v>
      </c>
      <c r="Q296" s="288">
        <f t="shared" si="30"/>
        <v>0</v>
      </c>
      <c r="R296" s="288">
        <f t="shared" si="30"/>
        <v>0</v>
      </c>
      <c r="S296" s="288">
        <f t="shared" si="30"/>
        <v>0</v>
      </c>
      <c r="T296" s="288">
        <f t="shared" si="30"/>
        <v>0</v>
      </c>
      <c r="U296" s="288">
        <f t="shared" si="30"/>
        <v>0</v>
      </c>
      <c r="V296" s="288">
        <f t="shared" si="30"/>
        <v>0</v>
      </c>
      <c r="W296" s="288">
        <f t="shared" si="30"/>
        <v>0</v>
      </c>
      <c r="X296" s="288">
        <f t="shared" si="30"/>
        <v>0</v>
      </c>
      <c r="Y296" s="288">
        <f t="shared" si="30"/>
        <v>0</v>
      </c>
      <c r="Z296" s="288">
        <f t="shared" si="30"/>
        <v>0</v>
      </c>
      <c r="AA296" s="288">
        <f t="shared" si="30"/>
        <v>0</v>
      </c>
      <c r="AB296" s="288">
        <f t="shared" si="30"/>
        <v>0</v>
      </c>
      <c r="AC296" s="288">
        <f t="shared" si="30"/>
        <v>0</v>
      </c>
      <c r="AD296" s="288">
        <f t="shared" si="30"/>
        <v>0</v>
      </c>
      <c r="AE296" s="288">
        <f t="shared" si="30"/>
        <v>0</v>
      </c>
      <c r="AF296" s="288">
        <f t="shared" si="30"/>
        <v>0</v>
      </c>
      <c r="AG296" s="288">
        <f t="shared" si="30"/>
        <v>0</v>
      </c>
      <c r="AH296" s="215"/>
    </row>
    <row r="297" spans="1:34" x14ac:dyDescent="0.2">
      <c r="A297" s="287" t="s">
        <v>8</v>
      </c>
      <c r="B297" s="266"/>
      <c r="C297" s="291"/>
      <c r="D297" s="291"/>
      <c r="E297" s="291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2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  <c r="AA297" s="290"/>
      <c r="AB297" s="290"/>
      <c r="AC297" s="290"/>
      <c r="AD297" s="290"/>
      <c r="AE297" s="290"/>
      <c r="AF297" s="290"/>
      <c r="AG297" s="290"/>
      <c r="AH297" s="215"/>
    </row>
    <row r="298" spans="1:34" x14ac:dyDescent="0.2">
      <c r="A298" s="287" t="s">
        <v>775</v>
      </c>
      <c r="B298" s="266"/>
      <c r="C298" s="291"/>
      <c r="D298" s="291">
        <v>3311</v>
      </c>
      <c r="E298" s="291"/>
      <c r="F298" s="290"/>
      <c r="G298" s="290">
        <v>4245</v>
      </c>
      <c r="H298" s="290"/>
      <c r="I298" s="290">
        <v>3258</v>
      </c>
      <c r="J298" s="290"/>
      <c r="K298" s="290">
        <v>9637</v>
      </c>
      <c r="L298" s="290">
        <v>10107</v>
      </c>
      <c r="M298" s="290">
        <v>1000</v>
      </c>
      <c r="N298" s="290">
        <v>1790</v>
      </c>
      <c r="O298" s="290"/>
      <c r="P298" s="292">
        <v>1790</v>
      </c>
      <c r="Q298" s="290">
        <v>19095</v>
      </c>
      <c r="R298" s="290">
        <v>1790</v>
      </c>
      <c r="S298" s="290"/>
      <c r="T298" s="290"/>
      <c r="U298" s="290">
        <v>1790</v>
      </c>
      <c r="V298" s="290">
        <v>3109</v>
      </c>
      <c r="W298" s="290">
        <v>1790</v>
      </c>
      <c r="X298" s="290"/>
      <c r="Y298" s="290"/>
      <c r="Z298" s="290"/>
      <c r="AA298" s="290">
        <v>5725</v>
      </c>
      <c r="AB298" s="290"/>
      <c r="AC298" s="290"/>
      <c r="AD298" s="290">
        <v>3441</v>
      </c>
      <c r="AE298" s="290"/>
      <c r="AF298" s="290">
        <v>19276</v>
      </c>
      <c r="AG298" s="290">
        <v>21868</v>
      </c>
      <c r="AH298" s="286">
        <f>SUM(C298:AG298)</f>
        <v>113022</v>
      </c>
    </row>
    <row r="299" spans="1:34" ht="13.5" thickBot="1" x14ac:dyDescent="0.25">
      <c r="A299" s="296"/>
      <c r="B299" s="266"/>
      <c r="C299" s="291"/>
      <c r="D299" s="291"/>
      <c r="E299" s="291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2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  <c r="AA299" s="290"/>
      <c r="AB299" s="290"/>
      <c r="AC299" s="290"/>
      <c r="AD299" s="290"/>
      <c r="AE299" s="290"/>
      <c r="AF299" s="290"/>
      <c r="AG299" s="290"/>
      <c r="AH299" s="215"/>
    </row>
    <row r="300" spans="1:34" x14ac:dyDescent="0.2">
      <c r="A300" s="282"/>
      <c r="B300" s="266"/>
      <c r="C300" s="297"/>
      <c r="D300" s="298"/>
      <c r="E300" s="298"/>
      <c r="F300" s="299"/>
      <c r="G300" s="299"/>
      <c r="H300" s="299"/>
      <c r="I300" s="299"/>
      <c r="J300" s="299"/>
      <c r="K300" s="299"/>
      <c r="L300" s="299"/>
      <c r="M300" s="299"/>
      <c r="N300" s="299"/>
      <c r="O300" s="299"/>
      <c r="P300" s="866"/>
      <c r="Q300" s="299"/>
      <c r="R300" s="299"/>
      <c r="S300" s="299"/>
      <c r="T300" s="299"/>
      <c r="U300" s="299"/>
      <c r="V300" s="299"/>
      <c r="W300" s="299"/>
      <c r="X300" s="299"/>
      <c r="Y300" s="299"/>
      <c r="Z300" s="299"/>
      <c r="AA300" s="299"/>
      <c r="AB300" s="299"/>
      <c r="AC300" s="299"/>
      <c r="AD300" s="299"/>
      <c r="AE300" s="299"/>
      <c r="AF300" s="299"/>
      <c r="AG300" s="299"/>
      <c r="AH300" s="215"/>
    </row>
    <row r="301" spans="1:34" x14ac:dyDescent="0.2">
      <c r="A301" s="287" t="s">
        <v>13</v>
      </c>
      <c r="B301" s="266"/>
      <c r="C301" s="300">
        <f>C296-C288</f>
        <v>0</v>
      </c>
      <c r="D301" s="300">
        <f>D296-D288</f>
        <v>0</v>
      </c>
      <c r="E301" s="300">
        <f>E296-E288</f>
        <v>0</v>
      </c>
      <c r="F301" s="300">
        <f>F296-F288</f>
        <v>0</v>
      </c>
      <c r="G301" s="300">
        <f>G296-G288</f>
        <v>0</v>
      </c>
      <c r="H301" s="300">
        <f t="shared" ref="H301:AG301" si="31">H296-H288</f>
        <v>0</v>
      </c>
      <c r="I301" s="300">
        <f t="shared" si="31"/>
        <v>0</v>
      </c>
      <c r="J301" s="300">
        <f t="shared" si="31"/>
        <v>0</v>
      </c>
      <c r="K301" s="300">
        <f t="shared" si="31"/>
        <v>0</v>
      </c>
      <c r="L301" s="300">
        <f t="shared" si="31"/>
        <v>0</v>
      </c>
      <c r="M301" s="300">
        <f t="shared" si="31"/>
        <v>0</v>
      </c>
      <c r="N301" s="300">
        <f t="shared" si="31"/>
        <v>0</v>
      </c>
      <c r="O301" s="300">
        <f t="shared" si="31"/>
        <v>0</v>
      </c>
      <c r="P301" s="867">
        <f t="shared" si="31"/>
        <v>0</v>
      </c>
      <c r="Q301" s="300">
        <f t="shared" si="31"/>
        <v>0</v>
      </c>
      <c r="R301" s="300">
        <f t="shared" si="31"/>
        <v>0</v>
      </c>
      <c r="S301" s="300">
        <f t="shared" si="31"/>
        <v>0</v>
      </c>
      <c r="T301" s="300">
        <f t="shared" si="31"/>
        <v>0</v>
      </c>
      <c r="U301" s="300">
        <f t="shared" si="31"/>
        <v>0</v>
      </c>
      <c r="V301" s="300">
        <f t="shared" si="31"/>
        <v>0</v>
      </c>
      <c r="W301" s="300">
        <f t="shared" si="31"/>
        <v>0</v>
      </c>
      <c r="X301" s="300">
        <f t="shared" si="31"/>
        <v>0</v>
      </c>
      <c r="Y301" s="300">
        <f t="shared" si="31"/>
        <v>0</v>
      </c>
      <c r="Z301" s="300">
        <f t="shared" si="31"/>
        <v>0</v>
      </c>
      <c r="AA301" s="300">
        <f t="shared" si="31"/>
        <v>0</v>
      </c>
      <c r="AB301" s="300">
        <f t="shared" si="31"/>
        <v>0</v>
      </c>
      <c r="AC301" s="300">
        <f t="shared" si="31"/>
        <v>0</v>
      </c>
      <c r="AD301" s="300">
        <f t="shared" si="31"/>
        <v>0</v>
      </c>
      <c r="AE301" s="300">
        <f t="shared" si="31"/>
        <v>0</v>
      </c>
      <c r="AF301" s="300">
        <f t="shared" si="31"/>
        <v>0</v>
      </c>
      <c r="AG301" s="300">
        <f t="shared" si="31"/>
        <v>0</v>
      </c>
      <c r="AH301" s="215"/>
    </row>
    <row r="302" spans="1:34" ht="13.5" thickBot="1" x14ac:dyDescent="0.25">
      <c r="A302" s="287"/>
      <c r="B302" s="266"/>
      <c r="C302" s="300"/>
      <c r="D302" s="291"/>
      <c r="E302" s="291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2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  <c r="AA302" s="290"/>
      <c r="AB302" s="290"/>
      <c r="AC302" s="290"/>
      <c r="AD302" s="290"/>
      <c r="AE302" s="290"/>
      <c r="AF302" s="290"/>
      <c r="AG302" s="290"/>
      <c r="AH302" s="215"/>
    </row>
    <row r="303" spans="1:34" x14ac:dyDescent="0.2">
      <c r="A303" s="263"/>
      <c r="B303" s="264"/>
      <c r="C303" s="301"/>
      <c r="D303" s="298"/>
      <c r="E303" s="298"/>
      <c r="F303" s="299"/>
      <c r="G303" s="299"/>
      <c r="H303" s="299"/>
      <c r="I303" s="299"/>
      <c r="J303" s="299"/>
      <c r="K303" s="299"/>
      <c r="L303" s="299"/>
      <c r="M303" s="299"/>
      <c r="N303" s="299"/>
      <c r="O303" s="299"/>
      <c r="P303" s="866"/>
      <c r="Q303" s="299"/>
      <c r="R303" s="299"/>
      <c r="S303" s="299"/>
      <c r="T303" s="299"/>
      <c r="U303" s="299"/>
      <c r="V303" s="299"/>
      <c r="W303" s="299"/>
      <c r="X303" s="299"/>
      <c r="Y303" s="299"/>
      <c r="Z303" s="299"/>
      <c r="AA303" s="299"/>
      <c r="AB303" s="299"/>
      <c r="AC303" s="299"/>
      <c r="AD303" s="299"/>
      <c r="AE303" s="299"/>
      <c r="AF303" s="299"/>
      <c r="AG303" s="299"/>
      <c r="AH303" s="215"/>
    </row>
    <row r="304" spans="1:34" x14ac:dyDescent="0.2">
      <c r="A304" s="265" t="s">
        <v>15</v>
      </c>
      <c r="B304" s="266"/>
      <c r="C304" s="291">
        <f>B285+C301</f>
        <v>-35775.843000000001</v>
      </c>
      <c r="D304" s="291">
        <f t="shared" ref="D304:AG304" si="32">C311+D301</f>
        <v>-35775.843000000001</v>
      </c>
      <c r="E304" s="291">
        <f t="shared" si="32"/>
        <v>-35775.843000000001</v>
      </c>
      <c r="F304" s="291">
        <f t="shared" si="32"/>
        <v>-35775.843000000001</v>
      </c>
      <c r="G304" s="291">
        <f t="shared" si="32"/>
        <v>-35775.843000000001</v>
      </c>
      <c r="H304" s="291">
        <f t="shared" si="32"/>
        <v>-35775.843000000001</v>
      </c>
      <c r="I304" s="291">
        <f t="shared" si="32"/>
        <v>-35775.843000000001</v>
      </c>
      <c r="J304" s="291">
        <f t="shared" si="32"/>
        <v>-35775.843000000001</v>
      </c>
      <c r="K304" s="291">
        <f t="shared" si="32"/>
        <v>-35775.843000000001</v>
      </c>
      <c r="L304" s="291">
        <f t="shared" si="32"/>
        <v>-35775.843000000001</v>
      </c>
      <c r="M304" s="291">
        <f t="shared" si="32"/>
        <v>-35775.843000000001</v>
      </c>
      <c r="N304" s="291">
        <f t="shared" si="32"/>
        <v>-35775.843000000001</v>
      </c>
      <c r="O304" s="291">
        <f t="shared" si="32"/>
        <v>-35775.843000000001</v>
      </c>
      <c r="P304" s="289">
        <f t="shared" si="32"/>
        <v>-35775.843000000001</v>
      </c>
      <c r="Q304" s="291">
        <f t="shared" si="32"/>
        <v>-35775.843000000001</v>
      </c>
      <c r="R304" s="291">
        <f t="shared" si="32"/>
        <v>-35775.843000000001</v>
      </c>
      <c r="S304" s="291">
        <f t="shared" si="32"/>
        <v>-35775.843000000001</v>
      </c>
      <c r="T304" s="291">
        <f t="shared" si="32"/>
        <v>-35775.843000000001</v>
      </c>
      <c r="U304" s="291">
        <f t="shared" si="32"/>
        <v>-35775.843000000001</v>
      </c>
      <c r="V304" s="291">
        <f t="shared" si="32"/>
        <v>-35775.843000000001</v>
      </c>
      <c r="W304" s="291">
        <f t="shared" si="32"/>
        <v>-35775.843000000001</v>
      </c>
      <c r="X304" s="291">
        <f t="shared" si="32"/>
        <v>-35775.843000000001</v>
      </c>
      <c r="Y304" s="291">
        <f t="shared" si="32"/>
        <v>-35775.843000000001</v>
      </c>
      <c r="Z304" s="291">
        <f t="shared" si="32"/>
        <v>-35775.843000000001</v>
      </c>
      <c r="AA304" s="291">
        <f t="shared" si="32"/>
        <v>-35775.843000000001</v>
      </c>
      <c r="AB304" s="291">
        <f t="shared" si="32"/>
        <v>-35775.843000000001</v>
      </c>
      <c r="AC304" s="291">
        <f t="shared" si="32"/>
        <v>-35775.843000000001</v>
      </c>
      <c r="AD304" s="291">
        <f t="shared" si="32"/>
        <v>-35775.843000000001</v>
      </c>
      <c r="AE304" s="291">
        <f t="shared" si="32"/>
        <v>-35775.843000000001</v>
      </c>
      <c r="AF304" s="291">
        <f t="shared" si="32"/>
        <v>-35775.843000000001</v>
      </c>
      <c r="AG304" s="291">
        <f t="shared" si="32"/>
        <v>-35775.843000000001</v>
      </c>
      <c r="AH304" s="215"/>
    </row>
    <row r="305" spans="1:34" ht="13.5" thickBot="1" x14ac:dyDescent="0.25">
      <c r="A305" s="275"/>
      <c r="B305" s="302"/>
      <c r="C305" s="303"/>
      <c r="D305" s="303"/>
      <c r="E305" s="303"/>
      <c r="F305" s="304"/>
      <c r="G305" s="304"/>
      <c r="H305" s="304"/>
      <c r="I305" s="304"/>
      <c r="J305" s="304"/>
      <c r="K305" s="304"/>
      <c r="L305" s="304"/>
      <c r="M305" s="304"/>
      <c r="N305" s="304"/>
      <c r="O305" s="304"/>
      <c r="P305" s="868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4"/>
      <c r="AE305" s="304"/>
      <c r="AF305" s="304"/>
      <c r="AG305" s="304"/>
      <c r="AH305" s="215"/>
    </row>
    <row r="306" spans="1:34" x14ac:dyDescent="0.2">
      <c r="A306" s="263"/>
      <c r="B306" s="264"/>
      <c r="C306" s="298"/>
      <c r="D306" s="298"/>
      <c r="E306" s="298"/>
      <c r="F306" s="299"/>
      <c r="G306" s="299"/>
      <c r="H306" s="299"/>
      <c r="I306" s="299"/>
      <c r="J306" s="299"/>
      <c r="K306" s="299"/>
      <c r="L306" s="299"/>
      <c r="M306" s="299"/>
      <c r="N306" s="299"/>
      <c r="O306" s="299"/>
      <c r="P306" s="866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299"/>
      <c r="AH306" s="215"/>
    </row>
    <row r="307" spans="1:34" x14ac:dyDescent="0.2">
      <c r="A307" s="265" t="s">
        <v>82</v>
      </c>
      <c r="B307" s="266"/>
      <c r="C307" s="291">
        <f t="shared" ref="C307:AG308" si="33">C315</f>
        <v>0</v>
      </c>
      <c r="D307" s="291">
        <f t="shared" si="33"/>
        <v>0</v>
      </c>
      <c r="E307" s="291">
        <f t="shared" si="33"/>
        <v>0</v>
      </c>
      <c r="F307" s="291">
        <f t="shared" si="33"/>
        <v>0</v>
      </c>
      <c r="G307" s="291">
        <f t="shared" si="33"/>
        <v>0</v>
      </c>
      <c r="H307" s="291">
        <f t="shared" si="33"/>
        <v>0</v>
      </c>
      <c r="I307" s="291">
        <f t="shared" si="33"/>
        <v>0</v>
      </c>
      <c r="J307" s="291">
        <f t="shared" si="33"/>
        <v>0</v>
      </c>
      <c r="K307" s="291">
        <f t="shared" si="33"/>
        <v>0</v>
      </c>
      <c r="L307" s="291">
        <f t="shared" si="33"/>
        <v>0</v>
      </c>
      <c r="M307" s="291">
        <f t="shared" si="33"/>
        <v>0</v>
      </c>
      <c r="N307" s="291">
        <f t="shared" si="33"/>
        <v>0</v>
      </c>
      <c r="O307" s="291">
        <f t="shared" si="33"/>
        <v>0</v>
      </c>
      <c r="P307" s="289">
        <f t="shared" si="33"/>
        <v>0</v>
      </c>
      <c r="Q307" s="291">
        <f t="shared" si="33"/>
        <v>0</v>
      </c>
      <c r="R307" s="291">
        <f t="shared" si="33"/>
        <v>0</v>
      </c>
      <c r="S307" s="291">
        <f t="shared" si="33"/>
        <v>0</v>
      </c>
      <c r="T307" s="291">
        <f t="shared" si="33"/>
        <v>0</v>
      </c>
      <c r="U307" s="291">
        <f t="shared" si="33"/>
        <v>0</v>
      </c>
      <c r="V307" s="291">
        <f t="shared" si="33"/>
        <v>0</v>
      </c>
      <c r="W307" s="291">
        <f t="shared" si="33"/>
        <v>0</v>
      </c>
      <c r="X307" s="291">
        <f t="shared" si="33"/>
        <v>0</v>
      </c>
      <c r="Y307" s="291">
        <f t="shared" si="33"/>
        <v>0</v>
      </c>
      <c r="Z307" s="291">
        <f t="shared" si="33"/>
        <v>0</v>
      </c>
      <c r="AA307" s="291">
        <f>AA315</f>
        <v>0</v>
      </c>
      <c r="AB307" s="291">
        <f t="shared" si="33"/>
        <v>0</v>
      </c>
      <c r="AC307" s="291">
        <f t="shared" si="33"/>
        <v>0</v>
      </c>
      <c r="AD307" s="291">
        <f t="shared" si="33"/>
        <v>0</v>
      </c>
      <c r="AE307" s="291">
        <f t="shared" si="33"/>
        <v>0</v>
      </c>
      <c r="AF307" s="291">
        <f t="shared" si="33"/>
        <v>0</v>
      </c>
      <c r="AG307" s="291">
        <f t="shared" si="33"/>
        <v>0</v>
      </c>
      <c r="AH307" s="215"/>
    </row>
    <row r="308" spans="1:34" x14ac:dyDescent="0.2">
      <c r="A308" s="265" t="s">
        <v>83</v>
      </c>
      <c r="B308" s="266"/>
      <c r="C308" s="289">
        <f t="shared" si="33"/>
        <v>0</v>
      </c>
      <c r="D308" s="289">
        <f t="shared" si="33"/>
        <v>0</v>
      </c>
      <c r="E308" s="289">
        <f t="shared" si="33"/>
        <v>0</v>
      </c>
      <c r="F308" s="289">
        <f t="shared" si="33"/>
        <v>0</v>
      </c>
      <c r="G308" s="289">
        <f t="shared" si="33"/>
        <v>0</v>
      </c>
      <c r="H308" s="289">
        <f t="shared" si="33"/>
        <v>0</v>
      </c>
      <c r="I308" s="289">
        <f t="shared" si="33"/>
        <v>0</v>
      </c>
      <c r="J308" s="289">
        <f t="shared" si="33"/>
        <v>0</v>
      </c>
      <c r="K308" s="289">
        <f t="shared" si="33"/>
        <v>0</v>
      </c>
      <c r="L308" s="289">
        <f t="shared" si="33"/>
        <v>0</v>
      </c>
      <c r="M308" s="289">
        <f t="shared" si="33"/>
        <v>0</v>
      </c>
      <c r="N308" s="289">
        <f t="shared" si="33"/>
        <v>0</v>
      </c>
      <c r="O308" s="289">
        <f t="shared" si="33"/>
        <v>0</v>
      </c>
      <c r="P308" s="289">
        <f t="shared" si="33"/>
        <v>0</v>
      </c>
      <c r="Q308" s="289">
        <f t="shared" si="33"/>
        <v>0</v>
      </c>
      <c r="R308" s="289">
        <f t="shared" si="33"/>
        <v>0</v>
      </c>
      <c r="S308" s="289">
        <f t="shared" si="33"/>
        <v>0</v>
      </c>
      <c r="T308" s="289">
        <f t="shared" si="33"/>
        <v>0</v>
      </c>
      <c r="U308" s="289">
        <f t="shared" si="33"/>
        <v>0</v>
      </c>
      <c r="V308" s="289">
        <f t="shared" si="33"/>
        <v>0</v>
      </c>
      <c r="W308" s="289">
        <f t="shared" si="33"/>
        <v>0</v>
      </c>
      <c r="X308" s="289">
        <f t="shared" si="33"/>
        <v>0</v>
      </c>
      <c r="Y308" s="289">
        <f t="shared" si="33"/>
        <v>0</v>
      </c>
      <c r="Z308" s="289">
        <f t="shared" si="33"/>
        <v>0</v>
      </c>
      <c r="AA308" s="289">
        <f t="shared" si="33"/>
        <v>0</v>
      </c>
      <c r="AB308" s="289">
        <f t="shared" si="33"/>
        <v>0</v>
      </c>
      <c r="AC308" s="289">
        <f t="shared" si="33"/>
        <v>0</v>
      </c>
      <c r="AD308" s="289">
        <f t="shared" si="33"/>
        <v>0</v>
      </c>
      <c r="AE308" s="289">
        <f t="shared" si="33"/>
        <v>0</v>
      </c>
      <c r="AF308" s="289">
        <f t="shared" si="33"/>
        <v>0</v>
      </c>
      <c r="AG308" s="289">
        <f t="shared" si="33"/>
        <v>0</v>
      </c>
      <c r="AH308" s="215"/>
    </row>
    <row r="309" spans="1:34" ht="13.5" thickBot="1" x14ac:dyDescent="0.25">
      <c r="A309" s="275"/>
      <c r="B309" s="302"/>
      <c r="C309" s="303"/>
      <c r="D309" s="303"/>
      <c r="E309" s="303"/>
      <c r="F309" s="304"/>
      <c r="G309" s="304"/>
      <c r="H309" s="304"/>
      <c r="I309" s="304"/>
      <c r="J309" s="304"/>
      <c r="K309" s="304"/>
      <c r="L309" s="304"/>
      <c r="M309" s="304"/>
      <c r="N309" s="304"/>
      <c r="O309" s="304"/>
      <c r="P309" s="868"/>
      <c r="Q309" s="304"/>
      <c r="R309" s="304"/>
      <c r="S309" s="304"/>
      <c r="T309" s="304"/>
      <c r="U309" s="304"/>
      <c r="V309" s="304"/>
      <c r="W309" s="304"/>
      <c r="X309" s="304"/>
      <c r="Y309" s="304"/>
      <c r="Z309" s="304"/>
      <c r="AA309" s="304"/>
      <c r="AB309" s="304"/>
      <c r="AC309" s="304"/>
      <c r="AD309" s="304"/>
      <c r="AE309" s="304"/>
      <c r="AF309" s="304"/>
      <c r="AG309" s="304"/>
      <c r="AH309" s="215"/>
    </row>
    <row r="310" spans="1:34" x14ac:dyDescent="0.2">
      <c r="A310" s="265"/>
      <c r="B310" s="266"/>
      <c r="C310" s="291"/>
      <c r="D310" s="291"/>
      <c r="E310" s="291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2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  <c r="AA310" s="290"/>
      <c r="AB310" s="290"/>
      <c r="AC310" s="290"/>
      <c r="AD310" s="290"/>
      <c r="AE310" s="290"/>
      <c r="AF310" s="290"/>
      <c r="AG310" s="290"/>
      <c r="AH310" s="215"/>
    </row>
    <row r="311" spans="1:34" x14ac:dyDescent="0.2">
      <c r="A311" s="265" t="s">
        <v>14</v>
      </c>
      <c r="B311" s="266"/>
      <c r="C311" s="291">
        <f>C304+C307+C308</f>
        <v>-35775.843000000001</v>
      </c>
      <c r="D311" s="291">
        <f>D304+D307+D308</f>
        <v>-35775.843000000001</v>
      </c>
      <c r="E311" s="291">
        <f>E304+E307+E308</f>
        <v>-35775.843000000001</v>
      </c>
      <c r="F311" s="291">
        <f>F304+F307+F308</f>
        <v>-35775.843000000001</v>
      </c>
      <c r="G311" s="291">
        <f>G304+G307+G308</f>
        <v>-35775.843000000001</v>
      </c>
      <c r="H311" s="291">
        <f t="shared" ref="H311:AG311" si="34">H304+H307+H308</f>
        <v>-35775.843000000001</v>
      </c>
      <c r="I311" s="291">
        <f t="shared" si="34"/>
        <v>-35775.843000000001</v>
      </c>
      <c r="J311" s="291">
        <f t="shared" si="34"/>
        <v>-35775.843000000001</v>
      </c>
      <c r="K311" s="291">
        <f t="shared" si="34"/>
        <v>-35775.843000000001</v>
      </c>
      <c r="L311" s="291">
        <f t="shared" si="34"/>
        <v>-35775.843000000001</v>
      </c>
      <c r="M311" s="291">
        <f t="shared" si="34"/>
        <v>-35775.843000000001</v>
      </c>
      <c r="N311" s="291">
        <f t="shared" si="34"/>
        <v>-35775.843000000001</v>
      </c>
      <c r="O311" s="291">
        <f t="shared" si="34"/>
        <v>-35775.843000000001</v>
      </c>
      <c r="P311" s="289">
        <f t="shared" si="34"/>
        <v>-35775.843000000001</v>
      </c>
      <c r="Q311" s="291">
        <f t="shared" si="34"/>
        <v>-35775.843000000001</v>
      </c>
      <c r="R311" s="291">
        <f t="shared" si="34"/>
        <v>-35775.843000000001</v>
      </c>
      <c r="S311" s="291">
        <f t="shared" si="34"/>
        <v>-35775.843000000001</v>
      </c>
      <c r="T311" s="291">
        <f t="shared" si="34"/>
        <v>-35775.843000000001</v>
      </c>
      <c r="U311" s="291">
        <f t="shared" si="34"/>
        <v>-35775.843000000001</v>
      </c>
      <c r="V311" s="291">
        <f t="shared" si="34"/>
        <v>-35775.843000000001</v>
      </c>
      <c r="W311" s="291">
        <f t="shared" si="34"/>
        <v>-35775.843000000001</v>
      </c>
      <c r="X311" s="291">
        <f t="shared" si="34"/>
        <v>-35775.843000000001</v>
      </c>
      <c r="Y311" s="291">
        <f t="shared" si="34"/>
        <v>-35775.843000000001</v>
      </c>
      <c r="Z311" s="291">
        <f t="shared" si="34"/>
        <v>-35775.843000000001</v>
      </c>
      <c r="AA311" s="291">
        <f t="shared" si="34"/>
        <v>-35775.843000000001</v>
      </c>
      <c r="AB311" s="291">
        <f t="shared" si="34"/>
        <v>-35775.843000000001</v>
      </c>
      <c r="AC311" s="291">
        <f t="shared" si="34"/>
        <v>-35775.843000000001</v>
      </c>
      <c r="AD311" s="291">
        <f t="shared" si="34"/>
        <v>-35775.843000000001</v>
      </c>
      <c r="AE311" s="291">
        <f t="shared" si="34"/>
        <v>-35775.843000000001</v>
      </c>
      <c r="AF311" s="291">
        <f t="shared" si="34"/>
        <v>-35775.843000000001</v>
      </c>
      <c r="AG311" s="291">
        <f t="shared" si="34"/>
        <v>-35775.843000000001</v>
      </c>
      <c r="AH311" s="215"/>
    </row>
    <row r="312" spans="1:34" x14ac:dyDescent="0.2">
      <c r="A312" s="265"/>
      <c r="B312" s="266"/>
      <c r="C312" s="291"/>
      <c r="D312" s="291"/>
      <c r="E312" s="291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2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  <c r="AA312" s="290"/>
      <c r="AB312" s="290"/>
      <c r="AC312" s="290"/>
      <c r="AD312" s="290"/>
      <c r="AE312" s="290"/>
      <c r="AF312" s="290"/>
      <c r="AG312" s="290"/>
      <c r="AH312" s="215"/>
    </row>
    <row r="313" spans="1:34" ht="13.5" thickBot="1" x14ac:dyDescent="0.25">
      <c r="A313" s="275"/>
      <c r="B313" s="302"/>
      <c r="C313" s="306"/>
      <c r="D313" s="306"/>
      <c r="E313" s="306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869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C313" s="307"/>
      <c r="AD313" s="307"/>
      <c r="AE313" s="307"/>
      <c r="AF313" s="307"/>
      <c r="AG313" s="307"/>
      <c r="AH313" s="215"/>
    </row>
    <row r="314" spans="1:34" x14ac:dyDescent="0.2">
      <c r="A314" s="310"/>
      <c r="B314" s="215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308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>
        <f>SUM(C314:AG314)</f>
        <v>0</v>
      </c>
    </row>
    <row r="315" spans="1:34" x14ac:dyDescent="0.2">
      <c r="A315" s="312"/>
      <c r="B315" s="475"/>
      <c r="C315" s="311"/>
      <c r="D315" s="629"/>
      <c r="E315" s="371"/>
      <c r="F315" s="311"/>
      <c r="G315" s="311"/>
      <c r="H315" s="314"/>
      <c r="I315" s="311"/>
      <c r="J315" s="311"/>
      <c r="K315" s="311"/>
      <c r="L315" s="311"/>
      <c r="M315" s="314"/>
      <c r="N315" s="314"/>
      <c r="O315" s="314"/>
      <c r="P315" s="629"/>
      <c r="Q315" s="311"/>
      <c r="R315" s="311"/>
      <c r="S315" s="311"/>
      <c r="T315" s="311"/>
      <c r="U315" s="311"/>
      <c r="V315" s="311"/>
      <c r="W315" s="314"/>
      <c r="X315" s="314"/>
      <c r="Y315" s="314"/>
      <c r="Z315" s="314"/>
      <c r="AA315" s="314"/>
      <c r="AB315" s="314"/>
      <c r="AC315" s="314"/>
      <c r="AD315" s="629"/>
      <c r="AE315" s="311"/>
      <c r="AF315" s="311"/>
      <c r="AG315" s="311"/>
      <c r="AH315" s="286"/>
    </row>
    <row r="316" spans="1:34" x14ac:dyDescent="0.2">
      <c r="A316" s="215"/>
      <c r="B316" s="215"/>
      <c r="C316" s="215"/>
      <c r="D316" s="215"/>
      <c r="E316" s="317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309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15"/>
      <c r="AE316" s="215"/>
      <c r="AF316" s="215"/>
      <c r="AG316" s="215"/>
      <c r="AH316" s="286"/>
    </row>
    <row r="317" spans="1:34" x14ac:dyDescent="0.2">
      <c r="A317" s="358" t="s">
        <v>415</v>
      </c>
      <c r="B317" s="359">
        <f>B318+B319+B321+B320</f>
        <v>1020000</v>
      </c>
      <c r="C317" s="316"/>
      <c r="D317" s="215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457"/>
      <c r="V317" s="314"/>
      <c r="W317" s="286"/>
      <c r="X317" s="215"/>
      <c r="Y317" s="215"/>
      <c r="Z317" s="215"/>
      <c r="AA317" s="408"/>
      <c r="AB317" s="215"/>
      <c r="AC317" s="215"/>
      <c r="AD317" s="215"/>
      <c r="AE317" s="215"/>
      <c r="AF317" s="215"/>
      <c r="AG317" s="215"/>
      <c r="AH317" s="215"/>
    </row>
    <row r="318" spans="1:34" x14ac:dyDescent="0.2">
      <c r="A318" s="327" t="s">
        <v>414</v>
      </c>
      <c r="B318" s="311">
        <v>20000</v>
      </c>
      <c r="C318" s="215"/>
      <c r="D318" s="215"/>
      <c r="E318" s="286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309"/>
      <c r="Q318" s="215"/>
      <c r="R318" s="215"/>
      <c r="S318" s="215"/>
      <c r="T318" s="215"/>
      <c r="U318" s="313"/>
      <c r="V318" s="313"/>
      <c r="W318" s="215"/>
      <c r="X318" s="215"/>
      <c r="Y318" s="215"/>
      <c r="Z318" s="215"/>
      <c r="AA318" s="215"/>
      <c r="AB318" s="215"/>
      <c r="AC318" s="286"/>
      <c r="AD318" s="286"/>
      <c r="AE318" s="215"/>
      <c r="AF318" s="215"/>
      <c r="AG318" s="215"/>
      <c r="AH318" s="215"/>
    </row>
    <row r="319" spans="1:34" x14ac:dyDescent="0.2">
      <c r="A319" s="327" t="s">
        <v>287</v>
      </c>
      <c r="B319" s="311">
        <v>600000</v>
      </c>
      <c r="C319" s="215"/>
      <c r="D319" s="215"/>
      <c r="E319" s="215"/>
      <c r="F319" s="215"/>
      <c r="G319" s="215"/>
      <c r="H319" s="215"/>
      <c r="I319" s="215"/>
      <c r="J319" s="215"/>
      <c r="K319" s="286"/>
      <c r="L319" s="215"/>
      <c r="M319" s="215"/>
      <c r="N319" s="215"/>
      <c r="O319" s="215"/>
      <c r="P319" s="309"/>
      <c r="Q319" s="215"/>
      <c r="R319" s="215"/>
      <c r="S319" s="215"/>
      <c r="T319" s="215"/>
      <c r="U319" s="458"/>
      <c r="V319" s="313"/>
      <c r="W319" s="215"/>
      <c r="X319" s="286"/>
      <c r="Y319" s="215"/>
      <c r="Z319" s="215"/>
      <c r="AA319" s="215"/>
      <c r="AB319" s="215"/>
      <c r="AC319" s="215"/>
      <c r="AD319" s="215"/>
      <c r="AE319" s="215"/>
      <c r="AF319" s="215"/>
      <c r="AG319" s="215"/>
    </row>
    <row r="320" spans="1:34" x14ac:dyDescent="0.2">
      <c r="A320" s="310" t="s">
        <v>413</v>
      </c>
      <c r="B320" s="311">
        <v>200000</v>
      </c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309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310" t="s">
        <v>441</v>
      </c>
      <c r="B321" s="311">
        <v>200000</v>
      </c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309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</row>
    <row r="323" spans="1:33" x14ac:dyDescent="0.2">
      <c r="A323" s="183" t="s">
        <v>449</v>
      </c>
      <c r="B323" s="25"/>
      <c r="L323" s="42"/>
    </row>
    <row r="324" spans="1:33" x14ac:dyDescent="0.2">
      <c r="AB324" s="42"/>
      <c r="AC324" s="42"/>
      <c r="AD324" s="42"/>
      <c r="AE324" s="42"/>
    </row>
    <row r="331" spans="1:33" ht="15" x14ac:dyDescent="0.2">
      <c r="A331" s="401"/>
      <c r="B331" s="791"/>
    </row>
    <row r="332" spans="1:33" ht="15" x14ac:dyDescent="0.2">
      <c r="A332" s="401"/>
      <c r="B332" s="791"/>
    </row>
    <row r="333" spans="1:33" ht="15" x14ac:dyDescent="0.2">
      <c r="A333" s="401"/>
      <c r="B333" s="791"/>
    </row>
    <row r="338" spans="1:2" ht="18" x14ac:dyDescent="0.25">
      <c r="A338" s="1757"/>
      <c r="B338" s="1757"/>
    </row>
    <row r="339" spans="1:2" x14ac:dyDescent="0.2">
      <c r="A339" s="54"/>
      <c r="B339" s="54"/>
    </row>
    <row r="341" spans="1:2" x14ac:dyDescent="0.2">
      <c r="A341" s="483"/>
      <c r="B341" s="25"/>
    </row>
    <row r="342" spans="1:2" x14ac:dyDescent="0.2">
      <c r="A342" s="483"/>
      <c r="B342" s="25"/>
    </row>
    <row r="343" spans="1:2" x14ac:dyDescent="0.2">
      <c r="A343" s="483"/>
      <c r="B343" s="25"/>
    </row>
    <row r="344" spans="1:2" x14ac:dyDescent="0.2">
      <c r="A344" s="483"/>
      <c r="B344" s="25"/>
    </row>
    <row r="345" spans="1:2" x14ac:dyDescent="0.2">
      <c r="A345" s="483"/>
      <c r="B345" s="25"/>
    </row>
    <row r="346" spans="1:2" x14ac:dyDescent="0.2">
      <c r="A346" s="483"/>
      <c r="B346" s="25"/>
    </row>
    <row r="347" spans="1:2" x14ac:dyDescent="0.2">
      <c r="A347" s="483"/>
      <c r="B347" s="25"/>
    </row>
    <row r="348" spans="1:2" x14ac:dyDescent="0.2">
      <c r="A348" s="483"/>
      <c r="B348" s="25"/>
    </row>
    <row r="349" spans="1:2" x14ac:dyDescent="0.2">
      <c r="A349" s="483"/>
      <c r="B349" s="25"/>
    </row>
    <row r="350" spans="1:2" x14ac:dyDescent="0.2">
      <c r="A350" s="483"/>
      <c r="B350" s="25"/>
    </row>
    <row r="351" spans="1:2" x14ac:dyDescent="0.2">
      <c r="A351" s="483"/>
      <c r="B351" s="25"/>
    </row>
    <row r="354" spans="2:2" x14ac:dyDescent="0.2">
      <c r="B354" s="25"/>
    </row>
    <row r="355" spans="2:2" x14ac:dyDescent="0.2">
      <c r="B355" s="25"/>
    </row>
    <row r="356" spans="2:2" x14ac:dyDescent="0.2">
      <c r="B356" s="25"/>
    </row>
    <row r="358" spans="2:2" x14ac:dyDescent="0.2">
      <c r="B358" s="889"/>
    </row>
  </sheetData>
  <mergeCells count="4">
    <mergeCell ref="A338:B338"/>
    <mergeCell ref="F284:G284"/>
    <mergeCell ref="M153:U153"/>
    <mergeCell ref="AC37:AD37"/>
  </mergeCells>
  <pageMargins left="0.78740157480314965" right="0.78740157480314965" top="0.98425196850393704" bottom="0.98425196850393704" header="0.51181102362204722" footer="0.51181102362204722"/>
  <pageSetup paperSize="9" fitToHeight="2" orientation="landscape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9">
    <pageSetUpPr fitToPage="1"/>
  </sheetPr>
  <dimension ref="A1:AQ358"/>
  <sheetViews>
    <sheetView topLeftCell="V19" zoomScale="115" zoomScaleNormal="115" workbookViewId="0">
      <pane ySplit="2400" topLeftCell="A34" activePane="bottomLeft"/>
      <selection activeCell="AD21" sqref="AD21"/>
      <selection pane="bottomLeft" activeCell="AF44" sqref="AF44"/>
    </sheetView>
  </sheetViews>
  <sheetFormatPr defaultColWidth="11.42578125" defaultRowHeight="12.75" x14ac:dyDescent="0.2"/>
  <cols>
    <col min="1" max="1" width="37.42578125" customWidth="1"/>
    <col min="2" max="2" width="13.7109375" customWidth="1"/>
    <col min="3" max="3" width="14" customWidth="1"/>
    <col min="4" max="4" width="14.28515625" customWidth="1"/>
    <col min="5" max="5" width="14.42578125" bestFit="1" customWidth="1"/>
    <col min="6" max="6" width="12.7109375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1.85546875" bestFit="1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6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6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6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6" x14ac:dyDescent="0.2">
      <c r="A4" s="215"/>
      <c r="B4" s="215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81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15"/>
    </row>
    <row r="5" spans="1:36" x14ac:dyDescent="0.2">
      <c r="A5" s="1" t="s">
        <v>689</v>
      </c>
      <c r="B5" s="451" t="s">
        <v>132</v>
      </c>
      <c r="C5" s="359">
        <f>C6+C7+C8+C9</f>
        <v>-536804.17099999997</v>
      </c>
      <c r="D5" s="359">
        <f t="shared" ref="D5:AG5" si="0">D6+D7+D8+D9</f>
        <v>-536804.17099999997</v>
      </c>
      <c r="E5" s="359">
        <f t="shared" si="0"/>
        <v>-536804.17099999997</v>
      </c>
      <c r="F5" s="359">
        <f t="shared" si="0"/>
        <v>-536804.17099999997</v>
      </c>
      <c r="G5" s="359">
        <f t="shared" si="0"/>
        <v>-536804.17099999997</v>
      </c>
      <c r="H5" s="359">
        <f t="shared" si="0"/>
        <v>-536804.17099999997</v>
      </c>
      <c r="I5" s="359">
        <f t="shared" si="0"/>
        <v>-536804.17099999997</v>
      </c>
      <c r="J5" s="453">
        <f t="shared" si="0"/>
        <v>-536804.17099999997</v>
      </c>
      <c r="K5" s="453">
        <f t="shared" si="0"/>
        <v>-536804.17099999997</v>
      </c>
      <c r="L5" s="359">
        <f t="shared" si="0"/>
        <v>-536804.17099999997</v>
      </c>
      <c r="M5" s="359">
        <f t="shared" si="0"/>
        <v>-536804.07799999998</v>
      </c>
      <c r="N5" s="359">
        <f t="shared" si="0"/>
        <v>-536804.07799999998</v>
      </c>
      <c r="O5" s="359">
        <f t="shared" si="0"/>
        <v>-536804.07799999998</v>
      </c>
      <c r="P5" s="858">
        <f t="shared" si="0"/>
        <v>-536804.07799999998</v>
      </c>
      <c r="Q5" s="359">
        <f t="shared" si="0"/>
        <v>-536804.07799999998</v>
      </c>
      <c r="R5" s="359">
        <f t="shared" si="0"/>
        <v>-536804.07799999998</v>
      </c>
      <c r="S5" s="359">
        <f t="shared" si="0"/>
        <v>-536804.07799999998</v>
      </c>
      <c r="T5" s="359">
        <f t="shared" si="0"/>
        <v>-536804.07799999998</v>
      </c>
      <c r="U5" s="359">
        <f t="shared" si="0"/>
        <v>-536804.07799999998</v>
      </c>
      <c r="V5" s="359">
        <f t="shared" si="0"/>
        <v>-536804.07799999998</v>
      </c>
      <c r="W5" s="359">
        <f t="shared" si="0"/>
        <v>-536804.07799999998</v>
      </c>
      <c r="X5" s="359">
        <f t="shared" si="0"/>
        <v>-536804.07799999998</v>
      </c>
      <c r="Y5" s="359">
        <f t="shared" si="0"/>
        <v>-536804.07799999998</v>
      </c>
      <c r="Z5" s="359">
        <f t="shared" si="0"/>
        <v>-536804.07799999998</v>
      </c>
      <c r="AA5" s="359">
        <f t="shared" si="0"/>
        <v>-536804.07799999998</v>
      </c>
      <c r="AB5" s="359">
        <f t="shared" si="0"/>
        <v>-536804.07799999998</v>
      </c>
      <c r="AC5" s="359">
        <f t="shared" si="0"/>
        <v>-534604.07799999998</v>
      </c>
      <c r="AD5" s="359">
        <f t="shared" si="0"/>
        <v>-534604.07799999998</v>
      </c>
      <c r="AE5" s="359">
        <f t="shared" si="0"/>
        <v>-534604.07799999998</v>
      </c>
      <c r="AF5" s="359">
        <f t="shared" si="0"/>
        <v>-536232.67599999998</v>
      </c>
      <c r="AG5" s="359">
        <f t="shared" si="0"/>
        <v>-536232.67599999998</v>
      </c>
      <c r="AH5" s="215"/>
    </row>
    <row r="6" spans="1:36" x14ac:dyDescent="0.2">
      <c r="A6" s="56">
        <v>100000</v>
      </c>
      <c r="B6" s="215" t="s">
        <v>690</v>
      </c>
      <c r="C6" s="311">
        <f>C70</f>
        <v>-469772.337</v>
      </c>
      <c r="D6" s="311">
        <f t="shared" ref="D6:AG6" si="1">D70</f>
        <v>-469772.337</v>
      </c>
      <c r="E6" s="311">
        <f t="shared" si="1"/>
        <v>-469772.337</v>
      </c>
      <c r="F6" s="311">
        <f t="shared" si="1"/>
        <v>-469772.337</v>
      </c>
      <c r="G6" s="311">
        <f t="shared" si="1"/>
        <v>-469772.337</v>
      </c>
      <c r="H6" s="311">
        <f t="shared" si="1"/>
        <v>-469772.337</v>
      </c>
      <c r="I6" s="311">
        <f t="shared" si="1"/>
        <v>-469772.337</v>
      </c>
      <c r="J6" s="314">
        <f t="shared" si="1"/>
        <v>-469772.337</v>
      </c>
      <c r="K6" s="314">
        <f>K70</f>
        <v>-469772.337</v>
      </c>
      <c r="L6" s="311">
        <f t="shared" si="1"/>
        <v>-469772.337</v>
      </c>
      <c r="M6" s="311">
        <f t="shared" si="1"/>
        <v>-469772.24400000001</v>
      </c>
      <c r="N6" s="311">
        <f t="shared" si="1"/>
        <v>-469772.24400000001</v>
      </c>
      <c r="O6" s="311">
        <f t="shared" si="1"/>
        <v>-469772.24400000001</v>
      </c>
      <c r="P6" s="629">
        <f t="shared" si="1"/>
        <v>-469772.24400000001</v>
      </c>
      <c r="Q6" s="311">
        <f t="shared" si="1"/>
        <v>-469772.24400000001</v>
      </c>
      <c r="R6" s="311">
        <f t="shared" si="1"/>
        <v>-469772.24400000001</v>
      </c>
      <c r="S6" s="311">
        <f t="shared" si="1"/>
        <v>-469772.24400000001</v>
      </c>
      <c r="T6" s="311">
        <f t="shared" si="1"/>
        <v>-469772.24400000001</v>
      </c>
      <c r="U6" s="311">
        <f t="shared" si="1"/>
        <v>-469772.24400000001</v>
      </c>
      <c r="V6" s="311">
        <f t="shared" si="1"/>
        <v>-469772.24400000001</v>
      </c>
      <c r="W6" s="311">
        <f t="shared" si="1"/>
        <v>-469772.24400000001</v>
      </c>
      <c r="X6" s="311">
        <f t="shared" si="1"/>
        <v>-469772.24400000001</v>
      </c>
      <c r="Y6" s="311">
        <f t="shared" si="1"/>
        <v>-469772.24400000001</v>
      </c>
      <c r="Z6" s="311">
        <f t="shared" si="1"/>
        <v>-469772.24400000001</v>
      </c>
      <c r="AA6" s="311">
        <f t="shared" si="1"/>
        <v>-469772.24400000001</v>
      </c>
      <c r="AB6" s="311">
        <f t="shared" si="1"/>
        <v>-469772.24400000001</v>
      </c>
      <c r="AC6" s="311">
        <f t="shared" si="1"/>
        <v>-469772.24400000001</v>
      </c>
      <c r="AD6" s="311">
        <f t="shared" si="1"/>
        <v>-469772.24400000001</v>
      </c>
      <c r="AE6" s="311">
        <f t="shared" si="1"/>
        <v>-469772.24400000001</v>
      </c>
      <c r="AF6" s="311">
        <f t="shared" si="1"/>
        <v>-471400.842</v>
      </c>
      <c r="AG6" s="311">
        <f t="shared" si="1"/>
        <v>-471400.842</v>
      </c>
      <c r="AH6" s="215"/>
    </row>
    <row r="7" spans="1:36" x14ac:dyDescent="0.2">
      <c r="A7" s="56">
        <v>25000</v>
      </c>
      <c r="B7" s="215" t="s">
        <v>666</v>
      </c>
      <c r="C7" s="311">
        <f>C184</f>
        <v>-26238.271000000001</v>
      </c>
      <c r="D7" s="311">
        <f t="shared" ref="D7:AG7" si="2">D184</f>
        <v>-26238.271000000001</v>
      </c>
      <c r="E7" s="311">
        <f t="shared" si="2"/>
        <v>-26238.271000000001</v>
      </c>
      <c r="F7" s="311">
        <f t="shared" si="2"/>
        <v>-26238.271000000001</v>
      </c>
      <c r="G7" s="311">
        <f t="shared" si="2"/>
        <v>-26238.271000000001</v>
      </c>
      <c r="H7" s="311">
        <f t="shared" si="2"/>
        <v>-26238.271000000001</v>
      </c>
      <c r="I7" s="311">
        <f t="shared" si="2"/>
        <v>-26238.271000000001</v>
      </c>
      <c r="J7" s="314">
        <f t="shared" si="2"/>
        <v>-26238.271000000001</v>
      </c>
      <c r="K7" s="314">
        <f t="shared" si="2"/>
        <v>-26238.271000000001</v>
      </c>
      <c r="L7" s="311">
        <f t="shared" si="2"/>
        <v>-26238.271000000001</v>
      </c>
      <c r="M7" s="311">
        <f t="shared" si="2"/>
        <v>-26238.271000000001</v>
      </c>
      <c r="N7" s="311">
        <f t="shared" si="2"/>
        <v>-26238.271000000001</v>
      </c>
      <c r="O7" s="311">
        <f t="shared" si="2"/>
        <v>-26238.271000000001</v>
      </c>
      <c r="P7" s="629">
        <f>P184</f>
        <v>-26238.271000000001</v>
      </c>
      <c r="Q7" s="311">
        <f t="shared" si="2"/>
        <v>-26238.271000000001</v>
      </c>
      <c r="R7" s="311">
        <f t="shared" si="2"/>
        <v>-26238.271000000001</v>
      </c>
      <c r="S7" s="784">
        <f t="shared" si="2"/>
        <v>-26238.271000000001</v>
      </c>
      <c r="T7" s="311">
        <f t="shared" si="2"/>
        <v>-26238.271000000001</v>
      </c>
      <c r="U7" s="311">
        <f t="shared" si="2"/>
        <v>-26238.271000000001</v>
      </c>
      <c r="V7" s="311">
        <f t="shared" si="2"/>
        <v>-26238.271000000001</v>
      </c>
      <c r="W7" s="311">
        <f t="shared" si="2"/>
        <v>-26238.271000000001</v>
      </c>
      <c r="X7" s="311">
        <f t="shared" si="2"/>
        <v>-26238.271000000001</v>
      </c>
      <c r="Y7" s="311">
        <f t="shared" si="2"/>
        <v>-26238.271000000001</v>
      </c>
      <c r="Z7" s="311">
        <f t="shared" si="2"/>
        <v>-26238.271000000001</v>
      </c>
      <c r="AA7" s="311">
        <f t="shared" si="2"/>
        <v>-26238.271000000001</v>
      </c>
      <c r="AB7" s="311">
        <f t="shared" si="2"/>
        <v>-26238.271000000001</v>
      </c>
      <c r="AC7" s="311">
        <f t="shared" si="2"/>
        <v>-26238.271000000001</v>
      </c>
      <c r="AD7" s="311">
        <f t="shared" si="2"/>
        <v>-26238.271000000001</v>
      </c>
      <c r="AE7" s="311">
        <f t="shared" si="2"/>
        <v>-26238.271000000001</v>
      </c>
      <c r="AF7" s="311">
        <f t="shared" si="2"/>
        <v>-26238.271000000001</v>
      </c>
      <c r="AG7" s="311">
        <f t="shared" si="2"/>
        <v>-26238.271000000001</v>
      </c>
      <c r="AH7" s="215"/>
    </row>
    <row r="8" spans="1:36" x14ac:dyDescent="0.2">
      <c r="A8" s="56">
        <v>25000</v>
      </c>
      <c r="B8" s="215" t="s">
        <v>667</v>
      </c>
      <c r="C8" s="311">
        <f>C247</f>
        <v>-23122.153999999999</v>
      </c>
      <c r="D8" s="311">
        <f t="shared" ref="D8:AG8" si="3">D247</f>
        <v>-23122.153999999999</v>
      </c>
      <c r="E8" s="311">
        <f t="shared" si="3"/>
        <v>-23122.153999999999</v>
      </c>
      <c r="F8" s="311">
        <f t="shared" si="3"/>
        <v>-23122.153999999999</v>
      </c>
      <c r="G8" s="311">
        <f t="shared" si="3"/>
        <v>-23122.153999999999</v>
      </c>
      <c r="H8" s="311">
        <f t="shared" si="3"/>
        <v>-23122.153999999999</v>
      </c>
      <c r="I8" s="784">
        <f t="shared" si="3"/>
        <v>-23122.153999999999</v>
      </c>
      <c r="J8" s="314">
        <f t="shared" si="3"/>
        <v>-23122.153999999999</v>
      </c>
      <c r="K8" s="314">
        <f t="shared" si="3"/>
        <v>-23122.153999999999</v>
      </c>
      <c r="L8" s="311">
        <f t="shared" si="3"/>
        <v>-23122.153999999999</v>
      </c>
      <c r="M8" s="311">
        <f t="shared" si="3"/>
        <v>-23122.153999999999</v>
      </c>
      <c r="N8" s="311">
        <f t="shared" si="3"/>
        <v>-23122.153999999999</v>
      </c>
      <c r="O8" s="311">
        <f t="shared" si="3"/>
        <v>-23122.153999999999</v>
      </c>
      <c r="P8" s="629">
        <f t="shared" si="3"/>
        <v>-23122.153999999999</v>
      </c>
      <c r="Q8" s="311">
        <f t="shared" si="3"/>
        <v>-23122.153999999999</v>
      </c>
      <c r="R8" s="311">
        <f t="shared" si="3"/>
        <v>-23122.153999999999</v>
      </c>
      <c r="S8" s="311">
        <f t="shared" si="3"/>
        <v>-23122.153999999999</v>
      </c>
      <c r="T8" s="311">
        <f t="shared" si="3"/>
        <v>-23122.153999999999</v>
      </c>
      <c r="U8" s="311">
        <f t="shared" si="3"/>
        <v>-23122.153999999999</v>
      </c>
      <c r="V8" s="311">
        <f t="shared" si="3"/>
        <v>-23122.153999999999</v>
      </c>
      <c r="W8" s="311">
        <f t="shared" si="3"/>
        <v>-23122.153999999999</v>
      </c>
      <c r="X8" s="311">
        <f t="shared" si="3"/>
        <v>-23122.153999999999</v>
      </c>
      <c r="Y8" s="311">
        <f t="shared" si="3"/>
        <v>-23122.153999999999</v>
      </c>
      <c r="Z8" s="311">
        <f t="shared" si="3"/>
        <v>-23122.153999999999</v>
      </c>
      <c r="AA8" s="311">
        <f t="shared" si="3"/>
        <v>-23122.153999999999</v>
      </c>
      <c r="AB8" s="311">
        <f t="shared" si="3"/>
        <v>-23122.153999999999</v>
      </c>
      <c r="AC8" s="311">
        <f t="shared" si="3"/>
        <v>-23122.153999999999</v>
      </c>
      <c r="AD8" s="311">
        <f t="shared" si="3"/>
        <v>-23122.153999999999</v>
      </c>
      <c r="AE8" s="311">
        <f t="shared" si="3"/>
        <v>-23122.153999999999</v>
      </c>
      <c r="AF8" s="311">
        <f t="shared" si="3"/>
        <v>-23122.153999999999</v>
      </c>
      <c r="AG8" s="311">
        <f t="shared" si="3"/>
        <v>-23122.153999999999</v>
      </c>
      <c r="AH8" s="215"/>
      <c r="AJ8" s="483"/>
    </row>
    <row r="9" spans="1:36" x14ac:dyDescent="0.2">
      <c r="A9" s="56">
        <v>20000</v>
      </c>
      <c r="B9" s="215" t="s">
        <v>691</v>
      </c>
      <c r="C9" s="311">
        <f>C311</f>
        <v>-17671.409</v>
      </c>
      <c r="D9" s="311">
        <f t="shared" ref="D9:AG9" si="4">D311</f>
        <v>-17671.409</v>
      </c>
      <c r="E9" s="311">
        <f t="shared" si="4"/>
        <v>-17671.409</v>
      </c>
      <c r="F9" s="311">
        <f t="shared" si="4"/>
        <v>-17671.409</v>
      </c>
      <c r="G9" s="784">
        <f t="shared" si="4"/>
        <v>-17671.409</v>
      </c>
      <c r="H9" s="311">
        <f t="shared" si="4"/>
        <v>-17671.409</v>
      </c>
      <c r="I9" s="311">
        <f t="shared" si="4"/>
        <v>-17671.409</v>
      </c>
      <c r="J9" s="314">
        <f t="shared" si="4"/>
        <v>-17671.409</v>
      </c>
      <c r="K9" s="314">
        <f t="shared" si="4"/>
        <v>-17671.409</v>
      </c>
      <c r="L9" s="311">
        <f t="shared" si="4"/>
        <v>-17671.409</v>
      </c>
      <c r="M9" s="311">
        <f t="shared" si="4"/>
        <v>-17671.409</v>
      </c>
      <c r="N9" s="311">
        <f t="shared" si="4"/>
        <v>-17671.409</v>
      </c>
      <c r="O9" s="311">
        <f t="shared" si="4"/>
        <v>-17671.409</v>
      </c>
      <c r="P9" s="629">
        <f t="shared" si="4"/>
        <v>-17671.409</v>
      </c>
      <c r="Q9" s="311">
        <f t="shared" si="4"/>
        <v>-17671.409</v>
      </c>
      <c r="R9" s="311">
        <f t="shared" si="4"/>
        <v>-17671.409</v>
      </c>
      <c r="S9" s="311">
        <f t="shared" si="4"/>
        <v>-17671.409</v>
      </c>
      <c r="T9" s="311">
        <f t="shared" si="4"/>
        <v>-17671.409</v>
      </c>
      <c r="U9" s="311">
        <f t="shared" si="4"/>
        <v>-17671.409</v>
      </c>
      <c r="V9" s="311">
        <f t="shared" si="4"/>
        <v>-17671.409</v>
      </c>
      <c r="W9" s="311">
        <f t="shared" si="4"/>
        <v>-17671.409</v>
      </c>
      <c r="X9" s="311">
        <f t="shared" si="4"/>
        <v>-17671.409</v>
      </c>
      <c r="Y9" s="311">
        <f t="shared" si="4"/>
        <v>-17671.409</v>
      </c>
      <c r="Z9" s="311">
        <f t="shared" si="4"/>
        <v>-17671.409</v>
      </c>
      <c r="AA9" s="311">
        <f t="shared" si="4"/>
        <v>-17671.409</v>
      </c>
      <c r="AB9" s="311">
        <f t="shared" si="4"/>
        <v>-17671.409</v>
      </c>
      <c r="AC9" s="311">
        <f t="shared" si="4"/>
        <v>-15471.409</v>
      </c>
      <c r="AD9" s="311">
        <f t="shared" si="4"/>
        <v>-15471.409</v>
      </c>
      <c r="AE9" s="311">
        <f t="shared" si="4"/>
        <v>-15471.409</v>
      </c>
      <c r="AF9" s="311">
        <f t="shared" si="4"/>
        <v>-15471.409</v>
      </c>
      <c r="AG9" s="311">
        <f t="shared" si="4"/>
        <v>-15471.409</v>
      </c>
      <c r="AH9" s="215"/>
    </row>
    <row r="10" spans="1:36" x14ac:dyDescent="0.2">
      <c r="A10" s="1" t="s">
        <v>692</v>
      </c>
      <c r="B10" s="451" t="s">
        <v>132</v>
      </c>
      <c r="C10" s="452">
        <f>C11+C12+C13</f>
        <v>4666</v>
      </c>
      <c r="D10" s="452">
        <f t="shared" ref="D10:AG10" si="5">D11+D12+D13</f>
        <v>1558</v>
      </c>
      <c r="E10" s="452">
        <f t="shared" si="5"/>
        <v>5010</v>
      </c>
      <c r="F10" s="452">
        <f t="shared" si="5"/>
        <v>2901</v>
      </c>
      <c r="G10" s="452">
        <f t="shared" si="5"/>
        <v>11075</v>
      </c>
      <c r="H10" s="452">
        <f t="shared" si="5"/>
        <v>0</v>
      </c>
      <c r="I10" s="452">
        <f t="shared" si="5"/>
        <v>13917</v>
      </c>
      <c r="J10" s="454">
        <f t="shared" si="5"/>
        <v>6103</v>
      </c>
      <c r="K10" s="454">
        <f t="shared" si="5"/>
        <v>6580</v>
      </c>
      <c r="L10" s="452">
        <f t="shared" si="5"/>
        <v>18536</v>
      </c>
      <c r="M10" s="452">
        <f t="shared" si="5"/>
        <v>5838</v>
      </c>
      <c r="N10" s="452">
        <f t="shared" si="5"/>
        <v>12728</v>
      </c>
      <c r="O10" s="452">
        <f t="shared" si="5"/>
        <v>5746</v>
      </c>
      <c r="P10" s="859">
        <f t="shared" si="5"/>
        <v>17067</v>
      </c>
      <c r="Q10" s="452">
        <f t="shared" si="5"/>
        <v>26535</v>
      </c>
      <c r="R10" s="452">
        <f t="shared" si="5"/>
        <v>6439</v>
      </c>
      <c r="S10" s="452">
        <f t="shared" si="5"/>
        <v>0</v>
      </c>
      <c r="T10" s="452">
        <f t="shared" si="5"/>
        <v>4457</v>
      </c>
      <c r="U10" s="452">
        <f t="shared" si="5"/>
        <v>742</v>
      </c>
      <c r="V10" s="452">
        <f t="shared" si="5"/>
        <v>17084</v>
      </c>
      <c r="W10" s="452">
        <f t="shared" si="5"/>
        <v>4085</v>
      </c>
      <c r="X10" s="452">
        <f t="shared" si="5"/>
        <v>10219</v>
      </c>
      <c r="Y10" s="452">
        <f t="shared" si="5"/>
        <v>6118</v>
      </c>
      <c r="Z10" s="452">
        <f t="shared" si="5"/>
        <v>0</v>
      </c>
      <c r="AA10" s="452">
        <f t="shared" si="5"/>
        <v>14289</v>
      </c>
      <c r="AB10" s="452">
        <f t="shared" si="5"/>
        <v>1036</v>
      </c>
      <c r="AC10" s="452">
        <f t="shared" si="5"/>
        <v>0</v>
      </c>
      <c r="AD10" s="452">
        <f t="shared" si="5"/>
        <v>9574</v>
      </c>
      <c r="AE10" s="452">
        <f t="shared" si="5"/>
        <v>16594</v>
      </c>
      <c r="AF10" s="452">
        <f t="shared" si="5"/>
        <v>79585</v>
      </c>
      <c r="AG10" s="452">
        <f t="shared" si="5"/>
        <v>0</v>
      </c>
      <c r="AH10" s="286">
        <f>SUM(C10:AG10)</f>
        <v>308482</v>
      </c>
    </row>
    <row r="11" spans="1:36" x14ac:dyDescent="0.2">
      <c r="A11" s="1"/>
      <c r="B11" s="215" t="s">
        <v>666</v>
      </c>
      <c r="C11" s="286">
        <f>C171</f>
        <v>456</v>
      </c>
      <c r="D11" s="286">
        <f t="shared" ref="D11:AG11" si="6">D171</f>
        <v>0</v>
      </c>
      <c r="E11" s="286">
        <f t="shared" si="6"/>
        <v>2662</v>
      </c>
      <c r="F11" s="286">
        <f t="shared" si="6"/>
        <v>0</v>
      </c>
      <c r="G11" s="286">
        <f t="shared" si="6"/>
        <v>2200</v>
      </c>
      <c r="H11" s="286">
        <f t="shared" si="6"/>
        <v>0</v>
      </c>
      <c r="I11" s="286">
        <f t="shared" si="6"/>
        <v>10000</v>
      </c>
      <c r="J11" s="315">
        <f t="shared" si="6"/>
        <v>1875</v>
      </c>
      <c r="K11" s="315">
        <f t="shared" si="6"/>
        <v>1159</v>
      </c>
      <c r="L11" s="286">
        <f t="shared" si="6"/>
        <v>1477</v>
      </c>
      <c r="M11" s="286">
        <f t="shared" si="6"/>
        <v>0</v>
      </c>
      <c r="N11" s="286">
        <f t="shared" si="6"/>
        <v>1551</v>
      </c>
      <c r="O11" s="286">
        <f t="shared" si="6"/>
        <v>0</v>
      </c>
      <c r="P11" s="308">
        <f t="shared" si="6"/>
        <v>0</v>
      </c>
      <c r="Q11" s="286">
        <f t="shared" si="6"/>
        <v>3546</v>
      </c>
      <c r="R11" s="286">
        <f t="shared" si="6"/>
        <v>0</v>
      </c>
      <c r="S11" s="286">
        <f t="shared" si="6"/>
        <v>0</v>
      </c>
      <c r="T11" s="286">
        <f t="shared" si="6"/>
        <v>2857</v>
      </c>
      <c r="U11" s="286">
        <f t="shared" si="6"/>
        <v>0</v>
      </c>
      <c r="V11" s="286">
        <f t="shared" si="6"/>
        <v>2655</v>
      </c>
      <c r="W11" s="286">
        <f t="shared" si="6"/>
        <v>1035</v>
      </c>
      <c r="X11" s="286">
        <f t="shared" si="6"/>
        <v>0</v>
      </c>
      <c r="Y11" s="286">
        <f t="shared" si="6"/>
        <v>2449</v>
      </c>
      <c r="Z11" s="286">
        <f t="shared" si="6"/>
        <v>0</v>
      </c>
      <c r="AA11" s="286">
        <f t="shared" si="6"/>
        <v>2306</v>
      </c>
      <c r="AB11" s="286">
        <f t="shared" si="6"/>
        <v>1036</v>
      </c>
      <c r="AC11" s="286">
        <f t="shared" si="6"/>
        <v>0</v>
      </c>
      <c r="AD11" s="286">
        <f t="shared" si="6"/>
        <v>0</v>
      </c>
      <c r="AE11" s="286">
        <f t="shared" si="6"/>
        <v>0</v>
      </c>
      <c r="AF11" s="286">
        <f t="shared" si="6"/>
        <v>9478</v>
      </c>
      <c r="AG11" s="286">
        <f t="shared" si="6"/>
        <v>0</v>
      </c>
      <c r="AH11" s="215"/>
    </row>
    <row r="12" spans="1:36" x14ac:dyDescent="0.2">
      <c r="A12" s="1"/>
      <c r="B12" s="215" t="s">
        <v>667</v>
      </c>
      <c r="C12" s="286">
        <f>C234</f>
        <v>850</v>
      </c>
      <c r="D12" s="286">
        <f t="shared" ref="D12:AG12" si="7">D234</f>
        <v>0</v>
      </c>
      <c r="E12" s="286">
        <f t="shared" si="7"/>
        <v>2348</v>
      </c>
      <c r="F12" s="286">
        <f t="shared" si="7"/>
        <v>1301</v>
      </c>
      <c r="G12" s="286">
        <f t="shared" si="7"/>
        <v>5255</v>
      </c>
      <c r="H12" s="286">
        <f t="shared" si="7"/>
        <v>0</v>
      </c>
      <c r="I12" s="286">
        <f t="shared" si="7"/>
        <v>2317</v>
      </c>
      <c r="J12" s="315">
        <f t="shared" si="7"/>
        <v>3368</v>
      </c>
      <c r="K12" s="315">
        <f t="shared" si="7"/>
        <v>0</v>
      </c>
      <c r="L12" s="286">
        <f t="shared" si="7"/>
        <v>9334</v>
      </c>
      <c r="M12" s="286">
        <f t="shared" si="7"/>
        <v>417</v>
      </c>
      <c r="N12" s="286">
        <f t="shared" si="7"/>
        <v>11177</v>
      </c>
      <c r="O12" s="286">
        <f t="shared" si="7"/>
        <v>0</v>
      </c>
      <c r="P12" s="308">
        <f t="shared" si="7"/>
        <v>15467</v>
      </c>
      <c r="Q12" s="286">
        <f t="shared" si="7"/>
        <v>17516</v>
      </c>
      <c r="R12" s="286">
        <f t="shared" si="7"/>
        <v>4839</v>
      </c>
      <c r="S12" s="286">
        <f t="shared" si="7"/>
        <v>0</v>
      </c>
      <c r="T12" s="286">
        <f t="shared" si="7"/>
        <v>0</v>
      </c>
      <c r="U12" s="286">
        <f t="shared" si="7"/>
        <v>742</v>
      </c>
      <c r="V12" s="286">
        <f t="shared" si="7"/>
        <v>8792</v>
      </c>
      <c r="W12" s="286">
        <f t="shared" si="7"/>
        <v>3050</v>
      </c>
      <c r="X12" s="286">
        <f t="shared" si="7"/>
        <v>10219</v>
      </c>
      <c r="Y12" s="286">
        <f t="shared" si="7"/>
        <v>3669</v>
      </c>
      <c r="Z12" s="286">
        <f t="shared" si="7"/>
        <v>0</v>
      </c>
      <c r="AA12" s="286">
        <f t="shared" si="7"/>
        <v>9825</v>
      </c>
      <c r="AB12" s="286">
        <f t="shared" si="7"/>
        <v>0</v>
      </c>
      <c r="AC12" s="286">
        <f t="shared" si="7"/>
        <v>0</v>
      </c>
      <c r="AD12" s="286">
        <f t="shared" si="7"/>
        <v>1239</v>
      </c>
      <c r="AE12" s="286">
        <f t="shared" si="7"/>
        <v>16594</v>
      </c>
      <c r="AF12" s="286">
        <f t="shared" si="7"/>
        <v>46358</v>
      </c>
      <c r="AG12" s="286">
        <f t="shared" si="7"/>
        <v>0</v>
      </c>
      <c r="AH12" s="215"/>
    </row>
    <row r="13" spans="1:36" x14ac:dyDescent="0.2">
      <c r="A13" s="1"/>
      <c r="B13" s="215" t="s">
        <v>691</v>
      </c>
      <c r="C13" s="286">
        <f>C298</f>
        <v>3360</v>
      </c>
      <c r="D13" s="286">
        <f t="shared" ref="D13:AG13" si="8">D298</f>
        <v>1558</v>
      </c>
      <c r="E13" s="286">
        <f t="shared" si="8"/>
        <v>0</v>
      </c>
      <c r="F13" s="286">
        <f t="shared" si="8"/>
        <v>1600</v>
      </c>
      <c r="G13" s="286">
        <f t="shared" si="8"/>
        <v>3620</v>
      </c>
      <c r="H13" s="286">
        <f t="shared" si="8"/>
        <v>0</v>
      </c>
      <c r="I13" s="286">
        <f t="shared" si="8"/>
        <v>1600</v>
      </c>
      <c r="J13" s="315">
        <f t="shared" si="8"/>
        <v>860</v>
      </c>
      <c r="K13" s="315">
        <f t="shared" si="8"/>
        <v>5421</v>
      </c>
      <c r="L13" s="286">
        <f t="shared" si="8"/>
        <v>7725</v>
      </c>
      <c r="M13" s="286">
        <f t="shared" si="8"/>
        <v>5421</v>
      </c>
      <c r="N13" s="286">
        <f t="shared" si="8"/>
        <v>0</v>
      </c>
      <c r="O13" s="286">
        <f t="shared" si="8"/>
        <v>5746</v>
      </c>
      <c r="P13" s="308">
        <f t="shared" si="8"/>
        <v>1600</v>
      </c>
      <c r="Q13" s="286">
        <f t="shared" si="8"/>
        <v>5473</v>
      </c>
      <c r="R13" s="286">
        <f t="shared" si="8"/>
        <v>1600</v>
      </c>
      <c r="S13" s="286">
        <f t="shared" si="8"/>
        <v>0</v>
      </c>
      <c r="T13" s="286">
        <f t="shared" si="8"/>
        <v>1600</v>
      </c>
      <c r="U13" s="286">
        <f t="shared" si="8"/>
        <v>0</v>
      </c>
      <c r="V13" s="286">
        <f t="shared" si="8"/>
        <v>5637</v>
      </c>
      <c r="W13" s="286">
        <f t="shared" si="8"/>
        <v>0</v>
      </c>
      <c r="X13" s="286">
        <f t="shared" si="8"/>
        <v>0</v>
      </c>
      <c r="Y13" s="286">
        <f t="shared" si="8"/>
        <v>0</v>
      </c>
      <c r="Z13" s="286">
        <f t="shared" si="8"/>
        <v>0</v>
      </c>
      <c r="AA13" s="286">
        <f t="shared" si="8"/>
        <v>2158</v>
      </c>
      <c r="AB13" s="286">
        <f t="shared" si="8"/>
        <v>0</v>
      </c>
      <c r="AC13" s="286">
        <f t="shared" si="8"/>
        <v>0</v>
      </c>
      <c r="AD13" s="286">
        <f t="shared" si="8"/>
        <v>8335</v>
      </c>
      <c r="AE13" s="286">
        <f t="shared" si="8"/>
        <v>0</v>
      </c>
      <c r="AF13" s="286">
        <f t="shared" si="8"/>
        <v>23749</v>
      </c>
      <c r="AG13" s="286">
        <f t="shared" si="8"/>
        <v>0</v>
      </c>
      <c r="AH13" s="215"/>
    </row>
    <row r="14" spans="1:36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-227750.67599999998</v>
      </c>
    </row>
    <row r="15" spans="1:36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902"/>
      <c r="AI15" s="483"/>
    </row>
    <row r="16" spans="1:36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902"/>
      <c r="AI16" s="483"/>
    </row>
    <row r="17" spans="1:35" x14ac:dyDescent="0.2">
      <c r="A17" s="265"/>
      <c r="B17" s="266" t="s">
        <v>37</v>
      </c>
      <c r="C17" s="266"/>
      <c r="D17" s="266"/>
      <c r="E17" s="267" t="s">
        <v>838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902"/>
      <c r="AI17" s="483"/>
    </row>
    <row r="18" spans="1:35" x14ac:dyDescent="0.2">
      <c r="A18" s="265"/>
      <c r="B18" s="266"/>
      <c r="C18" s="266"/>
      <c r="D18" s="268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308"/>
    </row>
    <row r="19" spans="1:35" x14ac:dyDescent="0.2">
      <c r="A19" s="769"/>
      <c r="B19" s="268"/>
      <c r="C19" s="268"/>
      <c r="D19" s="267">
        <v>42303</v>
      </c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5" x14ac:dyDescent="0.2">
      <c r="A20" s="769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5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5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5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5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5" x14ac:dyDescent="0.2">
      <c r="A25" s="265" t="s">
        <v>0</v>
      </c>
      <c r="B25" s="274">
        <v>-470514.337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5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5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5" x14ac:dyDescent="0.2">
      <c r="A28" s="265" t="s">
        <v>1</v>
      </c>
      <c r="B28" s="274">
        <f>B29+B30+B31</f>
        <v>1628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5" x14ac:dyDescent="0.2">
      <c r="A29" s="265" t="s">
        <v>38</v>
      </c>
      <c r="B29" s="274">
        <f>C82</f>
        <v>1628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5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5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5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x14ac:dyDescent="0.2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x14ac:dyDescent="0.2">
      <c r="A34" s="265" t="s">
        <v>4</v>
      </c>
      <c r="B34" s="274">
        <f>B25+B28</f>
        <v>-468886.337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3.5" thickBot="1" x14ac:dyDescent="0.25">
      <c r="A35" s="275"/>
      <c r="B35" s="27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15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15"/>
    </row>
    <row r="37" spans="1:40" x14ac:dyDescent="0.2">
      <c r="A37" s="265" t="s">
        <v>913</v>
      </c>
      <c r="B37" s="274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15"/>
    </row>
    <row r="38" spans="1:40" ht="13.5" thickBot="1" x14ac:dyDescent="0.25">
      <c r="A38" s="275"/>
      <c r="B38" s="276"/>
      <c r="C38" s="266"/>
      <c r="D38" s="266"/>
      <c r="E38" s="269"/>
      <c r="F38" s="266"/>
      <c r="G38" s="266"/>
      <c r="H38" s="269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15"/>
    </row>
    <row r="39" spans="1:40" x14ac:dyDescent="0.2">
      <c r="A39" s="263"/>
      <c r="B39" s="278"/>
      <c r="C39" s="269"/>
      <c r="D39" s="269"/>
      <c r="E39" s="269"/>
      <c r="F39" s="934"/>
      <c r="G39" s="267"/>
      <c r="H39" s="269"/>
      <c r="I39" s="266"/>
      <c r="J39" s="266"/>
      <c r="K39" s="266"/>
      <c r="L39" s="266"/>
      <c r="M39" s="266"/>
      <c r="N39" s="266"/>
      <c r="O39" s="330"/>
      <c r="P39" s="281"/>
      <c r="Q39" s="707"/>
      <c r="R39" s="266"/>
      <c r="S39" s="269"/>
      <c r="T39" s="266"/>
      <c r="U39" s="280"/>
      <c r="V39" s="280"/>
      <c r="W39" s="280"/>
      <c r="X39" s="280"/>
      <c r="Y39" s="280"/>
      <c r="Z39" s="280"/>
      <c r="AA39" s="407"/>
      <c r="AB39" s="280"/>
      <c r="AC39" s="280"/>
      <c r="AD39" s="280"/>
      <c r="AE39" s="280"/>
      <c r="AF39" s="280"/>
      <c r="AG39" s="280"/>
      <c r="AH39" s="215"/>
    </row>
    <row r="40" spans="1:40" x14ac:dyDescent="0.2">
      <c r="A40" s="265" t="s">
        <v>5</v>
      </c>
      <c r="B40" s="274">
        <f>B34-B37</f>
        <v>-468886.337</v>
      </c>
      <c r="C40" s="483"/>
      <c r="D40" s="269"/>
      <c r="E40" s="269"/>
      <c r="F40" s="269"/>
      <c r="G40" s="269"/>
      <c r="H40" s="269"/>
      <c r="I40" s="269"/>
      <c r="J40" s="269"/>
      <c r="K40" s="269"/>
      <c r="L40" s="568"/>
      <c r="M40" s="281"/>
      <c r="N40" s="281"/>
      <c r="O40" s="269"/>
      <c r="P40" s="281"/>
      <c r="Q40" s="568"/>
      <c r="R40" s="269"/>
      <c r="S40" s="281"/>
      <c r="T40" s="281"/>
      <c r="U40" s="281"/>
      <c r="V40" s="269"/>
      <c r="W40" s="281"/>
      <c r="X40" s="269"/>
      <c r="Y40" s="281"/>
      <c r="Z40" s="281"/>
      <c r="AA40" s="407"/>
      <c r="AB40" s="281"/>
      <c r="AC40" s="985"/>
      <c r="AD40" s="407"/>
      <c r="AE40" s="985" t="s">
        <v>1152</v>
      </c>
      <c r="AF40" s="985" t="s">
        <v>1152</v>
      </c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</f>
        <v>886</v>
      </c>
      <c r="D43" s="288">
        <f t="shared" ref="D43:AG43" si="10">D44+D45+D48+D52+D51+D49+D50+D46+D47</f>
        <v>0</v>
      </c>
      <c r="E43" s="288">
        <f t="shared" si="10"/>
        <v>0</v>
      </c>
      <c r="F43" s="288">
        <f t="shared" si="10"/>
        <v>0</v>
      </c>
      <c r="G43" s="288">
        <f t="shared" si="10"/>
        <v>0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0</v>
      </c>
      <c r="M43" s="288">
        <f t="shared" si="10"/>
        <v>-9.30000000007567E-2</v>
      </c>
      <c r="N43" s="288">
        <f t="shared" si="10"/>
        <v>0</v>
      </c>
      <c r="O43" s="288">
        <f t="shared" si="10"/>
        <v>0</v>
      </c>
      <c r="P43" s="865">
        <f>P44+P45+P48+P52+P51+P49+P50+P46+P47</f>
        <v>0</v>
      </c>
      <c r="Q43" s="288">
        <f t="shared" si="10"/>
        <v>0</v>
      </c>
      <c r="R43" s="288">
        <f t="shared" si="10"/>
        <v>0</v>
      </c>
      <c r="S43" s="288">
        <f t="shared" si="10"/>
        <v>0</v>
      </c>
      <c r="T43" s="288">
        <f t="shared" si="10"/>
        <v>0</v>
      </c>
      <c r="U43" s="288">
        <f t="shared" si="10"/>
        <v>0</v>
      </c>
      <c r="V43" s="288">
        <f t="shared" si="10"/>
        <v>0</v>
      </c>
      <c r="W43" s="288">
        <f t="shared" si="10"/>
        <v>0</v>
      </c>
      <c r="X43" s="288">
        <f t="shared" si="10"/>
        <v>0</v>
      </c>
      <c r="Y43" s="288">
        <f t="shared" si="10"/>
        <v>0</v>
      </c>
      <c r="Z43" s="288">
        <f t="shared" si="10"/>
        <v>0</v>
      </c>
      <c r="AA43" s="288">
        <f t="shared" si="10"/>
        <v>0</v>
      </c>
      <c r="AB43" s="288">
        <f t="shared" si="10"/>
        <v>0</v>
      </c>
      <c r="AC43" s="288">
        <f t="shared" si="10"/>
        <v>0</v>
      </c>
      <c r="AD43" s="288">
        <f t="shared" si="10"/>
        <v>0</v>
      </c>
      <c r="AE43" s="288">
        <f t="shared" si="10"/>
        <v>0</v>
      </c>
      <c r="AF43" s="288">
        <f t="shared" si="10"/>
        <v>1628.5979999999836</v>
      </c>
      <c r="AG43" s="288">
        <f t="shared" si="10"/>
        <v>0</v>
      </c>
      <c r="AH43" s="286">
        <f t="shared" si="9"/>
        <v>2514.5049999999828</v>
      </c>
    </row>
    <row r="44" spans="1:40" x14ac:dyDescent="0.2">
      <c r="A44" s="287" t="s">
        <v>8</v>
      </c>
      <c r="B44" s="266"/>
      <c r="C44" s="289">
        <f>886</f>
        <v>886</v>
      </c>
      <c r="D44" s="290"/>
      <c r="E44" s="291"/>
      <c r="F44" s="290"/>
      <c r="G44" s="295"/>
      <c r="H44" s="290"/>
      <c r="I44" s="290"/>
      <c r="J44" s="290"/>
      <c r="K44" s="290"/>
      <c r="L44" s="295"/>
      <c r="M44" s="292">
        <v>13381</v>
      </c>
      <c r="N44" s="292"/>
      <c r="O44" s="295"/>
      <c r="P44" s="292"/>
      <c r="Q44" s="295"/>
      <c r="R44" s="295">
        <v>13350</v>
      </c>
      <c r="S44" s="295"/>
      <c r="T44" s="295"/>
      <c r="U44" s="581"/>
      <c r="V44" s="295"/>
      <c r="W44" s="295">
        <v>13500</v>
      </c>
      <c r="X44" s="295"/>
      <c r="Y44" s="581"/>
      <c r="Z44" s="295"/>
      <c r="AA44" s="295"/>
      <c r="AB44" s="295">
        <v>13550</v>
      </c>
      <c r="AC44" s="581"/>
      <c r="AD44" s="295"/>
      <c r="AE44" s="295"/>
      <c r="AF44" s="295">
        <f>103278+13381.093-6200-8352.984-5900.891-9919.074-5800-20000-3940.608-9600-5401.409-5220.848-9691.867-13381.093</f>
        <v>13250.319000000003</v>
      </c>
      <c r="AG44" s="295"/>
      <c r="AH44" s="286">
        <f t="shared" si="9"/>
        <v>67917.319000000003</v>
      </c>
      <c r="AN44" s="25">
        <v>9918.1650000000009</v>
      </c>
    </row>
    <row r="45" spans="1:40" x14ac:dyDescent="0.2">
      <c r="A45" s="287" t="s">
        <v>703</v>
      </c>
      <c r="B45" s="266"/>
      <c r="C45" s="291"/>
      <c r="D45" s="290"/>
      <c r="E45" s="291"/>
      <c r="F45" s="290"/>
      <c r="G45" s="290"/>
      <c r="H45" s="290"/>
      <c r="I45" s="290"/>
      <c r="J45" s="290"/>
      <c r="K45" s="290"/>
      <c r="L45" s="295"/>
      <c r="M45" s="290"/>
      <c r="N45" s="290"/>
      <c r="O45" s="295"/>
      <c r="P45" s="292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1138"/>
      <c r="AD45" s="1138"/>
      <c r="AE45" s="1138">
        <v>1098</v>
      </c>
      <c r="AF45" s="1138">
        <f>118575-4111.914-4670-3238.413-2066.604-1201.59-2329.302-518.501-1712.641-1270.732-3627.922-1750.594</f>
        <v>92076.786999999982</v>
      </c>
      <c r="AG45" s="295"/>
      <c r="AH45" s="286">
        <f>SUM(C45:AG45)</f>
        <v>93174.786999999982</v>
      </c>
      <c r="AI45" s="42">
        <f>+AH45+AH44</f>
        <v>161092.10599999997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291"/>
      <c r="F46" s="290"/>
      <c r="G46" s="290"/>
      <c r="H46" s="290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1138"/>
      <c r="AD46" s="1138"/>
      <c r="AE46" s="1138">
        <v>-1098</v>
      </c>
      <c r="AF46" s="1138">
        <f>-93827+1750.594</f>
        <v>-92076.406000000003</v>
      </c>
      <c r="AG46" s="295"/>
      <c r="AH46" s="286">
        <f t="shared" si="9"/>
        <v>-93174.406000000003</v>
      </c>
      <c r="AN46" s="25"/>
    </row>
    <row r="47" spans="1:40" x14ac:dyDescent="0.2">
      <c r="A47" s="287" t="s">
        <v>705</v>
      </c>
      <c r="B47" s="266"/>
      <c r="C47" s="291"/>
      <c r="D47" s="290"/>
      <c r="E47" s="291"/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2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86">
        <f t="shared" si="9"/>
        <v>0</v>
      </c>
      <c r="AN47" s="25"/>
    </row>
    <row r="48" spans="1:40" s="360" customFormat="1" x14ac:dyDescent="0.2">
      <c r="A48" s="662" t="s">
        <v>10</v>
      </c>
      <c r="B48" s="663"/>
      <c r="C48" s="664"/>
      <c r="D48" s="380"/>
      <c r="E48" s="664"/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560"/>
      <c r="Q48" s="380"/>
      <c r="R48" s="380"/>
      <c r="S48" s="380"/>
      <c r="T48" s="380"/>
      <c r="U48" s="380"/>
      <c r="V48" s="665"/>
      <c r="W48" s="380"/>
      <c r="X48" s="380"/>
      <c r="Y48" s="380"/>
      <c r="Z48" s="380"/>
      <c r="AA48" s="560"/>
      <c r="AB48" s="380"/>
      <c r="AC48" s="708"/>
      <c r="AD48" s="380"/>
      <c r="AE48" s="380"/>
      <c r="AF48" s="380"/>
      <c r="AG48" s="380"/>
      <c r="AH48" s="379">
        <f t="shared" si="9"/>
        <v>0</v>
      </c>
      <c r="AI48" s="666"/>
      <c r="AN48" s="667">
        <v>6347.85</v>
      </c>
    </row>
    <row r="49" spans="1:40" s="360" customFormat="1" x14ac:dyDescent="0.2">
      <c r="A49" s="662" t="s">
        <v>356</v>
      </c>
      <c r="B49" s="668"/>
      <c r="C49" s="565"/>
      <c r="D49" s="380"/>
      <c r="E49" s="565"/>
      <c r="F49" s="560"/>
      <c r="G49" s="560"/>
      <c r="H49" s="560"/>
      <c r="I49" s="560"/>
      <c r="J49" s="560"/>
      <c r="K49" s="560"/>
      <c r="L49" s="560"/>
      <c r="M49" s="560"/>
      <c r="N49" s="38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379">
        <f t="shared" si="9"/>
        <v>0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1057"/>
      <c r="AG50" s="290"/>
      <c r="AH50" s="286">
        <f t="shared" si="9"/>
        <v>0</v>
      </c>
      <c r="AN50" s="25">
        <v>2246.556</v>
      </c>
    </row>
    <row r="51" spans="1:40" x14ac:dyDescent="0.2">
      <c r="A51" s="287" t="s">
        <v>41</v>
      </c>
      <c r="B51" s="266"/>
      <c r="C51" s="289"/>
      <c r="D51" s="291"/>
      <c r="E51" s="362"/>
      <c r="F51" s="290"/>
      <c r="G51" s="295"/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>
        <f>1627.898</f>
        <v>1627.8979999999999</v>
      </c>
      <c r="AG51" s="290"/>
      <c r="AH51" s="286">
        <f t="shared" si="9"/>
        <v>1627.8979999999999</v>
      </c>
      <c r="AN51" s="25"/>
    </row>
    <row r="52" spans="1:40" x14ac:dyDescent="0.2">
      <c r="A52" s="287" t="s">
        <v>11</v>
      </c>
      <c r="B52" s="266"/>
      <c r="C52" s="289"/>
      <c r="D52" s="289"/>
      <c r="E52" s="289"/>
      <c r="F52" s="754"/>
      <c r="G52" s="292"/>
      <c r="H52" s="292"/>
      <c r="I52" s="292"/>
      <c r="J52" s="754"/>
      <c r="K52" s="292"/>
      <c r="L52" s="292"/>
      <c r="M52" s="1061">
        <v>-13381.093000000001</v>
      </c>
      <c r="N52" s="754"/>
      <c r="O52" s="1061"/>
      <c r="P52" s="292"/>
      <c r="Q52" s="292"/>
      <c r="R52" s="1061">
        <v>-13350</v>
      </c>
      <c r="S52" s="292"/>
      <c r="T52" s="292"/>
      <c r="U52" s="292"/>
      <c r="V52" s="455"/>
      <c r="W52" s="1061">
        <v>-13500</v>
      </c>
      <c r="X52" s="292"/>
      <c r="Y52" s="292"/>
      <c r="Z52" s="292"/>
      <c r="AA52" s="295"/>
      <c r="AB52" s="1062">
        <v>-13550</v>
      </c>
      <c r="AC52" s="295"/>
      <c r="AD52" s="295"/>
      <c r="AE52" s="292"/>
      <c r="AF52" s="1061">
        <v>-13250</v>
      </c>
      <c r="AG52" s="292"/>
      <c r="AH52" s="286">
        <f t="shared" si="9"/>
        <v>-67031.092999999993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2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5"/>
      <c r="AC53" s="295"/>
      <c r="AD53" s="290"/>
      <c r="AE53" s="290"/>
      <c r="AF53" s="290"/>
      <c r="AG53" s="290"/>
      <c r="AH53" s="286">
        <f t="shared" si="9"/>
        <v>0</v>
      </c>
      <c r="AI53" s="42"/>
      <c r="AJ53" s="360"/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/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288"/>
      <c r="N55" s="288"/>
      <c r="O55" s="288"/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 t="shared" si="11"/>
        <v>0</v>
      </c>
      <c r="T55" s="288">
        <f t="shared" si="11"/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N56" s="25">
        <v>673.17700000000002</v>
      </c>
    </row>
    <row r="57" spans="1:40" x14ac:dyDescent="0.2">
      <c r="A57" s="287" t="s">
        <v>215</v>
      </c>
      <c r="B57" s="266"/>
      <c r="C57" s="289">
        <v>5000</v>
      </c>
      <c r="D57" s="291">
        <v>830</v>
      </c>
      <c r="E57" s="362">
        <v>1503</v>
      </c>
      <c r="F57" s="290">
        <v>861</v>
      </c>
      <c r="G57" s="295">
        <v>31390</v>
      </c>
      <c r="H57" s="292">
        <v>1501</v>
      </c>
      <c r="I57" s="290"/>
      <c r="J57" s="290">
        <v>980</v>
      </c>
      <c r="K57" s="290">
        <v>1501</v>
      </c>
      <c r="L57" s="290">
        <v>14701</v>
      </c>
      <c r="M57" s="290">
        <v>2700</v>
      </c>
      <c r="N57" s="290">
        <v>2901</v>
      </c>
      <c r="O57" s="290">
        <v>3480</v>
      </c>
      <c r="P57" s="292">
        <v>2250</v>
      </c>
      <c r="Q57" s="290">
        <v>21616</v>
      </c>
      <c r="R57" s="290">
        <v>2250</v>
      </c>
      <c r="S57" s="290">
        <v>943</v>
      </c>
      <c r="T57" s="290">
        <v>11674</v>
      </c>
      <c r="U57" s="290">
        <v>1815</v>
      </c>
      <c r="V57" s="290">
        <v>10471</v>
      </c>
      <c r="W57" s="290">
        <v>4867</v>
      </c>
      <c r="X57" s="290">
        <v>2852</v>
      </c>
      <c r="Y57" s="290">
        <v>3361</v>
      </c>
      <c r="Z57" s="290">
        <v>4001</v>
      </c>
      <c r="AA57" s="292">
        <v>7175</v>
      </c>
      <c r="AB57" s="290">
        <v>7550</v>
      </c>
      <c r="AC57" s="290">
        <v>1501</v>
      </c>
      <c r="AD57" s="290">
        <v>12110</v>
      </c>
      <c r="AE57" s="290">
        <v>4886</v>
      </c>
      <c r="AF57" s="290">
        <v>72483</v>
      </c>
      <c r="AG57" s="290"/>
      <c r="AH57" s="286">
        <f t="shared" si="9"/>
        <v>239153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J59">
        <f>18755+17890+17700+17800</f>
        <v>72145</v>
      </c>
      <c r="AN59" s="25">
        <v>1850.7819999999999</v>
      </c>
    </row>
    <row r="60" spans="1:40" x14ac:dyDescent="0.2">
      <c r="A60" s="287" t="s">
        <v>915</v>
      </c>
      <c r="B60" s="266"/>
      <c r="C60" s="300">
        <f t="shared" ref="C60:AG60" si="12">C55-C43</f>
        <v>-886</v>
      </c>
      <c r="D60" s="300">
        <f t="shared" si="12"/>
        <v>0</v>
      </c>
      <c r="E60" s="300">
        <f t="shared" si="12"/>
        <v>0</v>
      </c>
      <c r="F60" s="300">
        <f t="shared" si="12"/>
        <v>0</v>
      </c>
      <c r="G60" s="300">
        <f t="shared" si="12"/>
        <v>0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0</v>
      </c>
      <c r="M60" s="300">
        <f t="shared" si="12"/>
        <v>9.30000000007567E-2</v>
      </c>
      <c r="N60" s="300">
        <f t="shared" si="12"/>
        <v>0</v>
      </c>
      <c r="O60" s="300">
        <f t="shared" si="12"/>
        <v>0</v>
      </c>
      <c r="P60" s="867">
        <f t="shared" si="12"/>
        <v>0</v>
      </c>
      <c r="Q60" s="300">
        <f t="shared" si="12"/>
        <v>0</v>
      </c>
      <c r="R60" s="300">
        <f t="shared" si="12"/>
        <v>0</v>
      </c>
      <c r="S60" s="300">
        <f t="shared" si="12"/>
        <v>0</v>
      </c>
      <c r="T60" s="300">
        <f t="shared" si="12"/>
        <v>0</v>
      </c>
      <c r="U60" s="300">
        <f t="shared" si="12"/>
        <v>0</v>
      </c>
      <c r="V60" s="300">
        <f t="shared" si="12"/>
        <v>0</v>
      </c>
      <c r="W60" s="300">
        <f t="shared" si="12"/>
        <v>0</v>
      </c>
      <c r="X60" s="300">
        <f t="shared" si="12"/>
        <v>0</v>
      </c>
      <c r="Y60" s="300">
        <f t="shared" si="12"/>
        <v>0</v>
      </c>
      <c r="Z60" s="300">
        <f t="shared" si="12"/>
        <v>0</v>
      </c>
      <c r="AA60" s="300">
        <f t="shared" si="12"/>
        <v>0</v>
      </c>
      <c r="AB60" s="300">
        <f t="shared" si="12"/>
        <v>0</v>
      </c>
      <c r="AC60" s="300">
        <f t="shared" si="12"/>
        <v>0</v>
      </c>
      <c r="AD60" s="300">
        <f t="shared" si="12"/>
        <v>0</v>
      </c>
      <c r="AE60" s="300">
        <f t="shared" si="12"/>
        <v>0</v>
      </c>
      <c r="AF60" s="300">
        <f t="shared" si="12"/>
        <v>-1628.5979999999836</v>
      </c>
      <c r="AG60" s="300">
        <f t="shared" si="12"/>
        <v>0</v>
      </c>
      <c r="AH60" s="215"/>
      <c r="AJ60">
        <f>AJ59+67000</f>
        <v>139145</v>
      </c>
      <c r="AL60" s="42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-469772.337</v>
      </c>
      <c r="D63" s="291">
        <f>C70+D60</f>
        <v>-469772.337</v>
      </c>
      <c r="E63" s="291">
        <f t="shared" ref="E63:AG63" si="13">D70+E60</f>
        <v>-469772.337</v>
      </c>
      <c r="F63" s="291">
        <f t="shared" si="13"/>
        <v>-469772.337</v>
      </c>
      <c r="G63" s="291">
        <f t="shared" si="13"/>
        <v>-469772.337</v>
      </c>
      <c r="H63" s="291">
        <f t="shared" si="13"/>
        <v>-469772.337</v>
      </c>
      <c r="I63" s="291">
        <f t="shared" si="13"/>
        <v>-469772.337</v>
      </c>
      <c r="J63" s="291">
        <f t="shared" si="13"/>
        <v>-469772.337</v>
      </c>
      <c r="K63" s="291">
        <f t="shared" si="13"/>
        <v>-469772.337</v>
      </c>
      <c r="L63" s="291">
        <f t="shared" si="13"/>
        <v>-469772.337</v>
      </c>
      <c r="M63" s="291">
        <f t="shared" si="13"/>
        <v>-469772.24400000001</v>
      </c>
      <c r="N63" s="291">
        <f t="shared" si="13"/>
        <v>-469772.24400000001</v>
      </c>
      <c r="O63" s="291">
        <f t="shared" si="13"/>
        <v>-469772.24400000001</v>
      </c>
      <c r="P63" s="289">
        <f>O70+P60</f>
        <v>-469772.24400000001</v>
      </c>
      <c r="Q63" s="291">
        <f t="shared" si="13"/>
        <v>-469772.24400000001</v>
      </c>
      <c r="R63" s="291">
        <f t="shared" si="13"/>
        <v>-469772.24400000001</v>
      </c>
      <c r="S63" s="291">
        <f t="shared" si="13"/>
        <v>-469772.24400000001</v>
      </c>
      <c r="T63" s="291">
        <f t="shared" si="13"/>
        <v>-469772.24400000001</v>
      </c>
      <c r="U63" s="291">
        <f t="shared" si="13"/>
        <v>-469772.24400000001</v>
      </c>
      <c r="V63" s="291">
        <f t="shared" si="13"/>
        <v>-469772.24400000001</v>
      </c>
      <c r="W63" s="291">
        <f t="shared" si="13"/>
        <v>-469772.24400000001</v>
      </c>
      <c r="X63" s="291">
        <f t="shared" si="13"/>
        <v>-469772.24400000001</v>
      </c>
      <c r="Y63" s="291">
        <f t="shared" si="13"/>
        <v>-469772.24400000001</v>
      </c>
      <c r="Z63" s="291">
        <f t="shared" si="13"/>
        <v>-469772.24400000001</v>
      </c>
      <c r="AA63" s="291">
        <f t="shared" si="13"/>
        <v>-469772.24400000001</v>
      </c>
      <c r="AB63" s="291">
        <f t="shared" si="13"/>
        <v>-469772.24400000001</v>
      </c>
      <c r="AC63" s="291">
        <f t="shared" si="13"/>
        <v>-469772.24400000001</v>
      </c>
      <c r="AD63" s="291">
        <f t="shared" si="13"/>
        <v>-469772.24400000001</v>
      </c>
      <c r="AE63" s="291">
        <f t="shared" si="13"/>
        <v>-469772.24400000001</v>
      </c>
      <c r="AF63" s="291">
        <f t="shared" si="13"/>
        <v>-471400.842</v>
      </c>
      <c r="AG63" s="291">
        <f t="shared" si="13"/>
        <v>-471400.842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-469772.337</v>
      </c>
      <c r="D70" s="291">
        <f t="shared" ref="D70:AG70" si="15">D63+D66+D67</f>
        <v>-469772.337</v>
      </c>
      <c r="E70" s="291">
        <f t="shared" si="15"/>
        <v>-469772.337</v>
      </c>
      <c r="F70" s="291">
        <f t="shared" si="15"/>
        <v>-469772.337</v>
      </c>
      <c r="G70" s="291">
        <f t="shared" si="15"/>
        <v>-469772.337</v>
      </c>
      <c r="H70" s="291">
        <f t="shared" si="15"/>
        <v>-469772.337</v>
      </c>
      <c r="I70" s="291">
        <f t="shared" si="15"/>
        <v>-469772.337</v>
      </c>
      <c r="J70" s="291">
        <f t="shared" si="15"/>
        <v>-469772.337</v>
      </c>
      <c r="K70" s="291">
        <f t="shared" si="15"/>
        <v>-469772.337</v>
      </c>
      <c r="L70" s="291">
        <f t="shared" si="15"/>
        <v>-469772.337</v>
      </c>
      <c r="M70" s="291">
        <f t="shared" si="15"/>
        <v>-469772.24400000001</v>
      </c>
      <c r="N70" s="291">
        <f t="shared" si="15"/>
        <v>-469772.24400000001</v>
      </c>
      <c r="O70" s="291">
        <f t="shared" si="15"/>
        <v>-469772.24400000001</v>
      </c>
      <c r="P70" s="289">
        <f>P63+P66+P67</f>
        <v>-469772.24400000001</v>
      </c>
      <c r="Q70" s="291">
        <f t="shared" si="15"/>
        <v>-469772.24400000001</v>
      </c>
      <c r="R70" s="291">
        <f t="shared" si="15"/>
        <v>-469772.24400000001</v>
      </c>
      <c r="S70" s="291">
        <f t="shared" si="15"/>
        <v>-469772.24400000001</v>
      </c>
      <c r="T70" s="291">
        <f t="shared" si="15"/>
        <v>-469772.24400000001</v>
      </c>
      <c r="U70" s="291">
        <f t="shared" si="15"/>
        <v>-469772.24400000001</v>
      </c>
      <c r="V70" s="291">
        <f t="shared" si="15"/>
        <v>-469772.24400000001</v>
      </c>
      <c r="W70" s="291">
        <f t="shared" si="15"/>
        <v>-469772.24400000001</v>
      </c>
      <c r="X70" s="291">
        <f t="shared" si="15"/>
        <v>-469772.24400000001</v>
      </c>
      <c r="Y70" s="291">
        <f t="shared" si="15"/>
        <v>-469772.24400000001</v>
      </c>
      <c r="Z70" s="291">
        <f t="shared" si="15"/>
        <v>-469772.24400000001</v>
      </c>
      <c r="AA70" s="291">
        <f t="shared" si="15"/>
        <v>-469772.24400000001</v>
      </c>
      <c r="AB70" s="291">
        <f t="shared" si="15"/>
        <v>-469772.24400000001</v>
      </c>
      <c r="AC70" s="291">
        <f t="shared" si="15"/>
        <v>-469772.24400000001</v>
      </c>
      <c r="AD70" s="291">
        <f t="shared" si="15"/>
        <v>-469772.24400000001</v>
      </c>
      <c r="AE70" s="291">
        <f t="shared" si="15"/>
        <v>-469772.24400000001</v>
      </c>
      <c r="AF70" s="291">
        <f t="shared" si="15"/>
        <v>-471400.842</v>
      </c>
      <c r="AG70" s="291">
        <f t="shared" si="15"/>
        <v>-471400.842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5"/>
      <c r="E74" s="290"/>
      <c r="F74" s="295"/>
      <c r="G74" s="295">
        <f>C51</f>
        <v>0</v>
      </c>
      <c r="H74" s="295">
        <f>D51</f>
        <v>0</v>
      </c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SUM(C84:C121)</f>
        <v>1628</v>
      </c>
      <c r="D82" s="286"/>
      <c r="E82" s="470"/>
      <c r="F82" s="286"/>
      <c r="G82" s="317"/>
      <c r="H82" s="315"/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/>
      <c r="G83" s="319"/>
      <c r="H83" s="215"/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>
        <v>42261</v>
      </c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86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42255</v>
      </c>
      <c r="C85" s="318"/>
      <c r="D85" s="309"/>
      <c r="E85" s="215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42248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42248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42275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42276</v>
      </c>
      <c r="C89" s="323"/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42277</v>
      </c>
      <c r="C90" s="501"/>
      <c r="D90" s="323"/>
      <c r="E90" s="353"/>
      <c r="F90" s="215"/>
      <c r="G90" s="326"/>
      <c r="H90" s="215"/>
      <c r="I90" s="215"/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42269</v>
      </c>
      <c r="C91" s="325"/>
      <c r="D91" s="323"/>
      <c r="E91" s="323"/>
      <c r="F91" s="215"/>
      <c r="G91" s="326"/>
      <c r="H91" s="215"/>
      <c r="I91" s="215"/>
      <c r="J91" s="215"/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42270</v>
      </c>
      <c r="C92" s="325"/>
      <c r="D92" s="323"/>
      <c r="E92" s="323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42254</v>
      </c>
      <c r="C93" s="325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42270</v>
      </c>
      <c r="C94" s="324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42271</v>
      </c>
      <c r="C95" s="324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42272</v>
      </c>
      <c r="C96" s="324"/>
      <c r="D96" s="323"/>
      <c r="E96" s="323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>
        <v>42273</v>
      </c>
      <c r="C97" s="324"/>
      <c r="D97" s="323"/>
      <c r="E97" s="323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42276</v>
      </c>
      <c r="C98" s="324"/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42277</v>
      </c>
      <c r="C99" s="324">
        <v>1628</v>
      </c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42268</v>
      </c>
      <c r="C100" s="324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42269</v>
      </c>
      <c r="C101" s="324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42263</v>
      </c>
      <c r="C102" s="324"/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42265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42274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42275</v>
      </c>
      <c r="C105" s="324"/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42261</v>
      </c>
      <c r="C106" s="324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320">
        <v>42261</v>
      </c>
      <c r="C107" s="1049"/>
      <c r="D107" s="323"/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 t="s">
        <v>436</v>
      </c>
      <c r="B108" s="320">
        <v>42248</v>
      </c>
      <c r="C108" s="325"/>
      <c r="D108" s="323"/>
      <c r="E108" s="215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</row>
    <row r="109" spans="1:42" x14ac:dyDescent="0.2">
      <c r="A109" s="327" t="s">
        <v>32</v>
      </c>
      <c r="B109" s="320">
        <v>42277</v>
      </c>
      <c r="C109" s="318"/>
      <c r="D109" s="323"/>
      <c r="E109" s="215"/>
      <c r="F109" s="215"/>
      <c r="G109" s="470"/>
      <c r="H109" s="323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>
        <v>222914.55799999999</v>
      </c>
    </row>
    <row r="110" spans="1:42" x14ac:dyDescent="0.2">
      <c r="A110" s="327" t="s">
        <v>33</v>
      </c>
      <c r="B110" s="320">
        <v>42277</v>
      </c>
      <c r="C110" s="318"/>
      <c r="D110" s="323"/>
      <c r="E110" s="318"/>
      <c r="F110" s="311"/>
      <c r="G110" s="215"/>
      <c r="H110" s="215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</row>
    <row r="111" spans="1:42" x14ac:dyDescent="0.2">
      <c r="A111" s="327" t="s">
        <v>1036</v>
      </c>
      <c r="B111" s="320">
        <v>42261</v>
      </c>
      <c r="C111" s="318"/>
      <c r="D111" s="215"/>
      <c r="E111" s="320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  <c r="AN111" s="194">
        <f>AN109-AN93</f>
        <v>55537.753999999957</v>
      </c>
    </row>
    <row r="112" spans="1:42" x14ac:dyDescent="0.2">
      <c r="A112" s="327" t="s">
        <v>1036</v>
      </c>
      <c r="B112" s="320">
        <v>42262</v>
      </c>
      <c r="C112" s="318"/>
      <c r="D112" s="215"/>
      <c r="E112" s="320"/>
      <c r="F112" s="311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</row>
    <row r="113" spans="1:34" x14ac:dyDescent="0.2">
      <c r="A113" s="327" t="s">
        <v>32</v>
      </c>
      <c r="B113" s="320">
        <v>42269</v>
      </c>
      <c r="C113" s="318"/>
      <c r="D113" s="215"/>
      <c r="E113" s="215"/>
      <c r="F113" s="215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33</v>
      </c>
      <c r="B114" s="320">
        <v>42269</v>
      </c>
      <c r="C114" s="318"/>
      <c r="D114" s="215"/>
      <c r="E114" s="323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32</v>
      </c>
      <c r="B115" s="320">
        <v>42270</v>
      </c>
      <c r="C115" s="318"/>
      <c r="D115" s="323"/>
      <c r="E115" s="323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33</v>
      </c>
      <c r="B116" s="320">
        <v>42270</v>
      </c>
      <c r="C116" s="318"/>
      <c r="D116" s="215"/>
      <c r="E116" s="215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33</v>
      </c>
      <c r="B117" s="320">
        <v>42248</v>
      </c>
      <c r="C117" s="318"/>
      <c r="D117" s="215"/>
      <c r="E117" s="323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33</v>
      </c>
      <c r="B118" s="320">
        <v>42248</v>
      </c>
      <c r="C118" s="318"/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33</v>
      </c>
      <c r="B119" s="320">
        <v>42275</v>
      </c>
      <c r="C119" s="318"/>
      <c r="D119" s="215"/>
      <c r="E119" s="500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327" t="s">
        <v>32</v>
      </c>
      <c r="B120" s="320">
        <v>42251</v>
      </c>
      <c r="C120" s="316"/>
      <c r="D120" s="215"/>
      <c r="E120" s="323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310" t="s">
        <v>33</v>
      </c>
      <c r="B121" s="320">
        <v>42248</v>
      </c>
      <c r="C121" s="318"/>
      <c r="D121" s="215"/>
      <c r="E121" s="215"/>
      <c r="F121" s="215"/>
      <c r="G121" s="323"/>
      <c r="H121" s="323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215"/>
      <c r="B122" s="320"/>
      <c r="C122" s="262"/>
      <c r="D122" s="215"/>
      <c r="E122" s="215"/>
      <c r="F122" s="215"/>
      <c r="G122" s="323"/>
      <c r="H122" s="215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15"/>
      <c r="D123" s="215"/>
      <c r="E123" s="215"/>
      <c r="F123" s="215"/>
      <c r="G123" s="215"/>
      <c r="H123" s="316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215"/>
      <c r="B124" s="320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310"/>
      <c r="B125" s="320"/>
      <c r="C125" s="262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310"/>
      <c r="B126" s="320"/>
      <c r="C126" s="262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ht="13.5" thickBot="1" x14ac:dyDescent="0.25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309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</row>
    <row r="132" spans="1:34" x14ac:dyDescent="0.2">
      <c r="A132" s="263"/>
      <c r="B132" s="264"/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860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15"/>
    </row>
    <row r="133" spans="1:34" x14ac:dyDescent="0.2">
      <c r="A133" s="265"/>
      <c r="B133" s="266" t="s">
        <v>37</v>
      </c>
      <c r="C133" s="266"/>
      <c r="D133" s="266"/>
      <c r="E133" s="267" t="s">
        <v>838</v>
      </c>
      <c r="F133" s="268" t="s">
        <v>95</v>
      </c>
      <c r="G133" s="269" t="s">
        <v>6</v>
      </c>
      <c r="H133" s="268"/>
      <c r="I133" s="268"/>
      <c r="J133" s="268"/>
      <c r="K133" s="268"/>
      <c r="L133" s="268"/>
      <c r="M133" s="268"/>
      <c r="N133" s="268"/>
      <c r="O133" s="268"/>
      <c r="P133" s="861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15"/>
    </row>
    <row r="134" spans="1:34" x14ac:dyDescent="0.2">
      <c r="A134" s="265"/>
      <c r="B134" s="266"/>
      <c r="C134" s="266"/>
      <c r="D134" s="268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79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C134" s="266"/>
      <c r="AD134" s="266"/>
      <c r="AE134" s="266"/>
      <c r="AF134" s="266"/>
      <c r="AG134" s="266"/>
      <c r="AH134" s="215"/>
    </row>
    <row r="135" spans="1:34" x14ac:dyDescent="0.2">
      <c r="A135" s="328"/>
      <c r="B135" s="266"/>
      <c r="C135" s="268"/>
      <c r="D135" s="268">
        <v>42282</v>
      </c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x14ac:dyDescent="0.2">
      <c r="A136" s="265"/>
      <c r="B136" s="266"/>
      <c r="C136" s="268"/>
      <c r="D136" s="268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ht="13.5" thickBot="1" x14ac:dyDescent="0.25">
      <c r="A137" s="265"/>
      <c r="B137" s="266"/>
      <c r="C137" s="266"/>
      <c r="D137" s="266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79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15"/>
    </row>
    <row r="138" spans="1:34" ht="13.5" thickBot="1" x14ac:dyDescent="0.25">
      <c r="A138" s="265"/>
      <c r="B138" s="266"/>
      <c r="C138" s="270"/>
      <c r="D138" s="271" t="s">
        <v>16</v>
      </c>
      <c r="E138" s="271"/>
      <c r="F138" s="271"/>
      <c r="G138" s="271"/>
      <c r="H138" s="271"/>
      <c r="I138" s="271"/>
      <c r="J138" s="271"/>
      <c r="K138" s="271"/>
      <c r="L138" s="271"/>
      <c r="M138" s="271"/>
      <c r="N138" s="271"/>
      <c r="O138" s="271"/>
      <c r="P138" s="862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15"/>
    </row>
    <row r="139" spans="1:34" ht="13.5" thickBot="1" x14ac:dyDescent="0.25">
      <c r="A139" s="265"/>
      <c r="B139" s="266"/>
      <c r="C139" s="272" t="s">
        <v>452</v>
      </c>
      <c r="D139" s="272" t="s">
        <v>453</v>
      </c>
      <c r="E139" s="272" t="s">
        <v>434</v>
      </c>
      <c r="F139" s="272" t="s">
        <v>390</v>
      </c>
      <c r="G139" s="272" t="s">
        <v>454</v>
      </c>
      <c r="H139" s="272" t="s">
        <v>455</v>
      </c>
      <c r="I139" s="272" t="s">
        <v>456</v>
      </c>
      <c r="J139" s="272" t="s">
        <v>457</v>
      </c>
      <c r="K139" s="272" t="s">
        <v>458</v>
      </c>
      <c r="L139" s="272" t="s">
        <v>216</v>
      </c>
      <c r="M139" s="272" t="s">
        <v>459</v>
      </c>
      <c r="N139" s="272" t="s">
        <v>297</v>
      </c>
      <c r="O139" s="272" t="s">
        <v>211</v>
      </c>
      <c r="P139" s="863" t="s">
        <v>270</v>
      </c>
      <c r="Q139" s="272">
        <v>15</v>
      </c>
      <c r="R139" s="272">
        <v>16</v>
      </c>
      <c r="S139" s="272" t="s">
        <v>461</v>
      </c>
      <c r="T139" s="272" t="s">
        <v>442</v>
      </c>
      <c r="U139" s="272" t="s">
        <v>462</v>
      </c>
      <c r="V139" s="272" t="s">
        <v>470</v>
      </c>
      <c r="W139" s="272" t="s">
        <v>471</v>
      </c>
      <c r="X139" s="272" t="s">
        <v>472</v>
      </c>
      <c r="Y139" s="272" t="s">
        <v>463</v>
      </c>
      <c r="Z139" s="272" t="s">
        <v>465</v>
      </c>
      <c r="AA139" s="272" t="s">
        <v>466</v>
      </c>
      <c r="AB139" s="272" t="s">
        <v>435</v>
      </c>
      <c r="AC139" s="272" t="s">
        <v>467</v>
      </c>
      <c r="AD139" s="272" t="s">
        <v>464</v>
      </c>
      <c r="AE139" s="272" t="s">
        <v>429</v>
      </c>
      <c r="AF139" s="272" t="s">
        <v>149</v>
      </c>
      <c r="AG139" s="272" t="s">
        <v>210</v>
      </c>
      <c r="AH139" s="215"/>
    </row>
    <row r="140" spans="1:34" x14ac:dyDescent="0.2">
      <c r="A140" s="263"/>
      <c r="B140" s="273"/>
      <c r="C140" s="266"/>
      <c r="D140" s="266"/>
      <c r="E140" s="266"/>
      <c r="F140" s="266"/>
      <c r="G140" s="266"/>
      <c r="H140" s="266"/>
      <c r="I140" s="266"/>
      <c r="J140" s="266"/>
      <c r="K140" s="266"/>
      <c r="L140" s="266"/>
      <c r="M140" s="266"/>
      <c r="N140" s="266"/>
      <c r="O140" s="266"/>
      <c r="P140" s="279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266"/>
      <c r="AE140" s="266"/>
      <c r="AF140" s="266"/>
      <c r="AG140" s="266"/>
      <c r="AH140" s="215"/>
    </row>
    <row r="141" spans="1:34" x14ac:dyDescent="0.2">
      <c r="A141" s="265" t="s">
        <v>0</v>
      </c>
      <c r="B141" s="274">
        <v>-26238.271000000001</v>
      </c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ht="13.5" thickBot="1" x14ac:dyDescent="0.25">
      <c r="A142" s="275"/>
      <c r="B142" s="276"/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x14ac:dyDescent="0.2">
      <c r="A143" s="263"/>
      <c r="B143" s="278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5" t="s">
        <v>1</v>
      </c>
      <c r="B144" s="274">
        <f>B145+B146+B147</f>
        <v>0</v>
      </c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38</v>
      </c>
      <c r="B145" s="274">
        <f>C195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39</v>
      </c>
      <c r="B146" s="274">
        <f>C215</f>
        <v>0</v>
      </c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x14ac:dyDescent="0.2">
      <c r="A147" s="265" t="s">
        <v>3</v>
      </c>
      <c r="B147" s="274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ht="13.5" thickBot="1" x14ac:dyDescent="0.25">
      <c r="A148" s="275"/>
      <c r="B148" s="276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x14ac:dyDescent="0.2">
      <c r="A149" s="263"/>
      <c r="B149" s="278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x14ac:dyDescent="0.2">
      <c r="A150" s="265" t="s">
        <v>4</v>
      </c>
      <c r="B150" s="274">
        <f>B141+B144</f>
        <v>-26238.271000000001</v>
      </c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ht="13.5" thickBot="1" x14ac:dyDescent="0.25">
      <c r="A151" s="275"/>
      <c r="B151" s="276"/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x14ac:dyDescent="0.2">
      <c r="A152" s="263"/>
      <c r="B152" s="278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x14ac:dyDescent="0.2">
      <c r="A153" s="265" t="s">
        <v>17</v>
      </c>
      <c r="B153" s="274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79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ht="13.5" thickBot="1" x14ac:dyDescent="0.25">
      <c r="A154" s="275"/>
      <c r="B154" s="276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15"/>
    </row>
    <row r="155" spans="1:34" x14ac:dyDescent="0.2">
      <c r="A155" s="263"/>
      <c r="B155" s="278"/>
      <c r="C155" s="266"/>
      <c r="D155" s="802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79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  <c r="AA155" s="266"/>
      <c r="AB155" s="266"/>
      <c r="AC155" s="802"/>
      <c r="AD155" s="266"/>
      <c r="AF155" s="266"/>
      <c r="AG155" s="266"/>
      <c r="AH155" s="215"/>
    </row>
    <row r="156" spans="1:34" x14ac:dyDescent="0.2">
      <c r="A156" s="265" t="s">
        <v>5</v>
      </c>
      <c r="B156" s="274">
        <f>B150-B153</f>
        <v>-26238.271000000001</v>
      </c>
      <c r="C156" s="269"/>
      <c r="D156" s="802"/>
      <c r="E156" s="269"/>
      <c r="F156" s="269" t="s">
        <v>341</v>
      </c>
      <c r="G156" s="810" t="s">
        <v>1066</v>
      </c>
      <c r="H156" s="269"/>
      <c r="I156" s="269"/>
      <c r="J156" s="266"/>
      <c r="K156" s="269"/>
      <c r="L156" s="707"/>
      <c r="M156" s="266"/>
      <c r="N156" s="266"/>
      <c r="O156" s="269"/>
      <c r="P156" s="281"/>
      <c r="Q156" s="269"/>
      <c r="R156" s="269"/>
      <c r="S156" s="269"/>
      <c r="T156" s="810"/>
      <c r="U156" s="269"/>
      <c r="V156" s="269"/>
      <c r="W156" s="269"/>
      <c r="X156" s="269"/>
      <c r="Y156" s="269"/>
      <c r="Z156" s="269"/>
      <c r="AA156" s="707"/>
      <c r="AB156" s="269"/>
      <c r="AC156" s="802"/>
      <c r="AD156" s="269"/>
      <c r="AF156" s="269"/>
      <c r="AG156" s="269"/>
      <c r="AH156" s="215"/>
    </row>
    <row r="157" spans="1:34" ht="13.5" thickBot="1" x14ac:dyDescent="0.25">
      <c r="A157" s="275"/>
      <c r="B157" s="276"/>
      <c r="C157" s="266"/>
      <c r="D157" s="266"/>
      <c r="E157" s="266"/>
      <c r="F157" s="266"/>
      <c r="G157" s="266"/>
      <c r="H157" s="266"/>
      <c r="I157" s="266"/>
      <c r="J157" s="266"/>
      <c r="K157" s="266"/>
      <c r="L157" s="266"/>
      <c r="M157" s="266"/>
      <c r="N157" s="266"/>
      <c r="O157" s="266"/>
      <c r="P157" s="281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15"/>
    </row>
    <row r="158" spans="1:34" x14ac:dyDescent="0.2">
      <c r="A158" s="282"/>
      <c r="B158" s="266"/>
      <c r="C158" s="283"/>
      <c r="D158" s="285"/>
      <c r="E158" s="285"/>
      <c r="F158" s="284"/>
      <c r="G158" s="284"/>
      <c r="H158" s="284"/>
      <c r="I158" s="284"/>
      <c r="J158" s="284"/>
      <c r="K158" s="284"/>
      <c r="L158" s="284"/>
      <c r="M158" s="284"/>
      <c r="N158" s="284"/>
      <c r="O158" s="284"/>
      <c r="P158" s="86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  <c r="AA158" s="284"/>
      <c r="AB158" s="284"/>
      <c r="AC158" s="284"/>
      <c r="AD158" s="284"/>
      <c r="AE158" s="284"/>
      <c r="AF158" s="284"/>
      <c r="AG158" s="284"/>
      <c r="AH158" s="215"/>
    </row>
    <row r="159" spans="1:34" ht="13.5" thickBot="1" x14ac:dyDescent="0.25">
      <c r="A159" s="287" t="s">
        <v>7</v>
      </c>
      <c r="B159" s="266"/>
      <c r="C159" s="288">
        <f>C160+C161+C162+C166+C165+C163+C164</f>
        <v>0</v>
      </c>
      <c r="D159" s="288">
        <f t="shared" ref="D159:AE159" si="16">D160+D161+D162+D166+D165+D163+D164</f>
        <v>0</v>
      </c>
      <c r="E159" s="288">
        <f t="shared" si="16"/>
        <v>0</v>
      </c>
      <c r="F159" s="288">
        <f t="shared" si="16"/>
        <v>0</v>
      </c>
      <c r="G159" s="288">
        <f t="shared" si="16"/>
        <v>0</v>
      </c>
      <c r="H159" s="288">
        <f t="shared" si="16"/>
        <v>0</v>
      </c>
      <c r="I159" s="288">
        <f t="shared" si="16"/>
        <v>0</v>
      </c>
      <c r="J159" s="288">
        <f t="shared" si="16"/>
        <v>0</v>
      </c>
      <c r="K159" s="288">
        <f t="shared" si="16"/>
        <v>0</v>
      </c>
      <c r="L159" s="288">
        <f t="shared" si="16"/>
        <v>0</v>
      </c>
      <c r="M159" s="288">
        <f t="shared" si="16"/>
        <v>0</v>
      </c>
      <c r="N159" s="288">
        <f t="shared" si="16"/>
        <v>0</v>
      </c>
      <c r="O159" s="288">
        <f t="shared" si="16"/>
        <v>0</v>
      </c>
      <c r="P159" s="865">
        <f t="shared" si="16"/>
        <v>0</v>
      </c>
      <c r="Q159" s="288">
        <f t="shared" si="16"/>
        <v>0</v>
      </c>
      <c r="R159" s="288">
        <f t="shared" si="16"/>
        <v>0</v>
      </c>
      <c r="S159" s="288">
        <f t="shared" si="16"/>
        <v>0</v>
      </c>
      <c r="T159" s="288">
        <f t="shared" si="16"/>
        <v>0</v>
      </c>
      <c r="U159" s="288">
        <f t="shared" si="16"/>
        <v>0</v>
      </c>
      <c r="V159" s="288">
        <f t="shared" si="16"/>
        <v>0</v>
      </c>
      <c r="W159" s="288">
        <f t="shared" si="16"/>
        <v>0</v>
      </c>
      <c r="X159" s="288">
        <f t="shared" si="16"/>
        <v>0</v>
      </c>
      <c r="Y159" s="288">
        <f t="shared" si="16"/>
        <v>0</v>
      </c>
      <c r="Z159" s="288">
        <f t="shared" si="16"/>
        <v>0</v>
      </c>
      <c r="AA159" s="288">
        <f t="shared" si="16"/>
        <v>0</v>
      </c>
      <c r="AB159" s="288">
        <f t="shared" si="16"/>
        <v>0</v>
      </c>
      <c r="AC159" s="288">
        <f t="shared" si="16"/>
        <v>0</v>
      </c>
      <c r="AD159" s="288">
        <f t="shared" si="16"/>
        <v>0</v>
      </c>
      <c r="AE159" s="288">
        <f t="shared" si="16"/>
        <v>0</v>
      </c>
      <c r="AF159" s="288">
        <f>AF160+AF161+AF162+AF166+AF165+AF163+AF164</f>
        <v>0</v>
      </c>
      <c r="AG159" s="288">
        <f>AG160+AG161+AG162+AG166+AG165+AG163+AG164</f>
        <v>0</v>
      </c>
      <c r="AH159" s="286">
        <f t="shared" ref="AH159:AH167" si="17">SUM(C159:AG159)</f>
        <v>0</v>
      </c>
    </row>
    <row r="160" spans="1:34" x14ac:dyDescent="0.2">
      <c r="A160" s="287" t="s">
        <v>8</v>
      </c>
      <c r="B160" s="266"/>
      <c r="C160" s="291"/>
      <c r="D160" s="291"/>
      <c r="E160" s="291"/>
      <c r="F160" s="290"/>
      <c r="G160" s="290"/>
      <c r="H160" s="290"/>
      <c r="I160" s="290"/>
      <c r="J160" s="290"/>
      <c r="K160" s="290"/>
      <c r="L160" s="290"/>
      <c r="M160" s="290"/>
      <c r="N160" s="290"/>
      <c r="O160" s="290"/>
      <c r="P160" s="292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86">
        <f t="shared" si="17"/>
        <v>0</v>
      </c>
    </row>
    <row r="161" spans="1:35" x14ac:dyDescent="0.2">
      <c r="A161" s="287" t="s">
        <v>9</v>
      </c>
      <c r="B161" s="266"/>
      <c r="C161" s="291"/>
      <c r="D161" s="291"/>
      <c r="E161" s="291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2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86">
        <f t="shared" si="17"/>
        <v>0</v>
      </c>
    </row>
    <row r="162" spans="1:35" s="360" customFormat="1" x14ac:dyDescent="0.2">
      <c r="A162" s="662" t="s">
        <v>10</v>
      </c>
      <c r="B162" s="669"/>
      <c r="C162" s="664"/>
      <c r="D162" s="565"/>
      <c r="E162" s="565"/>
      <c r="F162" s="560"/>
      <c r="G162" s="811"/>
      <c r="H162" s="560"/>
      <c r="I162" s="560"/>
      <c r="J162" s="560"/>
      <c r="K162" s="560"/>
      <c r="L162" s="708"/>
      <c r="M162" s="560"/>
      <c r="N162" s="560"/>
      <c r="O162" s="560"/>
      <c r="P162" s="560"/>
      <c r="Q162" s="560"/>
      <c r="R162" s="560"/>
      <c r="S162" s="560"/>
      <c r="T162" s="811"/>
      <c r="U162" s="560"/>
      <c r="V162" s="560"/>
      <c r="W162" s="560"/>
      <c r="X162" s="560"/>
      <c r="Y162" s="560"/>
      <c r="Z162" s="560"/>
      <c r="AA162" s="708"/>
      <c r="AB162" s="560"/>
      <c r="AC162" s="560"/>
      <c r="AD162" s="560"/>
      <c r="AE162" s="803"/>
      <c r="AF162" s="560"/>
      <c r="AG162" s="560"/>
      <c r="AH162" s="379">
        <f t="shared" si="17"/>
        <v>0</v>
      </c>
    </row>
    <row r="163" spans="1:35" s="360" customFormat="1" x14ac:dyDescent="0.2">
      <c r="A163" s="662" t="s">
        <v>356</v>
      </c>
      <c r="B163" s="669"/>
      <c r="C163" s="565"/>
      <c r="D163" s="565"/>
      <c r="E163" s="565"/>
      <c r="F163" s="560"/>
      <c r="G163" s="560"/>
      <c r="H163" s="560"/>
      <c r="I163" s="560"/>
      <c r="J163" s="560"/>
      <c r="K163" s="560"/>
      <c r="L163" s="560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560"/>
      <c r="AB163" s="560"/>
      <c r="AC163" s="560"/>
      <c r="AD163" s="560"/>
      <c r="AE163" s="560"/>
      <c r="AF163" s="560"/>
      <c r="AG163" s="560"/>
      <c r="AH163" s="379">
        <f t="shared" si="17"/>
        <v>0</v>
      </c>
    </row>
    <row r="164" spans="1:35" x14ac:dyDescent="0.2">
      <c r="A164" s="287" t="s">
        <v>357</v>
      </c>
      <c r="B164" s="266"/>
      <c r="C164" s="289"/>
      <c r="D164" s="291"/>
      <c r="E164" s="289"/>
      <c r="F164" s="290"/>
      <c r="G164" s="290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86">
        <f t="shared" si="17"/>
        <v>0</v>
      </c>
    </row>
    <row r="165" spans="1:35" x14ac:dyDescent="0.2">
      <c r="A165" s="287" t="s">
        <v>41</v>
      </c>
      <c r="B165" s="266"/>
      <c r="C165" s="289"/>
      <c r="D165" s="291"/>
      <c r="E165" s="289"/>
      <c r="F165" s="290"/>
      <c r="G165" s="290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x14ac:dyDescent="0.2">
      <c r="A166" s="287" t="s">
        <v>11</v>
      </c>
      <c r="B166" s="266"/>
      <c r="C166" s="291"/>
      <c r="D166" s="289"/>
      <c r="E166" s="289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455"/>
      <c r="AC166" s="292"/>
      <c r="AD166" s="292"/>
      <c r="AE166" s="292"/>
      <c r="AF166" s="292"/>
      <c r="AG166" s="292"/>
      <c r="AH166" s="286">
        <f t="shared" si="17"/>
        <v>0</v>
      </c>
    </row>
    <row r="167" spans="1:35" ht="13.5" thickBot="1" x14ac:dyDescent="0.25">
      <c r="A167" s="296"/>
      <c r="B167" s="266"/>
      <c r="C167" s="291"/>
      <c r="D167" s="291"/>
      <c r="E167" s="291"/>
      <c r="F167" s="290"/>
      <c r="G167" s="290"/>
      <c r="H167" s="290"/>
      <c r="I167" s="290"/>
      <c r="J167" s="290"/>
      <c r="K167" s="290"/>
      <c r="L167" s="290"/>
      <c r="M167" s="290"/>
      <c r="N167" s="290"/>
      <c r="O167" s="290"/>
      <c r="P167" s="292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  <c r="AA167" s="290"/>
      <c r="AB167" s="290"/>
      <c r="AC167" s="290"/>
      <c r="AD167" s="290"/>
      <c r="AE167" s="290"/>
      <c r="AF167" s="290"/>
      <c r="AG167" s="290"/>
      <c r="AH167" s="286">
        <f t="shared" si="17"/>
        <v>0</v>
      </c>
    </row>
    <row r="168" spans="1:35" x14ac:dyDescent="0.2">
      <c r="A168" s="282"/>
      <c r="B168" s="266"/>
      <c r="C168" s="297"/>
      <c r="D168" s="298"/>
      <c r="E168" s="298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866"/>
      <c r="Q168" s="299"/>
      <c r="R168" s="299"/>
      <c r="S168" s="299"/>
      <c r="T168" s="299"/>
      <c r="U168" s="299"/>
      <c r="V168" s="299"/>
      <c r="W168" s="299"/>
      <c r="X168" s="299"/>
      <c r="Y168" s="299"/>
      <c r="Z168" s="299"/>
      <c r="AA168" s="299"/>
      <c r="AB168" s="299"/>
      <c r="AC168" s="299"/>
      <c r="AD168" s="299"/>
      <c r="AE168" s="299"/>
      <c r="AF168" s="299"/>
      <c r="AG168" s="299"/>
      <c r="AH168" s="215"/>
    </row>
    <row r="169" spans="1:35" ht="13.5" thickBot="1" x14ac:dyDescent="0.25">
      <c r="A169" s="287" t="s">
        <v>12</v>
      </c>
      <c r="B169" s="266"/>
      <c r="C169" s="288">
        <f t="shared" ref="C169:AG169" si="18">C170</f>
        <v>0</v>
      </c>
      <c r="D169" s="288">
        <f t="shared" si="18"/>
        <v>0</v>
      </c>
      <c r="E169" s="288">
        <f t="shared" si="18"/>
        <v>0</v>
      </c>
      <c r="F169" s="288">
        <f t="shared" si="18"/>
        <v>0</v>
      </c>
      <c r="G169" s="288">
        <f t="shared" si="18"/>
        <v>0</v>
      </c>
      <c r="H169" s="288">
        <f t="shared" si="18"/>
        <v>0</v>
      </c>
      <c r="I169" s="288">
        <f t="shared" si="18"/>
        <v>0</v>
      </c>
      <c r="J169" s="288">
        <f t="shared" si="18"/>
        <v>0</v>
      </c>
      <c r="K169" s="288">
        <f t="shared" si="18"/>
        <v>0</v>
      </c>
      <c r="L169" s="288">
        <f t="shared" si="18"/>
        <v>0</v>
      </c>
      <c r="M169" s="288">
        <f t="shared" si="18"/>
        <v>0</v>
      </c>
      <c r="N169" s="288">
        <f t="shared" si="18"/>
        <v>0</v>
      </c>
      <c r="O169" s="288">
        <f t="shared" si="18"/>
        <v>0</v>
      </c>
      <c r="P169" s="865">
        <f t="shared" si="18"/>
        <v>0</v>
      </c>
      <c r="Q169" s="288">
        <f t="shared" si="18"/>
        <v>0</v>
      </c>
      <c r="R169" s="288">
        <f t="shared" si="18"/>
        <v>0</v>
      </c>
      <c r="S169" s="288">
        <f t="shared" si="18"/>
        <v>0</v>
      </c>
      <c r="T169" s="288">
        <f t="shared" si="18"/>
        <v>0</v>
      </c>
      <c r="U169" s="288">
        <f t="shared" si="18"/>
        <v>0</v>
      </c>
      <c r="V169" s="288">
        <f t="shared" si="18"/>
        <v>0</v>
      </c>
      <c r="W169" s="288">
        <f t="shared" si="18"/>
        <v>0</v>
      </c>
      <c r="X169" s="288">
        <f t="shared" si="18"/>
        <v>0</v>
      </c>
      <c r="Y169" s="288">
        <f t="shared" si="18"/>
        <v>0</v>
      </c>
      <c r="Z169" s="288">
        <f t="shared" si="18"/>
        <v>0</v>
      </c>
      <c r="AA169" s="288">
        <f t="shared" si="18"/>
        <v>0</v>
      </c>
      <c r="AB169" s="288">
        <f t="shared" si="18"/>
        <v>0</v>
      </c>
      <c r="AC169" s="288">
        <f t="shared" si="18"/>
        <v>0</v>
      </c>
      <c r="AD169" s="288">
        <f t="shared" si="18"/>
        <v>0</v>
      </c>
      <c r="AE169" s="288">
        <f t="shared" si="18"/>
        <v>0</v>
      </c>
      <c r="AF169" s="288">
        <f t="shared" si="18"/>
        <v>0</v>
      </c>
      <c r="AG169" s="288">
        <f t="shared" si="18"/>
        <v>0</v>
      </c>
      <c r="AH169" s="215"/>
    </row>
    <row r="170" spans="1:35" x14ac:dyDescent="0.2">
      <c r="A170" s="287" t="s">
        <v>8</v>
      </c>
      <c r="B170" s="266"/>
      <c r="C170" s="291"/>
      <c r="D170" s="291"/>
      <c r="E170" s="291"/>
      <c r="F170" s="290"/>
      <c r="G170" s="290"/>
      <c r="H170" s="290"/>
      <c r="I170" s="290"/>
      <c r="J170" s="290"/>
      <c r="K170" s="290"/>
      <c r="L170" s="290"/>
      <c r="M170" s="290"/>
      <c r="N170" s="290"/>
      <c r="O170" s="290"/>
      <c r="P170" s="292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15"/>
    </row>
    <row r="171" spans="1:35" x14ac:dyDescent="0.2">
      <c r="A171" s="287" t="s">
        <v>775</v>
      </c>
      <c r="B171" s="266"/>
      <c r="C171" s="291">
        <v>456</v>
      </c>
      <c r="D171" s="291"/>
      <c r="E171" s="291">
        <v>2662</v>
      </c>
      <c r="F171" s="290"/>
      <c r="G171" s="290">
        <v>2200</v>
      </c>
      <c r="H171" s="292"/>
      <c r="I171" s="292">
        <v>10000</v>
      </c>
      <c r="J171" s="292">
        <v>1875</v>
      </c>
      <c r="K171" s="292">
        <v>1159</v>
      </c>
      <c r="L171" s="292">
        <v>1477</v>
      </c>
      <c r="M171" s="292"/>
      <c r="N171" s="292">
        <v>1551</v>
      </c>
      <c r="O171" s="292"/>
      <c r="P171" s="292"/>
      <c r="Q171" s="292">
        <v>3546</v>
      </c>
      <c r="R171" s="292"/>
      <c r="S171" s="292"/>
      <c r="T171" s="292">
        <v>2857</v>
      </c>
      <c r="U171" s="292"/>
      <c r="V171" s="292">
        <v>2655</v>
      </c>
      <c r="W171" s="292">
        <v>1035</v>
      </c>
      <c r="X171" s="292"/>
      <c r="Y171" s="292">
        <v>2449</v>
      </c>
      <c r="Z171" s="292"/>
      <c r="AA171" s="292">
        <v>2306</v>
      </c>
      <c r="AB171" s="292">
        <v>1036</v>
      </c>
      <c r="AC171" s="292"/>
      <c r="AD171" s="292"/>
      <c r="AE171" s="292"/>
      <c r="AF171" s="290">
        <v>9478</v>
      </c>
      <c r="AG171" s="290"/>
      <c r="AH171" s="286">
        <f>SUM(C171:AG171)</f>
        <v>46742</v>
      </c>
    </row>
    <row r="172" spans="1:35" ht="13.5" thickBot="1" x14ac:dyDescent="0.25">
      <c r="A172" s="296"/>
      <c r="B172" s="266"/>
      <c r="C172" s="291"/>
      <c r="D172" s="291"/>
      <c r="E172" s="291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2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15"/>
    </row>
    <row r="173" spans="1:35" x14ac:dyDescent="0.2">
      <c r="A173" s="282"/>
      <c r="B173" s="266"/>
      <c r="C173" s="297"/>
      <c r="D173" s="298"/>
      <c r="E173" s="298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866"/>
      <c r="Q173" s="299"/>
      <c r="R173" s="299"/>
      <c r="S173" s="299"/>
      <c r="T173" s="299"/>
      <c r="U173" s="299"/>
      <c r="V173" s="299"/>
      <c r="W173" s="299"/>
      <c r="X173" s="299"/>
      <c r="Y173" s="299"/>
      <c r="Z173" s="299"/>
      <c r="AA173" s="299"/>
      <c r="AB173" s="299"/>
      <c r="AC173" s="299"/>
      <c r="AD173" s="299"/>
      <c r="AE173" s="299"/>
      <c r="AF173" s="299"/>
      <c r="AG173" s="299"/>
      <c r="AH173" s="215"/>
    </row>
    <row r="174" spans="1:35" x14ac:dyDescent="0.2">
      <c r="A174" s="287" t="s">
        <v>13</v>
      </c>
      <c r="B174" s="266"/>
      <c r="C174" s="300">
        <f t="shared" ref="C174:AE174" si="19">C169-C159</f>
        <v>0</v>
      </c>
      <c r="D174" s="300">
        <f t="shared" si="19"/>
        <v>0</v>
      </c>
      <c r="E174" s="300">
        <f t="shared" si="19"/>
        <v>0</v>
      </c>
      <c r="F174" s="300">
        <f t="shared" si="19"/>
        <v>0</v>
      </c>
      <c r="G174" s="300">
        <f t="shared" si="19"/>
        <v>0</v>
      </c>
      <c r="H174" s="300">
        <f t="shared" si="19"/>
        <v>0</v>
      </c>
      <c r="I174" s="300">
        <f t="shared" si="19"/>
        <v>0</v>
      </c>
      <c r="J174" s="300">
        <f t="shared" si="19"/>
        <v>0</v>
      </c>
      <c r="K174" s="300">
        <f t="shared" si="19"/>
        <v>0</v>
      </c>
      <c r="L174" s="300">
        <f t="shared" si="19"/>
        <v>0</v>
      </c>
      <c r="M174" s="300">
        <f t="shared" si="19"/>
        <v>0</v>
      </c>
      <c r="N174" s="300">
        <f t="shared" si="19"/>
        <v>0</v>
      </c>
      <c r="O174" s="300">
        <f t="shared" si="19"/>
        <v>0</v>
      </c>
      <c r="P174" s="867">
        <f t="shared" si="19"/>
        <v>0</v>
      </c>
      <c r="Q174" s="300">
        <f t="shared" si="19"/>
        <v>0</v>
      </c>
      <c r="R174" s="300">
        <f t="shared" si="19"/>
        <v>0</v>
      </c>
      <c r="S174" s="300">
        <f t="shared" si="19"/>
        <v>0</v>
      </c>
      <c r="T174" s="300">
        <f t="shared" si="19"/>
        <v>0</v>
      </c>
      <c r="U174" s="300">
        <f t="shared" si="19"/>
        <v>0</v>
      </c>
      <c r="V174" s="300">
        <f t="shared" si="19"/>
        <v>0</v>
      </c>
      <c r="W174" s="300">
        <f t="shared" si="19"/>
        <v>0</v>
      </c>
      <c r="X174" s="300">
        <f t="shared" si="19"/>
        <v>0</v>
      </c>
      <c r="Y174" s="300">
        <f t="shared" si="19"/>
        <v>0</v>
      </c>
      <c r="Z174" s="300">
        <f t="shared" si="19"/>
        <v>0</v>
      </c>
      <c r="AA174" s="300">
        <f t="shared" si="19"/>
        <v>0</v>
      </c>
      <c r="AB174" s="300">
        <f t="shared" si="19"/>
        <v>0</v>
      </c>
      <c r="AC174" s="300">
        <f t="shared" si="19"/>
        <v>0</v>
      </c>
      <c r="AD174" s="300">
        <f t="shared" si="19"/>
        <v>0</v>
      </c>
      <c r="AE174" s="300">
        <f t="shared" si="19"/>
        <v>0</v>
      </c>
      <c r="AF174" s="300">
        <f>AF169-AF159</f>
        <v>0</v>
      </c>
      <c r="AG174" s="300">
        <f>AG169-AG159</f>
        <v>0</v>
      </c>
      <c r="AH174" s="215"/>
    </row>
    <row r="175" spans="1:35" ht="13.5" thickBot="1" x14ac:dyDescent="0.25">
      <c r="A175" s="287"/>
      <c r="B175" s="266"/>
      <c r="C175" s="300"/>
      <c r="D175" s="291"/>
      <c r="E175" s="291"/>
      <c r="F175" s="290"/>
      <c r="G175" s="290"/>
      <c r="H175" s="290"/>
      <c r="I175" s="290"/>
      <c r="J175" s="290"/>
      <c r="K175" s="290"/>
      <c r="L175" s="290"/>
      <c r="M175" s="290"/>
      <c r="N175" s="290"/>
      <c r="O175" s="290"/>
      <c r="P175" s="292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15"/>
      <c r="AI175" t="s">
        <v>813</v>
      </c>
    </row>
    <row r="176" spans="1:35" x14ac:dyDescent="0.2">
      <c r="A176" s="263"/>
      <c r="B176" s="264"/>
      <c r="C176" s="301"/>
      <c r="D176" s="298"/>
      <c r="E176" s="298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866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299"/>
      <c r="AH176" s="215"/>
    </row>
    <row r="177" spans="1:34" x14ac:dyDescent="0.2">
      <c r="A177" s="265" t="s">
        <v>15</v>
      </c>
      <c r="B177" s="266"/>
      <c r="C177" s="291">
        <f>B156+C174</f>
        <v>-26238.271000000001</v>
      </c>
      <c r="D177" s="291">
        <f t="shared" ref="D177:AE177" si="20">C184+D174</f>
        <v>-26238.271000000001</v>
      </c>
      <c r="E177" s="291">
        <f t="shared" si="20"/>
        <v>-26238.271000000001</v>
      </c>
      <c r="F177" s="291">
        <f t="shared" si="20"/>
        <v>-26238.271000000001</v>
      </c>
      <c r="G177" s="291">
        <f t="shared" si="20"/>
        <v>-26238.271000000001</v>
      </c>
      <c r="H177" s="291">
        <f t="shared" si="20"/>
        <v>-26238.271000000001</v>
      </c>
      <c r="I177" s="291">
        <f t="shared" si="20"/>
        <v>-26238.271000000001</v>
      </c>
      <c r="J177" s="291">
        <f t="shared" si="20"/>
        <v>-26238.271000000001</v>
      </c>
      <c r="K177" s="291">
        <f t="shared" si="20"/>
        <v>-26238.271000000001</v>
      </c>
      <c r="L177" s="291">
        <f t="shared" si="20"/>
        <v>-26238.271000000001</v>
      </c>
      <c r="M177" s="291">
        <f t="shared" si="20"/>
        <v>-26238.271000000001</v>
      </c>
      <c r="N177" s="291">
        <f t="shared" si="20"/>
        <v>-26238.271000000001</v>
      </c>
      <c r="O177" s="291">
        <f t="shared" si="20"/>
        <v>-26238.271000000001</v>
      </c>
      <c r="P177" s="289">
        <f t="shared" si="20"/>
        <v>-26238.271000000001</v>
      </c>
      <c r="Q177" s="291">
        <f t="shared" si="20"/>
        <v>-26238.271000000001</v>
      </c>
      <c r="R177" s="291">
        <f>Q184+R174</f>
        <v>-26238.271000000001</v>
      </c>
      <c r="S177" s="291">
        <f>R184+S174</f>
        <v>-26238.271000000001</v>
      </c>
      <c r="T177" s="291">
        <f>S184+T174</f>
        <v>-26238.271000000001</v>
      </c>
      <c r="U177" s="291">
        <f>T184+U174</f>
        <v>-26238.271000000001</v>
      </c>
      <c r="V177" s="291">
        <f>U184+V174</f>
        <v>-26238.271000000001</v>
      </c>
      <c r="W177" s="291">
        <f t="shared" si="20"/>
        <v>-26238.271000000001</v>
      </c>
      <c r="X177" s="291">
        <f t="shared" si="20"/>
        <v>-26238.271000000001</v>
      </c>
      <c r="Y177" s="291">
        <f t="shared" si="20"/>
        <v>-26238.271000000001</v>
      </c>
      <c r="Z177" s="291">
        <f t="shared" si="20"/>
        <v>-26238.271000000001</v>
      </c>
      <c r="AA177" s="291">
        <f t="shared" si="20"/>
        <v>-26238.271000000001</v>
      </c>
      <c r="AB177" s="291">
        <f t="shared" si="20"/>
        <v>-26238.271000000001</v>
      </c>
      <c r="AC177" s="291">
        <f t="shared" si="20"/>
        <v>-26238.271000000001</v>
      </c>
      <c r="AD177" s="291">
        <f t="shared" si="20"/>
        <v>-26238.271000000001</v>
      </c>
      <c r="AE177" s="291">
        <f t="shared" si="20"/>
        <v>-26238.271000000001</v>
      </c>
      <c r="AF177" s="291">
        <f>AE184+AF174</f>
        <v>-26238.271000000001</v>
      </c>
      <c r="AG177" s="291">
        <f>AF184+AG174</f>
        <v>-26238.271000000001</v>
      </c>
      <c r="AH177" s="215"/>
    </row>
    <row r="178" spans="1:34" ht="13.5" thickBot="1" x14ac:dyDescent="0.25">
      <c r="A178" s="275"/>
      <c r="B178" s="302"/>
      <c r="C178" s="303"/>
      <c r="D178" s="303"/>
      <c r="E178" s="303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868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04"/>
      <c r="AF178" s="304"/>
      <c r="AG178" s="304"/>
      <c r="AH178" s="215"/>
    </row>
    <row r="179" spans="1:34" x14ac:dyDescent="0.2">
      <c r="A179" s="263"/>
      <c r="B179" s="264"/>
      <c r="C179" s="298"/>
      <c r="D179" s="298"/>
      <c r="E179" s="298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866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  <c r="AA179" s="299"/>
      <c r="AB179" s="299"/>
      <c r="AC179" s="299"/>
      <c r="AD179" s="299"/>
      <c r="AE179" s="299"/>
      <c r="AF179" s="299"/>
      <c r="AG179" s="299"/>
      <c r="AH179" s="215"/>
    </row>
    <row r="180" spans="1:34" x14ac:dyDescent="0.2">
      <c r="A180" s="265" t="s">
        <v>82</v>
      </c>
      <c r="B180" s="266"/>
      <c r="C180" s="291">
        <f t="shared" ref="C180:AE181" si="21">C188</f>
        <v>0</v>
      </c>
      <c r="D180" s="291">
        <f t="shared" si="21"/>
        <v>0</v>
      </c>
      <c r="E180" s="291">
        <f t="shared" si="21"/>
        <v>0</v>
      </c>
      <c r="F180" s="291">
        <f t="shared" si="21"/>
        <v>0</v>
      </c>
      <c r="G180" s="291">
        <f t="shared" si="21"/>
        <v>0</v>
      </c>
      <c r="H180" s="291">
        <f t="shared" si="21"/>
        <v>0</v>
      </c>
      <c r="I180" s="291">
        <f t="shared" si="21"/>
        <v>0</v>
      </c>
      <c r="J180" s="291">
        <f t="shared" si="21"/>
        <v>0</v>
      </c>
      <c r="K180" s="291">
        <f t="shared" si="21"/>
        <v>0</v>
      </c>
      <c r="L180" s="291">
        <f t="shared" si="21"/>
        <v>0</v>
      </c>
      <c r="M180" s="291">
        <f t="shared" si="21"/>
        <v>0</v>
      </c>
      <c r="N180" s="291">
        <f t="shared" si="21"/>
        <v>0</v>
      </c>
      <c r="O180" s="291">
        <f t="shared" si="21"/>
        <v>0</v>
      </c>
      <c r="P180" s="289">
        <f t="shared" si="21"/>
        <v>0</v>
      </c>
      <c r="Q180" s="291">
        <f t="shared" si="21"/>
        <v>0</v>
      </c>
      <c r="R180" s="291">
        <f t="shared" si="21"/>
        <v>0</v>
      </c>
      <c r="S180" s="291">
        <f t="shared" si="21"/>
        <v>0</v>
      </c>
      <c r="T180" s="291">
        <f t="shared" si="21"/>
        <v>0</v>
      </c>
      <c r="U180" s="291">
        <f t="shared" si="21"/>
        <v>0</v>
      </c>
      <c r="V180" s="291">
        <f t="shared" si="21"/>
        <v>0</v>
      </c>
      <c r="W180" s="291">
        <f t="shared" si="21"/>
        <v>0</v>
      </c>
      <c r="X180" s="291">
        <f t="shared" si="21"/>
        <v>0</v>
      </c>
      <c r="Y180" s="291">
        <f t="shared" si="21"/>
        <v>0</v>
      </c>
      <c r="Z180" s="291">
        <f t="shared" si="21"/>
        <v>0</v>
      </c>
      <c r="AA180" s="291">
        <f t="shared" si="21"/>
        <v>0</v>
      </c>
      <c r="AB180" s="291">
        <f t="shared" si="21"/>
        <v>0</v>
      </c>
      <c r="AC180" s="291">
        <f t="shared" si="21"/>
        <v>0</v>
      </c>
      <c r="AD180" s="291">
        <f t="shared" si="21"/>
        <v>0</v>
      </c>
      <c r="AE180" s="291">
        <f t="shared" si="21"/>
        <v>0</v>
      </c>
      <c r="AF180" s="291">
        <f>AF188</f>
        <v>0</v>
      </c>
      <c r="AG180" s="291">
        <f>AG188</f>
        <v>0</v>
      </c>
      <c r="AH180" s="215"/>
    </row>
    <row r="181" spans="1:34" x14ac:dyDescent="0.2">
      <c r="A181" s="265" t="s">
        <v>83</v>
      </c>
      <c r="B181" s="266"/>
      <c r="C181" s="289">
        <f t="shared" si="21"/>
        <v>0</v>
      </c>
      <c r="D181" s="289">
        <f t="shared" si="21"/>
        <v>0</v>
      </c>
      <c r="E181" s="289">
        <f t="shared" si="21"/>
        <v>0</v>
      </c>
      <c r="F181" s="289">
        <f t="shared" si="21"/>
        <v>0</v>
      </c>
      <c r="G181" s="289">
        <f t="shared" si="21"/>
        <v>0</v>
      </c>
      <c r="H181" s="289">
        <f t="shared" si="21"/>
        <v>0</v>
      </c>
      <c r="I181" s="289">
        <f t="shared" si="21"/>
        <v>0</v>
      </c>
      <c r="J181" s="289">
        <f t="shared" si="21"/>
        <v>0</v>
      </c>
      <c r="K181" s="289">
        <f t="shared" si="21"/>
        <v>0</v>
      </c>
      <c r="L181" s="289">
        <f t="shared" si="21"/>
        <v>0</v>
      </c>
      <c r="M181" s="289">
        <f t="shared" si="21"/>
        <v>0</v>
      </c>
      <c r="N181" s="289">
        <f t="shared" si="21"/>
        <v>0</v>
      </c>
      <c r="O181" s="289">
        <f t="shared" si="21"/>
        <v>0</v>
      </c>
      <c r="P181" s="289">
        <f t="shared" si="21"/>
        <v>0</v>
      </c>
      <c r="Q181" s="289">
        <f t="shared" si="21"/>
        <v>0</v>
      </c>
      <c r="R181" s="289">
        <f t="shared" si="21"/>
        <v>0</v>
      </c>
      <c r="S181" s="289">
        <f t="shared" si="21"/>
        <v>0</v>
      </c>
      <c r="T181" s="289">
        <f t="shared" si="21"/>
        <v>0</v>
      </c>
      <c r="U181" s="289">
        <f t="shared" si="21"/>
        <v>0</v>
      </c>
      <c r="V181" s="289">
        <f t="shared" si="21"/>
        <v>0</v>
      </c>
      <c r="W181" s="289">
        <f t="shared" si="21"/>
        <v>0</v>
      </c>
      <c r="X181" s="289">
        <f t="shared" si="21"/>
        <v>0</v>
      </c>
      <c r="Y181" s="289">
        <f t="shared" si="21"/>
        <v>0</v>
      </c>
      <c r="Z181" s="289">
        <f t="shared" si="21"/>
        <v>0</v>
      </c>
      <c r="AA181" s="289">
        <f t="shared" si="21"/>
        <v>0</v>
      </c>
      <c r="AB181" s="289">
        <f t="shared" si="21"/>
        <v>0</v>
      </c>
      <c r="AC181" s="289">
        <f t="shared" si="21"/>
        <v>0</v>
      </c>
      <c r="AD181" s="289">
        <f t="shared" si="21"/>
        <v>0</v>
      </c>
      <c r="AE181" s="289">
        <f t="shared" si="21"/>
        <v>0</v>
      </c>
      <c r="AF181" s="289">
        <f>AF189</f>
        <v>0</v>
      </c>
      <c r="AG181" s="289">
        <f>AG189</f>
        <v>0</v>
      </c>
      <c r="AH181" s="215"/>
    </row>
    <row r="182" spans="1:34" ht="13.5" thickBot="1" x14ac:dyDescent="0.25">
      <c r="A182" s="275"/>
      <c r="B182" s="302"/>
      <c r="C182" s="303"/>
      <c r="D182" s="303"/>
      <c r="E182" s="303"/>
      <c r="F182" s="304"/>
      <c r="G182" s="304"/>
      <c r="H182" s="304"/>
      <c r="I182" s="304"/>
      <c r="J182" s="304"/>
      <c r="K182" s="304"/>
      <c r="L182" s="304"/>
      <c r="M182" s="304"/>
      <c r="N182" s="304"/>
      <c r="O182" s="304"/>
      <c r="P182" s="868"/>
      <c r="Q182" s="304"/>
      <c r="R182" s="304"/>
      <c r="S182" s="304"/>
      <c r="T182" s="304"/>
      <c r="U182" s="304"/>
      <c r="V182" s="304"/>
      <c r="W182" s="304"/>
      <c r="X182" s="304"/>
      <c r="Y182" s="304"/>
      <c r="Z182" s="304"/>
      <c r="AA182" s="304"/>
      <c r="AB182" s="304"/>
      <c r="AC182" s="304"/>
      <c r="AD182" s="304"/>
      <c r="AE182" s="304"/>
      <c r="AF182" s="304"/>
      <c r="AG182" s="304"/>
      <c r="AH182" s="215"/>
    </row>
    <row r="183" spans="1:34" x14ac:dyDescent="0.2">
      <c r="A183" s="265"/>
      <c r="B183" s="266"/>
      <c r="C183" s="291"/>
      <c r="D183" s="291"/>
      <c r="E183" s="291"/>
      <c r="F183" s="290"/>
      <c r="G183" s="290"/>
      <c r="H183" s="290"/>
      <c r="I183" s="290"/>
      <c r="J183" s="290"/>
      <c r="K183" s="290"/>
      <c r="L183" s="290"/>
      <c r="M183" s="290"/>
      <c r="N183" s="290"/>
      <c r="O183" s="290"/>
      <c r="P183" s="292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  <c r="AE183" s="290"/>
      <c r="AF183" s="290"/>
      <c r="AG183" s="290"/>
      <c r="AH183" s="309"/>
    </row>
    <row r="184" spans="1:34" x14ac:dyDescent="0.2">
      <c r="A184" s="265" t="s">
        <v>14</v>
      </c>
      <c r="B184" s="266"/>
      <c r="C184" s="291">
        <f t="shared" ref="C184:AE184" si="22">C177+C180+C181</f>
        <v>-26238.271000000001</v>
      </c>
      <c r="D184" s="291">
        <f t="shared" si="22"/>
        <v>-26238.271000000001</v>
      </c>
      <c r="E184" s="291">
        <f t="shared" si="22"/>
        <v>-26238.271000000001</v>
      </c>
      <c r="F184" s="291">
        <f t="shared" si="22"/>
        <v>-26238.271000000001</v>
      </c>
      <c r="G184" s="291">
        <f t="shared" si="22"/>
        <v>-26238.271000000001</v>
      </c>
      <c r="H184" s="291">
        <f t="shared" si="22"/>
        <v>-26238.271000000001</v>
      </c>
      <c r="I184" s="291">
        <f t="shared" si="22"/>
        <v>-26238.271000000001</v>
      </c>
      <c r="J184" s="291">
        <f t="shared" si="22"/>
        <v>-26238.271000000001</v>
      </c>
      <c r="K184" s="291">
        <f t="shared" si="22"/>
        <v>-26238.271000000001</v>
      </c>
      <c r="L184" s="291">
        <f t="shared" si="22"/>
        <v>-26238.271000000001</v>
      </c>
      <c r="M184" s="291">
        <f t="shared" si="22"/>
        <v>-26238.271000000001</v>
      </c>
      <c r="N184" s="291">
        <f t="shared" si="22"/>
        <v>-26238.271000000001</v>
      </c>
      <c r="O184" s="291">
        <f t="shared" si="22"/>
        <v>-26238.271000000001</v>
      </c>
      <c r="P184" s="289">
        <f t="shared" si="22"/>
        <v>-26238.271000000001</v>
      </c>
      <c r="Q184" s="291">
        <f t="shared" si="22"/>
        <v>-26238.271000000001</v>
      </c>
      <c r="R184" s="291">
        <f t="shared" si="22"/>
        <v>-26238.271000000001</v>
      </c>
      <c r="S184" s="291">
        <f t="shared" si="22"/>
        <v>-26238.271000000001</v>
      </c>
      <c r="T184" s="291">
        <f t="shared" si="22"/>
        <v>-26238.271000000001</v>
      </c>
      <c r="U184" s="291">
        <f t="shared" si="22"/>
        <v>-26238.271000000001</v>
      </c>
      <c r="V184" s="291">
        <f t="shared" si="22"/>
        <v>-26238.271000000001</v>
      </c>
      <c r="W184" s="291">
        <f t="shared" si="22"/>
        <v>-26238.271000000001</v>
      </c>
      <c r="X184" s="291">
        <f t="shared" si="22"/>
        <v>-26238.271000000001</v>
      </c>
      <c r="Y184" s="291">
        <f t="shared" si="22"/>
        <v>-26238.271000000001</v>
      </c>
      <c r="Z184" s="291">
        <f t="shared" si="22"/>
        <v>-26238.271000000001</v>
      </c>
      <c r="AA184" s="291">
        <f t="shared" si="22"/>
        <v>-26238.271000000001</v>
      </c>
      <c r="AB184" s="291">
        <f t="shared" si="22"/>
        <v>-26238.271000000001</v>
      </c>
      <c r="AC184" s="291">
        <f t="shared" si="22"/>
        <v>-26238.271000000001</v>
      </c>
      <c r="AD184" s="291">
        <f t="shared" si="22"/>
        <v>-26238.271000000001</v>
      </c>
      <c r="AE184" s="291">
        <f t="shared" si="22"/>
        <v>-26238.271000000001</v>
      </c>
      <c r="AF184" s="291">
        <f>AF177+AF180+AF181</f>
        <v>-26238.271000000001</v>
      </c>
      <c r="AG184" s="291">
        <f>AG177+AG180+AG181</f>
        <v>-26238.271000000001</v>
      </c>
      <c r="AH184" s="308"/>
    </row>
    <row r="185" spans="1:34" x14ac:dyDescent="0.2">
      <c r="A185" s="265"/>
      <c r="B185" s="266"/>
      <c r="C185" s="291"/>
      <c r="D185" s="291"/>
      <c r="E185" s="291"/>
      <c r="F185" s="290"/>
      <c r="G185" s="290"/>
      <c r="H185" s="290"/>
      <c r="I185" s="290"/>
      <c r="J185" s="290"/>
      <c r="K185" s="290"/>
      <c r="L185" s="290"/>
      <c r="M185" s="290"/>
      <c r="N185" s="290"/>
      <c r="O185" s="290"/>
      <c r="P185" s="292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  <c r="AA185" s="290"/>
      <c r="AB185" s="290"/>
      <c r="AC185" s="290"/>
      <c r="AD185" s="290"/>
      <c r="AE185" s="290"/>
      <c r="AF185" s="290"/>
      <c r="AG185" s="290"/>
      <c r="AH185" s="309"/>
    </row>
    <row r="186" spans="1:34" ht="13.5" thickBot="1" x14ac:dyDescent="0.25">
      <c r="A186" s="275"/>
      <c r="B186" s="302"/>
      <c r="C186" s="306"/>
      <c r="D186" s="306"/>
      <c r="E186" s="306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869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9"/>
    </row>
    <row r="187" spans="1:34" x14ac:dyDescent="0.2">
      <c r="A187" s="310"/>
      <c r="B187" s="215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308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309"/>
    </row>
    <row r="188" spans="1:34" x14ac:dyDescent="0.2">
      <c r="A188" s="312"/>
      <c r="B188" s="475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  <c r="O188" s="629"/>
      <c r="P188" s="629"/>
      <c r="Q188" s="311"/>
      <c r="R188" s="311"/>
      <c r="S188" s="311"/>
      <c r="T188" s="311"/>
      <c r="U188" s="311"/>
      <c r="V188" s="311"/>
      <c r="W188" s="311"/>
      <c r="X188" s="311"/>
      <c r="Y188" s="311"/>
      <c r="Z188" s="311"/>
      <c r="AA188" s="408"/>
      <c r="AB188" s="311"/>
      <c r="AC188" s="311"/>
      <c r="AD188" s="311"/>
      <c r="AE188" s="311"/>
      <c r="AF188" s="311"/>
      <c r="AG188" s="311"/>
      <c r="AH188" s="308"/>
    </row>
    <row r="189" spans="1:34" x14ac:dyDescent="0.2">
      <c r="A189" s="310"/>
      <c r="B189" s="215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311"/>
      <c r="P189" s="629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311"/>
      <c r="AB189" s="311"/>
      <c r="AC189" s="311"/>
      <c r="AD189" s="311"/>
      <c r="AE189" s="311"/>
      <c r="AF189" s="311"/>
      <c r="AG189" s="311"/>
      <c r="AH189" s="308"/>
    </row>
    <row r="190" spans="1:34" x14ac:dyDescent="0.2">
      <c r="A190" s="358" t="s">
        <v>415</v>
      </c>
      <c r="B190" s="359">
        <f>SUM(B191:B194)</f>
        <v>375000</v>
      </c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309"/>
      <c r="Q190" s="215"/>
      <c r="R190" s="215"/>
      <c r="S190" s="215"/>
      <c r="T190" s="456"/>
      <c r="U190" s="262"/>
      <c r="V190" s="215"/>
      <c r="W190" s="215"/>
      <c r="X190" s="215"/>
      <c r="Y190" s="215"/>
      <c r="Z190" s="215"/>
      <c r="AA190" s="408"/>
      <c r="AB190" s="215"/>
      <c r="AC190" s="215"/>
      <c r="AD190" s="215"/>
      <c r="AE190" s="215"/>
      <c r="AF190" s="215"/>
      <c r="AG190" s="215"/>
      <c r="AH190" s="215"/>
    </row>
    <row r="191" spans="1:34" x14ac:dyDescent="0.2">
      <c r="A191" s="327" t="s">
        <v>414</v>
      </c>
      <c r="B191" s="311">
        <v>25000</v>
      </c>
      <c r="C191" s="215"/>
      <c r="D191" s="30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311"/>
      <c r="T191" s="320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27" t="s">
        <v>287</v>
      </c>
      <c r="B192" s="311">
        <v>200000</v>
      </c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10" t="s">
        <v>413</v>
      </c>
      <c r="B193" s="329">
        <v>75000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86"/>
      <c r="M193" s="215"/>
      <c r="N193" s="215"/>
      <c r="O193" s="215"/>
      <c r="P193" s="309"/>
      <c r="Q193" s="215"/>
      <c r="R193" s="215"/>
      <c r="S193" s="311"/>
      <c r="T193" s="320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310" t="s">
        <v>441</v>
      </c>
      <c r="B194" s="311">
        <v>75000</v>
      </c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309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ht="13.5" thickBot="1" x14ac:dyDescent="0.25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309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</row>
    <row r="197" spans="1:34" x14ac:dyDescent="0.2">
      <c r="A197" s="263"/>
      <c r="B197" s="264"/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860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15"/>
    </row>
    <row r="198" spans="1:34" x14ac:dyDescent="0.2">
      <c r="A198" s="265"/>
      <c r="B198" s="266" t="s">
        <v>37</v>
      </c>
      <c r="C198" s="266"/>
      <c r="D198" s="266"/>
      <c r="E198" s="267" t="s">
        <v>838</v>
      </c>
      <c r="F198" s="268" t="s">
        <v>96</v>
      </c>
      <c r="G198" s="269"/>
      <c r="H198" s="268"/>
      <c r="I198" s="268"/>
      <c r="J198" s="268"/>
      <c r="K198" s="268"/>
      <c r="L198" s="268"/>
      <c r="M198" s="268"/>
      <c r="N198" s="268"/>
      <c r="O198" s="268"/>
      <c r="P198" s="861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  <c r="AA198" s="268"/>
      <c r="AB198" s="268"/>
      <c r="AC198" s="268"/>
      <c r="AD198" s="268"/>
      <c r="AE198" s="268"/>
      <c r="AF198" s="268"/>
      <c r="AG198" s="268"/>
      <c r="AH198" s="215"/>
    </row>
    <row r="199" spans="1:34" x14ac:dyDescent="0.2">
      <c r="A199" s="265"/>
      <c r="B199" s="266"/>
      <c r="C199" s="266"/>
      <c r="D199" s="268"/>
      <c r="E199" s="266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79"/>
      <c r="Q199" s="266"/>
      <c r="R199" s="266"/>
      <c r="S199" s="266"/>
      <c r="T199" s="266"/>
      <c r="U199" s="266"/>
      <c r="V199" s="266"/>
      <c r="W199" s="266"/>
      <c r="X199" s="266"/>
      <c r="Y199" s="266"/>
      <c r="Z199" s="266"/>
      <c r="AA199" s="266"/>
      <c r="AB199" s="266"/>
      <c r="AC199" s="266"/>
      <c r="AD199" s="266"/>
      <c r="AE199" s="266"/>
      <c r="AF199" s="266"/>
      <c r="AG199" s="266"/>
      <c r="AH199" s="215"/>
    </row>
    <row r="200" spans="1:34" x14ac:dyDescent="0.2">
      <c r="A200" s="265"/>
      <c r="B200" s="266"/>
      <c r="C200" s="268"/>
      <c r="D200" s="268">
        <v>42283</v>
      </c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x14ac:dyDescent="0.2">
      <c r="A201" s="265"/>
      <c r="B201" s="266"/>
      <c r="C201" s="268"/>
      <c r="D201" s="268"/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ht="13.5" thickBot="1" x14ac:dyDescent="0.25">
      <c r="A202" s="265"/>
      <c r="B202" s="266"/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79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15"/>
    </row>
    <row r="203" spans="1:34" ht="13.5" thickBot="1" x14ac:dyDescent="0.25">
      <c r="A203" s="265"/>
      <c r="B203" s="266"/>
      <c r="C203" s="270"/>
      <c r="D203" s="271" t="s">
        <v>16</v>
      </c>
      <c r="E203" s="271"/>
      <c r="F203" s="271"/>
      <c r="G203" s="271"/>
      <c r="H203" s="271"/>
      <c r="I203" s="271"/>
      <c r="J203" s="271"/>
      <c r="K203" s="271"/>
      <c r="L203" s="271"/>
      <c r="M203" s="271"/>
      <c r="N203" s="271"/>
      <c r="O203" s="271"/>
      <c r="P203" s="862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  <c r="AA203" s="271"/>
      <c r="AB203" s="271"/>
      <c r="AC203" s="271"/>
      <c r="AD203" s="271"/>
      <c r="AE203" s="271"/>
      <c r="AF203" s="271"/>
      <c r="AG203" s="271"/>
      <c r="AH203" s="215"/>
    </row>
    <row r="204" spans="1:34" ht="13.5" thickBot="1" x14ac:dyDescent="0.25">
      <c r="A204" s="265"/>
      <c r="B204" s="266"/>
      <c r="C204" s="272" t="s">
        <v>452</v>
      </c>
      <c r="D204" s="272" t="s">
        <v>453</v>
      </c>
      <c r="E204" s="272" t="s">
        <v>434</v>
      </c>
      <c r="F204" s="272" t="s">
        <v>390</v>
      </c>
      <c r="G204" s="272" t="s">
        <v>454</v>
      </c>
      <c r="H204" s="272" t="s">
        <v>455</v>
      </c>
      <c r="I204" s="272" t="s">
        <v>456</v>
      </c>
      <c r="J204" s="272" t="s">
        <v>457</v>
      </c>
      <c r="K204" s="272" t="s">
        <v>458</v>
      </c>
      <c r="L204" s="272" t="s">
        <v>216</v>
      </c>
      <c r="M204" s="272" t="s">
        <v>459</v>
      </c>
      <c r="N204" s="272" t="s">
        <v>297</v>
      </c>
      <c r="O204" s="272" t="s">
        <v>211</v>
      </c>
      <c r="P204" s="863" t="s">
        <v>270</v>
      </c>
      <c r="Q204" s="272"/>
      <c r="R204" s="272" t="s">
        <v>469</v>
      </c>
      <c r="S204" s="272" t="s">
        <v>461</v>
      </c>
      <c r="T204" s="272" t="s">
        <v>442</v>
      </c>
      <c r="U204" s="272" t="s">
        <v>462</v>
      </c>
      <c r="V204" s="272" t="s">
        <v>470</v>
      </c>
      <c r="W204" s="272" t="s">
        <v>471</v>
      </c>
      <c r="X204" s="272" t="s">
        <v>472</v>
      </c>
      <c r="Y204" s="272" t="s">
        <v>463</v>
      </c>
      <c r="Z204" s="272" t="s">
        <v>465</v>
      </c>
      <c r="AA204" s="272" t="s">
        <v>466</v>
      </c>
      <c r="AB204" s="272" t="s">
        <v>435</v>
      </c>
      <c r="AC204" s="272" t="s">
        <v>467</v>
      </c>
      <c r="AD204" s="272" t="s">
        <v>464</v>
      </c>
      <c r="AE204" s="272" t="s">
        <v>429</v>
      </c>
      <c r="AF204" s="272" t="s">
        <v>149</v>
      </c>
      <c r="AG204" s="272" t="s">
        <v>210</v>
      </c>
      <c r="AH204" s="215"/>
    </row>
    <row r="205" spans="1:34" x14ac:dyDescent="0.2">
      <c r="A205" s="263"/>
      <c r="B205" s="273"/>
      <c r="C205" s="266"/>
      <c r="D205" s="266"/>
      <c r="E205" s="266"/>
      <c r="F205" s="266"/>
      <c r="G205" s="266"/>
      <c r="H205" s="266"/>
      <c r="I205" s="266"/>
      <c r="J205" s="266"/>
      <c r="K205" s="266"/>
      <c r="L205" s="266"/>
      <c r="M205" s="266"/>
      <c r="N205" s="266"/>
      <c r="O205" s="266"/>
      <c r="P205" s="279"/>
      <c r="Q205" s="266"/>
      <c r="R205" s="266"/>
      <c r="S205" s="266"/>
      <c r="T205" s="266"/>
      <c r="U205" s="266"/>
      <c r="V205" s="266"/>
      <c r="W205" s="266"/>
      <c r="X205" s="266"/>
      <c r="Y205" s="266"/>
      <c r="Z205" s="266"/>
      <c r="AA205" s="266"/>
      <c r="AB205" s="266"/>
      <c r="AC205" s="266"/>
      <c r="AD205" s="266"/>
      <c r="AE205" s="266"/>
      <c r="AF205" s="266"/>
      <c r="AG205" s="266"/>
      <c r="AH205" s="215"/>
    </row>
    <row r="206" spans="1:34" x14ac:dyDescent="0.2">
      <c r="A206" s="265" t="s">
        <v>0</v>
      </c>
      <c r="B206" s="274">
        <v>-24113.886999999999</v>
      </c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ht="13.5" thickBot="1" x14ac:dyDescent="0.25">
      <c r="A207" s="275"/>
      <c r="B207" s="27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x14ac:dyDescent="0.2">
      <c r="A208" s="263"/>
      <c r="B208" s="278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5" t="s">
        <v>1</v>
      </c>
      <c r="B209" s="274">
        <f>B210+B211+B212</f>
        <v>0</v>
      </c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38</v>
      </c>
      <c r="B210" s="274">
        <f>C258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39</v>
      </c>
      <c r="B211" s="274">
        <f>C280</f>
        <v>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x14ac:dyDescent="0.2">
      <c r="A212" s="265" t="s">
        <v>3</v>
      </c>
      <c r="B212" s="274"/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ht="13.5" thickBot="1" x14ac:dyDescent="0.25">
      <c r="A213" s="275"/>
      <c r="B213" s="276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x14ac:dyDescent="0.2">
      <c r="A214" s="263"/>
      <c r="B214" s="278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x14ac:dyDescent="0.2">
      <c r="A215" s="265" t="s">
        <v>4</v>
      </c>
      <c r="B215" s="274">
        <f>B206-B209</f>
        <v>-24113.886999999999</v>
      </c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ht="13.5" thickBot="1" x14ac:dyDescent="0.25">
      <c r="A216" s="275"/>
      <c r="B216" s="276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x14ac:dyDescent="0.2">
      <c r="A217" s="263"/>
      <c r="B217" s="278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x14ac:dyDescent="0.2">
      <c r="A218" s="265" t="s">
        <v>17</v>
      </c>
      <c r="B218" s="274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ht="13.5" thickBot="1" x14ac:dyDescent="0.25">
      <c r="A219" s="275"/>
      <c r="B219" s="27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330"/>
      <c r="Y219" s="266"/>
      <c r="Z219" s="266"/>
      <c r="AA219" s="266"/>
      <c r="AB219" s="266"/>
      <c r="AC219" s="266"/>
      <c r="AD219" s="266"/>
      <c r="AE219" s="266"/>
      <c r="AF219" s="266"/>
      <c r="AG219" s="266"/>
      <c r="AH219" s="215"/>
    </row>
    <row r="220" spans="1:34" x14ac:dyDescent="0.2">
      <c r="A220" s="263"/>
      <c r="B220" s="278"/>
      <c r="C220" s="281"/>
      <c r="D220" s="269"/>
      <c r="E220" s="266"/>
      <c r="F220" s="266"/>
      <c r="G220" s="269"/>
      <c r="H220" s="269" t="s">
        <v>250</v>
      </c>
      <c r="I220" s="266"/>
      <c r="J220" s="269"/>
      <c r="K220" s="266"/>
      <c r="L220" s="266"/>
      <c r="M220" s="266"/>
      <c r="N220" s="266"/>
      <c r="O220" s="266"/>
      <c r="P220" s="279"/>
      <c r="Q220" s="281"/>
      <c r="R220" s="266"/>
      <c r="S220" s="266"/>
      <c r="T220" s="266"/>
      <c r="U220" s="266"/>
      <c r="V220" s="266"/>
      <c r="W220" s="266"/>
      <c r="X220" s="266"/>
      <c r="Y220" s="266"/>
      <c r="Z220" s="266"/>
      <c r="AA220" s="266"/>
      <c r="AB220" s="266"/>
      <c r="AC220" s="810"/>
      <c r="AD220" s="802"/>
      <c r="AE220" s="269"/>
      <c r="AF220" s="267" t="s">
        <v>1046</v>
      </c>
      <c r="AG220" s="269"/>
      <c r="AH220" s="215"/>
    </row>
    <row r="221" spans="1:34" x14ac:dyDescent="0.2">
      <c r="A221" s="265" t="s">
        <v>5</v>
      </c>
      <c r="B221" s="274">
        <f>B215-B218</f>
        <v>-24113.886999999999</v>
      </c>
      <c r="C221" s="281"/>
      <c r="D221" s="269" t="s">
        <v>177</v>
      </c>
      <c r="E221" s="934"/>
      <c r="G221" s="269"/>
      <c r="H221" s="269" t="s">
        <v>324</v>
      </c>
      <c r="I221" s="269"/>
      <c r="J221" s="269"/>
      <c r="K221" s="281"/>
      <c r="L221" s="269"/>
      <c r="M221" s="269"/>
      <c r="N221" s="281"/>
      <c r="O221" s="269"/>
      <c r="P221" s="279"/>
      <c r="Q221" s="281"/>
      <c r="R221" s="266"/>
      <c r="S221" s="269"/>
      <c r="T221" s="269" t="s">
        <v>280</v>
      </c>
      <c r="U221" s="269"/>
      <c r="V221" s="269"/>
      <c r="W221" s="266"/>
      <c r="X221" s="710"/>
      <c r="Y221" s="269"/>
      <c r="Z221" s="266"/>
      <c r="AA221" s="269"/>
      <c r="AB221" s="269"/>
      <c r="AC221" s="810"/>
      <c r="AD221" s="802"/>
      <c r="AE221" s="269"/>
      <c r="AF221" s="269" t="s">
        <v>371</v>
      </c>
      <c r="AG221" s="269"/>
      <c r="AH221" s="215"/>
    </row>
    <row r="222" spans="1:34" ht="13.5" thickBot="1" x14ac:dyDescent="0.25">
      <c r="A222" s="275"/>
      <c r="B222" s="276"/>
      <c r="D222" s="266"/>
      <c r="E222" s="266"/>
      <c r="F222" s="266"/>
      <c r="G222" s="266"/>
      <c r="H222" s="266"/>
      <c r="I222" s="266"/>
      <c r="J222" s="269"/>
      <c r="K222" s="266"/>
      <c r="L222" s="266"/>
      <c r="M222" s="266"/>
      <c r="N222" s="266"/>
      <c r="O222" s="266"/>
      <c r="P222" s="279"/>
      <c r="Q222" s="266"/>
      <c r="R222" s="266"/>
      <c r="S222" s="266"/>
      <c r="T222" s="266"/>
      <c r="U222" s="269"/>
      <c r="V222" s="266"/>
      <c r="W222" s="266"/>
      <c r="X222" s="266"/>
      <c r="Y222" s="266"/>
      <c r="Z222" s="266"/>
      <c r="AA222" s="266"/>
      <c r="AB222" s="266"/>
      <c r="AC222" s="266"/>
      <c r="AD222" s="266"/>
      <c r="AE222" s="266"/>
      <c r="AF222" s="266"/>
      <c r="AG222" s="266"/>
      <c r="AH222" s="215"/>
    </row>
    <row r="223" spans="1:34" x14ac:dyDescent="0.2">
      <c r="A223" s="282"/>
      <c r="B223" s="266"/>
      <c r="C223" s="283"/>
      <c r="D223" s="285"/>
      <c r="E223" s="284"/>
      <c r="F223" s="284"/>
      <c r="G223" s="284"/>
      <c r="H223" s="284"/>
      <c r="I223" s="284"/>
      <c r="J223" s="284"/>
      <c r="K223" s="284"/>
      <c r="L223" s="284"/>
      <c r="M223" s="284"/>
      <c r="N223" s="284"/>
      <c r="O223" s="284"/>
      <c r="P223" s="864"/>
      <c r="Q223" s="284"/>
      <c r="R223" s="284"/>
      <c r="S223" s="284"/>
      <c r="T223" s="284"/>
      <c r="U223" s="284"/>
      <c r="V223" s="284"/>
      <c r="W223" s="284"/>
      <c r="X223" s="284"/>
      <c r="Y223" s="284"/>
      <c r="Z223" s="284"/>
      <c r="AA223" s="284"/>
      <c r="AB223" s="284"/>
      <c r="AC223" s="284"/>
      <c r="AD223" s="284"/>
      <c r="AE223" s="284"/>
      <c r="AF223" s="284"/>
      <c r="AG223" s="284"/>
      <c r="AH223" s="215"/>
    </row>
    <row r="224" spans="1:34" ht="13.5" thickBot="1" x14ac:dyDescent="0.25">
      <c r="A224" s="287" t="s">
        <v>7</v>
      </c>
      <c r="B224" s="266"/>
      <c r="C224" s="288">
        <f>C225+C226+C227+C229+C228</f>
        <v>0</v>
      </c>
      <c r="D224" s="288">
        <f>D225+D226+D227+D229+D228</f>
        <v>0</v>
      </c>
      <c r="E224" s="288">
        <f>E225+E226+E227+E229+E228</f>
        <v>0</v>
      </c>
      <c r="F224" s="288">
        <f>F225+F226+F227+F229+F228</f>
        <v>0</v>
      </c>
      <c r="G224" s="288">
        <f>G225+G226+G227+G229+G228</f>
        <v>0</v>
      </c>
      <c r="H224" s="288">
        <f t="shared" ref="H224:AG224" si="23">H225+H226+H227+H229+H228</f>
        <v>0</v>
      </c>
      <c r="I224" s="288">
        <f t="shared" si="23"/>
        <v>0</v>
      </c>
      <c r="J224" s="288">
        <f t="shared" si="23"/>
        <v>0</v>
      </c>
      <c r="K224" s="288">
        <f t="shared" si="23"/>
        <v>0</v>
      </c>
      <c r="L224" s="288">
        <f t="shared" si="23"/>
        <v>0</v>
      </c>
      <c r="M224" s="288">
        <f t="shared" si="23"/>
        <v>0</v>
      </c>
      <c r="N224" s="288">
        <f t="shared" si="23"/>
        <v>0</v>
      </c>
      <c r="O224" s="288">
        <f t="shared" si="23"/>
        <v>0</v>
      </c>
      <c r="P224" s="865">
        <f t="shared" si="23"/>
        <v>0</v>
      </c>
      <c r="Q224" s="288">
        <f t="shared" si="23"/>
        <v>0</v>
      </c>
      <c r="R224" s="288">
        <f t="shared" si="23"/>
        <v>0</v>
      </c>
      <c r="S224" s="288">
        <f t="shared" si="23"/>
        <v>0</v>
      </c>
      <c r="T224" s="288">
        <f t="shared" si="23"/>
        <v>0</v>
      </c>
      <c r="U224" s="288">
        <f t="shared" si="23"/>
        <v>0</v>
      </c>
      <c r="V224" s="288">
        <f t="shared" si="23"/>
        <v>0</v>
      </c>
      <c r="W224" s="288">
        <f t="shared" si="23"/>
        <v>0</v>
      </c>
      <c r="X224" s="288">
        <f t="shared" si="23"/>
        <v>0</v>
      </c>
      <c r="Y224" s="288">
        <f t="shared" si="23"/>
        <v>0</v>
      </c>
      <c r="Z224" s="288">
        <f t="shared" si="23"/>
        <v>0</v>
      </c>
      <c r="AA224" s="288">
        <f t="shared" si="23"/>
        <v>0</v>
      </c>
      <c r="AB224" s="288">
        <f t="shared" si="23"/>
        <v>0</v>
      </c>
      <c r="AC224" s="288">
        <f t="shared" si="23"/>
        <v>0</v>
      </c>
      <c r="AD224" s="288">
        <f>AD225+AD226+AD227+AD229+AD228</f>
        <v>0</v>
      </c>
      <c r="AE224" s="288">
        <f t="shared" si="23"/>
        <v>0</v>
      </c>
      <c r="AF224" s="288">
        <f t="shared" si="23"/>
        <v>0</v>
      </c>
      <c r="AG224" s="288">
        <f t="shared" si="23"/>
        <v>0</v>
      </c>
      <c r="AH224" s="286">
        <f>SUM(C224:AG224)</f>
        <v>0</v>
      </c>
    </row>
    <row r="225" spans="1:34" x14ac:dyDescent="0.2">
      <c r="A225" s="287" t="s">
        <v>8</v>
      </c>
      <c r="B225" s="331"/>
      <c r="C225" s="291"/>
      <c r="D225" s="291"/>
      <c r="E225" s="290"/>
      <c r="F225" s="290"/>
      <c r="G225" s="290"/>
      <c r="H225" s="290"/>
      <c r="I225" s="290"/>
      <c r="J225" s="290"/>
      <c r="K225" s="290"/>
      <c r="L225" s="290"/>
      <c r="M225" s="290"/>
      <c r="N225" s="290"/>
      <c r="O225" s="290"/>
      <c r="P225" s="292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  <c r="AA225" s="290"/>
      <c r="AB225" s="290"/>
      <c r="AC225" s="290"/>
      <c r="AD225" s="290"/>
      <c r="AE225" s="290"/>
      <c r="AF225" s="290"/>
      <c r="AG225" s="290"/>
      <c r="AH225" s="286">
        <f>SUM(C225:AG225)</f>
        <v>0</v>
      </c>
    </row>
    <row r="226" spans="1:34" x14ac:dyDescent="0.2">
      <c r="A226" s="287" t="s">
        <v>9</v>
      </c>
      <c r="B226" s="331"/>
      <c r="C226" s="291"/>
      <c r="D226" s="291"/>
      <c r="E226" s="290"/>
      <c r="F226" s="290"/>
      <c r="G226" s="290"/>
      <c r="H226" s="290"/>
      <c r="I226" s="290"/>
      <c r="J226" s="290"/>
      <c r="K226" s="290"/>
      <c r="L226" s="290"/>
      <c r="M226" s="295"/>
      <c r="N226" s="290"/>
      <c r="O226" s="290"/>
      <c r="P226" s="292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86">
        <f>SUM(C226:AG226)</f>
        <v>0</v>
      </c>
    </row>
    <row r="227" spans="1:34" s="360" customFormat="1" x14ac:dyDescent="0.2">
      <c r="A227" s="662" t="s">
        <v>10</v>
      </c>
      <c r="B227" s="669"/>
      <c r="C227" s="565"/>
      <c r="D227" s="565"/>
      <c r="E227" s="560"/>
      <c r="F227" s="560"/>
      <c r="G227" s="560"/>
      <c r="H227" s="560">
        <v>41000</v>
      </c>
      <c r="I227" s="560"/>
      <c r="J227" s="560"/>
      <c r="K227" s="560"/>
      <c r="L227" s="380"/>
      <c r="M227" s="560"/>
      <c r="N227" s="560"/>
      <c r="O227" s="560"/>
      <c r="P227" s="560"/>
      <c r="Q227" s="560"/>
      <c r="R227" s="560"/>
      <c r="S227" s="560"/>
      <c r="T227" s="560"/>
      <c r="U227" s="560"/>
      <c r="V227" s="560"/>
      <c r="W227" s="560"/>
      <c r="X227" s="708"/>
      <c r="Y227" s="560"/>
      <c r="Z227" s="560"/>
      <c r="AA227" s="560"/>
      <c r="AB227" s="560"/>
      <c r="AC227" s="811"/>
      <c r="AD227" s="803"/>
      <c r="AE227" s="560"/>
      <c r="AF227" s="380"/>
      <c r="AG227" s="560"/>
      <c r="AH227" s="379">
        <f>SUM(C227:AG227)</f>
        <v>41000</v>
      </c>
    </row>
    <row r="228" spans="1:34" s="360" customFormat="1" x14ac:dyDescent="0.2">
      <c r="A228" s="662" t="s">
        <v>356</v>
      </c>
      <c r="B228" s="669"/>
      <c r="C228" s="565"/>
      <c r="D228" s="565"/>
      <c r="E228" s="565"/>
      <c r="F228" s="560"/>
      <c r="G228" s="560"/>
      <c r="H228" s="560"/>
      <c r="I228" s="560"/>
      <c r="J228" s="560"/>
      <c r="K228" s="560"/>
      <c r="L228" s="560"/>
      <c r="M228" s="560"/>
      <c r="N228" s="560"/>
      <c r="O228" s="560"/>
      <c r="P228" s="560"/>
      <c r="Q228" s="560"/>
      <c r="R228" s="560"/>
      <c r="S228" s="560"/>
      <c r="T228" s="560"/>
      <c r="U228" s="560"/>
      <c r="V228" s="560"/>
      <c r="W228" s="560"/>
      <c r="X228" s="560"/>
      <c r="Y228" s="560"/>
      <c r="Z228" s="560"/>
      <c r="AA228" s="560"/>
      <c r="AB228" s="560"/>
      <c r="AC228" s="560"/>
      <c r="AD228" s="560"/>
      <c r="AE228" s="560"/>
      <c r="AF228" s="560"/>
      <c r="AG228" s="560"/>
      <c r="AH228" s="379">
        <f>SUM(C228:AG228)</f>
        <v>0</v>
      </c>
    </row>
    <row r="229" spans="1:34" x14ac:dyDescent="0.2">
      <c r="A229" s="287" t="s">
        <v>11</v>
      </c>
      <c r="B229" s="266"/>
      <c r="C229" s="291"/>
      <c r="D229" s="289"/>
      <c r="E229" s="289"/>
      <c r="F229" s="292"/>
      <c r="G229" s="292"/>
      <c r="H229" s="292">
        <v>-41000</v>
      </c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15"/>
    </row>
    <row r="230" spans="1:34" ht="13.5" thickBot="1" x14ac:dyDescent="0.25">
      <c r="A230" s="296"/>
      <c r="B230" s="266"/>
      <c r="C230" s="291"/>
      <c r="D230" s="291"/>
      <c r="E230" s="291"/>
      <c r="F230" s="290"/>
      <c r="G230" s="290"/>
      <c r="H230" s="290"/>
      <c r="I230" s="290"/>
      <c r="J230" s="290"/>
      <c r="K230" s="290"/>
      <c r="L230" s="290"/>
      <c r="M230" s="290"/>
      <c r="N230" s="290"/>
      <c r="O230" s="290"/>
      <c r="P230" s="292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15"/>
    </row>
    <row r="231" spans="1:34" x14ac:dyDescent="0.2">
      <c r="A231" s="282"/>
      <c r="B231" s="266"/>
      <c r="C231" s="297"/>
      <c r="D231" s="298"/>
      <c r="E231" s="298"/>
      <c r="F231" s="299"/>
      <c r="G231" s="299"/>
      <c r="H231" s="299"/>
      <c r="I231" s="299"/>
      <c r="J231" s="299"/>
      <c r="K231" s="299"/>
      <c r="L231" s="299"/>
      <c r="M231" s="299"/>
      <c r="N231" s="299"/>
      <c r="O231" s="299"/>
      <c r="P231" s="866"/>
      <c r="Q231" s="299"/>
      <c r="R231" s="299"/>
      <c r="S231" s="299"/>
      <c r="T231" s="299"/>
      <c r="U231" s="299"/>
      <c r="V231" s="299"/>
      <c r="W231" s="299"/>
      <c r="X231" s="299"/>
      <c r="Y231" s="299"/>
      <c r="Z231" s="299"/>
      <c r="AA231" s="299"/>
      <c r="AB231" s="299"/>
      <c r="AC231" s="299"/>
      <c r="AD231" s="299"/>
      <c r="AE231" s="299"/>
      <c r="AF231" s="299"/>
      <c r="AG231" s="299"/>
      <c r="AH231" s="215"/>
    </row>
    <row r="232" spans="1:34" ht="13.5" thickBot="1" x14ac:dyDescent="0.25">
      <c r="A232" s="287" t="s">
        <v>12</v>
      </c>
      <c r="B232" s="266"/>
      <c r="C232" s="288">
        <f>C233</f>
        <v>0</v>
      </c>
      <c r="D232" s="288">
        <f t="shared" ref="D232:AG232" si="24">D233</f>
        <v>0</v>
      </c>
      <c r="E232" s="288">
        <f t="shared" si="24"/>
        <v>0</v>
      </c>
      <c r="F232" s="288">
        <f t="shared" si="24"/>
        <v>0</v>
      </c>
      <c r="G232" s="288">
        <f t="shared" si="24"/>
        <v>0</v>
      </c>
      <c r="H232" s="288">
        <f t="shared" si="24"/>
        <v>0</v>
      </c>
      <c r="I232" s="288">
        <f t="shared" si="24"/>
        <v>0</v>
      </c>
      <c r="J232" s="288">
        <f t="shared" si="24"/>
        <v>0</v>
      </c>
      <c r="K232" s="288">
        <f t="shared" si="24"/>
        <v>0</v>
      </c>
      <c r="L232" s="288">
        <f t="shared" si="24"/>
        <v>0</v>
      </c>
      <c r="M232" s="288">
        <f t="shared" si="24"/>
        <v>0</v>
      </c>
      <c r="N232" s="288">
        <f t="shared" si="24"/>
        <v>0</v>
      </c>
      <c r="O232" s="288">
        <f t="shared" si="24"/>
        <v>0</v>
      </c>
      <c r="P232" s="865">
        <f t="shared" si="24"/>
        <v>0</v>
      </c>
      <c r="Q232" s="288">
        <f t="shared" si="24"/>
        <v>0</v>
      </c>
      <c r="R232" s="288">
        <f t="shared" si="24"/>
        <v>0</v>
      </c>
      <c r="S232" s="288">
        <f t="shared" si="24"/>
        <v>0</v>
      </c>
      <c r="T232" s="288">
        <f t="shared" si="24"/>
        <v>0</v>
      </c>
      <c r="U232" s="288">
        <f t="shared" si="24"/>
        <v>0</v>
      </c>
      <c r="V232" s="288">
        <f t="shared" si="24"/>
        <v>0</v>
      </c>
      <c r="W232" s="288">
        <f t="shared" si="24"/>
        <v>0</v>
      </c>
      <c r="X232" s="288">
        <f t="shared" si="24"/>
        <v>0</v>
      </c>
      <c r="Y232" s="288">
        <f t="shared" si="24"/>
        <v>0</v>
      </c>
      <c r="Z232" s="288">
        <f t="shared" si="24"/>
        <v>0</v>
      </c>
      <c r="AA232" s="288">
        <f t="shared" si="24"/>
        <v>0</v>
      </c>
      <c r="AB232" s="288">
        <f t="shared" si="24"/>
        <v>0</v>
      </c>
      <c r="AC232" s="288">
        <f t="shared" si="24"/>
        <v>0</v>
      </c>
      <c r="AD232" s="288">
        <f t="shared" si="24"/>
        <v>0</v>
      </c>
      <c r="AE232" s="288">
        <f t="shared" si="24"/>
        <v>0</v>
      </c>
      <c r="AF232" s="288">
        <f t="shared" si="24"/>
        <v>0</v>
      </c>
      <c r="AG232" s="288">
        <f t="shared" si="24"/>
        <v>0</v>
      </c>
      <c r="AH232" s="215"/>
    </row>
    <row r="233" spans="1:34" x14ac:dyDescent="0.2">
      <c r="A233" s="287" t="s">
        <v>8</v>
      </c>
      <c r="B233" s="266"/>
      <c r="C233" s="291"/>
      <c r="D233" s="291"/>
      <c r="E233" s="291"/>
      <c r="F233" s="290"/>
      <c r="G233" s="290"/>
      <c r="H233" s="290"/>
      <c r="I233" s="290"/>
      <c r="J233" s="290"/>
      <c r="K233" s="290"/>
      <c r="L233" s="290"/>
      <c r="M233" s="290"/>
      <c r="N233" s="290"/>
      <c r="O233" s="290"/>
      <c r="P233" s="292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  <c r="AA233" s="290"/>
      <c r="AB233" s="290"/>
      <c r="AC233" s="290"/>
      <c r="AD233" s="290"/>
      <c r="AE233" s="290"/>
      <c r="AF233" s="290"/>
      <c r="AG233" s="290"/>
      <c r="AH233" s="215"/>
    </row>
    <row r="234" spans="1:34" x14ac:dyDescent="0.2">
      <c r="A234" s="287" t="s">
        <v>775</v>
      </c>
      <c r="B234" s="266"/>
      <c r="C234" s="291">
        <v>850</v>
      </c>
      <c r="D234" s="291"/>
      <c r="E234" s="291">
        <v>2348</v>
      </c>
      <c r="F234" s="290">
        <v>1301</v>
      </c>
      <c r="G234" s="290">
        <v>5255</v>
      </c>
      <c r="H234" s="290"/>
      <c r="I234" s="290">
        <v>2317</v>
      </c>
      <c r="J234" s="290">
        <v>3368</v>
      </c>
      <c r="K234" s="290"/>
      <c r="L234" s="290">
        <v>9334</v>
      </c>
      <c r="M234" s="290">
        <v>417</v>
      </c>
      <c r="N234" s="290">
        <v>11177</v>
      </c>
      <c r="O234" s="290"/>
      <c r="P234" s="292">
        <v>15467</v>
      </c>
      <c r="Q234" s="290">
        <v>17516</v>
      </c>
      <c r="R234" s="290">
        <v>4839</v>
      </c>
      <c r="S234" s="290"/>
      <c r="T234" s="290"/>
      <c r="U234" s="290">
        <v>742</v>
      </c>
      <c r="V234" s="290">
        <v>8792</v>
      </c>
      <c r="W234" s="290">
        <v>3050</v>
      </c>
      <c r="X234" s="290">
        <v>10219</v>
      </c>
      <c r="Y234" s="290">
        <v>3669</v>
      </c>
      <c r="Z234" s="290"/>
      <c r="AA234" s="290">
        <v>9825</v>
      </c>
      <c r="AB234" s="290"/>
      <c r="AC234" s="290"/>
      <c r="AD234" s="290">
        <v>1239</v>
      </c>
      <c r="AE234" s="290">
        <v>16594</v>
      </c>
      <c r="AF234" s="290">
        <v>46358</v>
      </c>
      <c r="AG234" s="290"/>
      <c r="AH234" s="286">
        <f>SUM(C234:AG234)</f>
        <v>174677</v>
      </c>
    </row>
    <row r="235" spans="1:34" ht="13.5" thickBot="1" x14ac:dyDescent="0.25">
      <c r="A235" s="296"/>
      <c r="B235" s="266"/>
      <c r="C235" s="291"/>
      <c r="D235" s="291"/>
      <c r="E235" s="291"/>
      <c r="F235" s="290"/>
      <c r="G235" s="290"/>
      <c r="H235" s="290"/>
      <c r="I235" s="290"/>
      <c r="J235" s="290"/>
      <c r="K235" s="290"/>
      <c r="L235" s="290"/>
      <c r="M235" s="290"/>
      <c r="N235" s="290"/>
      <c r="O235" s="290"/>
      <c r="P235" s="292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15"/>
    </row>
    <row r="236" spans="1:34" x14ac:dyDescent="0.2">
      <c r="A236" s="282"/>
      <c r="B236" s="266"/>
      <c r="C236" s="297"/>
      <c r="D236" s="298"/>
      <c r="E236" s="298"/>
      <c r="F236" s="299"/>
      <c r="G236" s="299"/>
      <c r="H236" s="299"/>
      <c r="I236" s="299"/>
      <c r="J236" s="299"/>
      <c r="K236" s="299"/>
      <c r="L236" s="299"/>
      <c r="M236" s="299"/>
      <c r="N236" s="299"/>
      <c r="O236" s="299"/>
      <c r="P236" s="866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  <c r="AA236" s="299"/>
      <c r="AB236" s="299"/>
      <c r="AC236" s="299"/>
      <c r="AD236" s="299"/>
      <c r="AE236" s="299"/>
      <c r="AF236" s="299"/>
      <c r="AG236" s="299"/>
      <c r="AH236" s="215"/>
    </row>
    <row r="237" spans="1:34" x14ac:dyDescent="0.2">
      <c r="A237" s="287" t="s">
        <v>13</v>
      </c>
      <c r="B237" s="266"/>
      <c r="C237" s="300">
        <f>C232-C224</f>
        <v>0</v>
      </c>
      <c r="D237" s="300">
        <f>D232-D224</f>
        <v>0</v>
      </c>
      <c r="E237" s="300">
        <f>E232-E224</f>
        <v>0</v>
      </c>
      <c r="F237" s="300">
        <f>F232-F224</f>
        <v>0</v>
      </c>
      <c r="G237" s="300">
        <f>G232-G224</f>
        <v>0</v>
      </c>
      <c r="H237" s="300">
        <f t="shared" ref="H237:AG237" si="25">H232-H224</f>
        <v>0</v>
      </c>
      <c r="I237" s="300">
        <f t="shared" si="25"/>
        <v>0</v>
      </c>
      <c r="J237" s="300">
        <f t="shared" si="25"/>
        <v>0</v>
      </c>
      <c r="K237" s="300">
        <f t="shared" si="25"/>
        <v>0</v>
      </c>
      <c r="L237" s="300">
        <f t="shared" si="25"/>
        <v>0</v>
      </c>
      <c r="M237" s="300">
        <f t="shared" si="25"/>
        <v>0</v>
      </c>
      <c r="N237" s="300">
        <f t="shared" si="25"/>
        <v>0</v>
      </c>
      <c r="O237" s="300">
        <f t="shared" si="25"/>
        <v>0</v>
      </c>
      <c r="P237" s="867">
        <f t="shared" si="25"/>
        <v>0</v>
      </c>
      <c r="Q237" s="300">
        <f t="shared" si="25"/>
        <v>0</v>
      </c>
      <c r="R237" s="300">
        <f t="shared" si="25"/>
        <v>0</v>
      </c>
      <c r="S237" s="300">
        <f t="shared" si="25"/>
        <v>0</v>
      </c>
      <c r="T237" s="300">
        <f t="shared" si="25"/>
        <v>0</v>
      </c>
      <c r="U237" s="300">
        <f t="shared" si="25"/>
        <v>0</v>
      </c>
      <c r="V237" s="300">
        <f t="shared" si="25"/>
        <v>0</v>
      </c>
      <c r="W237" s="300">
        <f t="shared" si="25"/>
        <v>0</v>
      </c>
      <c r="X237" s="300">
        <f t="shared" si="25"/>
        <v>0</v>
      </c>
      <c r="Y237" s="300">
        <f t="shared" si="25"/>
        <v>0</v>
      </c>
      <c r="Z237" s="300">
        <f t="shared" si="25"/>
        <v>0</v>
      </c>
      <c r="AA237" s="300">
        <f t="shared" si="25"/>
        <v>0</v>
      </c>
      <c r="AB237" s="300">
        <f t="shared" si="25"/>
        <v>0</v>
      </c>
      <c r="AC237" s="300">
        <f t="shared" si="25"/>
        <v>0</v>
      </c>
      <c r="AD237" s="300">
        <f t="shared" si="25"/>
        <v>0</v>
      </c>
      <c r="AE237" s="300">
        <f t="shared" si="25"/>
        <v>0</v>
      </c>
      <c r="AF237" s="300">
        <f t="shared" si="25"/>
        <v>0</v>
      </c>
      <c r="AG237" s="300">
        <f t="shared" si="25"/>
        <v>0</v>
      </c>
      <c r="AH237" s="215"/>
    </row>
    <row r="238" spans="1:34" ht="13.5" thickBot="1" x14ac:dyDescent="0.25">
      <c r="A238" s="287"/>
      <c r="B238" s="266"/>
      <c r="C238" s="300"/>
      <c r="D238" s="291"/>
      <c r="E238" s="291"/>
      <c r="F238" s="290"/>
      <c r="G238" s="290"/>
      <c r="H238" s="290"/>
      <c r="I238" s="290"/>
      <c r="J238" s="290"/>
      <c r="K238" s="290"/>
      <c r="L238" s="290"/>
      <c r="M238" s="290"/>
      <c r="N238" s="290"/>
      <c r="O238" s="290"/>
      <c r="P238" s="292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15"/>
    </row>
    <row r="239" spans="1:34" x14ac:dyDescent="0.2">
      <c r="A239" s="263"/>
      <c r="B239" s="264"/>
      <c r="C239" s="301"/>
      <c r="D239" s="298"/>
      <c r="E239" s="298"/>
      <c r="F239" s="299"/>
      <c r="G239" s="299"/>
      <c r="H239" s="299"/>
      <c r="I239" s="299"/>
      <c r="J239" s="299"/>
      <c r="K239" s="299"/>
      <c r="L239" s="299"/>
      <c r="M239" s="299"/>
      <c r="N239" s="299"/>
      <c r="O239" s="299"/>
      <c r="P239" s="866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  <c r="AA239" s="299"/>
      <c r="AB239" s="299"/>
      <c r="AC239" s="299"/>
      <c r="AD239" s="299"/>
      <c r="AE239" s="299"/>
      <c r="AF239" s="299"/>
      <c r="AG239" s="299"/>
      <c r="AH239" s="215"/>
    </row>
    <row r="240" spans="1:34" x14ac:dyDescent="0.2">
      <c r="A240" s="265" t="s">
        <v>15</v>
      </c>
      <c r="B240" s="266"/>
      <c r="C240" s="291">
        <f>B221+C237</f>
        <v>-24113.886999999999</v>
      </c>
      <c r="D240" s="291">
        <f t="shared" ref="D240:AG240" si="26">C247+D237</f>
        <v>-23122.153999999999</v>
      </c>
      <c r="E240" s="291">
        <f t="shared" si="26"/>
        <v>-23122.153999999999</v>
      </c>
      <c r="F240" s="291">
        <f t="shared" si="26"/>
        <v>-23122.153999999999</v>
      </c>
      <c r="G240" s="291">
        <f t="shared" si="26"/>
        <v>-23122.153999999999</v>
      </c>
      <c r="H240" s="291">
        <f t="shared" si="26"/>
        <v>-23122.153999999999</v>
      </c>
      <c r="I240" s="291">
        <f t="shared" si="26"/>
        <v>-23122.153999999999</v>
      </c>
      <c r="J240" s="291">
        <f t="shared" si="26"/>
        <v>-23122.153999999999</v>
      </c>
      <c r="K240" s="291">
        <f t="shared" si="26"/>
        <v>-23122.153999999999</v>
      </c>
      <c r="L240" s="291">
        <f t="shared" si="26"/>
        <v>-23122.153999999999</v>
      </c>
      <c r="M240" s="291">
        <f t="shared" si="26"/>
        <v>-23122.153999999999</v>
      </c>
      <c r="N240" s="291">
        <f t="shared" si="26"/>
        <v>-23122.153999999999</v>
      </c>
      <c r="O240" s="291">
        <f t="shared" si="26"/>
        <v>-23122.153999999999</v>
      </c>
      <c r="P240" s="289">
        <f t="shared" si="26"/>
        <v>-23122.153999999999</v>
      </c>
      <c r="Q240" s="291">
        <f t="shared" si="26"/>
        <v>-23122.153999999999</v>
      </c>
      <c r="R240" s="291">
        <f t="shared" si="26"/>
        <v>-23122.153999999999</v>
      </c>
      <c r="S240" s="291">
        <f t="shared" si="26"/>
        <v>-23122.153999999999</v>
      </c>
      <c r="T240" s="291">
        <f t="shared" si="26"/>
        <v>-23122.153999999999</v>
      </c>
      <c r="U240" s="291">
        <f t="shared" si="26"/>
        <v>-23122.153999999999</v>
      </c>
      <c r="V240" s="291">
        <f t="shared" si="26"/>
        <v>-23122.153999999999</v>
      </c>
      <c r="W240" s="291">
        <f t="shared" si="26"/>
        <v>-23122.153999999999</v>
      </c>
      <c r="X240" s="291">
        <f t="shared" si="26"/>
        <v>-23122.153999999999</v>
      </c>
      <c r="Y240" s="291">
        <f t="shared" si="26"/>
        <v>-23122.153999999999</v>
      </c>
      <c r="Z240" s="291">
        <f t="shared" si="26"/>
        <v>-23122.153999999999</v>
      </c>
      <c r="AA240" s="291">
        <f t="shared" si="26"/>
        <v>-23122.153999999999</v>
      </c>
      <c r="AB240" s="291">
        <f t="shared" si="26"/>
        <v>-23122.153999999999</v>
      </c>
      <c r="AC240" s="291">
        <f t="shared" si="26"/>
        <v>-23122.153999999999</v>
      </c>
      <c r="AD240" s="291">
        <f t="shared" si="26"/>
        <v>-23122.153999999999</v>
      </c>
      <c r="AE240" s="291">
        <f t="shared" si="26"/>
        <v>-23122.153999999999</v>
      </c>
      <c r="AF240" s="291">
        <f t="shared" si="26"/>
        <v>-23122.153999999999</v>
      </c>
      <c r="AG240" s="291">
        <f t="shared" si="26"/>
        <v>-23122.153999999999</v>
      </c>
      <c r="AH240" s="215"/>
    </row>
    <row r="241" spans="1:34" ht="13.5" thickBot="1" x14ac:dyDescent="0.25">
      <c r="A241" s="275"/>
      <c r="B241" s="302"/>
      <c r="C241" s="303"/>
      <c r="D241" s="303"/>
      <c r="E241" s="303"/>
      <c r="F241" s="304"/>
      <c r="G241" s="304"/>
      <c r="H241" s="304"/>
      <c r="I241" s="304"/>
      <c r="J241" s="304"/>
      <c r="K241" s="304"/>
      <c r="L241" s="304"/>
      <c r="M241" s="304"/>
      <c r="N241" s="304"/>
      <c r="O241" s="304"/>
      <c r="P241" s="868"/>
      <c r="Q241" s="304"/>
      <c r="R241" s="304"/>
      <c r="S241" s="304"/>
      <c r="T241" s="304"/>
      <c r="U241" s="304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04"/>
      <c r="AF241" s="304"/>
      <c r="AG241" s="304"/>
      <c r="AH241" s="215"/>
    </row>
    <row r="242" spans="1:34" x14ac:dyDescent="0.2">
      <c r="A242" s="263"/>
      <c r="B242" s="264"/>
      <c r="C242" s="298"/>
      <c r="D242" s="298"/>
      <c r="E242" s="298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866"/>
      <c r="Q242" s="299"/>
      <c r="R242" s="299"/>
      <c r="S242" s="299"/>
      <c r="T242" s="299"/>
      <c r="U242" s="299"/>
      <c r="V242" s="299"/>
      <c r="W242" s="299"/>
      <c r="X242" s="299"/>
      <c r="Y242" s="299"/>
      <c r="Z242" s="299"/>
      <c r="AA242" s="299"/>
      <c r="AB242" s="299"/>
      <c r="AC242" s="299"/>
      <c r="AD242" s="299"/>
      <c r="AE242" s="299"/>
      <c r="AF242" s="299"/>
      <c r="AG242" s="299"/>
      <c r="AH242" s="215"/>
    </row>
    <row r="243" spans="1:34" x14ac:dyDescent="0.2">
      <c r="A243" s="265" t="s">
        <v>82</v>
      </c>
      <c r="B243" s="266"/>
      <c r="C243" s="291">
        <f t="shared" ref="C243:AG244" si="27">C251</f>
        <v>991.73299999999995</v>
      </c>
      <c r="D243" s="291">
        <f t="shared" si="27"/>
        <v>0</v>
      </c>
      <c r="E243" s="291">
        <f t="shared" si="27"/>
        <v>0</v>
      </c>
      <c r="F243" s="291">
        <f t="shared" si="27"/>
        <v>0</v>
      </c>
      <c r="G243" s="291">
        <f t="shared" si="27"/>
        <v>0</v>
      </c>
      <c r="H243" s="291">
        <f t="shared" si="27"/>
        <v>0</v>
      </c>
      <c r="I243" s="291">
        <f t="shared" si="27"/>
        <v>0</v>
      </c>
      <c r="J243" s="291">
        <f t="shared" si="27"/>
        <v>0</v>
      </c>
      <c r="K243" s="291">
        <f t="shared" si="27"/>
        <v>0</v>
      </c>
      <c r="L243" s="291">
        <f t="shared" si="27"/>
        <v>0</v>
      </c>
      <c r="M243" s="291">
        <f t="shared" si="27"/>
        <v>0</v>
      </c>
      <c r="N243" s="291">
        <f t="shared" si="27"/>
        <v>0</v>
      </c>
      <c r="O243" s="291">
        <f t="shared" si="27"/>
        <v>0</v>
      </c>
      <c r="P243" s="289">
        <f t="shared" si="27"/>
        <v>0</v>
      </c>
      <c r="Q243" s="291">
        <f t="shared" si="27"/>
        <v>0</v>
      </c>
      <c r="R243" s="291">
        <f t="shared" si="27"/>
        <v>0</v>
      </c>
      <c r="S243" s="291">
        <f t="shared" si="27"/>
        <v>0</v>
      </c>
      <c r="T243" s="291">
        <f t="shared" si="27"/>
        <v>0</v>
      </c>
      <c r="U243" s="291">
        <f t="shared" si="27"/>
        <v>0</v>
      </c>
      <c r="V243" s="291">
        <f t="shared" si="27"/>
        <v>0</v>
      </c>
      <c r="W243" s="291">
        <f t="shared" si="27"/>
        <v>0</v>
      </c>
      <c r="X243" s="291">
        <f t="shared" si="27"/>
        <v>0</v>
      </c>
      <c r="Y243" s="291">
        <f t="shared" si="27"/>
        <v>0</v>
      </c>
      <c r="Z243" s="291">
        <f t="shared" si="27"/>
        <v>0</v>
      </c>
      <c r="AA243" s="291">
        <f t="shared" si="27"/>
        <v>0</v>
      </c>
      <c r="AB243" s="291">
        <f t="shared" si="27"/>
        <v>0</v>
      </c>
      <c r="AC243" s="291">
        <f t="shared" si="27"/>
        <v>0</v>
      </c>
      <c r="AD243" s="291">
        <f t="shared" si="27"/>
        <v>0</v>
      </c>
      <c r="AE243" s="291">
        <f t="shared" si="27"/>
        <v>0</v>
      </c>
      <c r="AF243" s="291">
        <f t="shared" si="27"/>
        <v>0</v>
      </c>
      <c r="AG243" s="291">
        <f t="shared" si="27"/>
        <v>0</v>
      </c>
      <c r="AH243" s="215"/>
    </row>
    <row r="244" spans="1:34" x14ac:dyDescent="0.2">
      <c r="A244" s="265" t="s">
        <v>83</v>
      </c>
      <c r="B244" s="266"/>
      <c r="C244" s="289">
        <f t="shared" si="27"/>
        <v>0</v>
      </c>
      <c r="D244" s="289">
        <f t="shared" si="27"/>
        <v>0</v>
      </c>
      <c r="E244" s="289">
        <f t="shared" si="27"/>
        <v>0</v>
      </c>
      <c r="F244" s="289">
        <f t="shared" si="27"/>
        <v>0</v>
      </c>
      <c r="G244" s="289">
        <f t="shared" si="27"/>
        <v>0</v>
      </c>
      <c r="H244" s="289">
        <f t="shared" si="27"/>
        <v>0</v>
      </c>
      <c r="I244" s="289">
        <f t="shared" si="27"/>
        <v>0</v>
      </c>
      <c r="J244" s="289">
        <f t="shared" si="27"/>
        <v>0</v>
      </c>
      <c r="K244" s="289">
        <f t="shared" si="27"/>
        <v>0</v>
      </c>
      <c r="L244" s="289">
        <f t="shared" si="27"/>
        <v>0</v>
      </c>
      <c r="M244" s="289">
        <f t="shared" si="27"/>
        <v>0</v>
      </c>
      <c r="N244" s="289">
        <f t="shared" si="27"/>
        <v>0</v>
      </c>
      <c r="O244" s="289">
        <f t="shared" si="27"/>
        <v>0</v>
      </c>
      <c r="P244" s="289">
        <f t="shared" si="27"/>
        <v>0</v>
      </c>
      <c r="Q244" s="289">
        <f t="shared" si="27"/>
        <v>0</v>
      </c>
      <c r="R244" s="289">
        <f t="shared" si="27"/>
        <v>0</v>
      </c>
      <c r="S244" s="289">
        <f t="shared" si="27"/>
        <v>0</v>
      </c>
      <c r="T244" s="289">
        <f t="shared" si="27"/>
        <v>0</v>
      </c>
      <c r="U244" s="289">
        <f t="shared" si="27"/>
        <v>0</v>
      </c>
      <c r="V244" s="289">
        <f t="shared" si="27"/>
        <v>0</v>
      </c>
      <c r="W244" s="289">
        <f t="shared" si="27"/>
        <v>0</v>
      </c>
      <c r="X244" s="289">
        <f t="shared" si="27"/>
        <v>0</v>
      </c>
      <c r="Y244" s="289">
        <f t="shared" si="27"/>
        <v>0</v>
      </c>
      <c r="Z244" s="289">
        <f t="shared" si="27"/>
        <v>0</v>
      </c>
      <c r="AA244" s="289">
        <f t="shared" si="27"/>
        <v>0</v>
      </c>
      <c r="AB244" s="289">
        <f t="shared" si="27"/>
        <v>0</v>
      </c>
      <c r="AC244" s="289">
        <f t="shared" si="27"/>
        <v>0</v>
      </c>
      <c r="AD244" s="289">
        <f t="shared" si="27"/>
        <v>0</v>
      </c>
      <c r="AE244" s="289">
        <f t="shared" si="27"/>
        <v>0</v>
      </c>
      <c r="AF244" s="289">
        <f t="shared" si="27"/>
        <v>0</v>
      </c>
      <c r="AG244" s="289">
        <f t="shared" si="27"/>
        <v>0</v>
      </c>
      <c r="AH244" s="215"/>
    </row>
    <row r="245" spans="1:34" ht="13.5" thickBot="1" x14ac:dyDescent="0.25">
      <c r="A245" s="275"/>
      <c r="B245" s="302"/>
      <c r="C245" s="303"/>
      <c r="D245" s="303"/>
      <c r="E245" s="303"/>
      <c r="F245" s="304"/>
      <c r="G245" s="304"/>
      <c r="H245" s="304"/>
      <c r="I245" s="304"/>
      <c r="J245" s="304"/>
      <c r="K245" s="304"/>
      <c r="L245" s="304"/>
      <c r="M245" s="304"/>
      <c r="N245" s="304"/>
      <c r="O245" s="304"/>
      <c r="P245" s="868"/>
      <c r="Q245" s="304"/>
      <c r="R245" s="304"/>
      <c r="S245" s="304"/>
      <c r="T245" s="304"/>
      <c r="U245" s="304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304"/>
      <c r="AF245" s="304"/>
      <c r="AG245" s="304"/>
      <c r="AH245" s="215"/>
    </row>
    <row r="246" spans="1:34" x14ac:dyDescent="0.2">
      <c r="A246" s="265"/>
      <c r="B246" s="266"/>
      <c r="C246" s="291"/>
      <c r="D246" s="291"/>
      <c r="E246" s="291"/>
      <c r="F246" s="290"/>
      <c r="G246" s="290"/>
      <c r="H246" s="290"/>
      <c r="I246" s="290"/>
      <c r="J246" s="290"/>
      <c r="K246" s="290"/>
      <c r="L246" s="290"/>
      <c r="M246" s="290"/>
      <c r="N246" s="290"/>
      <c r="O246" s="290"/>
      <c r="P246" s="292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15"/>
    </row>
    <row r="247" spans="1:34" x14ac:dyDescent="0.2">
      <c r="A247" s="265" t="s">
        <v>14</v>
      </c>
      <c r="B247" s="266"/>
      <c r="C247" s="291">
        <f>C240+C243+C244</f>
        <v>-23122.153999999999</v>
      </c>
      <c r="D247" s="291">
        <f>D240+D243+D244</f>
        <v>-23122.153999999999</v>
      </c>
      <c r="E247" s="291">
        <f>E240+E243+E244</f>
        <v>-23122.153999999999</v>
      </c>
      <c r="F247" s="291">
        <f>F240+F243+F244</f>
        <v>-23122.153999999999</v>
      </c>
      <c r="G247" s="291">
        <f>G240+G243+G244</f>
        <v>-23122.153999999999</v>
      </c>
      <c r="H247" s="291">
        <f t="shared" ref="H247:AG247" si="28">H240+H243+H244</f>
        <v>-23122.153999999999</v>
      </c>
      <c r="I247" s="291">
        <f t="shared" si="28"/>
        <v>-23122.153999999999</v>
      </c>
      <c r="J247" s="291">
        <f t="shared" si="28"/>
        <v>-23122.153999999999</v>
      </c>
      <c r="K247" s="291">
        <f t="shared" si="28"/>
        <v>-23122.153999999999</v>
      </c>
      <c r="L247" s="291">
        <f t="shared" si="28"/>
        <v>-23122.153999999999</v>
      </c>
      <c r="M247" s="291">
        <f t="shared" si="28"/>
        <v>-23122.153999999999</v>
      </c>
      <c r="N247" s="291">
        <f t="shared" si="28"/>
        <v>-23122.153999999999</v>
      </c>
      <c r="O247" s="291">
        <f t="shared" si="28"/>
        <v>-23122.153999999999</v>
      </c>
      <c r="P247" s="289">
        <f t="shared" si="28"/>
        <v>-23122.153999999999</v>
      </c>
      <c r="Q247" s="291">
        <f t="shared" si="28"/>
        <v>-23122.153999999999</v>
      </c>
      <c r="R247" s="291">
        <f t="shared" si="28"/>
        <v>-23122.153999999999</v>
      </c>
      <c r="S247" s="291">
        <f t="shared" si="28"/>
        <v>-23122.153999999999</v>
      </c>
      <c r="T247" s="291">
        <f t="shared" si="28"/>
        <v>-23122.153999999999</v>
      </c>
      <c r="U247" s="291">
        <f t="shared" si="28"/>
        <v>-23122.153999999999</v>
      </c>
      <c r="V247" s="291">
        <f t="shared" si="28"/>
        <v>-23122.153999999999</v>
      </c>
      <c r="W247" s="291">
        <f t="shared" si="28"/>
        <v>-23122.153999999999</v>
      </c>
      <c r="X247" s="291">
        <f t="shared" si="28"/>
        <v>-23122.153999999999</v>
      </c>
      <c r="Y247" s="291">
        <f t="shared" si="28"/>
        <v>-23122.153999999999</v>
      </c>
      <c r="Z247" s="291">
        <f t="shared" si="28"/>
        <v>-23122.153999999999</v>
      </c>
      <c r="AA247" s="291">
        <f t="shared" si="28"/>
        <v>-23122.153999999999</v>
      </c>
      <c r="AB247" s="291">
        <f t="shared" si="28"/>
        <v>-23122.153999999999</v>
      </c>
      <c r="AC247" s="291">
        <f t="shared" si="28"/>
        <v>-23122.153999999999</v>
      </c>
      <c r="AD247" s="291">
        <f t="shared" si="28"/>
        <v>-23122.153999999999</v>
      </c>
      <c r="AE247" s="291">
        <f t="shared" si="28"/>
        <v>-23122.153999999999</v>
      </c>
      <c r="AF247" s="291">
        <f t="shared" si="28"/>
        <v>-23122.153999999999</v>
      </c>
      <c r="AG247" s="291">
        <f t="shared" si="28"/>
        <v>-23122.153999999999</v>
      </c>
      <c r="AH247" s="215"/>
    </row>
    <row r="248" spans="1:34" x14ac:dyDescent="0.2">
      <c r="A248" s="265"/>
      <c r="B248" s="266"/>
      <c r="C248" s="291"/>
      <c r="D248" s="291"/>
      <c r="E248" s="291"/>
      <c r="F248" s="290"/>
      <c r="G248" s="290"/>
      <c r="H248" s="290"/>
      <c r="I248" s="290"/>
      <c r="J248" s="290"/>
      <c r="K248" s="290"/>
      <c r="L248" s="290"/>
      <c r="M248" s="290"/>
      <c r="N248" s="290"/>
      <c r="O248" s="290"/>
      <c r="P248" s="292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15"/>
    </row>
    <row r="249" spans="1:34" ht="13.5" thickBot="1" x14ac:dyDescent="0.25">
      <c r="A249" s="275"/>
      <c r="B249" s="302"/>
      <c r="C249" s="306"/>
      <c r="D249" s="306"/>
      <c r="E249" s="306"/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869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  <c r="AA249" s="307"/>
      <c r="AB249" s="307"/>
      <c r="AC249" s="307"/>
      <c r="AD249" s="307"/>
      <c r="AE249" s="307"/>
      <c r="AF249" s="307"/>
      <c r="AG249" s="307"/>
      <c r="AH249" s="215"/>
    </row>
    <row r="250" spans="1:34" x14ac:dyDescent="0.2">
      <c r="A250" s="310"/>
      <c r="B250" s="215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308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>
        <f>SUM(C250:AG250)</f>
        <v>0</v>
      </c>
    </row>
    <row r="251" spans="1:34" x14ac:dyDescent="0.2">
      <c r="A251" s="310"/>
      <c r="B251" s="215"/>
      <c r="C251" s="311">
        <v>991.73299999999995</v>
      </c>
      <c r="D251" s="311"/>
      <c r="E251" s="311"/>
      <c r="F251" s="311"/>
      <c r="G251" s="314"/>
      <c r="H251" s="311"/>
      <c r="I251" s="311"/>
      <c r="J251" s="311"/>
      <c r="K251" s="311"/>
      <c r="L251" s="314"/>
      <c r="M251" s="314"/>
      <c r="N251" s="629"/>
      <c r="O251" s="314"/>
      <c r="P251" s="629"/>
      <c r="Q251" s="311"/>
      <c r="R251" s="311"/>
      <c r="S251" s="311"/>
      <c r="T251" s="311"/>
      <c r="U251" s="311"/>
      <c r="V251" s="629"/>
      <c r="W251" s="311"/>
      <c r="X251" s="311"/>
      <c r="Y251" s="311"/>
      <c r="Z251" s="311"/>
      <c r="AA251" s="408"/>
      <c r="AB251" s="311"/>
      <c r="AC251" s="311"/>
      <c r="AD251" s="314"/>
      <c r="AE251" s="311"/>
      <c r="AF251" s="629"/>
      <c r="AG251" s="311"/>
      <c r="AH251" s="262"/>
    </row>
    <row r="252" spans="1:34" x14ac:dyDescent="0.2">
      <c r="A252" s="215"/>
      <c r="B252" s="215"/>
      <c r="C252" s="215"/>
      <c r="D252" s="311"/>
      <c r="E252" s="317"/>
      <c r="F252" s="215"/>
      <c r="G252" s="215"/>
      <c r="H252" s="215"/>
      <c r="I252" s="215"/>
      <c r="J252" s="215"/>
      <c r="K252" s="215"/>
      <c r="L252" s="215"/>
      <c r="M252" s="215"/>
      <c r="N252" s="215"/>
      <c r="O252" s="215"/>
      <c r="P252" s="309"/>
      <c r="Q252" s="286"/>
      <c r="R252" s="215"/>
      <c r="S252" s="262"/>
      <c r="T252" s="215"/>
      <c r="U252" s="215"/>
      <c r="V252" s="215"/>
      <c r="W252" s="215"/>
      <c r="X252" s="215"/>
      <c r="Y252" s="262"/>
      <c r="Z252" s="262"/>
      <c r="AA252" s="262"/>
      <c r="AB252" s="262"/>
      <c r="AC252" s="262"/>
      <c r="AD252" s="262"/>
      <c r="AE252" s="262"/>
      <c r="AF252" s="262"/>
      <c r="AG252" s="262"/>
      <c r="AH252" s="286">
        <f>SUM(C252:AG252)</f>
        <v>0</v>
      </c>
    </row>
    <row r="253" spans="1:34" x14ac:dyDescent="0.2">
      <c r="A253" s="358" t="s">
        <v>415</v>
      </c>
      <c r="B253" s="359">
        <f>B254+B255+B257</f>
        <v>425000</v>
      </c>
      <c r="C253" s="215"/>
      <c r="D253" s="215"/>
      <c r="E253" s="215"/>
      <c r="F253" s="215"/>
      <c r="G253" s="215"/>
      <c r="H253" s="215"/>
      <c r="I253" s="215"/>
      <c r="J253" s="215"/>
      <c r="K253" s="409"/>
      <c r="L253" s="215"/>
      <c r="M253" s="215"/>
      <c r="N253" s="215"/>
      <c r="O253" s="215"/>
      <c r="P253" s="309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408"/>
      <c r="AB253" s="215"/>
      <c r="AC253" s="215"/>
      <c r="AD253" s="215"/>
      <c r="AE253" s="215"/>
      <c r="AF253" s="215"/>
      <c r="AG253" s="215"/>
      <c r="AH253" s="215"/>
    </row>
    <row r="254" spans="1:34" x14ac:dyDescent="0.2">
      <c r="A254" s="327" t="s">
        <v>414</v>
      </c>
      <c r="B254" s="311">
        <v>25000</v>
      </c>
      <c r="C254" s="215"/>
      <c r="D254" s="215"/>
      <c r="E254" s="286"/>
      <c r="F254" s="286"/>
      <c r="G254" s="286"/>
      <c r="H254" s="215"/>
      <c r="I254" s="215"/>
      <c r="J254" s="215"/>
      <c r="K254" s="215"/>
      <c r="L254" s="215"/>
      <c r="M254" s="215"/>
      <c r="N254" s="215"/>
      <c r="O254" s="215"/>
      <c r="P254" s="309"/>
      <c r="Q254" s="215"/>
      <c r="R254" s="215"/>
      <c r="S254" s="215"/>
      <c r="T254" s="215"/>
      <c r="U254" s="286"/>
      <c r="V254" s="215"/>
      <c r="W254" s="215"/>
      <c r="X254" s="215"/>
      <c r="Y254" s="215"/>
      <c r="Z254" s="215"/>
      <c r="AA254" s="323"/>
      <c r="AB254" s="215"/>
      <c r="AC254" s="215"/>
      <c r="AD254" s="215"/>
      <c r="AE254" s="215"/>
      <c r="AF254" s="215"/>
      <c r="AG254" s="286"/>
      <c r="AH254" s="215"/>
    </row>
    <row r="255" spans="1:34" x14ac:dyDescent="0.2">
      <c r="A255" s="327" t="s">
        <v>287</v>
      </c>
      <c r="B255" s="311">
        <v>300000</v>
      </c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86"/>
      <c r="V255" s="215"/>
      <c r="W255" s="215"/>
      <c r="X255" s="215"/>
      <c r="Y255" s="215"/>
      <c r="Z255" s="215"/>
      <c r="AA255" s="215"/>
      <c r="AB255" s="215"/>
      <c r="AC255" s="215"/>
      <c r="AD255" s="215"/>
      <c r="AE255" s="215"/>
      <c r="AF255" s="409"/>
      <c r="AG255" s="215"/>
      <c r="AH255" s="215"/>
    </row>
    <row r="256" spans="1:34" x14ac:dyDescent="0.2">
      <c r="A256" s="310" t="s">
        <v>413</v>
      </c>
      <c r="B256" s="311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215"/>
      <c r="AG256" s="215"/>
      <c r="AH256" s="215"/>
    </row>
    <row r="257" spans="1:34" x14ac:dyDescent="0.2">
      <c r="A257" s="310" t="s">
        <v>441</v>
      </c>
      <c r="B257" s="311">
        <v>100000</v>
      </c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ht="13.5" thickBot="1" x14ac:dyDescent="0.25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309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</row>
    <row r="261" spans="1:34" x14ac:dyDescent="0.2">
      <c r="A261" s="263"/>
      <c r="B261" s="264"/>
      <c r="C261" s="264"/>
      <c r="D261" s="264"/>
      <c r="E261" s="264"/>
      <c r="F261" s="264"/>
      <c r="G261" s="264"/>
      <c r="H261" s="264"/>
      <c r="I261" s="264"/>
      <c r="J261" s="264"/>
      <c r="K261" s="264"/>
      <c r="L261" s="264"/>
      <c r="M261" s="264"/>
      <c r="N261" s="264"/>
      <c r="O261" s="264"/>
      <c r="P261" s="860"/>
      <c r="Q261" s="264"/>
      <c r="R261" s="264"/>
      <c r="S261" s="264"/>
      <c r="T261" s="264"/>
      <c r="U261" s="264"/>
      <c r="V261" s="264"/>
      <c r="W261" s="264"/>
      <c r="X261" s="264"/>
      <c r="Y261" s="264"/>
      <c r="Z261" s="264"/>
      <c r="AA261" s="264"/>
      <c r="AB261" s="264"/>
      <c r="AC261" s="264"/>
      <c r="AD261" s="264"/>
      <c r="AE261" s="264"/>
      <c r="AF261" s="264"/>
      <c r="AG261" s="264"/>
      <c r="AH261" s="215"/>
    </row>
    <row r="262" spans="1:34" x14ac:dyDescent="0.2">
      <c r="A262" s="265"/>
      <c r="B262" s="266" t="s">
        <v>37</v>
      </c>
      <c r="C262" s="266"/>
      <c r="D262" s="266"/>
      <c r="E262" s="267" t="s">
        <v>838</v>
      </c>
      <c r="F262" s="268" t="s">
        <v>340</v>
      </c>
      <c r="G262" s="269"/>
      <c r="H262" s="268"/>
      <c r="I262" s="268"/>
      <c r="J262" s="268"/>
      <c r="K262" s="268"/>
      <c r="L262" s="268"/>
      <c r="M262" s="268"/>
      <c r="N262" s="268"/>
      <c r="O262" s="268"/>
      <c r="P262" s="861"/>
      <c r="Q262" s="268"/>
      <c r="R262" s="268"/>
      <c r="S262" s="268"/>
      <c r="T262" s="268"/>
      <c r="U262" s="268"/>
      <c r="V262" s="268"/>
      <c r="W262" s="268"/>
      <c r="X262" s="268"/>
      <c r="Y262" s="268"/>
      <c r="Z262" s="268"/>
      <c r="AA262" s="268"/>
      <c r="AB262" s="268"/>
      <c r="AC262" s="268"/>
      <c r="AD262" s="268"/>
      <c r="AE262" s="268"/>
      <c r="AF262" s="268"/>
      <c r="AG262" s="268"/>
      <c r="AH262" s="215"/>
    </row>
    <row r="263" spans="1:34" x14ac:dyDescent="0.2">
      <c r="A263" s="265"/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79"/>
      <c r="Q263" s="266"/>
      <c r="R263" s="266"/>
      <c r="S263" s="266"/>
      <c r="T263" s="266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266"/>
      <c r="AE263" s="266"/>
      <c r="AF263" s="266"/>
      <c r="AG263" s="266"/>
      <c r="AH263" s="215"/>
    </row>
    <row r="264" spans="1:34" x14ac:dyDescent="0.2">
      <c r="A264" s="265"/>
      <c r="B264" s="266"/>
      <c r="C264" s="268"/>
      <c r="D264" s="268">
        <v>42303</v>
      </c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x14ac:dyDescent="0.2">
      <c r="A265" s="265"/>
      <c r="B265" s="266"/>
      <c r="C265" s="268"/>
      <c r="D265" s="268"/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ht="13.5" thickBot="1" x14ac:dyDescent="0.25">
      <c r="A266" s="265"/>
      <c r="B266" s="266"/>
      <c r="C266" s="266"/>
      <c r="D266" s="266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79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  <c r="AH266" s="215"/>
    </row>
    <row r="267" spans="1:34" ht="13.5" thickBot="1" x14ac:dyDescent="0.25">
      <c r="A267" s="265"/>
      <c r="B267" s="266"/>
      <c r="C267" s="270"/>
      <c r="D267" s="271" t="s">
        <v>16</v>
      </c>
      <c r="E267" s="271"/>
      <c r="F267" s="271"/>
      <c r="G267" s="271"/>
      <c r="H267" s="271"/>
      <c r="I267" s="271"/>
      <c r="J267" s="271"/>
      <c r="K267" s="271"/>
      <c r="L267" s="271"/>
      <c r="M267" s="271"/>
      <c r="N267" s="271"/>
      <c r="O267" s="271"/>
      <c r="P267" s="862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  <c r="AA267" s="271"/>
      <c r="AB267" s="271"/>
      <c r="AC267" s="271"/>
      <c r="AD267" s="271"/>
      <c r="AE267" s="271"/>
      <c r="AF267" s="271"/>
      <c r="AG267" s="271"/>
      <c r="AH267" s="215"/>
    </row>
    <row r="268" spans="1:34" ht="13.5" thickBot="1" x14ac:dyDescent="0.25">
      <c r="A268" s="265"/>
      <c r="B268" s="266"/>
      <c r="C268" s="272" t="s">
        <v>452</v>
      </c>
      <c r="D268" s="272" t="s">
        <v>453</v>
      </c>
      <c r="E268" s="272" t="s">
        <v>434</v>
      </c>
      <c r="F268" s="272" t="s">
        <v>390</v>
      </c>
      <c r="G268" s="272" t="s">
        <v>454</v>
      </c>
      <c r="H268" s="272" t="s">
        <v>455</v>
      </c>
      <c r="I268" s="272" t="s">
        <v>456</v>
      </c>
      <c r="J268" s="272" t="s">
        <v>457</v>
      </c>
      <c r="K268" s="272" t="s">
        <v>458</v>
      </c>
      <c r="L268" s="272" t="s">
        <v>216</v>
      </c>
      <c r="M268" s="272" t="s">
        <v>459</v>
      </c>
      <c r="N268" s="272" t="s">
        <v>297</v>
      </c>
      <c r="O268" s="272" t="s">
        <v>211</v>
      </c>
      <c r="P268" s="863" t="s">
        <v>270</v>
      </c>
      <c r="Q268" s="272">
        <v>15</v>
      </c>
      <c r="R268" s="272">
        <v>16</v>
      </c>
      <c r="S268" s="272" t="s">
        <v>461</v>
      </c>
      <c r="T268" s="272" t="s">
        <v>442</v>
      </c>
      <c r="U268" s="272" t="s">
        <v>462</v>
      </c>
      <c r="V268" s="272" t="s">
        <v>470</v>
      </c>
      <c r="W268" s="272" t="s">
        <v>471</v>
      </c>
      <c r="X268" s="272" t="s">
        <v>472</v>
      </c>
      <c r="Y268" s="272" t="s">
        <v>463</v>
      </c>
      <c r="Z268" s="272" t="s">
        <v>465</v>
      </c>
      <c r="AA268" s="272" t="s">
        <v>466</v>
      </c>
      <c r="AB268" s="272" t="s">
        <v>435</v>
      </c>
      <c r="AC268" s="272" t="s">
        <v>467</v>
      </c>
      <c r="AD268" s="272" t="s">
        <v>464</v>
      </c>
      <c r="AE268" s="272" t="s">
        <v>429</v>
      </c>
      <c r="AF268" s="272" t="s">
        <v>149</v>
      </c>
      <c r="AG268" s="272" t="s">
        <v>210</v>
      </c>
      <c r="AH268" s="215"/>
    </row>
    <row r="269" spans="1:34" x14ac:dyDescent="0.2">
      <c r="A269" s="263"/>
      <c r="B269" s="273"/>
      <c r="C269" s="266"/>
      <c r="D269" s="266"/>
      <c r="E269" s="266"/>
      <c r="F269" s="266"/>
      <c r="G269" s="266"/>
      <c r="H269" s="266"/>
      <c r="I269" s="266"/>
      <c r="J269" s="266"/>
      <c r="K269" s="266"/>
      <c r="L269" s="266"/>
      <c r="M269" s="266"/>
      <c r="N269" s="266"/>
      <c r="O269" s="266"/>
      <c r="P269" s="279"/>
      <c r="Q269" s="266"/>
      <c r="R269" s="266"/>
      <c r="S269" s="266"/>
      <c r="T269" s="266"/>
      <c r="U269" s="266"/>
      <c r="V269" s="266"/>
      <c r="W269" s="266"/>
      <c r="X269" s="266"/>
      <c r="Y269" s="266"/>
      <c r="Z269" s="266"/>
      <c r="AA269" s="266"/>
      <c r="AB269" s="266"/>
      <c r="AC269" s="266"/>
      <c r="AD269" s="266"/>
      <c r="AE269" s="266"/>
      <c r="AF269" s="266"/>
      <c r="AG269" s="266"/>
      <c r="AH269" s="215"/>
    </row>
    <row r="270" spans="1:34" x14ac:dyDescent="0.2">
      <c r="A270" s="265" t="s">
        <v>0</v>
      </c>
      <c r="B270" s="274">
        <v>-17671.409</v>
      </c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ht="13.5" thickBot="1" x14ac:dyDescent="0.25">
      <c r="A271" s="275"/>
      <c r="B271" s="276"/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x14ac:dyDescent="0.2">
      <c r="A272" s="263"/>
      <c r="B272" s="278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5" t="s">
        <v>1</v>
      </c>
      <c r="B273" s="274">
        <f>B274+B275+B276</f>
        <v>0</v>
      </c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38</v>
      </c>
      <c r="B274" s="274">
        <f>C322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39</v>
      </c>
      <c r="B275" s="274">
        <f>C345</f>
        <v>0</v>
      </c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x14ac:dyDescent="0.2">
      <c r="A276" s="265" t="s">
        <v>3</v>
      </c>
      <c r="B276" s="274"/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ht="13.5" thickBot="1" x14ac:dyDescent="0.25">
      <c r="A277" s="275"/>
      <c r="B277" s="276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x14ac:dyDescent="0.2">
      <c r="A278" s="263"/>
      <c r="B278" s="278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x14ac:dyDescent="0.2">
      <c r="A279" s="265" t="s">
        <v>4</v>
      </c>
      <c r="B279" s="274">
        <f>B270-B273</f>
        <v>-17671.409</v>
      </c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ht="13.5" thickBot="1" x14ac:dyDescent="0.25">
      <c r="A280" s="275"/>
      <c r="B280" s="276"/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x14ac:dyDescent="0.2">
      <c r="A281" s="263"/>
      <c r="B281" s="278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x14ac:dyDescent="0.2">
      <c r="A282" s="265" t="s">
        <v>17</v>
      </c>
      <c r="B282" s="274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ht="13.5" thickBot="1" x14ac:dyDescent="0.25">
      <c r="A283" s="275"/>
      <c r="B283" s="276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330"/>
      <c r="Y283" s="266"/>
      <c r="Z283" s="266"/>
      <c r="AA283" s="266"/>
      <c r="AB283" s="266"/>
      <c r="AC283" s="266"/>
      <c r="AD283" s="266"/>
      <c r="AE283" s="266"/>
      <c r="AF283" s="269"/>
      <c r="AG283" s="266"/>
      <c r="AH283" s="215"/>
    </row>
    <row r="284" spans="1:34" x14ac:dyDescent="0.2">
      <c r="A284" s="263"/>
      <c r="B284" s="278"/>
      <c r="D284" s="266"/>
      <c r="E284" s="269"/>
      <c r="F284" s="266"/>
      <c r="G284" s="266"/>
      <c r="H284" s="266"/>
      <c r="I284" s="266"/>
      <c r="J284" s="266"/>
      <c r="K284" s="330"/>
      <c r="L284" s="266"/>
      <c r="M284" s="266"/>
      <c r="N284" s="266"/>
      <c r="O284" s="266"/>
      <c r="P284" s="279"/>
      <c r="R284" s="266"/>
      <c r="S284" s="266"/>
      <c r="T284" s="266"/>
      <c r="U284" s="266"/>
      <c r="V284" s="266"/>
      <c r="W284" s="266"/>
      <c r="X284" s="269"/>
      <c r="Y284" s="269"/>
      <c r="Z284" s="269"/>
      <c r="AA284" s="269"/>
      <c r="AB284" s="266"/>
      <c r="AC284" s="266"/>
      <c r="AD284" s="266"/>
      <c r="AE284" s="266"/>
      <c r="AF284" s="269" t="s">
        <v>173</v>
      </c>
      <c r="AH284" s="215"/>
    </row>
    <row r="285" spans="1:34" x14ac:dyDescent="0.2">
      <c r="A285" s="265" t="s">
        <v>5</v>
      </c>
      <c r="B285" s="274">
        <f>B279-B282</f>
        <v>-17671.409</v>
      </c>
      <c r="C285" s="409"/>
      <c r="D285" s="269"/>
      <c r="E285" s="794"/>
      <c r="F285" s="269" t="s">
        <v>171</v>
      </c>
      <c r="G285" s="269"/>
      <c r="H285" s="269"/>
      <c r="I285" s="269"/>
      <c r="J285" s="269"/>
      <c r="K285" s="269"/>
      <c r="L285" s="269"/>
      <c r="M285" s="269"/>
      <c r="N285" s="269"/>
      <c r="O285" s="269"/>
      <c r="P285" s="281"/>
      <c r="Q285" s="568" t="s">
        <v>379</v>
      </c>
      <c r="R285" s="269"/>
      <c r="S285" s="281"/>
      <c r="T285" s="269"/>
      <c r="U285" s="266"/>
      <c r="V285" s="269"/>
      <c r="W285" s="266"/>
      <c r="X285" s="269" t="s">
        <v>748</v>
      </c>
      <c r="Y285" s="269"/>
      <c r="Z285" s="281"/>
      <c r="AA285" s="281"/>
      <c r="AB285" s="281"/>
      <c r="AC285" s="796" t="s">
        <v>748</v>
      </c>
      <c r="AD285" s="796"/>
      <c r="AE285" s="269"/>
      <c r="AF285" s="269"/>
      <c r="AH285" s="215"/>
    </row>
    <row r="286" spans="1:34" ht="13.5" thickBot="1" x14ac:dyDescent="0.25">
      <c r="A286" s="275"/>
      <c r="B286" s="276"/>
      <c r="C286" s="266"/>
      <c r="D286" s="266"/>
      <c r="E286" s="266"/>
      <c r="F286" s="266"/>
      <c r="G286" s="266"/>
      <c r="H286" s="266"/>
      <c r="I286" s="266"/>
      <c r="J286" s="266"/>
      <c r="K286" s="266"/>
      <c r="L286" s="266"/>
      <c r="M286" s="269"/>
      <c r="N286" s="266"/>
      <c r="O286" s="266"/>
      <c r="P286" s="279"/>
      <c r="Q286" s="266"/>
      <c r="R286" s="266"/>
      <c r="S286" s="266"/>
      <c r="T286" s="266"/>
      <c r="U286" s="266"/>
      <c r="V286" s="266"/>
      <c r="W286" s="266"/>
      <c r="X286" s="266"/>
      <c r="Y286" s="266"/>
      <c r="Z286" s="266"/>
      <c r="AA286" s="266"/>
      <c r="AB286" s="266"/>
      <c r="AC286" s="266"/>
      <c r="AD286" s="266"/>
      <c r="AE286" s="266"/>
      <c r="AF286" s="266"/>
      <c r="AG286" s="266"/>
      <c r="AH286" s="215"/>
    </row>
    <row r="287" spans="1:34" x14ac:dyDescent="0.2">
      <c r="A287" s="282"/>
      <c r="B287" s="266"/>
      <c r="C287" s="283"/>
      <c r="D287" s="285"/>
      <c r="E287" s="285"/>
      <c r="F287" s="284"/>
      <c r="G287" s="284"/>
      <c r="H287" s="284"/>
      <c r="I287" s="284"/>
      <c r="J287" s="284"/>
      <c r="K287" s="284"/>
      <c r="L287" s="284"/>
      <c r="M287" s="284"/>
      <c r="N287" s="284"/>
      <c r="O287" s="284"/>
      <c r="P287" s="864"/>
      <c r="Q287" s="284"/>
      <c r="R287" s="284"/>
      <c r="S287" s="284"/>
      <c r="T287" s="284"/>
      <c r="U287" s="284"/>
      <c r="V287" s="284"/>
      <c r="W287" s="284"/>
      <c r="X287" s="284"/>
      <c r="Y287" s="284"/>
      <c r="Z287" s="284"/>
      <c r="AA287" s="284"/>
      <c r="AB287" s="284"/>
      <c r="AC287" s="284"/>
      <c r="AD287" s="284"/>
      <c r="AE287" s="284"/>
      <c r="AF287" s="284"/>
      <c r="AG287" s="284"/>
      <c r="AH287" s="215"/>
    </row>
    <row r="288" spans="1:34" ht="13.5" thickBot="1" x14ac:dyDescent="0.25">
      <c r="A288" s="287" t="s">
        <v>7</v>
      </c>
      <c r="B288" s="266"/>
      <c r="C288" s="288">
        <f>C289+C290+C291+C293+C292</f>
        <v>0</v>
      </c>
      <c r="D288" s="288">
        <f>D289+D290+D291+D293+D292</f>
        <v>0</v>
      </c>
      <c r="E288" s="288">
        <f>E289+E290+E291+E293+E292</f>
        <v>0</v>
      </c>
      <c r="F288" s="288">
        <f>F289+F290+F291+F293+F292</f>
        <v>0</v>
      </c>
      <c r="G288" s="288">
        <f>G289+G290+G291+G293+G292</f>
        <v>0</v>
      </c>
      <c r="H288" s="288">
        <f t="shared" ref="H288:AF288" si="29">H289+H290+H291+H293+H292</f>
        <v>0</v>
      </c>
      <c r="I288" s="288">
        <f t="shared" si="29"/>
        <v>0</v>
      </c>
      <c r="J288" s="288">
        <f t="shared" si="29"/>
        <v>0</v>
      </c>
      <c r="K288" s="288">
        <f t="shared" si="29"/>
        <v>0</v>
      </c>
      <c r="L288" s="288">
        <f t="shared" si="29"/>
        <v>0</v>
      </c>
      <c r="M288" s="288">
        <f t="shared" si="29"/>
        <v>0</v>
      </c>
      <c r="N288" s="288">
        <f t="shared" si="29"/>
        <v>0</v>
      </c>
      <c r="O288" s="288">
        <f t="shared" si="29"/>
        <v>0</v>
      </c>
      <c r="P288" s="865">
        <f t="shared" si="29"/>
        <v>0</v>
      </c>
      <c r="Q288" s="288">
        <f t="shared" si="29"/>
        <v>0</v>
      </c>
      <c r="R288" s="288">
        <f t="shared" si="29"/>
        <v>0</v>
      </c>
      <c r="S288" s="288">
        <f t="shared" si="29"/>
        <v>0</v>
      </c>
      <c r="T288" s="288">
        <f t="shared" si="29"/>
        <v>0</v>
      </c>
      <c r="U288" s="288">
        <f t="shared" si="29"/>
        <v>0</v>
      </c>
      <c r="V288" s="288">
        <f t="shared" si="29"/>
        <v>0</v>
      </c>
      <c r="W288" s="288">
        <f t="shared" si="29"/>
        <v>0</v>
      </c>
      <c r="X288" s="288">
        <f t="shared" si="29"/>
        <v>0</v>
      </c>
      <c r="Y288" s="288">
        <f t="shared" si="29"/>
        <v>0</v>
      </c>
      <c r="Z288" s="288">
        <f t="shared" si="29"/>
        <v>0</v>
      </c>
      <c r="AA288" s="288">
        <f t="shared" si="29"/>
        <v>0</v>
      </c>
      <c r="AB288" s="288">
        <f t="shared" si="29"/>
        <v>0</v>
      </c>
      <c r="AC288" s="288">
        <f t="shared" si="29"/>
        <v>0</v>
      </c>
      <c r="AD288" s="288">
        <f t="shared" si="29"/>
        <v>0</v>
      </c>
      <c r="AE288" s="288">
        <f t="shared" si="29"/>
        <v>0</v>
      </c>
      <c r="AF288" s="288">
        <f t="shared" si="29"/>
        <v>0</v>
      </c>
      <c r="AG288" s="288">
        <f>AG289+AG290+AG291+AG293+AG292</f>
        <v>0</v>
      </c>
      <c r="AH288" s="286">
        <f>SUM(C288:AG288)</f>
        <v>0</v>
      </c>
    </row>
    <row r="289" spans="1:34" x14ac:dyDescent="0.2">
      <c r="A289" s="287" t="s">
        <v>8</v>
      </c>
      <c r="B289" s="331"/>
      <c r="C289" s="291"/>
      <c r="D289" s="291"/>
      <c r="E289" s="362"/>
      <c r="F289" s="290"/>
      <c r="G289" s="290"/>
      <c r="H289" s="290"/>
      <c r="I289" s="295"/>
      <c r="J289" s="290"/>
      <c r="K289" s="290"/>
      <c r="L289" s="290"/>
      <c r="M289" s="290"/>
      <c r="N289" s="290"/>
      <c r="O289" s="290"/>
      <c r="P289" s="292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  <c r="AA289" s="290"/>
      <c r="AB289" s="290"/>
      <c r="AC289" s="290"/>
      <c r="AD289" s="290"/>
      <c r="AE289" s="290"/>
      <c r="AF289" s="290"/>
      <c r="AG289" s="1058"/>
      <c r="AH289" s="286">
        <f>SUM(C289:AG289)</f>
        <v>0</v>
      </c>
    </row>
    <row r="290" spans="1:34" x14ac:dyDescent="0.2">
      <c r="A290" s="287" t="s">
        <v>9</v>
      </c>
      <c r="B290" s="331"/>
      <c r="C290" s="291"/>
      <c r="D290" s="291"/>
      <c r="E290" s="362"/>
      <c r="F290" s="290"/>
      <c r="G290" s="290"/>
      <c r="H290" s="290"/>
      <c r="I290" s="290"/>
      <c r="J290" s="290"/>
      <c r="K290" s="290"/>
      <c r="L290" s="290"/>
      <c r="M290" s="290"/>
      <c r="N290" s="290"/>
      <c r="O290" s="295"/>
      <c r="P290" s="292"/>
      <c r="Q290" s="290"/>
      <c r="R290" s="290"/>
      <c r="S290" s="290"/>
      <c r="T290" s="290"/>
      <c r="U290" s="290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0"/>
      <c r="AF290" s="1057">
        <v>-11500</v>
      </c>
      <c r="AG290" s="1057"/>
      <c r="AH290" s="286">
        <f>SUM(C290:AG290)</f>
        <v>-11500</v>
      </c>
    </row>
    <row r="291" spans="1:34" s="360" customFormat="1" x14ac:dyDescent="0.2">
      <c r="A291" s="662" t="s">
        <v>10</v>
      </c>
      <c r="B291" s="669"/>
      <c r="C291" s="795"/>
      <c r="D291" s="565"/>
      <c r="E291" s="565"/>
      <c r="F291" s="560">
        <v>50000</v>
      </c>
      <c r="G291" s="560"/>
      <c r="H291" s="560"/>
      <c r="I291" s="560"/>
      <c r="J291" s="560"/>
      <c r="K291" s="560"/>
      <c r="L291" s="560"/>
      <c r="M291" s="560"/>
      <c r="N291" s="560"/>
      <c r="O291" s="560"/>
      <c r="P291" s="560"/>
      <c r="Q291" s="560"/>
      <c r="R291" s="560"/>
      <c r="S291" s="560"/>
      <c r="T291" s="560"/>
      <c r="U291" s="560"/>
      <c r="V291" s="560"/>
      <c r="W291" s="560"/>
      <c r="X291" s="560"/>
      <c r="Y291" s="560"/>
      <c r="Z291" s="665"/>
      <c r="AA291" s="1050"/>
      <c r="AB291" s="560"/>
      <c r="AC291" s="560"/>
      <c r="AD291" s="708"/>
      <c r="AE291" s="560"/>
      <c r="AF291" s="560"/>
      <c r="AG291" s="560"/>
      <c r="AH291" s="379">
        <f>SUM(C291:AG291)</f>
        <v>50000</v>
      </c>
    </row>
    <row r="292" spans="1:34" s="360" customFormat="1" x14ac:dyDescent="0.2">
      <c r="A292" s="662" t="s">
        <v>356</v>
      </c>
      <c r="B292" s="669"/>
      <c r="C292" s="565"/>
      <c r="D292" s="565"/>
      <c r="E292" s="565"/>
      <c r="F292" s="560">
        <v>-50000</v>
      </c>
      <c r="G292" s="380"/>
      <c r="H292" s="560"/>
      <c r="I292" s="380"/>
      <c r="J292" s="560"/>
      <c r="K292" s="560"/>
      <c r="L292" s="560"/>
      <c r="M292" s="560"/>
      <c r="N292" s="811"/>
      <c r="O292" s="560"/>
      <c r="P292" s="560"/>
      <c r="Q292" s="560">
        <v>23300</v>
      </c>
      <c r="R292" s="560"/>
      <c r="S292" s="560"/>
      <c r="T292" s="560"/>
      <c r="U292" s="560"/>
      <c r="V292" s="560"/>
      <c r="W292" s="560"/>
      <c r="X292" s="560">
        <v>17200</v>
      </c>
      <c r="Y292" s="560"/>
      <c r="Z292" s="560"/>
      <c r="AA292" s="560"/>
      <c r="AB292" s="380"/>
      <c r="AC292" s="811"/>
      <c r="AD292" s="560"/>
      <c r="AE292" s="560"/>
      <c r="AF292" s="560">
        <v>11500</v>
      </c>
      <c r="AG292" s="560"/>
      <c r="AH292" s="379">
        <f>SUM(C292:AG292)</f>
        <v>2000</v>
      </c>
    </row>
    <row r="293" spans="1:34" x14ac:dyDescent="0.2">
      <c r="A293" s="287" t="s">
        <v>11</v>
      </c>
      <c r="B293" s="266"/>
      <c r="C293" s="291"/>
      <c r="D293" s="289"/>
      <c r="E293" s="294"/>
      <c r="F293" s="292"/>
      <c r="G293" s="292"/>
      <c r="H293" s="292"/>
      <c r="I293" s="292"/>
      <c r="J293" s="295"/>
      <c r="K293" s="292"/>
      <c r="L293" s="292"/>
      <c r="M293" s="292"/>
      <c r="N293" s="292"/>
      <c r="O293" s="292"/>
      <c r="P293" s="455"/>
      <c r="Q293" s="455">
        <v>-23300</v>
      </c>
      <c r="R293" s="292"/>
      <c r="S293" s="455"/>
      <c r="T293" s="292"/>
      <c r="U293" s="292"/>
      <c r="V293" s="295"/>
      <c r="W293" s="295"/>
      <c r="X293" s="293">
        <v>-17200</v>
      </c>
      <c r="Y293" s="455"/>
      <c r="Z293" s="295"/>
      <c r="AA293" s="293"/>
      <c r="AB293" s="295"/>
      <c r="AC293" s="292"/>
      <c r="AD293" s="295"/>
      <c r="AE293" s="292"/>
      <c r="AF293" s="292"/>
      <c r="AG293" s="292"/>
      <c r="AH293" s="215"/>
    </row>
    <row r="294" spans="1:34" ht="13.5" thickBot="1" x14ac:dyDescent="0.25">
      <c r="A294" s="296"/>
      <c r="B294" s="266"/>
      <c r="C294" s="291"/>
      <c r="D294" s="291"/>
      <c r="E294" s="291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2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  <c r="AA294" s="290"/>
      <c r="AB294" s="290"/>
      <c r="AC294" s="290"/>
      <c r="AD294" s="290"/>
      <c r="AE294" s="290"/>
      <c r="AF294" s="290"/>
      <c r="AG294" s="290"/>
      <c r="AH294" s="215"/>
    </row>
    <row r="295" spans="1:34" x14ac:dyDescent="0.2">
      <c r="A295" s="282"/>
      <c r="B295" s="266"/>
      <c r="C295" s="297"/>
      <c r="D295" s="298"/>
      <c r="E295" s="298"/>
      <c r="F295" s="299"/>
      <c r="G295" s="299"/>
      <c r="H295" s="299"/>
      <c r="I295" s="299"/>
      <c r="J295" s="299"/>
      <c r="K295" s="299"/>
      <c r="L295" s="299"/>
      <c r="M295" s="299"/>
      <c r="N295" s="299"/>
      <c r="O295" s="299"/>
      <c r="P295" s="866"/>
      <c r="Q295" s="299"/>
      <c r="R295" s="299"/>
      <c r="S295" s="299"/>
      <c r="T295" s="299"/>
      <c r="U295" s="299"/>
      <c r="V295" s="299"/>
      <c r="W295" s="299"/>
      <c r="X295" s="299"/>
      <c r="Y295" s="299"/>
      <c r="Z295" s="299"/>
      <c r="AA295" s="299"/>
      <c r="AB295" s="299"/>
      <c r="AC295" s="299"/>
      <c r="AD295" s="299"/>
      <c r="AE295" s="299"/>
      <c r="AF295" s="299"/>
      <c r="AG295" s="299"/>
      <c r="AH295" s="215"/>
    </row>
    <row r="296" spans="1:34" ht="13.5" thickBot="1" x14ac:dyDescent="0.25">
      <c r="A296" s="287" t="s">
        <v>12</v>
      </c>
      <c r="B296" s="266"/>
      <c r="C296" s="288">
        <f t="shared" ref="C296:AG296" si="30">C297</f>
        <v>0</v>
      </c>
      <c r="D296" s="288">
        <f t="shared" si="30"/>
        <v>0</v>
      </c>
      <c r="E296" s="288">
        <f t="shared" si="30"/>
        <v>0</v>
      </c>
      <c r="F296" s="288">
        <f t="shared" si="30"/>
        <v>0</v>
      </c>
      <c r="G296" s="288">
        <f t="shared" si="30"/>
        <v>0</v>
      </c>
      <c r="H296" s="288">
        <f t="shared" si="30"/>
        <v>0</v>
      </c>
      <c r="I296" s="288">
        <f t="shared" si="30"/>
        <v>0</v>
      </c>
      <c r="J296" s="288">
        <f t="shared" si="30"/>
        <v>0</v>
      </c>
      <c r="K296" s="288">
        <f t="shared" si="30"/>
        <v>0</v>
      </c>
      <c r="L296" s="288">
        <f t="shared" si="30"/>
        <v>0</v>
      </c>
      <c r="M296" s="288">
        <f t="shared" si="30"/>
        <v>0</v>
      </c>
      <c r="N296" s="288">
        <f t="shared" si="30"/>
        <v>0</v>
      </c>
      <c r="O296" s="288">
        <f t="shared" si="30"/>
        <v>0</v>
      </c>
      <c r="P296" s="865">
        <f t="shared" si="30"/>
        <v>0</v>
      </c>
      <c r="Q296" s="288">
        <f t="shared" si="30"/>
        <v>0</v>
      </c>
      <c r="R296" s="288">
        <f t="shared" si="30"/>
        <v>0</v>
      </c>
      <c r="S296" s="288">
        <f t="shared" si="30"/>
        <v>0</v>
      </c>
      <c r="T296" s="288">
        <f t="shared" si="30"/>
        <v>0</v>
      </c>
      <c r="U296" s="288">
        <f t="shared" si="30"/>
        <v>0</v>
      </c>
      <c r="V296" s="288">
        <f t="shared" si="30"/>
        <v>0</v>
      </c>
      <c r="W296" s="288">
        <f t="shared" si="30"/>
        <v>0</v>
      </c>
      <c r="X296" s="288">
        <f t="shared" si="30"/>
        <v>0</v>
      </c>
      <c r="Y296" s="288">
        <f t="shared" si="30"/>
        <v>0</v>
      </c>
      <c r="Z296" s="288">
        <f t="shared" si="30"/>
        <v>0</v>
      </c>
      <c r="AA296" s="288">
        <f t="shared" si="30"/>
        <v>0</v>
      </c>
      <c r="AB296" s="288">
        <f t="shared" si="30"/>
        <v>0</v>
      </c>
      <c r="AC296" s="288">
        <f t="shared" si="30"/>
        <v>0</v>
      </c>
      <c r="AD296" s="288">
        <f t="shared" si="30"/>
        <v>0</v>
      </c>
      <c r="AE296" s="288">
        <f t="shared" si="30"/>
        <v>0</v>
      </c>
      <c r="AF296" s="288">
        <f t="shared" si="30"/>
        <v>0</v>
      </c>
      <c r="AG296" s="288">
        <f t="shared" si="30"/>
        <v>0</v>
      </c>
      <c r="AH296" s="215"/>
    </row>
    <row r="297" spans="1:34" x14ac:dyDescent="0.2">
      <c r="A297" s="287" t="s">
        <v>8</v>
      </c>
      <c r="B297" s="266"/>
      <c r="C297" s="291"/>
      <c r="D297" s="291"/>
      <c r="E297" s="291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2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  <c r="AA297" s="290"/>
      <c r="AB297" s="290"/>
      <c r="AC297" s="290"/>
      <c r="AD297" s="290"/>
      <c r="AE297" s="290"/>
      <c r="AF297" s="290"/>
      <c r="AG297" s="290"/>
      <c r="AH297" s="215"/>
    </row>
    <row r="298" spans="1:34" x14ac:dyDescent="0.2">
      <c r="A298" s="287" t="s">
        <v>775</v>
      </c>
      <c r="B298" s="266"/>
      <c r="C298" s="291">
        <v>3360</v>
      </c>
      <c r="D298" s="291">
        <v>1558</v>
      </c>
      <c r="E298" s="291"/>
      <c r="F298" s="290">
        <v>1600</v>
      </c>
      <c r="G298" s="290">
        <v>3620</v>
      </c>
      <c r="H298" s="290"/>
      <c r="I298" s="290">
        <v>1600</v>
      </c>
      <c r="J298" s="290">
        <v>860</v>
      </c>
      <c r="K298" s="290">
        <v>5421</v>
      </c>
      <c r="L298" s="290">
        <v>7725</v>
      </c>
      <c r="M298" s="290">
        <v>5421</v>
      </c>
      <c r="N298" s="290"/>
      <c r="O298" s="290">
        <v>5746</v>
      </c>
      <c r="P298" s="292">
        <v>1600</v>
      </c>
      <c r="Q298" s="290">
        <v>5473</v>
      </c>
      <c r="R298" s="290">
        <v>1600</v>
      </c>
      <c r="S298" s="290"/>
      <c r="T298" s="290">
        <v>1600</v>
      </c>
      <c r="U298" s="290"/>
      <c r="V298" s="290">
        <v>5637</v>
      </c>
      <c r="W298" s="290"/>
      <c r="X298" s="290"/>
      <c r="Y298" s="290"/>
      <c r="Z298" s="290"/>
      <c r="AA298" s="290">
        <v>2158</v>
      </c>
      <c r="AB298" s="290"/>
      <c r="AC298" s="290"/>
      <c r="AD298" s="290">
        <v>8335</v>
      </c>
      <c r="AE298" s="290"/>
      <c r="AF298" s="290">
        <v>23749</v>
      </c>
      <c r="AG298" s="290"/>
      <c r="AH298" s="286">
        <f>SUM(C298:AG298)</f>
        <v>87063</v>
      </c>
    </row>
    <row r="299" spans="1:34" ht="13.5" thickBot="1" x14ac:dyDescent="0.25">
      <c r="A299" s="296"/>
      <c r="B299" s="266"/>
      <c r="C299" s="291"/>
      <c r="D299" s="291"/>
      <c r="E299" s="291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2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  <c r="AA299" s="290"/>
      <c r="AB299" s="290"/>
      <c r="AC299" s="290"/>
      <c r="AD299" s="290"/>
      <c r="AE299" s="290"/>
      <c r="AF299" s="290"/>
      <c r="AG299" s="290"/>
      <c r="AH299" s="215"/>
    </row>
    <row r="300" spans="1:34" x14ac:dyDescent="0.2">
      <c r="A300" s="282"/>
      <c r="B300" s="266"/>
      <c r="C300" s="297"/>
      <c r="D300" s="298"/>
      <c r="E300" s="298"/>
      <c r="F300" s="299"/>
      <c r="G300" s="299"/>
      <c r="H300" s="299"/>
      <c r="I300" s="299"/>
      <c r="J300" s="299"/>
      <c r="K300" s="299"/>
      <c r="L300" s="299"/>
      <c r="M300" s="299"/>
      <c r="N300" s="299"/>
      <c r="O300" s="299"/>
      <c r="P300" s="866"/>
      <c r="Q300" s="299"/>
      <c r="R300" s="299"/>
      <c r="S300" s="299"/>
      <c r="T300" s="299"/>
      <c r="U300" s="299"/>
      <c r="V300" s="299"/>
      <c r="W300" s="299"/>
      <c r="X300" s="299"/>
      <c r="Y300" s="299"/>
      <c r="Z300" s="299"/>
      <c r="AA300" s="299"/>
      <c r="AB300" s="299"/>
      <c r="AC300" s="299"/>
      <c r="AD300" s="299"/>
      <c r="AE300" s="299"/>
      <c r="AF300" s="299"/>
      <c r="AG300" s="299"/>
      <c r="AH300" s="215"/>
    </row>
    <row r="301" spans="1:34" x14ac:dyDescent="0.2">
      <c r="A301" s="287" t="s">
        <v>13</v>
      </c>
      <c r="B301" s="266"/>
      <c r="C301" s="300">
        <f>C296-C288</f>
        <v>0</v>
      </c>
      <c r="D301" s="300">
        <f>D296-D288</f>
        <v>0</v>
      </c>
      <c r="E301" s="300">
        <f>E296-E288</f>
        <v>0</v>
      </c>
      <c r="F301" s="300">
        <f>F296-F288</f>
        <v>0</v>
      </c>
      <c r="G301" s="300">
        <f>G296-G288</f>
        <v>0</v>
      </c>
      <c r="H301" s="300">
        <f t="shared" ref="H301:AG301" si="31">H296-H288</f>
        <v>0</v>
      </c>
      <c r="I301" s="300">
        <f t="shared" si="31"/>
        <v>0</v>
      </c>
      <c r="J301" s="300">
        <f t="shared" si="31"/>
        <v>0</v>
      </c>
      <c r="K301" s="300">
        <f t="shared" si="31"/>
        <v>0</v>
      </c>
      <c r="L301" s="300">
        <f t="shared" si="31"/>
        <v>0</v>
      </c>
      <c r="M301" s="300">
        <f t="shared" si="31"/>
        <v>0</v>
      </c>
      <c r="N301" s="300">
        <f t="shared" si="31"/>
        <v>0</v>
      </c>
      <c r="O301" s="300">
        <f t="shared" si="31"/>
        <v>0</v>
      </c>
      <c r="P301" s="867">
        <f t="shared" si="31"/>
        <v>0</v>
      </c>
      <c r="Q301" s="300">
        <f t="shared" si="31"/>
        <v>0</v>
      </c>
      <c r="R301" s="300">
        <f t="shared" si="31"/>
        <v>0</v>
      </c>
      <c r="S301" s="300">
        <f t="shared" si="31"/>
        <v>0</v>
      </c>
      <c r="T301" s="300">
        <f t="shared" si="31"/>
        <v>0</v>
      </c>
      <c r="U301" s="300">
        <f t="shared" si="31"/>
        <v>0</v>
      </c>
      <c r="V301" s="300">
        <f t="shared" si="31"/>
        <v>0</v>
      </c>
      <c r="W301" s="300">
        <f t="shared" si="31"/>
        <v>0</v>
      </c>
      <c r="X301" s="300">
        <f t="shared" si="31"/>
        <v>0</v>
      </c>
      <c r="Y301" s="300">
        <f t="shared" si="31"/>
        <v>0</v>
      </c>
      <c r="Z301" s="300">
        <f t="shared" si="31"/>
        <v>0</v>
      </c>
      <c r="AA301" s="300">
        <f t="shared" si="31"/>
        <v>0</v>
      </c>
      <c r="AB301" s="300">
        <f t="shared" si="31"/>
        <v>0</v>
      </c>
      <c r="AC301" s="300">
        <f t="shared" si="31"/>
        <v>0</v>
      </c>
      <c r="AD301" s="300">
        <f t="shared" si="31"/>
        <v>0</v>
      </c>
      <c r="AE301" s="300">
        <f t="shared" si="31"/>
        <v>0</v>
      </c>
      <c r="AF301" s="300">
        <f t="shared" si="31"/>
        <v>0</v>
      </c>
      <c r="AG301" s="300">
        <f t="shared" si="31"/>
        <v>0</v>
      </c>
      <c r="AH301" s="215"/>
    </row>
    <row r="302" spans="1:34" ht="13.5" thickBot="1" x14ac:dyDescent="0.25">
      <c r="A302" s="287"/>
      <c r="B302" s="266"/>
      <c r="C302" s="300"/>
      <c r="D302" s="291"/>
      <c r="E302" s="291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2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  <c r="AA302" s="290"/>
      <c r="AB302" s="290"/>
      <c r="AC302" s="290"/>
      <c r="AD302" s="290"/>
      <c r="AE302" s="290"/>
      <c r="AF302" s="290"/>
      <c r="AG302" s="290"/>
      <c r="AH302" s="215"/>
    </row>
    <row r="303" spans="1:34" x14ac:dyDescent="0.2">
      <c r="A303" s="263"/>
      <c r="B303" s="264"/>
      <c r="C303" s="301"/>
      <c r="D303" s="298"/>
      <c r="E303" s="298"/>
      <c r="F303" s="299"/>
      <c r="G303" s="299"/>
      <c r="H303" s="299"/>
      <c r="I303" s="299"/>
      <c r="J303" s="299"/>
      <c r="K303" s="299"/>
      <c r="L303" s="299"/>
      <c r="M303" s="299"/>
      <c r="N303" s="299"/>
      <c r="O303" s="299"/>
      <c r="P303" s="866"/>
      <c r="Q303" s="299"/>
      <c r="R303" s="299"/>
      <c r="S303" s="299"/>
      <c r="T303" s="299"/>
      <c r="U303" s="299"/>
      <c r="V303" s="299"/>
      <c r="W303" s="299"/>
      <c r="X303" s="299"/>
      <c r="Y303" s="299"/>
      <c r="Z303" s="299"/>
      <c r="AA303" s="299"/>
      <c r="AB303" s="299"/>
      <c r="AC303" s="299"/>
      <c r="AD303" s="299"/>
      <c r="AE303" s="299"/>
      <c r="AF303" s="299"/>
      <c r="AG303" s="299"/>
      <c r="AH303" s="215"/>
    </row>
    <row r="304" spans="1:34" x14ac:dyDescent="0.2">
      <c r="A304" s="265" t="s">
        <v>15</v>
      </c>
      <c r="B304" s="266"/>
      <c r="C304" s="291">
        <f>B285+C301</f>
        <v>-17671.409</v>
      </c>
      <c r="D304" s="291">
        <f t="shared" ref="D304:AG304" si="32">C311+D301</f>
        <v>-17671.409</v>
      </c>
      <c r="E304" s="291">
        <f t="shared" si="32"/>
        <v>-17671.409</v>
      </c>
      <c r="F304" s="291">
        <f t="shared" si="32"/>
        <v>-17671.409</v>
      </c>
      <c r="G304" s="291">
        <f t="shared" si="32"/>
        <v>-17671.409</v>
      </c>
      <c r="H304" s="291">
        <f t="shared" si="32"/>
        <v>-17671.409</v>
      </c>
      <c r="I304" s="291">
        <f t="shared" si="32"/>
        <v>-17671.409</v>
      </c>
      <c r="J304" s="291">
        <f t="shared" si="32"/>
        <v>-17671.409</v>
      </c>
      <c r="K304" s="291">
        <f t="shared" si="32"/>
        <v>-17671.409</v>
      </c>
      <c r="L304" s="291">
        <f t="shared" si="32"/>
        <v>-17671.409</v>
      </c>
      <c r="M304" s="291">
        <f t="shared" si="32"/>
        <v>-17671.409</v>
      </c>
      <c r="N304" s="291">
        <f t="shared" si="32"/>
        <v>-17671.409</v>
      </c>
      <c r="O304" s="291">
        <f t="shared" si="32"/>
        <v>-17671.409</v>
      </c>
      <c r="P304" s="289">
        <f t="shared" si="32"/>
        <v>-17671.409</v>
      </c>
      <c r="Q304" s="291">
        <f t="shared" si="32"/>
        <v>-17671.409</v>
      </c>
      <c r="R304" s="291">
        <f t="shared" si="32"/>
        <v>-17671.409</v>
      </c>
      <c r="S304" s="291">
        <f t="shared" si="32"/>
        <v>-17671.409</v>
      </c>
      <c r="T304" s="291">
        <f t="shared" si="32"/>
        <v>-17671.409</v>
      </c>
      <c r="U304" s="291">
        <f t="shared" si="32"/>
        <v>-17671.409</v>
      </c>
      <c r="V304" s="291">
        <f t="shared" si="32"/>
        <v>-17671.409</v>
      </c>
      <c r="W304" s="291">
        <f t="shared" si="32"/>
        <v>-17671.409</v>
      </c>
      <c r="X304" s="291">
        <f t="shared" si="32"/>
        <v>-17671.409</v>
      </c>
      <c r="Y304" s="291">
        <f t="shared" si="32"/>
        <v>-17671.409</v>
      </c>
      <c r="Z304" s="291">
        <f t="shared" si="32"/>
        <v>-17671.409</v>
      </c>
      <c r="AA304" s="291">
        <f t="shared" si="32"/>
        <v>-17671.409</v>
      </c>
      <c r="AB304" s="291">
        <f t="shared" si="32"/>
        <v>-17671.409</v>
      </c>
      <c r="AC304" s="291">
        <f t="shared" si="32"/>
        <v>-17671.409</v>
      </c>
      <c r="AD304" s="291">
        <f t="shared" si="32"/>
        <v>-15471.409</v>
      </c>
      <c r="AE304" s="291">
        <f t="shared" si="32"/>
        <v>-15471.409</v>
      </c>
      <c r="AF304" s="291">
        <f t="shared" si="32"/>
        <v>-15471.409</v>
      </c>
      <c r="AG304" s="291">
        <f t="shared" si="32"/>
        <v>-15471.409</v>
      </c>
      <c r="AH304" s="215"/>
    </row>
    <row r="305" spans="1:34" ht="13.5" thickBot="1" x14ac:dyDescent="0.25">
      <c r="A305" s="275"/>
      <c r="B305" s="302"/>
      <c r="C305" s="303"/>
      <c r="D305" s="303"/>
      <c r="E305" s="303"/>
      <c r="F305" s="304"/>
      <c r="G305" s="304"/>
      <c r="H305" s="304"/>
      <c r="I305" s="304"/>
      <c r="J305" s="304"/>
      <c r="K305" s="304"/>
      <c r="L305" s="304"/>
      <c r="M305" s="304"/>
      <c r="N305" s="304"/>
      <c r="O305" s="304"/>
      <c r="P305" s="868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4"/>
      <c r="AE305" s="304"/>
      <c r="AF305" s="304"/>
      <c r="AG305" s="304"/>
      <c r="AH305" s="215"/>
    </row>
    <row r="306" spans="1:34" x14ac:dyDescent="0.2">
      <c r="A306" s="263"/>
      <c r="B306" s="264"/>
      <c r="C306" s="298"/>
      <c r="D306" s="298"/>
      <c r="E306" s="298"/>
      <c r="F306" s="299"/>
      <c r="G306" s="299"/>
      <c r="H306" s="299"/>
      <c r="I306" s="299"/>
      <c r="J306" s="299"/>
      <c r="K306" s="299"/>
      <c r="L306" s="299"/>
      <c r="M306" s="299"/>
      <c r="N306" s="299"/>
      <c r="O306" s="299"/>
      <c r="P306" s="866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299"/>
      <c r="AH306" s="215"/>
    </row>
    <row r="307" spans="1:34" x14ac:dyDescent="0.2">
      <c r="A307" s="265" t="s">
        <v>82</v>
      </c>
      <c r="B307" s="266"/>
      <c r="C307" s="291">
        <f t="shared" ref="C307:AG308" si="33">C315</f>
        <v>0</v>
      </c>
      <c r="D307" s="291">
        <f t="shared" si="33"/>
        <v>0</v>
      </c>
      <c r="E307" s="291">
        <f t="shared" si="33"/>
        <v>0</v>
      </c>
      <c r="F307" s="291">
        <f t="shared" si="33"/>
        <v>0</v>
      </c>
      <c r="G307" s="291">
        <f t="shared" si="33"/>
        <v>0</v>
      </c>
      <c r="H307" s="291">
        <f t="shared" si="33"/>
        <v>0</v>
      </c>
      <c r="I307" s="291">
        <f t="shared" si="33"/>
        <v>0</v>
      </c>
      <c r="J307" s="291">
        <f t="shared" si="33"/>
        <v>0</v>
      </c>
      <c r="K307" s="291">
        <f t="shared" si="33"/>
        <v>0</v>
      </c>
      <c r="L307" s="291">
        <f t="shared" si="33"/>
        <v>0</v>
      </c>
      <c r="M307" s="291">
        <f t="shared" si="33"/>
        <v>0</v>
      </c>
      <c r="N307" s="291">
        <f t="shared" si="33"/>
        <v>0</v>
      </c>
      <c r="O307" s="291">
        <f t="shared" si="33"/>
        <v>0</v>
      </c>
      <c r="P307" s="289">
        <f t="shared" si="33"/>
        <v>0</v>
      </c>
      <c r="Q307" s="291">
        <f t="shared" si="33"/>
        <v>0</v>
      </c>
      <c r="R307" s="291">
        <f t="shared" si="33"/>
        <v>0</v>
      </c>
      <c r="S307" s="291">
        <f t="shared" si="33"/>
        <v>0</v>
      </c>
      <c r="T307" s="291">
        <f t="shared" si="33"/>
        <v>0</v>
      </c>
      <c r="U307" s="291">
        <f t="shared" si="33"/>
        <v>0</v>
      </c>
      <c r="V307" s="291">
        <f t="shared" si="33"/>
        <v>0</v>
      </c>
      <c r="W307" s="291">
        <f t="shared" si="33"/>
        <v>0</v>
      </c>
      <c r="X307" s="291">
        <f t="shared" si="33"/>
        <v>0</v>
      </c>
      <c r="Y307" s="291">
        <f t="shared" si="33"/>
        <v>0</v>
      </c>
      <c r="Z307" s="291">
        <f t="shared" si="33"/>
        <v>0</v>
      </c>
      <c r="AA307" s="291">
        <f>AA315</f>
        <v>0</v>
      </c>
      <c r="AB307" s="291">
        <f t="shared" si="33"/>
        <v>0</v>
      </c>
      <c r="AC307" s="291">
        <f t="shared" si="33"/>
        <v>2200</v>
      </c>
      <c r="AD307" s="291">
        <f t="shared" si="33"/>
        <v>0</v>
      </c>
      <c r="AE307" s="291">
        <f t="shared" si="33"/>
        <v>0</v>
      </c>
      <c r="AF307" s="291">
        <f t="shared" si="33"/>
        <v>0</v>
      </c>
      <c r="AG307" s="291">
        <f t="shared" si="33"/>
        <v>0</v>
      </c>
      <c r="AH307" s="215"/>
    </row>
    <row r="308" spans="1:34" x14ac:dyDescent="0.2">
      <c r="A308" s="265" t="s">
        <v>83</v>
      </c>
      <c r="B308" s="266"/>
      <c r="C308" s="289">
        <f t="shared" si="33"/>
        <v>0</v>
      </c>
      <c r="D308" s="289">
        <f t="shared" si="33"/>
        <v>0</v>
      </c>
      <c r="E308" s="289">
        <f t="shared" si="33"/>
        <v>0</v>
      </c>
      <c r="F308" s="289">
        <f t="shared" si="33"/>
        <v>0</v>
      </c>
      <c r="G308" s="289">
        <f t="shared" si="33"/>
        <v>0</v>
      </c>
      <c r="H308" s="289">
        <f t="shared" si="33"/>
        <v>0</v>
      </c>
      <c r="I308" s="289">
        <f t="shared" si="33"/>
        <v>0</v>
      </c>
      <c r="J308" s="289">
        <f t="shared" si="33"/>
        <v>0</v>
      </c>
      <c r="K308" s="289">
        <f t="shared" si="33"/>
        <v>0</v>
      </c>
      <c r="L308" s="289">
        <f t="shared" si="33"/>
        <v>0</v>
      </c>
      <c r="M308" s="289">
        <f t="shared" si="33"/>
        <v>0</v>
      </c>
      <c r="N308" s="289">
        <f t="shared" si="33"/>
        <v>0</v>
      </c>
      <c r="O308" s="289">
        <f t="shared" si="33"/>
        <v>0</v>
      </c>
      <c r="P308" s="289">
        <f t="shared" si="33"/>
        <v>0</v>
      </c>
      <c r="Q308" s="289">
        <f t="shared" si="33"/>
        <v>0</v>
      </c>
      <c r="R308" s="289">
        <f t="shared" si="33"/>
        <v>0</v>
      </c>
      <c r="S308" s="289">
        <f t="shared" si="33"/>
        <v>0</v>
      </c>
      <c r="T308" s="289">
        <f t="shared" si="33"/>
        <v>0</v>
      </c>
      <c r="U308" s="289">
        <f t="shared" si="33"/>
        <v>0</v>
      </c>
      <c r="V308" s="289">
        <f t="shared" si="33"/>
        <v>0</v>
      </c>
      <c r="W308" s="289">
        <f t="shared" si="33"/>
        <v>0</v>
      </c>
      <c r="X308" s="289">
        <f t="shared" si="33"/>
        <v>0</v>
      </c>
      <c r="Y308" s="289">
        <f t="shared" si="33"/>
        <v>0</v>
      </c>
      <c r="Z308" s="289">
        <f t="shared" si="33"/>
        <v>0</v>
      </c>
      <c r="AA308" s="289">
        <f t="shared" si="33"/>
        <v>0</v>
      </c>
      <c r="AB308" s="289">
        <f t="shared" si="33"/>
        <v>0</v>
      </c>
      <c r="AC308" s="289">
        <f t="shared" si="33"/>
        <v>0</v>
      </c>
      <c r="AD308" s="289">
        <f t="shared" si="33"/>
        <v>0</v>
      </c>
      <c r="AE308" s="289">
        <f t="shared" si="33"/>
        <v>0</v>
      </c>
      <c r="AF308" s="289">
        <f t="shared" si="33"/>
        <v>0</v>
      </c>
      <c r="AG308" s="289">
        <f t="shared" si="33"/>
        <v>0</v>
      </c>
      <c r="AH308" s="215"/>
    </row>
    <row r="309" spans="1:34" ht="13.5" thickBot="1" x14ac:dyDescent="0.25">
      <c r="A309" s="275"/>
      <c r="B309" s="302"/>
      <c r="C309" s="303"/>
      <c r="D309" s="303"/>
      <c r="E309" s="303"/>
      <c r="F309" s="304"/>
      <c r="G309" s="304"/>
      <c r="H309" s="304"/>
      <c r="I309" s="304"/>
      <c r="J309" s="304"/>
      <c r="K309" s="304"/>
      <c r="L309" s="304"/>
      <c r="M309" s="304"/>
      <c r="N309" s="304"/>
      <c r="O309" s="304"/>
      <c r="P309" s="868"/>
      <c r="Q309" s="304"/>
      <c r="R309" s="304"/>
      <c r="S309" s="304"/>
      <c r="T309" s="304"/>
      <c r="U309" s="304"/>
      <c r="V309" s="304"/>
      <c r="W309" s="304"/>
      <c r="X309" s="304"/>
      <c r="Y309" s="304"/>
      <c r="Z309" s="304"/>
      <c r="AA309" s="304"/>
      <c r="AB309" s="304"/>
      <c r="AC309" s="304"/>
      <c r="AD309" s="304"/>
      <c r="AE309" s="304"/>
      <c r="AF309" s="304"/>
      <c r="AG309" s="304"/>
      <c r="AH309" s="215"/>
    </row>
    <row r="310" spans="1:34" x14ac:dyDescent="0.2">
      <c r="A310" s="265"/>
      <c r="B310" s="266"/>
      <c r="C310" s="291"/>
      <c r="D310" s="291"/>
      <c r="E310" s="291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2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  <c r="AA310" s="290"/>
      <c r="AB310" s="290"/>
      <c r="AC310" s="290"/>
      <c r="AD310" s="290"/>
      <c r="AE310" s="290"/>
      <c r="AF310" s="290"/>
      <c r="AG310" s="290"/>
      <c r="AH310" s="215"/>
    </row>
    <row r="311" spans="1:34" x14ac:dyDescent="0.2">
      <c r="A311" s="265" t="s">
        <v>14</v>
      </c>
      <c r="B311" s="266"/>
      <c r="C311" s="291">
        <f>C304+C307+C308</f>
        <v>-17671.409</v>
      </c>
      <c r="D311" s="291">
        <f>D304+D307+D308</f>
        <v>-17671.409</v>
      </c>
      <c r="E311" s="291">
        <f>E304+E307+E308</f>
        <v>-17671.409</v>
      </c>
      <c r="F311" s="291">
        <f>F304+F307+F308</f>
        <v>-17671.409</v>
      </c>
      <c r="G311" s="291">
        <f>G304+G307+G308</f>
        <v>-17671.409</v>
      </c>
      <c r="H311" s="291">
        <f t="shared" ref="H311:AG311" si="34">H304+H307+H308</f>
        <v>-17671.409</v>
      </c>
      <c r="I311" s="291">
        <f t="shared" si="34"/>
        <v>-17671.409</v>
      </c>
      <c r="J311" s="291">
        <f t="shared" si="34"/>
        <v>-17671.409</v>
      </c>
      <c r="K311" s="291">
        <f t="shared" si="34"/>
        <v>-17671.409</v>
      </c>
      <c r="L311" s="291">
        <f t="shared" si="34"/>
        <v>-17671.409</v>
      </c>
      <c r="M311" s="291">
        <f t="shared" si="34"/>
        <v>-17671.409</v>
      </c>
      <c r="N311" s="291">
        <f t="shared" si="34"/>
        <v>-17671.409</v>
      </c>
      <c r="O311" s="291">
        <f t="shared" si="34"/>
        <v>-17671.409</v>
      </c>
      <c r="P311" s="289">
        <f t="shared" si="34"/>
        <v>-17671.409</v>
      </c>
      <c r="Q311" s="291">
        <f t="shared" si="34"/>
        <v>-17671.409</v>
      </c>
      <c r="R311" s="291">
        <f t="shared" si="34"/>
        <v>-17671.409</v>
      </c>
      <c r="S311" s="291">
        <f t="shared" si="34"/>
        <v>-17671.409</v>
      </c>
      <c r="T311" s="291">
        <f t="shared" si="34"/>
        <v>-17671.409</v>
      </c>
      <c r="U311" s="291">
        <f t="shared" si="34"/>
        <v>-17671.409</v>
      </c>
      <c r="V311" s="291">
        <f t="shared" si="34"/>
        <v>-17671.409</v>
      </c>
      <c r="W311" s="291">
        <f t="shared" si="34"/>
        <v>-17671.409</v>
      </c>
      <c r="X311" s="291">
        <f t="shared" si="34"/>
        <v>-17671.409</v>
      </c>
      <c r="Y311" s="291">
        <f t="shared" si="34"/>
        <v>-17671.409</v>
      </c>
      <c r="Z311" s="291">
        <f t="shared" si="34"/>
        <v>-17671.409</v>
      </c>
      <c r="AA311" s="291">
        <f t="shared" si="34"/>
        <v>-17671.409</v>
      </c>
      <c r="AB311" s="291">
        <f t="shared" si="34"/>
        <v>-17671.409</v>
      </c>
      <c r="AC311" s="291">
        <f t="shared" si="34"/>
        <v>-15471.409</v>
      </c>
      <c r="AD311" s="291">
        <f t="shared" si="34"/>
        <v>-15471.409</v>
      </c>
      <c r="AE311" s="291">
        <f t="shared" si="34"/>
        <v>-15471.409</v>
      </c>
      <c r="AF311" s="291">
        <f t="shared" si="34"/>
        <v>-15471.409</v>
      </c>
      <c r="AG311" s="291">
        <f t="shared" si="34"/>
        <v>-15471.409</v>
      </c>
      <c r="AH311" s="215"/>
    </row>
    <row r="312" spans="1:34" x14ac:dyDescent="0.2">
      <c r="A312" s="265"/>
      <c r="B312" s="266"/>
      <c r="C312" s="291"/>
      <c r="D312" s="291"/>
      <c r="E312" s="291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2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  <c r="AA312" s="290"/>
      <c r="AB312" s="290"/>
      <c r="AC312" s="290"/>
      <c r="AD312" s="290"/>
      <c r="AE312" s="290"/>
      <c r="AF312" s="290"/>
      <c r="AG312" s="290"/>
      <c r="AH312" s="215"/>
    </row>
    <row r="313" spans="1:34" ht="13.5" thickBot="1" x14ac:dyDescent="0.25">
      <c r="A313" s="275"/>
      <c r="B313" s="302"/>
      <c r="C313" s="306"/>
      <c r="D313" s="306"/>
      <c r="E313" s="306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869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C313" s="307"/>
      <c r="AD313" s="307"/>
      <c r="AE313" s="307"/>
      <c r="AF313" s="307"/>
      <c r="AG313" s="307"/>
      <c r="AH313" s="215"/>
    </row>
    <row r="314" spans="1:34" x14ac:dyDescent="0.2">
      <c r="A314" s="310"/>
      <c r="B314" s="215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308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>
        <f>SUM(C314:AG314)</f>
        <v>0</v>
      </c>
    </row>
    <row r="315" spans="1:34" x14ac:dyDescent="0.2">
      <c r="A315" s="312"/>
      <c r="B315" s="475"/>
      <c r="C315" s="311"/>
      <c r="D315" s="629"/>
      <c r="E315" s="371"/>
      <c r="F315" s="311"/>
      <c r="G315" s="311"/>
      <c r="H315" s="314"/>
      <c r="I315" s="311"/>
      <c r="J315" s="311"/>
      <c r="K315" s="311"/>
      <c r="L315" s="311"/>
      <c r="M315" s="314"/>
      <c r="N315" s="314"/>
      <c r="O315" s="314"/>
      <c r="P315" s="629"/>
      <c r="Q315" s="311"/>
      <c r="R315" s="311"/>
      <c r="S315" s="311"/>
      <c r="T315" s="311"/>
      <c r="U315" s="311"/>
      <c r="V315" s="311"/>
      <c r="W315" s="314"/>
      <c r="X315" s="314"/>
      <c r="Y315" s="314"/>
      <c r="Z315" s="314"/>
      <c r="AA315" s="314"/>
      <c r="AB315" s="314"/>
      <c r="AC315" s="314">
        <f>2200</f>
        <v>2200</v>
      </c>
      <c r="AD315" s="629"/>
      <c r="AE315" s="311"/>
      <c r="AF315" s="311"/>
      <c r="AG315" s="311"/>
      <c r="AH315" s="286"/>
    </row>
    <row r="316" spans="1:34" x14ac:dyDescent="0.2">
      <c r="A316" s="215"/>
      <c r="B316" s="215"/>
      <c r="C316" s="215"/>
      <c r="D316" s="215"/>
      <c r="E316" s="317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309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15"/>
      <c r="AE316" s="215"/>
      <c r="AF316" s="215"/>
      <c r="AG316" s="215"/>
      <c r="AH316" s="286"/>
    </row>
    <row r="317" spans="1:34" x14ac:dyDescent="0.2">
      <c r="A317" s="358" t="s">
        <v>415</v>
      </c>
      <c r="B317" s="359">
        <f>B318+B319+B321+B320</f>
        <v>1020000</v>
      </c>
      <c r="C317" s="316"/>
      <c r="D317" s="215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457"/>
      <c r="V317" s="314"/>
      <c r="W317" s="286"/>
      <c r="X317" s="215"/>
      <c r="Y317" s="215"/>
      <c r="Z317" s="215"/>
      <c r="AA317" s="408"/>
      <c r="AB317" s="215"/>
      <c r="AC317" s="215"/>
      <c r="AD317" s="215"/>
      <c r="AE317" s="215"/>
      <c r="AF317" s="215"/>
      <c r="AG317" s="215"/>
      <c r="AH317" s="215"/>
    </row>
    <row r="318" spans="1:34" x14ac:dyDescent="0.2">
      <c r="A318" s="327" t="s">
        <v>414</v>
      </c>
      <c r="B318" s="311">
        <v>20000</v>
      </c>
      <c r="C318" s="215"/>
      <c r="D318" s="215"/>
      <c r="E318" s="286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309"/>
      <c r="Q318" s="215"/>
      <c r="R318" s="215"/>
      <c r="S318" s="215"/>
      <c r="T318" s="215"/>
      <c r="U318" s="313"/>
      <c r="V318" s="313"/>
      <c r="W318" s="215"/>
      <c r="X318" s="215"/>
      <c r="Y318" s="215"/>
      <c r="Z318" s="215"/>
      <c r="AA318" s="215"/>
      <c r="AB318" s="215"/>
      <c r="AC318" s="286"/>
      <c r="AD318" s="286"/>
      <c r="AE318" s="215"/>
      <c r="AF318" s="215"/>
      <c r="AG318" s="215"/>
      <c r="AH318" s="215"/>
    </row>
    <row r="319" spans="1:34" x14ac:dyDescent="0.2">
      <c r="A319" s="327" t="s">
        <v>287</v>
      </c>
      <c r="B319" s="311">
        <v>600000</v>
      </c>
      <c r="C319" s="215"/>
      <c r="D319" s="215"/>
      <c r="E319" s="215"/>
      <c r="F319" s="215"/>
      <c r="G319" s="215"/>
      <c r="H319" s="215"/>
      <c r="I319" s="215"/>
      <c r="J319" s="215"/>
      <c r="K319" s="286"/>
      <c r="L319" s="215"/>
      <c r="M319" s="215"/>
      <c r="N319" s="215"/>
      <c r="O319" s="215"/>
      <c r="P319" s="309"/>
      <c r="Q319" s="215"/>
      <c r="R319" s="215"/>
      <c r="S319" s="215"/>
      <c r="T319" s="215"/>
      <c r="U319" s="458"/>
      <c r="V319" s="313"/>
      <c r="W319" s="215"/>
      <c r="X319" s="286"/>
      <c r="Y319" s="215"/>
      <c r="Z319" s="215"/>
      <c r="AA319" s="215"/>
      <c r="AB319" s="215"/>
      <c r="AC319" s="215"/>
      <c r="AD319" s="215"/>
      <c r="AE319" s="215"/>
      <c r="AF319" s="215"/>
      <c r="AG319" s="215"/>
    </row>
    <row r="320" spans="1:34" x14ac:dyDescent="0.2">
      <c r="A320" s="310" t="s">
        <v>413</v>
      </c>
      <c r="B320" s="311">
        <v>200000</v>
      </c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309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310" t="s">
        <v>441</v>
      </c>
      <c r="B321" s="311">
        <v>200000</v>
      </c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309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</row>
    <row r="323" spans="1:33" x14ac:dyDescent="0.2">
      <c r="A323" s="183" t="s">
        <v>449</v>
      </c>
      <c r="B323" s="25"/>
      <c r="L323" s="42"/>
    </row>
    <row r="324" spans="1:33" x14ac:dyDescent="0.2">
      <c r="AB324" s="42"/>
      <c r="AC324" s="42"/>
      <c r="AD324" s="42"/>
      <c r="AE324" s="42"/>
    </row>
    <row r="331" spans="1:33" ht="15" x14ac:dyDescent="0.2">
      <c r="A331" s="401"/>
      <c r="B331" s="791"/>
    </row>
    <row r="332" spans="1:33" ht="15" x14ac:dyDescent="0.2">
      <c r="A332" s="401"/>
      <c r="B332" s="791"/>
    </row>
    <row r="333" spans="1:33" ht="15" x14ac:dyDescent="0.2">
      <c r="A333" s="401"/>
      <c r="B333" s="791"/>
    </row>
    <row r="338" spans="1:2" ht="18" x14ac:dyDescent="0.25">
      <c r="A338" s="1757"/>
      <c r="B338" s="1757"/>
    </row>
    <row r="339" spans="1:2" x14ac:dyDescent="0.2">
      <c r="A339" s="54"/>
      <c r="B339" s="54"/>
    </row>
    <row r="341" spans="1:2" x14ac:dyDescent="0.2">
      <c r="A341" s="483"/>
      <c r="B341" s="25"/>
    </row>
    <row r="342" spans="1:2" x14ac:dyDescent="0.2">
      <c r="A342" s="483"/>
      <c r="B342" s="25"/>
    </row>
    <row r="343" spans="1:2" x14ac:dyDescent="0.2">
      <c r="A343" s="483"/>
      <c r="B343" s="25"/>
    </row>
    <row r="344" spans="1:2" x14ac:dyDescent="0.2">
      <c r="A344" s="483"/>
      <c r="B344" s="25"/>
    </row>
    <row r="345" spans="1:2" x14ac:dyDescent="0.2">
      <c r="A345" s="483"/>
      <c r="B345" s="25"/>
    </row>
    <row r="346" spans="1:2" x14ac:dyDescent="0.2">
      <c r="A346" s="483"/>
      <c r="B346" s="25"/>
    </row>
    <row r="347" spans="1:2" x14ac:dyDescent="0.2">
      <c r="A347" s="483"/>
      <c r="B347" s="25"/>
    </row>
    <row r="348" spans="1:2" x14ac:dyDescent="0.2">
      <c r="A348" s="483"/>
      <c r="B348" s="25"/>
    </row>
    <row r="349" spans="1:2" x14ac:dyDescent="0.2">
      <c r="A349" s="483"/>
      <c r="B349" s="25"/>
    </row>
    <row r="350" spans="1:2" x14ac:dyDescent="0.2">
      <c r="A350" s="483"/>
      <c r="B350" s="25"/>
    </row>
    <row r="351" spans="1:2" x14ac:dyDescent="0.2">
      <c r="A351" s="483"/>
      <c r="B351" s="25"/>
    </row>
    <row r="354" spans="2:2" x14ac:dyDescent="0.2">
      <c r="B354" s="25"/>
    </row>
    <row r="355" spans="2:2" x14ac:dyDescent="0.2">
      <c r="B355" s="25"/>
    </row>
    <row r="356" spans="2:2" x14ac:dyDescent="0.2">
      <c r="B356" s="25"/>
    </row>
    <row r="358" spans="2:2" x14ac:dyDescent="0.2">
      <c r="B358" s="889"/>
    </row>
  </sheetData>
  <mergeCells count="1">
    <mergeCell ref="A338:B338"/>
  </mergeCells>
  <pageMargins left="0.78740157480314965" right="0.78740157480314965" top="0.98425196850393704" bottom="0.98425196850393704" header="0.51181102362204722" footer="0.51181102362204722"/>
  <pageSetup paperSize="9" fitToHeight="2" orientation="landscape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A3:J57"/>
  <sheetViews>
    <sheetView workbookViewId="0">
      <selection activeCell="F36" sqref="F36"/>
    </sheetView>
  </sheetViews>
  <sheetFormatPr defaultColWidth="11.42578125" defaultRowHeight="12.75" x14ac:dyDescent="0.2"/>
  <cols>
    <col min="1" max="1" width="40.5703125" customWidth="1"/>
    <col min="2" max="7" width="16.140625" customWidth="1"/>
    <col min="8" max="8" width="15.7109375" customWidth="1"/>
    <col min="10" max="10" width="12.85546875" bestFit="1" customWidth="1"/>
  </cols>
  <sheetData>
    <row r="3" spans="1:8" ht="13.5" thickBot="1" x14ac:dyDescent="0.25"/>
    <row r="4" spans="1:8" x14ac:dyDescent="0.2">
      <c r="A4" s="2"/>
      <c r="B4" s="3"/>
      <c r="C4" s="3"/>
      <c r="D4" s="3"/>
      <c r="E4" s="3"/>
      <c r="F4" s="3"/>
      <c r="G4" s="3"/>
      <c r="H4" s="119">
        <v>41995</v>
      </c>
    </row>
    <row r="5" spans="1:8" x14ac:dyDescent="0.2">
      <c r="A5" s="5"/>
      <c r="B5" s="6"/>
      <c r="C5" s="6"/>
      <c r="D5" s="6"/>
      <c r="E5" s="6"/>
      <c r="F5" s="6"/>
      <c r="G5" s="6"/>
      <c r="H5" s="7"/>
    </row>
    <row r="6" spans="1:8" ht="18" x14ac:dyDescent="0.25">
      <c r="A6" s="5"/>
      <c r="B6" s="505" t="s">
        <v>925</v>
      </c>
      <c r="C6" s="6"/>
      <c r="D6" s="6"/>
      <c r="E6" s="6"/>
      <c r="F6" s="6"/>
      <c r="G6" s="6"/>
      <c r="H6" s="7"/>
    </row>
    <row r="7" spans="1:8" x14ac:dyDescent="0.2">
      <c r="A7" s="5"/>
      <c r="B7" s="6"/>
      <c r="C7" s="6"/>
      <c r="D7" s="6"/>
      <c r="E7" s="6"/>
      <c r="F7" s="6"/>
      <c r="G7" s="6"/>
      <c r="H7" s="7"/>
    </row>
    <row r="8" spans="1:8" x14ac:dyDescent="0.2">
      <c r="A8" s="5"/>
      <c r="B8" s="6"/>
      <c r="C8" s="6"/>
      <c r="D8" s="6"/>
      <c r="E8" s="6"/>
      <c r="F8" s="6"/>
      <c r="G8" s="6"/>
      <c r="H8" s="7"/>
    </row>
    <row r="9" spans="1:8" x14ac:dyDescent="0.2">
      <c r="A9" s="5"/>
      <c r="B9" s="6"/>
      <c r="C9" s="6"/>
      <c r="D9" s="6"/>
      <c r="E9" s="6"/>
      <c r="F9" s="6"/>
      <c r="G9" s="6"/>
      <c r="H9" s="7"/>
    </row>
    <row r="10" spans="1:8" x14ac:dyDescent="0.2">
      <c r="A10" s="5"/>
      <c r="B10" s="6"/>
      <c r="C10" s="6"/>
      <c r="D10" s="6"/>
      <c r="E10" s="6"/>
      <c r="F10" s="6"/>
      <c r="G10" s="6"/>
      <c r="H10" s="7"/>
    </row>
    <row r="11" spans="1:8" ht="13.5" thickBot="1" x14ac:dyDescent="0.25">
      <c r="A11" s="11"/>
      <c r="B11" s="12"/>
      <c r="C11" s="12"/>
      <c r="D11" s="12"/>
      <c r="E11" s="12"/>
      <c r="F11" s="12"/>
      <c r="G11" s="12"/>
      <c r="H11" s="130"/>
    </row>
    <row r="12" spans="1:8" x14ac:dyDescent="0.2">
      <c r="A12" s="5"/>
      <c r="B12" s="205" t="s">
        <v>23</v>
      </c>
      <c r="C12" s="205" t="s">
        <v>24</v>
      </c>
      <c r="D12" s="205" t="s">
        <v>35</v>
      </c>
      <c r="E12" s="205" t="s">
        <v>36</v>
      </c>
      <c r="F12" s="205" t="s">
        <v>396</v>
      </c>
      <c r="G12" s="205" t="s">
        <v>651</v>
      </c>
      <c r="H12" s="561" t="s">
        <v>486</v>
      </c>
    </row>
    <row r="13" spans="1:8" ht="13.5" thickBot="1" x14ac:dyDescent="0.25">
      <c r="A13" s="5"/>
      <c r="B13" s="27"/>
      <c r="C13" s="27"/>
      <c r="D13" s="27"/>
      <c r="E13" s="27"/>
      <c r="F13" s="27"/>
      <c r="G13" s="27"/>
      <c r="H13" s="27"/>
    </row>
    <row r="14" spans="1:8" x14ac:dyDescent="0.2">
      <c r="A14" s="2"/>
      <c r="B14" s="33"/>
      <c r="C14" s="31"/>
      <c r="D14" s="31"/>
      <c r="E14" s="31"/>
      <c r="F14" s="31"/>
      <c r="G14" s="31"/>
      <c r="H14" s="31"/>
    </row>
    <row r="15" spans="1:8" ht="15.75" x14ac:dyDescent="0.25">
      <c r="A15" s="43" t="s">
        <v>18</v>
      </c>
      <c r="B15" s="45">
        <f t="shared" ref="B15:H15" si="0">B17+B18</f>
        <v>-298830</v>
      </c>
      <c r="C15" s="44">
        <f t="shared" si="0"/>
        <v>-356306</v>
      </c>
      <c r="D15" s="44">
        <f t="shared" si="0"/>
        <v>-239388</v>
      </c>
      <c r="E15" s="44">
        <f t="shared" si="0"/>
        <v>-207059</v>
      </c>
      <c r="F15" s="44">
        <f t="shared" si="0"/>
        <v>-380347</v>
      </c>
      <c r="G15" s="44">
        <f t="shared" si="0"/>
        <v>-304660</v>
      </c>
      <c r="H15" s="44">
        <f t="shared" si="0"/>
        <v>-276346</v>
      </c>
    </row>
    <row r="16" spans="1:8" ht="15.75" x14ac:dyDescent="0.25">
      <c r="A16" s="43"/>
      <c r="B16" s="45"/>
      <c r="C16" s="46"/>
      <c r="D16" s="46"/>
      <c r="E16" s="46"/>
      <c r="F16" s="46"/>
      <c r="G16" s="46"/>
      <c r="H16" s="46"/>
    </row>
    <row r="17" spans="1:8" x14ac:dyDescent="0.2">
      <c r="A17" s="9" t="s">
        <v>19</v>
      </c>
      <c r="B17" s="34">
        <f>-246607-24600-11068-18555</f>
        <v>-300830</v>
      </c>
      <c r="C17" s="34">
        <f t="shared" ref="C17:H17" si="1">B55</f>
        <v>-358306</v>
      </c>
      <c r="D17" s="34">
        <f t="shared" si="1"/>
        <v>-241388</v>
      </c>
      <c r="E17" s="34">
        <f t="shared" si="1"/>
        <v>-209059</v>
      </c>
      <c r="F17" s="34">
        <f t="shared" si="1"/>
        <v>-382347</v>
      </c>
      <c r="G17" s="34">
        <f t="shared" si="1"/>
        <v>-306660</v>
      </c>
      <c r="H17" s="34">
        <f t="shared" si="1"/>
        <v>-278346</v>
      </c>
    </row>
    <row r="18" spans="1:8" x14ac:dyDescent="0.2">
      <c r="A18" s="9" t="s">
        <v>20</v>
      </c>
      <c r="B18" s="34">
        <v>2000</v>
      </c>
      <c r="C18" s="34">
        <f>B56</f>
        <v>2000</v>
      </c>
      <c r="D18" s="34">
        <f>B56</f>
        <v>2000</v>
      </c>
      <c r="E18" s="34">
        <v>2000</v>
      </c>
      <c r="F18" s="34">
        <f>B56</f>
        <v>2000</v>
      </c>
      <c r="G18" s="34">
        <f>B56</f>
        <v>2000</v>
      </c>
      <c r="H18" s="34">
        <f>C56</f>
        <v>2000</v>
      </c>
    </row>
    <row r="19" spans="1:8" x14ac:dyDescent="0.2">
      <c r="A19" s="9"/>
      <c r="B19" s="34"/>
      <c r="C19" s="31"/>
      <c r="D19" s="31"/>
      <c r="E19" s="31"/>
      <c r="F19" s="31"/>
      <c r="G19" s="31"/>
      <c r="H19" s="31"/>
    </row>
    <row r="20" spans="1:8" ht="13.5" thickBot="1" x14ac:dyDescent="0.25">
      <c r="A20" s="11"/>
      <c r="B20" s="35"/>
      <c r="C20" s="31"/>
      <c r="D20" s="31"/>
      <c r="E20" s="31"/>
      <c r="F20" s="31"/>
      <c r="G20" s="31"/>
      <c r="H20" s="31"/>
    </row>
    <row r="21" spans="1:8" x14ac:dyDescent="0.2">
      <c r="A21" s="5"/>
      <c r="B21" s="33"/>
      <c r="C21" s="33"/>
      <c r="D21" s="33"/>
      <c r="E21" s="33"/>
      <c r="F21" s="33"/>
      <c r="G21" s="33"/>
      <c r="H21" s="33"/>
    </row>
    <row r="22" spans="1:8" ht="15.75" x14ac:dyDescent="0.25">
      <c r="A22" s="43" t="s">
        <v>25</v>
      </c>
      <c r="B22" s="45">
        <f>B24+B27+B32+B29+B28+B30+B33+B25+B26+B31</f>
        <v>835432</v>
      </c>
      <c r="C22" s="45">
        <f t="shared" ref="C22:H22" si="2">C24+C27+C32+C29+C28+C30+C33+C25+C26+C31</f>
        <v>1638082</v>
      </c>
      <c r="D22" s="45">
        <f t="shared" si="2"/>
        <v>1822671</v>
      </c>
      <c r="E22" s="45">
        <f t="shared" si="2"/>
        <v>2078288</v>
      </c>
      <c r="F22" s="45">
        <f t="shared" si="2"/>
        <v>1879313</v>
      </c>
      <c r="G22" s="45">
        <f t="shared" si="2"/>
        <v>1976686</v>
      </c>
      <c r="H22" s="45">
        <f t="shared" si="2"/>
        <v>2023580</v>
      </c>
    </row>
    <row r="23" spans="1:8" ht="15.75" x14ac:dyDescent="0.25">
      <c r="A23" s="43"/>
      <c r="B23" s="45"/>
      <c r="C23" s="45"/>
      <c r="D23" s="45"/>
      <c r="E23" s="45"/>
      <c r="F23" s="45"/>
      <c r="G23" s="45"/>
      <c r="H23" s="45"/>
    </row>
    <row r="24" spans="1:8" x14ac:dyDescent="0.2">
      <c r="A24" s="10" t="s">
        <v>133</v>
      </c>
      <c r="B24" s="120">
        <v>568430</v>
      </c>
      <c r="C24" s="120">
        <v>1050000</v>
      </c>
      <c r="D24" s="120">
        <v>1150000</v>
      </c>
      <c r="E24" s="120">
        <v>1200000</v>
      </c>
      <c r="F24" s="120">
        <v>1200000</v>
      </c>
      <c r="G24" s="120">
        <v>1250000</v>
      </c>
      <c r="H24" s="120">
        <v>1250000</v>
      </c>
    </row>
    <row r="25" spans="1:8" x14ac:dyDescent="0.2">
      <c r="A25" s="491" t="s">
        <v>804</v>
      </c>
      <c r="B25" s="120">
        <v>676</v>
      </c>
      <c r="C25" s="120">
        <v>13470</v>
      </c>
      <c r="D25" s="120">
        <v>13470</v>
      </c>
      <c r="E25" s="120">
        <v>12031</v>
      </c>
      <c r="F25" s="120">
        <v>12101</v>
      </c>
      <c r="G25" s="120">
        <v>12101</v>
      </c>
      <c r="H25" s="120">
        <v>8996</v>
      </c>
    </row>
    <row r="26" spans="1:8" x14ac:dyDescent="0.2">
      <c r="A26" s="491" t="s">
        <v>805</v>
      </c>
      <c r="B26" s="120">
        <v>24442</v>
      </c>
      <c r="C26" s="120">
        <v>24442</v>
      </c>
      <c r="D26" s="120">
        <v>24442</v>
      </c>
      <c r="E26" s="120">
        <v>24442</v>
      </c>
      <c r="F26" s="120">
        <v>24442</v>
      </c>
      <c r="G26" s="120">
        <v>24442</v>
      </c>
      <c r="H26" s="120">
        <v>24442</v>
      </c>
    </row>
    <row r="27" spans="1:8" x14ac:dyDescent="0.2">
      <c r="A27" s="10" t="s">
        <v>134</v>
      </c>
      <c r="B27" s="120">
        <f>72914+10308+45983+14900-45983-10308-28377</f>
        <v>59437</v>
      </c>
      <c r="C27" s="120">
        <v>125533</v>
      </c>
      <c r="D27" s="729">
        <f>1466+28377+7843+100000</f>
        <v>137686</v>
      </c>
      <c r="E27" s="120">
        <v>200000</v>
      </c>
      <c r="F27" s="120">
        <v>200000</v>
      </c>
      <c r="G27" s="120">
        <v>200000</v>
      </c>
      <c r="H27" s="120">
        <v>250000</v>
      </c>
    </row>
    <row r="28" spans="1:8" s="58" customFormat="1" x14ac:dyDescent="0.2">
      <c r="A28" s="727" t="s">
        <v>359</v>
      </c>
      <c r="B28" s="728">
        <v>84131</v>
      </c>
      <c r="C28" s="815">
        <f>543197-313000</f>
        <v>230197</v>
      </c>
      <c r="D28" s="728">
        <f>113270+150000</f>
        <v>263270</v>
      </c>
      <c r="E28" s="728">
        <f>282535+156010+45983+10308-84131</f>
        <v>410705</v>
      </c>
      <c r="F28" s="728">
        <v>253000</v>
      </c>
      <c r="G28" s="728">
        <v>300000</v>
      </c>
      <c r="H28" s="728">
        <v>250000</v>
      </c>
    </row>
    <row r="29" spans="1:8" x14ac:dyDescent="0.2">
      <c r="A29" s="10" t="s">
        <v>292</v>
      </c>
      <c r="B29" s="120">
        <v>35000</v>
      </c>
      <c r="C29" s="120">
        <v>20000</v>
      </c>
      <c r="D29" s="120">
        <v>50000</v>
      </c>
      <c r="E29" s="120">
        <v>50000</v>
      </c>
      <c r="F29" s="120">
        <v>50000</v>
      </c>
      <c r="G29" s="120">
        <v>50000</v>
      </c>
      <c r="H29" s="120">
        <v>50000</v>
      </c>
    </row>
    <row r="30" spans="1:8" x14ac:dyDescent="0.2">
      <c r="A30" s="10" t="s">
        <v>358</v>
      </c>
      <c r="B30" s="120">
        <v>17206</v>
      </c>
      <c r="C30" s="120">
        <v>64670</v>
      </c>
      <c r="D30" s="120">
        <v>35000</v>
      </c>
      <c r="E30" s="120">
        <v>35000</v>
      </c>
      <c r="F30" s="120">
        <v>35000</v>
      </c>
      <c r="G30" s="120">
        <v>35000</v>
      </c>
      <c r="H30" s="120">
        <v>35000</v>
      </c>
    </row>
    <row r="31" spans="1:8" x14ac:dyDescent="0.2">
      <c r="A31" s="491" t="s">
        <v>806</v>
      </c>
      <c r="B31" s="120">
        <v>4770</v>
      </c>
      <c r="C31" s="120">
        <v>4770</v>
      </c>
      <c r="D31" s="120">
        <v>13803</v>
      </c>
      <c r="E31" s="120">
        <v>4770</v>
      </c>
      <c r="F31" s="120">
        <v>4770</v>
      </c>
      <c r="G31" s="120">
        <v>13803</v>
      </c>
      <c r="H31" s="120">
        <f>9032+4770</f>
        <v>13802</v>
      </c>
    </row>
    <row r="32" spans="1:8" x14ac:dyDescent="0.2">
      <c r="A32" s="10" t="s">
        <v>135</v>
      </c>
      <c r="B32" s="120">
        <f>32000+9340</f>
        <v>41340</v>
      </c>
      <c r="C32" s="120">
        <v>105000</v>
      </c>
      <c r="D32" s="120">
        <v>135000</v>
      </c>
      <c r="E32" s="120">
        <v>141340</v>
      </c>
      <c r="F32" s="120">
        <v>100000</v>
      </c>
      <c r="G32" s="120">
        <v>91340</v>
      </c>
      <c r="H32" s="120">
        <v>141340</v>
      </c>
    </row>
    <row r="33" spans="1:10" x14ac:dyDescent="0.2">
      <c r="A33" s="10"/>
      <c r="B33" s="120"/>
      <c r="C33" s="120"/>
      <c r="D33" s="120"/>
      <c r="E33" s="120"/>
      <c r="F33" s="120"/>
      <c r="G33" s="120"/>
      <c r="H33" s="120"/>
    </row>
    <row r="34" spans="1:10" ht="13.5" thickBot="1" x14ac:dyDescent="0.25">
      <c r="A34" s="121"/>
      <c r="B34" s="35"/>
      <c r="C34" s="35"/>
      <c r="D34" s="35"/>
      <c r="E34" s="35"/>
      <c r="F34" s="35"/>
      <c r="G34" s="35"/>
      <c r="H34" s="35"/>
    </row>
    <row r="35" spans="1:10" x14ac:dyDescent="0.2">
      <c r="A35" s="5"/>
      <c r="B35" s="33"/>
      <c r="C35" s="21"/>
      <c r="D35" s="21"/>
      <c r="E35" s="21"/>
      <c r="F35" s="21"/>
      <c r="G35" s="21"/>
      <c r="H35" s="21"/>
    </row>
    <row r="36" spans="1:10" ht="15.75" x14ac:dyDescent="0.25">
      <c r="A36" s="43" t="s">
        <v>136</v>
      </c>
      <c r="B36" s="45">
        <f t="shared" ref="B36:H36" si="3">B40+B47</f>
        <v>777956</v>
      </c>
      <c r="C36" s="45">
        <f t="shared" si="3"/>
        <v>1755000</v>
      </c>
      <c r="D36" s="45">
        <f t="shared" si="3"/>
        <v>1855000</v>
      </c>
      <c r="E36" s="45">
        <f t="shared" si="3"/>
        <v>1905000</v>
      </c>
      <c r="F36" s="45">
        <f t="shared" si="3"/>
        <v>1955000</v>
      </c>
      <c r="G36" s="45">
        <f>G40+G47</f>
        <v>2005000</v>
      </c>
      <c r="H36" s="45">
        <f t="shared" si="3"/>
        <v>2005000</v>
      </c>
      <c r="J36" s="722"/>
    </row>
    <row r="37" spans="1:10" ht="15.75" x14ac:dyDescent="0.25">
      <c r="A37" s="43"/>
      <c r="B37" s="45"/>
      <c r="C37" s="46"/>
      <c r="D37" s="46"/>
      <c r="E37" s="46"/>
      <c r="F37" s="46"/>
      <c r="G37" s="46"/>
      <c r="H37" s="46"/>
    </row>
    <row r="38" spans="1:10" ht="13.5" thickBot="1" x14ac:dyDescent="0.25">
      <c r="A38" s="5"/>
      <c r="B38" s="35"/>
      <c r="C38" s="20"/>
      <c r="D38" s="20"/>
      <c r="E38" s="20"/>
      <c r="F38" s="20"/>
      <c r="G38" s="20"/>
      <c r="H38" s="20"/>
    </row>
    <row r="39" spans="1:10" x14ac:dyDescent="0.2">
      <c r="A39" s="13"/>
      <c r="B39" s="21"/>
      <c r="C39" s="21"/>
      <c r="D39" s="21"/>
      <c r="E39" s="21"/>
      <c r="F39" s="21"/>
      <c r="G39" s="21"/>
      <c r="H39" s="21"/>
    </row>
    <row r="40" spans="1:10" ht="13.5" thickBot="1" x14ac:dyDescent="0.25">
      <c r="A40" s="14" t="s">
        <v>137</v>
      </c>
      <c r="B40" s="41">
        <f>B42+B43+B44</f>
        <v>627956</v>
      </c>
      <c r="C40" s="41">
        <f t="shared" ref="C40:H40" si="4">C42+C43+C44</f>
        <v>1255000</v>
      </c>
      <c r="D40" s="41">
        <f t="shared" si="4"/>
        <v>1305000</v>
      </c>
      <c r="E40" s="41">
        <f t="shared" si="4"/>
        <v>1355000</v>
      </c>
      <c r="F40" s="41">
        <f t="shared" si="4"/>
        <v>1355000</v>
      </c>
      <c r="G40" s="41">
        <f>G42+G43+G44</f>
        <v>1405000</v>
      </c>
      <c r="H40" s="41">
        <f t="shared" si="4"/>
        <v>1405000</v>
      </c>
    </row>
    <row r="41" spans="1:10" x14ac:dyDescent="0.2">
      <c r="A41" s="14"/>
      <c r="B41" s="172"/>
      <c r="C41" s="504"/>
      <c r="D41" s="172"/>
      <c r="E41" s="504"/>
      <c r="F41" s="172"/>
      <c r="G41" s="504"/>
      <c r="H41" s="172"/>
    </row>
    <row r="42" spans="1:10" x14ac:dyDescent="0.2">
      <c r="A42" s="15" t="s">
        <v>8</v>
      </c>
      <c r="B42" s="34">
        <v>487956</v>
      </c>
      <c r="C42" s="29">
        <v>850000</v>
      </c>
      <c r="D42" s="34">
        <v>900000</v>
      </c>
      <c r="E42" s="29">
        <v>950000</v>
      </c>
      <c r="F42" s="34">
        <v>950000</v>
      </c>
      <c r="G42" s="29">
        <v>1000000</v>
      </c>
      <c r="H42" s="34">
        <v>1000000</v>
      </c>
    </row>
    <row r="43" spans="1:10" x14ac:dyDescent="0.2">
      <c r="A43" s="15" t="s">
        <v>26</v>
      </c>
      <c r="B43" s="34">
        <v>140000</v>
      </c>
      <c r="C43" s="29">
        <v>400000</v>
      </c>
      <c r="D43" s="34">
        <v>400000</v>
      </c>
      <c r="E43" s="29">
        <v>400000</v>
      </c>
      <c r="F43" s="34">
        <v>400000</v>
      </c>
      <c r="G43" s="29">
        <v>400000</v>
      </c>
      <c r="H43" s="34">
        <v>400000</v>
      </c>
    </row>
    <row r="44" spans="1:10" x14ac:dyDescent="0.2">
      <c r="A44" s="15" t="s">
        <v>29</v>
      </c>
      <c r="B44" s="34"/>
      <c r="C44" s="29">
        <v>5000</v>
      </c>
      <c r="D44" s="34">
        <v>5000</v>
      </c>
      <c r="E44" s="29">
        <v>5000</v>
      </c>
      <c r="F44" s="34">
        <v>5000</v>
      </c>
      <c r="G44" s="29">
        <v>5000</v>
      </c>
      <c r="H44" s="34">
        <v>5000</v>
      </c>
    </row>
    <row r="45" spans="1:10" x14ac:dyDescent="0.2">
      <c r="A45" s="15"/>
      <c r="B45" s="34"/>
      <c r="C45" s="29"/>
      <c r="D45" s="34"/>
      <c r="E45" s="29"/>
      <c r="F45" s="34"/>
      <c r="G45" s="29"/>
      <c r="H45" s="34"/>
    </row>
    <row r="46" spans="1:10" x14ac:dyDescent="0.2">
      <c r="A46" s="15" t="s">
        <v>179</v>
      </c>
      <c r="B46" s="34"/>
      <c r="C46" s="29"/>
      <c r="D46" s="34"/>
      <c r="E46" s="29"/>
      <c r="F46" s="34"/>
      <c r="G46" s="29"/>
      <c r="H46" s="34"/>
    </row>
    <row r="47" spans="1:10" x14ac:dyDescent="0.2">
      <c r="A47" s="14" t="s">
        <v>138</v>
      </c>
      <c r="B47" s="173">
        <v>150000</v>
      </c>
      <c r="C47" s="123">
        <v>500000</v>
      </c>
      <c r="D47" s="173">
        <v>550000</v>
      </c>
      <c r="E47" s="123">
        <v>550000</v>
      </c>
      <c r="F47" s="173">
        <v>600000</v>
      </c>
      <c r="G47" s="123">
        <v>600000</v>
      </c>
      <c r="H47" s="173">
        <v>600000</v>
      </c>
    </row>
    <row r="48" spans="1:10" ht="13.5" thickBot="1" x14ac:dyDescent="0.25">
      <c r="A48" s="16"/>
      <c r="B48" s="35"/>
      <c r="C48" s="37"/>
      <c r="D48" s="35"/>
      <c r="E48" s="37"/>
      <c r="F48" s="35"/>
      <c r="G48" s="37"/>
      <c r="H48" s="35"/>
    </row>
    <row r="49" spans="1:8" x14ac:dyDescent="0.2">
      <c r="A49" s="2"/>
      <c r="B49" s="21"/>
      <c r="C49" s="21"/>
      <c r="D49" s="21"/>
      <c r="E49" s="21"/>
      <c r="F49" s="21"/>
      <c r="G49" s="21"/>
      <c r="H49" s="21"/>
    </row>
    <row r="50" spans="1:8" x14ac:dyDescent="0.2">
      <c r="A50" s="9" t="s">
        <v>27</v>
      </c>
      <c r="B50" s="34">
        <f t="shared" ref="B50:H50" si="5">B36-B22</f>
        <v>-57476</v>
      </c>
      <c r="C50" s="34">
        <f t="shared" si="5"/>
        <v>116918</v>
      </c>
      <c r="D50" s="34">
        <f t="shared" si="5"/>
        <v>32329</v>
      </c>
      <c r="E50" s="34">
        <f t="shared" si="5"/>
        <v>-173288</v>
      </c>
      <c r="F50" s="34">
        <f t="shared" si="5"/>
        <v>75687</v>
      </c>
      <c r="G50" s="34">
        <f>G36-G22</f>
        <v>28314</v>
      </c>
      <c r="H50" s="34">
        <f t="shared" si="5"/>
        <v>-18580</v>
      </c>
    </row>
    <row r="51" spans="1:8" ht="13.5" thickBot="1" x14ac:dyDescent="0.25">
      <c r="A51" s="5"/>
      <c r="B51" s="19"/>
      <c r="C51" s="19"/>
      <c r="D51" s="19"/>
      <c r="E51" s="19"/>
      <c r="F51" s="19"/>
      <c r="G51" s="19"/>
      <c r="H51" s="19"/>
    </row>
    <row r="52" spans="1:8" x14ac:dyDescent="0.2">
      <c r="A52" s="2"/>
      <c r="B52" s="33"/>
      <c r="C52" s="33"/>
      <c r="D52" s="33"/>
      <c r="E52" s="33"/>
      <c r="F52" s="33"/>
      <c r="G52" s="33"/>
      <c r="H52" s="33"/>
    </row>
    <row r="53" spans="1:8" ht="16.5" thickBot="1" x14ac:dyDescent="0.3">
      <c r="A53" s="43" t="s">
        <v>28</v>
      </c>
      <c r="B53" s="171">
        <f t="shared" ref="B53:H53" si="6">B15+B50</f>
        <v>-356306</v>
      </c>
      <c r="C53" s="171">
        <f t="shared" si="6"/>
        <v>-239388</v>
      </c>
      <c r="D53" s="171">
        <f t="shared" si="6"/>
        <v>-207059</v>
      </c>
      <c r="E53" s="171">
        <f t="shared" si="6"/>
        <v>-380347</v>
      </c>
      <c r="F53" s="171">
        <f t="shared" si="6"/>
        <v>-304660</v>
      </c>
      <c r="G53" s="171">
        <f>G15+G50</f>
        <v>-276346</v>
      </c>
      <c r="H53" s="171">
        <f t="shared" si="6"/>
        <v>-294926</v>
      </c>
    </row>
    <row r="54" spans="1:8" ht="16.5" thickBot="1" x14ac:dyDescent="0.3">
      <c r="A54" s="43"/>
      <c r="B54" s="122"/>
      <c r="C54" s="122"/>
      <c r="D54" s="122"/>
      <c r="E54" s="122"/>
      <c r="F54" s="122"/>
      <c r="G54" s="122"/>
      <c r="H54" s="122"/>
    </row>
    <row r="55" spans="1:8" x14ac:dyDescent="0.2">
      <c r="A55" s="9" t="s">
        <v>19</v>
      </c>
      <c r="B55" s="33">
        <f t="shared" ref="B55:H55" si="7">B53-B56</f>
        <v>-358306</v>
      </c>
      <c r="C55" s="33">
        <f t="shared" si="7"/>
        <v>-241388</v>
      </c>
      <c r="D55" s="33">
        <f t="shared" si="7"/>
        <v>-209059</v>
      </c>
      <c r="E55" s="33">
        <f t="shared" si="7"/>
        <v>-382347</v>
      </c>
      <c r="F55" s="33">
        <f t="shared" si="7"/>
        <v>-306660</v>
      </c>
      <c r="G55" s="33">
        <f t="shared" si="7"/>
        <v>-278346</v>
      </c>
      <c r="H55" s="33">
        <f t="shared" si="7"/>
        <v>-296926</v>
      </c>
    </row>
    <row r="56" spans="1:8" x14ac:dyDescent="0.2">
      <c r="A56" s="9" t="s">
        <v>20</v>
      </c>
      <c r="B56" s="34">
        <f>2000</f>
        <v>2000</v>
      </c>
      <c r="C56" s="34">
        <f>2000</f>
        <v>2000</v>
      </c>
      <c r="D56" s="34">
        <f>2000</f>
        <v>2000</v>
      </c>
      <c r="E56" s="34">
        <f>2000</f>
        <v>2000</v>
      </c>
      <c r="F56" s="34">
        <f>2000</f>
        <v>2000</v>
      </c>
      <c r="G56" s="34">
        <f>2000</f>
        <v>2000</v>
      </c>
      <c r="H56" s="34">
        <f>2000</f>
        <v>2000</v>
      </c>
    </row>
    <row r="57" spans="1:8" ht="13.5" thickBot="1" x14ac:dyDescent="0.25">
      <c r="A57" s="36"/>
      <c r="B57" s="35"/>
      <c r="C57" s="35"/>
      <c r="D57" s="35"/>
      <c r="E57" s="35"/>
      <c r="F57" s="35"/>
      <c r="G57" s="35"/>
      <c r="H57" s="35"/>
    </row>
  </sheetData>
  <pageMargins left="1.9685039370078741" right="0.39370078740157483" top="1.1417322834645669" bottom="0.78740157480314965" header="0.51181102362204722" footer="0.51181102362204722"/>
  <pageSetup paperSize="9" scale="62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pageSetUpPr fitToPage="1"/>
  </sheetPr>
  <dimension ref="A3:J57"/>
  <sheetViews>
    <sheetView workbookViewId="0">
      <selection activeCell="J22" sqref="J22"/>
    </sheetView>
  </sheetViews>
  <sheetFormatPr defaultColWidth="11.42578125" defaultRowHeight="12.75" x14ac:dyDescent="0.2"/>
  <cols>
    <col min="1" max="1" width="40.5703125" customWidth="1"/>
    <col min="2" max="7" width="16.140625" customWidth="1"/>
    <col min="8" max="8" width="15.7109375" customWidth="1"/>
    <col min="10" max="10" width="12.85546875" bestFit="1" customWidth="1"/>
  </cols>
  <sheetData>
    <row r="3" spans="1:8" ht="13.5" thickBot="1" x14ac:dyDescent="0.25"/>
    <row r="4" spans="1:8" x14ac:dyDescent="0.2">
      <c r="A4" s="2"/>
      <c r="B4" s="3"/>
      <c r="C4" s="3"/>
      <c r="D4" s="3"/>
      <c r="E4" s="3"/>
      <c r="F4" s="3"/>
      <c r="G4" s="3"/>
      <c r="H4" s="119">
        <v>41878</v>
      </c>
    </row>
    <row r="5" spans="1:8" x14ac:dyDescent="0.2">
      <c r="A5" s="5"/>
      <c r="B5" s="6"/>
      <c r="C5" s="6"/>
      <c r="D5" s="6"/>
      <c r="E5" s="6"/>
      <c r="F5" s="6"/>
      <c r="G5" s="6"/>
      <c r="H5" s="7"/>
    </row>
    <row r="6" spans="1:8" ht="18" x14ac:dyDescent="0.25">
      <c r="A6" s="5"/>
      <c r="B6" s="505" t="s">
        <v>900</v>
      </c>
      <c r="C6" s="6"/>
      <c r="D6" s="6"/>
      <c r="E6" s="6"/>
      <c r="F6" s="6"/>
      <c r="G6" s="6"/>
      <c r="H6" s="7"/>
    </row>
    <row r="7" spans="1:8" x14ac:dyDescent="0.2">
      <c r="A7" s="5"/>
      <c r="B7" s="6"/>
      <c r="C7" s="6"/>
      <c r="D7" s="6"/>
      <c r="E7" s="6"/>
      <c r="F7" s="6"/>
      <c r="G7" s="6"/>
      <c r="H7" s="7"/>
    </row>
    <row r="8" spans="1:8" x14ac:dyDescent="0.2">
      <c r="A8" s="5"/>
      <c r="B8" s="6"/>
      <c r="C8" s="6"/>
      <c r="D8" s="6"/>
      <c r="E8" s="6"/>
      <c r="F8" s="6"/>
      <c r="G8" s="6"/>
      <c r="H8" s="7"/>
    </row>
    <row r="9" spans="1:8" x14ac:dyDescent="0.2">
      <c r="A9" s="5"/>
      <c r="B9" s="6"/>
      <c r="C9" s="6"/>
      <c r="D9" s="6"/>
      <c r="E9" s="6"/>
      <c r="F9" s="6"/>
      <c r="G9" s="6"/>
      <c r="H9" s="7"/>
    </row>
    <row r="10" spans="1:8" x14ac:dyDescent="0.2">
      <c r="A10" s="5"/>
      <c r="B10" s="6"/>
      <c r="C10" s="6"/>
      <c r="D10" s="6"/>
      <c r="E10" s="6"/>
      <c r="F10" s="6"/>
      <c r="G10" s="6"/>
      <c r="H10" s="7"/>
    </row>
    <row r="11" spans="1:8" ht="13.5" thickBot="1" x14ac:dyDescent="0.25">
      <c r="A11" s="11"/>
      <c r="B11" s="12"/>
      <c r="C11" s="12"/>
      <c r="D11" s="12"/>
      <c r="E11" s="12"/>
      <c r="F11" s="12"/>
      <c r="G11" s="12"/>
      <c r="H11" s="130"/>
    </row>
    <row r="12" spans="1:8" x14ac:dyDescent="0.2">
      <c r="A12" s="5"/>
      <c r="B12" s="205" t="s">
        <v>803</v>
      </c>
      <c r="C12" s="205" t="s">
        <v>44</v>
      </c>
      <c r="D12" s="205" t="s">
        <v>21</v>
      </c>
      <c r="E12" s="205" t="s">
        <v>22</v>
      </c>
      <c r="F12" s="205" t="s">
        <v>23</v>
      </c>
      <c r="G12" s="205" t="s">
        <v>24</v>
      </c>
      <c r="H12" s="561" t="s">
        <v>35</v>
      </c>
    </row>
    <row r="13" spans="1:8" ht="13.5" thickBot="1" x14ac:dyDescent="0.25">
      <c r="A13" s="5"/>
      <c r="B13" s="27"/>
      <c r="C13" s="27"/>
      <c r="D13" s="27"/>
      <c r="E13" s="27"/>
      <c r="F13" s="27"/>
      <c r="G13" s="27"/>
      <c r="H13" s="27"/>
    </row>
    <row r="14" spans="1:8" x14ac:dyDescent="0.2">
      <c r="A14" s="2"/>
      <c r="B14" s="33"/>
      <c r="C14" s="31"/>
      <c r="D14" s="31"/>
      <c r="E14" s="31"/>
      <c r="F14" s="31"/>
      <c r="G14" s="31"/>
      <c r="H14" s="31"/>
    </row>
    <row r="15" spans="1:8" ht="15.75" x14ac:dyDescent="0.25">
      <c r="A15" s="43" t="s">
        <v>18</v>
      </c>
      <c r="B15" s="45">
        <f t="shared" ref="B15:H15" si="0">B17+B18</f>
        <v>-288791</v>
      </c>
      <c r="C15" s="44">
        <f t="shared" si="0"/>
        <v>-245083</v>
      </c>
      <c r="D15" s="44">
        <f t="shared" si="0"/>
        <v>-242266</v>
      </c>
      <c r="E15" s="44">
        <f t="shared" si="0"/>
        <v>-260792</v>
      </c>
      <c r="F15" s="44">
        <f t="shared" si="0"/>
        <v>-133878</v>
      </c>
      <c r="G15" s="44">
        <f t="shared" si="0"/>
        <v>-131790</v>
      </c>
      <c r="H15" s="44">
        <f t="shared" si="0"/>
        <v>-149702</v>
      </c>
    </row>
    <row r="16" spans="1:8" ht="15.75" x14ac:dyDescent="0.25">
      <c r="A16" s="43"/>
      <c r="B16" s="45"/>
      <c r="C16" s="46"/>
      <c r="D16" s="46"/>
      <c r="E16" s="46"/>
      <c r="F16" s="46"/>
      <c r="G16" s="46"/>
      <c r="H16" s="46"/>
    </row>
    <row r="17" spans="1:8" x14ac:dyDescent="0.2">
      <c r="A17" s="9" t="s">
        <v>19</v>
      </c>
      <c r="B17" s="34">
        <f>-205501-27011-33778-24501</f>
        <v>-290791</v>
      </c>
      <c r="C17" s="34">
        <f t="shared" ref="C17:H17" si="1">B55</f>
        <v>-247083</v>
      </c>
      <c r="D17" s="34">
        <f t="shared" si="1"/>
        <v>-244266</v>
      </c>
      <c r="E17" s="34">
        <f t="shared" si="1"/>
        <v>-262792</v>
      </c>
      <c r="F17" s="34">
        <f t="shared" si="1"/>
        <v>-135878</v>
      </c>
      <c r="G17" s="34">
        <f t="shared" si="1"/>
        <v>-133790</v>
      </c>
      <c r="H17" s="34">
        <f t="shared" si="1"/>
        <v>-151702</v>
      </c>
    </row>
    <row r="18" spans="1:8" x14ac:dyDescent="0.2">
      <c r="A18" s="9" t="s">
        <v>20</v>
      </c>
      <c r="B18" s="34">
        <v>2000</v>
      </c>
      <c r="C18" s="34">
        <f>B56</f>
        <v>2000</v>
      </c>
      <c r="D18" s="34">
        <f>B56</f>
        <v>2000</v>
      </c>
      <c r="E18" s="34">
        <v>2000</v>
      </c>
      <c r="F18" s="34">
        <f>B56</f>
        <v>2000</v>
      </c>
      <c r="G18" s="34">
        <f>B56</f>
        <v>2000</v>
      </c>
      <c r="H18" s="34">
        <f>C56</f>
        <v>2000</v>
      </c>
    </row>
    <row r="19" spans="1:8" x14ac:dyDescent="0.2">
      <c r="A19" s="9"/>
      <c r="B19" s="34"/>
      <c r="C19" s="31"/>
      <c r="D19" s="31"/>
      <c r="E19" s="31"/>
      <c r="F19" s="31"/>
      <c r="G19" s="31"/>
      <c r="H19" s="31"/>
    </row>
    <row r="20" spans="1:8" ht="13.5" thickBot="1" x14ac:dyDescent="0.25">
      <c r="A20" s="11"/>
      <c r="B20" s="35"/>
      <c r="C20" s="31"/>
      <c r="D20" s="31"/>
      <c r="E20" s="31"/>
      <c r="F20" s="31"/>
      <c r="G20" s="31"/>
      <c r="H20" s="31"/>
    </row>
    <row r="21" spans="1:8" x14ac:dyDescent="0.2">
      <c r="A21" s="5"/>
      <c r="B21" s="33"/>
      <c r="C21" s="33"/>
      <c r="D21" s="33"/>
      <c r="E21" s="33"/>
      <c r="F21" s="33"/>
      <c r="G21" s="33"/>
      <c r="H21" s="33"/>
    </row>
    <row r="22" spans="1:8" ht="15.75" x14ac:dyDescent="0.25">
      <c r="A22" s="43" t="s">
        <v>25</v>
      </c>
      <c r="B22" s="45">
        <f>B24+B27+B32+B29+B28+B30+B33+B25+B26</f>
        <v>742055</v>
      </c>
      <c r="C22" s="45">
        <f t="shared" ref="C22:H22" si="2">C24+C27+C32+C29+C28+C30+C33+C25+C26</f>
        <v>1902183</v>
      </c>
      <c r="D22" s="45">
        <f t="shared" si="2"/>
        <v>1923526</v>
      </c>
      <c r="E22" s="45">
        <f t="shared" si="2"/>
        <v>1628086</v>
      </c>
      <c r="F22" s="45">
        <f t="shared" si="2"/>
        <v>1652912</v>
      </c>
      <c r="G22" s="45">
        <f t="shared" si="2"/>
        <v>1672912</v>
      </c>
      <c r="H22" s="45">
        <f t="shared" si="2"/>
        <v>1762912</v>
      </c>
    </row>
    <row r="23" spans="1:8" ht="15.75" x14ac:dyDescent="0.25">
      <c r="A23" s="43"/>
      <c r="B23" s="45"/>
      <c r="C23" s="45"/>
      <c r="D23" s="45"/>
      <c r="E23" s="45"/>
      <c r="F23" s="45"/>
      <c r="G23" s="45"/>
      <c r="H23" s="45"/>
    </row>
    <row r="24" spans="1:8" x14ac:dyDescent="0.2">
      <c r="A24" s="10" t="s">
        <v>133</v>
      </c>
      <c r="B24" s="120">
        <v>431878</v>
      </c>
      <c r="C24" s="120">
        <v>1284577</v>
      </c>
      <c r="D24" s="120">
        <v>1263331</v>
      </c>
      <c r="E24" s="120">
        <v>1066736</v>
      </c>
      <c r="F24" s="120">
        <v>1150000</v>
      </c>
      <c r="G24" s="120">
        <v>1150000</v>
      </c>
      <c r="H24" s="120">
        <v>1200000</v>
      </c>
    </row>
    <row r="25" spans="1:8" x14ac:dyDescent="0.2">
      <c r="A25" s="491" t="s">
        <v>804</v>
      </c>
      <c r="B25" s="120">
        <f>12794+676</f>
        <v>13470</v>
      </c>
      <c r="C25" s="120">
        <v>13470</v>
      </c>
      <c r="D25" s="120">
        <v>13470</v>
      </c>
      <c r="E25" s="120">
        <v>13470</v>
      </c>
      <c r="F25" s="120">
        <v>13470</v>
      </c>
      <c r="G25" s="120">
        <v>13470</v>
      </c>
      <c r="H25" s="120">
        <v>13470</v>
      </c>
    </row>
    <row r="26" spans="1:8" x14ac:dyDescent="0.2">
      <c r="A26" s="491" t="s">
        <v>805</v>
      </c>
      <c r="B26" s="120">
        <v>0</v>
      </c>
      <c r="C26" s="120">
        <v>24442</v>
      </c>
      <c r="D26" s="120">
        <v>24442</v>
      </c>
      <c r="E26" s="120">
        <v>24442</v>
      </c>
      <c r="F26" s="120">
        <v>24442</v>
      </c>
      <c r="G26" s="120">
        <v>24442</v>
      </c>
      <c r="H26" s="120">
        <v>24442</v>
      </c>
    </row>
    <row r="27" spans="1:8" x14ac:dyDescent="0.2">
      <c r="A27" s="10" t="s">
        <v>134</v>
      </c>
      <c r="B27" s="120">
        <v>169707</v>
      </c>
      <c r="C27" s="120">
        <v>377312</v>
      </c>
      <c r="D27" s="729">
        <v>258433</v>
      </c>
      <c r="E27" s="120">
        <v>0</v>
      </c>
      <c r="F27" s="120">
        <v>150000</v>
      </c>
      <c r="G27" s="120">
        <v>150000</v>
      </c>
      <c r="H27" s="120">
        <v>200000</v>
      </c>
    </row>
    <row r="28" spans="1:8" s="58" customFormat="1" x14ac:dyDescent="0.2">
      <c r="A28" s="727" t="s">
        <v>359</v>
      </c>
      <c r="B28" s="728">
        <v>0</v>
      </c>
      <c r="C28" s="728">
        <v>24624</v>
      </c>
      <c r="D28" s="728">
        <f>81000+36000+82000</f>
        <v>199000</v>
      </c>
      <c r="E28" s="728">
        <f>178041+82000+156000</f>
        <v>416041</v>
      </c>
      <c r="F28" s="728">
        <v>150000</v>
      </c>
      <c r="G28" s="728">
        <v>150000</v>
      </c>
      <c r="H28" s="728">
        <v>200000</v>
      </c>
    </row>
    <row r="29" spans="1:8" x14ac:dyDescent="0.2">
      <c r="A29" s="10" t="s">
        <v>292</v>
      </c>
      <c r="B29" s="120">
        <v>92000</v>
      </c>
      <c r="C29" s="120">
        <v>80000</v>
      </c>
      <c r="D29" s="120">
        <v>50000</v>
      </c>
      <c r="E29" s="120">
        <v>50000</v>
      </c>
      <c r="F29" s="120">
        <v>50000</v>
      </c>
      <c r="G29" s="120">
        <v>50000</v>
      </c>
      <c r="H29" s="120">
        <v>50000</v>
      </c>
    </row>
    <row r="30" spans="1:8" x14ac:dyDescent="0.2">
      <c r="A30" s="10" t="s">
        <v>358</v>
      </c>
      <c r="B30" s="120">
        <v>0</v>
      </c>
      <c r="C30" s="120">
        <v>57758</v>
      </c>
      <c r="D30" s="120">
        <v>24850</v>
      </c>
      <c r="E30" s="120">
        <v>17397</v>
      </c>
      <c r="F30" s="120">
        <v>35000</v>
      </c>
      <c r="G30" s="120">
        <v>35000</v>
      </c>
      <c r="H30" s="120">
        <v>35000</v>
      </c>
    </row>
    <row r="31" spans="1:8" x14ac:dyDescent="0.2">
      <c r="A31" s="491" t="s">
        <v>806</v>
      </c>
      <c r="B31" s="120">
        <f>4770+9032</f>
        <v>13802</v>
      </c>
      <c r="C31" s="120">
        <v>4770</v>
      </c>
      <c r="D31" s="120">
        <v>4770</v>
      </c>
      <c r="E31" s="120">
        <f>9032+4770</f>
        <v>13802</v>
      </c>
      <c r="F31" s="120">
        <v>4770</v>
      </c>
      <c r="G31" s="120">
        <v>4770</v>
      </c>
      <c r="H31" s="120">
        <f>9032+4770</f>
        <v>13802</v>
      </c>
    </row>
    <row r="32" spans="1:8" x14ac:dyDescent="0.2">
      <c r="A32" s="10" t="s">
        <v>135</v>
      </c>
      <c r="B32" s="120">
        <v>35000</v>
      </c>
      <c r="C32" s="120">
        <v>40000</v>
      </c>
      <c r="D32" s="120">
        <v>90000</v>
      </c>
      <c r="E32" s="120">
        <v>40000</v>
      </c>
      <c r="F32" s="120">
        <v>80000</v>
      </c>
      <c r="G32" s="120">
        <v>100000</v>
      </c>
      <c r="H32" s="120">
        <v>40000</v>
      </c>
    </row>
    <row r="33" spans="1:10" x14ac:dyDescent="0.2">
      <c r="A33" s="10"/>
      <c r="B33" s="120"/>
      <c r="C33" s="120"/>
      <c r="D33" s="120"/>
      <c r="E33" s="120"/>
      <c r="F33" s="120"/>
      <c r="G33" s="120"/>
      <c r="H33" s="120"/>
    </row>
    <row r="34" spans="1:10" ht="13.5" thickBot="1" x14ac:dyDescent="0.25">
      <c r="A34" s="121"/>
      <c r="B34" s="35"/>
      <c r="C34" s="35"/>
      <c r="D34" s="35"/>
      <c r="E34" s="35"/>
      <c r="F34" s="35"/>
      <c r="G34" s="35"/>
      <c r="H34" s="35"/>
    </row>
    <row r="35" spans="1:10" x14ac:dyDescent="0.2">
      <c r="A35" s="5"/>
      <c r="B35" s="33"/>
      <c r="C35" s="21"/>
      <c r="D35" s="21"/>
      <c r="E35" s="21"/>
      <c r="F35" s="21"/>
      <c r="G35" s="21"/>
      <c r="H35" s="21"/>
    </row>
    <row r="36" spans="1:10" ht="15.75" x14ac:dyDescent="0.25">
      <c r="A36" s="43" t="s">
        <v>136</v>
      </c>
      <c r="B36" s="45">
        <f t="shared" ref="B36:H36" si="3">B40+B47</f>
        <v>785763</v>
      </c>
      <c r="C36" s="45">
        <f t="shared" si="3"/>
        <v>1905000</v>
      </c>
      <c r="D36" s="45">
        <f t="shared" si="3"/>
        <v>1905000</v>
      </c>
      <c r="E36" s="45">
        <f t="shared" si="3"/>
        <v>1755000</v>
      </c>
      <c r="F36" s="45">
        <f t="shared" si="3"/>
        <v>1655000</v>
      </c>
      <c r="G36" s="45">
        <f>G40+G47</f>
        <v>1655000</v>
      </c>
      <c r="H36" s="45">
        <f t="shared" si="3"/>
        <v>1705000</v>
      </c>
      <c r="J36" s="722"/>
    </row>
    <row r="37" spans="1:10" ht="15.75" x14ac:dyDescent="0.25">
      <c r="A37" s="43"/>
      <c r="B37" s="45"/>
      <c r="C37" s="46"/>
      <c r="D37" s="46"/>
      <c r="E37" s="46"/>
      <c r="F37" s="46"/>
      <c r="G37" s="46"/>
      <c r="H37" s="46"/>
    </row>
    <row r="38" spans="1:10" ht="13.5" thickBot="1" x14ac:dyDescent="0.25">
      <c r="A38" s="5"/>
      <c r="B38" s="35"/>
      <c r="C38" s="20"/>
      <c r="D38" s="20"/>
      <c r="E38" s="20"/>
      <c r="F38" s="20"/>
      <c r="G38" s="20"/>
      <c r="H38" s="20"/>
    </row>
    <row r="39" spans="1:10" x14ac:dyDescent="0.2">
      <c r="A39" s="13"/>
      <c r="B39" s="21"/>
      <c r="C39" s="21"/>
      <c r="D39" s="21"/>
      <c r="E39" s="21"/>
      <c r="F39" s="21"/>
      <c r="G39" s="21"/>
      <c r="H39" s="21"/>
    </row>
    <row r="40" spans="1:10" ht="13.5" thickBot="1" x14ac:dyDescent="0.25">
      <c r="A40" s="14" t="s">
        <v>137</v>
      </c>
      <c r="B40" s="41">
        <f t="shared" ref="B40:H40" si="4">B42+B43+B44</f>
        <v>585763</v>
      </c>
      <c r="C40" s="41">
        <f t="shared" si="4"/>
        <v>1355000</v>
      </c>
      <c r="D40" s="41">
        <f t="shared" si="4"/>
        <v>1355000</v>
      </c>
      <c r="E40" s="41">
        <f t="shared" si="4"/>
        <v>1255000</v>
      </c>
      <c r="F40" s="41">
        <f t="shared" si="4"/>
        <v>1205000</v>
      </c>
      <c r="G40" s="41">
        <f>G42+G43+G44</f>
        <v>1205000</v>
      </c>
      <c r="H40" s="41">
        <f t="shared" si="4"/>
        <v>1205000</v>
      </c>
    </row>
    <row r="41" spans="1:10" x14ac:dyDescent="0.2">
      <c r="A41" s="14"/>
      <c r="B41" s="172"/>
      <c r="C41" s="504"/>
      <c r="D41" s="172"/>
      <c r="E41" s="504"/>
      <c r="F41" s="172"/>
      <c r="G41" s="504"/>
      <c r="H41" s="172"/>
    </row>
    <row r="42" spans="1:10" x14ac:dyDescent="0.2">
      <c r="A42" s="15" t="s">
        <v>8</v>
      </c>
      <c r="B42" s="34">
        <f>315763+100000</f>
        <v>415763</v>
      </c>
      <c r="C42" s="29">
        <v>950000</v>
      </c>
      <c r="D42" s="34">
        <v>950000</v>
      </c>
      <c r="E42" s="29">
        <v>900000</v>
      </c>
      <c r="F42" s="34">
        <v>850000</v>
      </c>
      <c r="G42" s="29">
        <v>850000</v>
      </c>
      <c r="H42" s="34">
        <v>850000</v>
      </c>
    </row>
    <row r="43" spans="1:10" x14ac:dyDescent="0.2">
      <c r="A43" s="15" t="s">
        <v>26</v>
      </c>
      <c r="B43" s="34">
        <v>170000</v>
      </c>
      <c r="C43" s="29">
        <v>400000</v>
      </c>
      <c r="D43" s="34">
        <v>400000</v>
      </c>
      <c r="E43" s="29">
        <v>350000</v>
      </c>
      <c r="F43" s="34">
        <v>350000</v>
      </c>
      <c r="G43" s="29">
        <v>350000</v>
      </c>
      <c r="H43" s="34">
        <v>350000</v>
      </c>
    </row>
    <row r="44" spans="1:10" x14ac:dyDescent="0.2">
      <c r="A44" s="15" t="s">
        <v>29</v>
      </c>
      <c r="B44" s="34"/>
      <c r="C44" s="29">
        <v>5000</v>
      </c>
      <c r="D44" s="34">
        <v>5000</v>
      </c>
      <c r="E44" s="29">
        <v>5000</v>
      </c>
      <c r="F44" s="34">
        <v>5000</v>
      </c>
      <c r="G44" s="29">
        <v>5000</v>
      </c>
      <c r="H44" s="34">
        <v>5000</v>
      </c>
    </row>
    <row r="45" spans="1:10" x14ac:dyDescent="0.2">
      <c r="A45" s="15"/>
      <c r="B45" s="34"/>
      <c r="C45" s="29"/>
      <c r="D45" s="34"/>
      <c r="E45" s="29"/>
      <c r="F45" s="34"/>
      <c r="G45" s="29"/>
      <c r="H45" s="34"/>
    </row>
    <row r="46" spans="1:10" x14ac:dyDescent="0.2">
      <c r="A46" s="15" t="s">
        <v>179</v>
      </c>
      <c r="B46" s="34"/>
      <c r="C46" s="29"/>
      <c r="D46" s="34"/>
      <c r="E46" s="29"/>
      <c r="F46" s="34"/>
      <c r="G46" s="29"/>
      <c r="H46" s="34"/>
    </row>
    <row r="47" spans="1:10" x14ac:dyDescent="0.2">
      <c r="A47" s="14" t="s">
        <v>138</v>
      </c>
      <c r="B47" s="173">
        <v>200000</v>
      </c>
      <c r="C47" s="123">
        <v>550000</v>
      </c>
      <c r="D47" s="173">
        <v>550000</v>
      </c>
      <c r="E47" s="123">
        <v>500000</v>
      </c>
      <c r="F47" s="173">
        <v>450000</v>
      </c>
      <c r="G47" s="123">
        <v>450000</v>
      </c>
      <c r="H47" s="173">
        <v>500000</v>
      </c>
    </row>
    <row r="48" spans="1:10" ht="13.5" thickBot="1" x14ac:dyDescent="0.25">
      <c r="A48" s="16"/>
      <c r="B48" s="35"/>
      <c r="C48" s="37"/>
      <c r="D48" s="35"/>
      <c r="E48" s="37"/>
      <c r="F48" s="35"/>
      <c r="G48" s="37"/>
      <c r="H48" s="35"/>
    </row>
    <row r="49" spans="1:8" x14ac:dyDescent="0.2">
      <c r="A49" s="2"/>
      <c r="B49" s="21"/>
      <c r="C49" s="21"/>
      <c r="D49" s="21"/>
      <c r="E49" s="21"/>
      <c r="F49" s="21"/>
      <c r="G49" s="21"/>
      <c r="H49" s="21"/>
    </row>
    <row r="50" spans="1:8" x14ac:dyDescent="0.2">
      <c r="A50" s="9" t="s">
        <v>27</v>
      </c>
      <c r="B50" s="34">
        <f t="shared" ref="B50:H50" si="5">B36-B22</f>
        <v>43708</v>
      </c>
      <c r="C50" s="34">
        <f t="shared" si="5"/>
        <v>2817</v>
      </c>
      <c r="D50" s="34">
        <f t="shared" si="5"/>
        <v>-18526</v>
      </c>
      <c r="E50" s="34">
        <f t="shared" si="5"/>
        <v>126914</v>
      </c>
      <c r="F50" s="34">
        <f t="shared" si="5"/>
        <v>2088</v>
      </c>
      <c r="G50" s="34">
        <f>G36-G22</f>
        <v>-17912</v>
      </c>
      <c r="H50" s="34">
        <f t="shared" si="5"/>
        <v>-57912</v>
      </c>
    </row>
    <row r="51" spans="1:8" ht="13.5" thickBot="1" x14ac:dyDescent="0.25">
      <c r="A51" s="5"/>
      <c r="B51" s="19"/>
      <c r="C51" s="19"/>
      <c r="D51" s="19"/>
      <c r="E51" s="19"/>
      <c r="F51" s="19"/>
      <c r="G51" s="19"/>
      <c r="H51" s="19"/>
    </row>
    <row r="52" spans="1:8" x14ac:dyDescent="0.2">
      <c r="A52" s="2"/>
      <c r="B52" s="33"/>
      <c r="C52" s="33"/>
      <c r="D52" s="33"/>
      <c r="E52" s="33"/>
      <c r="F52" s="33"/>
      <c r="G52" s="33"/>
      <c r="H52" s="33"/>
    </row>
    <row r="53" spans="1:8" ht="16.5" thickBot="1" x14ac:dyDescent="0.3">
      <c r="A53" s="43" t="s">
        <v>28</v>
      </c>
      <c r="B53" s="171">
        <f t="shared" ref="B53:H53" si="6">B15+B50</f>
        <v>-245083</v>
      </c>
      <c r="C53" s="171">
        <f t="shared" si="6"/>
        <v>-242266</v>
      </c>
      <c r="D53" s="171">
        <f t="shared" si="6"/>
        <v>-260792</v>
      </c>
      <c r="E53" s="171">
        <f t="shared" si="6"/>
        <v>-133878</v>
      </c>
      <c r="F53" s="171">
        <f t="shared" si="6"/>
        <v>-131790</v>
      </c>
      <c r="G53" s="171">
        <f>G15+G50</f>
        <v>-149702</v>
      </c>
      <c r="H53" s="171">
        <f t="shared" si="6"/>
        <v>-207614</v>
      </c>
    </row>
    <row r="54" spans="1:8" ht="16.5" thickBot="1" x14ac:dyDescent="0.3">
      <c r="A54" s="43"/>
      <c r="B54" s="122"/>
      <c r="C54" s="122"/>
      <c r="D54" s="122"/>
      <c r="E54" s="122"/>
      <c r="F54" s="122"/>
      <c r="G54" s="122"/>
      <c r="H54" s="122"/>
    </row>
    <row r="55" spans="1:8" x14ac:dyDescent="0.2">
      <c r="A55" s="9" t="s">
        <v>19</v>
      </c>
      <c r="B55" s="33">
        <f t="shared" ref="B55:H55" si="7">B53-B56</f>
        <v>-247083</v>
      </c>
      <c r="C55" s="33">
        <f t="shared" si="7"/>
        <v>-244266</v>
      </c>
      <c r="D55" s="33">
        <f t="shared" si="7"/>
        <v>-262792</v>
      </c>
      <c r="E55" s="33">
        <f t="shared" si="7"/>
        <v>-135878</v>
      </c>
      <c r="F55" s="33">
        <f t="shared" si="7"/>
        <v>-133790</v>
      </c>
      <c r="G55" s="33">
        <f t="shared" si="7"/>
        <v>-151702</v>
      </c>
      <c r="H55" s="33">
        <f t="shared" si="7"/>
        <v>-209614</v>
      </c>
    </row>
    <row r="56" spans="1:8" x14ac:dyDescent="0.2">
      <c r="A56" s="9" t="s">
        <v>20</v>
      </c>
      <c r="B56" s="34">
        <f>2000</f>
        <v>2000</v>
      </c>
      <c r="C56" s="34">
        <f>2000</f>
        <v>2000</v>
      </c>
      <c r="D56" s="34">
        <f>2000</f>
        <v>2000</v>
      </c>
      <c r="E56" s="34">
        <f>2000</f>
        <v>2000</v>
      </c>
      <c r="F56" s="34">
        <f>2000</f>
        <v>2000</v>
      </c>
      <c r="G56" s="34">
        <f>2000</f>
        <v>2000</v>
      </c>
      <c r="H56" s="34">
        <f>2000</f>
        <v>2000</v>
      </c>
    </row>
    <row r="57" spans="1:8" ht="13.5" thickBot="1" x14ac:dyDescent="0.25">
      <c r="A57" s="36"/>
      <c r="B57" s="35"/>
      <c r="C57" s="35"/>
      <c r="D57" s="35"/>
      <c r="E57" s="35"/>
      <c r="F57" s="35"/>
      <c r="G57" s="35"/>
      <c r="H57" s="35"/>
    </row>
  </sheetData>
  <pageMargins left="1.9685039370078741" right="0.39370078740157483" top="1.1417322834645669" bottom="0.78740157480314965" header="0.51181102362204722" footer="0.51181102362204722"/>
  <pageSetup paperSize="9" scale="62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pageSetUpPr fitToPage="1"/>
  </sheetPr>
  <dimension ref="A1:AQ359"/>
  <sheetViews>
    <sheetView topLeftCell="A19" workbookViewId="0">
      <pane ySplit="2085" topLeftCell="A37" activePane="bottomLeft"/>
      <selection activeCell="AI21" sqref="AI21"/>
      <selection pane="bottomLeft" activeCell="I53" sqref="I53"/>
    </sheetView>
  </sheetViews>
  <sheetFormatPr defaultColWidth="11.42578125" defaultRowHeight="12.75" x14ac:dyDescent="0.2"/>
  <cols>
    <col min="1" max="1" width="37.42578125" customWidth="1"/>
    <col min="2" max="2" width="13.7109375" customWidth="1"/>
    <col min="3" max="3" width="14" customWidth="1"/>
    <col min="4" max="4" width="14.28515625" customWidth="1"/>
    <col min="5" max="5" width="13.42578125" customWidth="1"/>
    <col min="6" max="6" width="12.7109375" hidden="1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1.85546875" bestFit="1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6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6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6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6" x14ac:dyDescent="0.2">
      <c r="A4" s="215"/>
      <c r="B4" s="215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81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15"/>
    </row>
    <row r="5" spans="1:36" x14ac:dyDescent="0.2">
      <c r="A5" s="1" t="s">
        <v>689</v>
      </c>
      <c r="B5" s="451" t="s">
        <v>132</v>
      </c>
      <c r="C5" s="359">
        <f>C6+C7+C8+C9</f>
        <v>-435081.56899999996</v>
      </c>
      <c r="D5" s="359">
        <f t="shared" ref="D5:AG5" si="0">D6+D7+D8+D9</f>
        <v>-435081.56899999996</v>
      </c>
      <c r="E5" s="359">
        <f t="shared" si="0"/>
        <v>-435967.56899999996</v>
      </c>
      <c r="F5" s="359">
        <f t="shared" si="0"/>
        <v>-435967.56899999996</v>
      </c>
      <c r="G5" s="359">
        <f t="shared" si="0"/>
        <v>-436842.06899999996</v>
      </c>
      <c r="H5" s="359">
        <f t="shared" si="0"/>
        <v>-436842.06899999996</v>
      </c>
      <c r="I5" s="359">
        <f t="shared" si="0"/>
        <v>-436842.06899999996</v>
      </c>
      <c r="J5" s="453">
        <f t="shared" si="0"/>
        <v>-436842.06899999996</v>
      </c>
      <c r="K5" s="453">
        <f t="shared" si="0"/>
        <v>-436842.06899999996</v>
      </c>
      <c r="L5" s="359">
        <f t="shared" si="0"/>
        <v>-436842.06899999996</v>
      </c>
      <c r="M5" s="359">
        <f t="shared" si="0"/>
        <v>-436842.06899999996</v>
      </c>
      <c r="N5" s="359">
        <f t="shared" si="0"/>
        <v>-436842.06899999996</v>
      </c>
      <c r="O5" s="359">
        <f t="shared" si="0"/>
        <v>-436842.06899999996</v>
      </c>
      <c r="P5" s="858">
        <f t="shared" si="0"/>
        <v>-437827.37699999998</v>
      </c>
      <c r="Q5" s="359">
        <f t="shared" si="0"/>
        <v>-437827.37699999998</v>
      </c>
      <c r="R5" s="359">
        <f t="shared" si="0"/>
        <v>-437827.37699999998</v>
      </c>
      <c r="S5" s="359">
        <f t="shared" si="0"/>
        <v>-437827.37699999998</v>
      </c>
      <c r="T5" s="359">
        <f t="shared" si="0"/>
        <v>-437827.37699999998</v>
      </c>
      <c r="U5" s="359">
        <f t="shared" si="0"/>
        <v>-437827.37699999998</v>
      </c>
      <c r="V5" s="359">
        <f t="shared" si="0"/>
        <v>-437827.37699999998</v>
      </c>
      <c r="W5" s="359">
        <f t="shared" si="0"/>
        <v>-437827.37699999998</v>
      </c>
      <c r="X5" s="359">
        <f t="shared" si="0"/>
        <v>-437827.37699999998</v>
      </c>
      <c r="Y5" s="359">
        <f t="shared" si="0"/>
        <v>-437827.37699999998</v>
      </c>
      <c r="Z5" s="359">
        <f t="shared" si="0"/>
        <v>-437827.37699999998</v>
      </c>
      <c r="AA5" s="359">
        <f t="shared" si="0"/>
        <v>-437827.37699999998</v>
      </c>
      <c r="AB5" s="359">
        <f t="shared" si="0"/>
        <v>-437827.37699999998</v>
      </c>
      <c r="AC5" s="359">
        <f t="shared" si="0"/>
        <v>-437827.37699999998</v>
      </c>
      <c r="AD5" s="359">
        <f t="shared" si="0"/>
        <v>-437827.37699999998</v>
      </c>
      <c r="AE5" s="359">
        <f t="shared" si="0"/>
        <v>-437827.37699999998</v>
      </c>
      <c r="AF5" s="359">
        <f t="shared" si="0"/>
        <v>-437827.37699999998</v>
      </c>
      <c r="AG5" s="359">
        <f t="shared" si="0"/>
        <v>-436835.64399999997</v>
      </c>
      <c r="AH5" s="215"/>
    </row>
    <row r="6" spans="1:36" x14ac:dyDescent="0.2">
      <c r="A6" s="56">
        <v>100000</v>
      </c>
      <c r="B6" s="215" t="s">
        <v>690</v>
      </c>
      <c r="C6" s="311">
        <f>C70</f>
        <v>-392058.67599999998</v>
      </c>
      <c r="D6" s="311">
        <f t="shared" ref="D6:AG6" si="1">D70</f>
        <v>-392058.67599999998</v>
      </c>
      <c r="E6" s="311">
        <f t="shared" si="1"/>
        <v>-392944.67599999998</v>
      </c>
      <c r="F6" s="311">
        <f t="shared" si="1"/>
        <v>-392944.67599999998</v>
      </c>
      <c r="G6" s="311">
        <f t="shared" si="1"/>
        <v>-393819.17599999998</v>
      </c>
      <c r="H6" s="311">
        <f t="shared" si="1"/>
        <v>-393819.17599999998</v>
      </c>
      <c r="I6" s="311">
        <f t="shared" si="1"/>
        <v>-393819.17599999998</v>
      </c>
      <c r="J6" s="314">
        <f t="shared" si="1"/>
        <v>-393819.17599999998</v>
      </c>
      <c r="K6" s="314">
        <f>K70</f>
        <v>-393819.17599999998</v>
      </c>
      <c r="L6" s="311">
        <f t="shared" si="1"/>
        <v>-393819.17599999998</v>
      </c>
      <c r="M6" s="311">
        <f t="shared" si="1"/>
        <v>-393819.17599999998</v>
      </c>
      <c r="N6" s="311">
        <f t="shared" si="1"/>
        <v>-393819.17599999998</v>
      </c>
      <c r="O6" s="311">
        <f t="shared" si="1"/>
        <v>-393819.17599999998</v>
      </c>
      <c r="P6" s="629">
        <f t="shared" si="1"/>
        <v>-394804.484</v>
      </c>
      <c r="Q6" s="311">
        <f t="shared" si="1"/>
        <v>-394804.484</v>
      </c>
      <c r="R6" s="311">
        <f t="shared" si="1"/>
        <v>-394804.484</v>
      </c>
      <c r="S6" s="311">
        <f t="shared" si="1"/>
        <v>-394804.484</v>
      </c>
      <c r="T6" s="311">
        <f t="shared" si="1"/>
        <v>-394804.484</v>
      </c>
      <c r="U6" s="311">
        <f t="shared" si="1"/>
        <v>-394804.484</v>
      </c>
      <c r="V6" s="311">
        <f t="shared" si="1"/>
        <v>-394804.484</v>
      </c>
      <c r="W6" s="311">
        <f t="shared" si="1"/>
        <v>-394804.484</v>
      </c>
      <c r="X6" s="311">
        <f t="shared" si="1"/>
        <v>-394804.484</v>
      </c>
      <c r="Y6" s="311">
        <f t="shared" si="1"/>
        <v>-394804.484</v>
      </c>
      <c r="Z6" s="311">
        <f t="shared" si="1"/>
        <v>-394804.484</v>
      </c>
      <c r="AA6" s="311">
        <f t="shared" si="1"/>
        <v>-394804.484</v>
      </c>
      <c r="AB6" s="311">
        <f t="shared" si="1"/>
        <v>-394804.484</v>
      </c>
      <c r="AC6" s="311">
        <f t="shared" si="1"/>
        <v>-394804.484</v>
      </c>
      <c r="AD6" s="311">
        <f t="shared" si="1"/>
        <v>-394804.484</v>
      </c>
      <c r="AE6" s="311">
        <f t="shared" si="1"/>
        <v>-394804.484</v>
      </c>
      <c r="AF6" s="311">
        <f t="shared" si="1"/>
        <v>-394804.484</v>
      </c>
      <c r="AG6" s="311">
        <f t="shared" si="1"/>
        <v>-394804.484</v>
      </c>
      <c r="AH6" s="215"/>
    </row>
    <row r="7" spans="1:36" x14ac:dyDescent="0.2">
      <c r="A7" s="56">
        <v>25000</v>
      </c>
      <c r="B7" s="215" t="s">
        <v>666</v>
      </c>
      <c r="C7" s="311">
        <f>C185</f>
        <v>-18249.04</v>
      </c>
      <c r="D7" s="311">
        <f t="shared" ref="D7:AG7" si="2">D185</f>
        <v>-18249.04</v>
      </c>
      <c r="E7" s="311">
        <f t="shared" si="2"/>
        <v>-18249.04</v>
      </c>
      <c r="F7" s="311">
        <f t="shared" si="2"/>
        <v>-18249.04</v>
      </c>
      <c r="G7" s="311">
        <f t="shared" si="2"/>
        <v>-18249.04</v>
      </c>
      <c r="H7" s="311">
        <f t="shared" si="2"/>
        <v>-18249.04</v>
      </c>
      <c r="I7" s="311">
        <f t="shared" si="2"/>
        <v>-18249.04</v>
      </c>
      <c r="J7" s="314">
        <f t="shared" si="2"/>
        <v>-18249.04</v>
      </c>
      <c r="K7" s="314">
        <f t="shared" si="2"/>
        <v>-18249.04</v>
      </c>
      <c r="L7" s="311">
        <f t="shared" si="2"/>
        <v>-18249.04</v>
      </c>
      <c r="M7" s="311">
        <f t="shared" si="2"/>
        <v>-18249.04</v>
      </c>
      <c r="N7" s="311">
        <f t="shared" si="2"/>
        <v>-18249.04</v>
      </c>
      <c r="O7" s="311">
        <f t="shared" si="2"/>
        <v>-18249.04</v>
      </c>
      <c r="P7" s="629">
        <f>P185</f>
        <v>-18249.04</v>
      </c>
      <c r="Q7" s="311">
        <f t="shared" si="2"/>
        <v>-18249.04</v>
      </c>
      <c r="R7" s="311">
        <f t="shared" si="2"/>
        <v>-18249.04</v>
      </c>
      <c r="S7" s="784">
        <f t="shared" si="2"/>
        <v>-18249.04</v>
      </c>
      <c r="T7" s="311">
        <f t="shared" si="2"/>
        <v>-18249.04</v>
      </c>
      <c r="U7" s="311">
        <f t="shared" si="2"/>
        <v>-18249.04</v>
      </c>
      <c r="V7" s="311">
        <f t="shared" si="2"/>
        <v>-18249.04</v>
      </c>
      <c r="W7" s="311">
        <f t="shared" si="2"/>
        <v>-18249.04</v>
      </c>
      <c r="X7" s="311">
        <f t="shared" si="2"/>
        <v>-18249.04</v>
      </c>
      <c r="Y7" s="311">
        <f t="shared" si="2"/>
        <v>-18249.04</v>
      </c>
      <c r="Z7" s="311">
        <f t="shared" si="2"/>
        <v>-18249.04</v>
      </c>
      <c r="AA7" s="311">
        <f t="shared" si="2"/>
        <v>-18249.04</v>
      </c>
      <c r="AB7" s="311">
        <f t="shared" si="2"/>
        <v>-18249.04</v>
      </c>
      <c r="AC7" s="311">
        <f t="shared" si="2"/>
        <v>-18249.04</v>
      </c>
      <c r="AD7" s="311">
        <f t="shared" si="2"/>
        <v>-18249.04</v>
      </c>
      <c r="AE7" s="311">
        <f t="shared" si="2"/>
        <v>-18249.04</v>
      </c>
      <c r="AF7" s="311">
        <f t="shared" si="2"/>
        <v>-18249.04</v>
      </c>
      <c r="AG7" s="311">
        <f t="shared" si="2"/>
        <v>-18249.04</v>
      </c>
      <c r="AH7" s="215"/>
    </row>
    <row r="8" spans="1:36" x14ac:dyDescent="0.2">
      <c r="A8" s="56">
        <v>25000</v>
      </c>
      <c r="B8" s="215" t="s">
        <v>667</v>
      </c>
      <c r="C8" s="311">
        <f>C248</f>
        <v>-8476.8320000000003</v>
      </c>
      <c r="D8" s="311">
        <f t="shared" ref="D8:AG8" si="3">D248</f>
        <v>-8476.8320000000003</v>
      </c>
      <c r="E8" s="311">
        <f t="shared" si="3"/>
        <v>-8476.8320000000003</v>
      </c>
      <c r="F8" s="311">
        <f t="shared" si="3"/>
        <v>-8476.8320000000003</v>
      </c>
      <c r="G8" s="311">
        <f t="shared" si="3"/>
        <v>-8476.8320000000003</v>
      </c>
      <c r="H8" s="311">
        <f t="shared" si="3"/>
        <v>-8476.8320000000003</v>
      </c>
      <c r="I8" s="784">
        <f t="shared" si="3"/>
        <v>-8476.8320000000003</v>
      </c>
      <c r="J8" s="314">
        <f t="shared" si="3"/>
        <v>-8476.8320000000003</v>
      </c>
      <c r="K8" s="314">
        <f t="shared" si="3"/>
        <v>-8476.8320000000003</v>
      </c>
      <c r="L8" s="311">
        <f t="shared" si="3"/>
        <v>-8476.8320000000003</v>
      </c>
      <c r="M8" s="311">
        <f t="shared" si="3"/>
        <v>-8476.8320000000003</v>
      </c>
      <c r="N8" s="311">
        <f t="shared" si="3"/>
        <v>-8476.8320000000003</v>
      </c>
      <c r="O8" s="311">
        <f t="shared" si="3"/>
        <v>-8476.8320000000003</v>
      </c>
      <c r="P8" s="629">
        <f t="shared" si="3"/>
        <v>-8476.8320000000003</v>
      </c>
      <c r="Q8" s="311">
        <f t="shared" si="3"/>
        <v>-8476.8320000000003</v>
      </c>
      <c r="R8" s="311">
        <f t="shared" si="3"/>
        <v>-8476.8320000000003</v>
      </c>
      <c r="S8" s="311">
        <f t="shared" si="3"/>
        <v>-8476.8320000000003</v>
      </c>
      <c r="T8" s="311">
        <f t="shared" si="3"/>
        <v>-8476.8320000000003</v>
      </c>
      <c r="U8" s="311">
        <f t="shared" si="3"/>
        <v>-8476.8320000000003</v>
      </c>
      <c r="V8" s="311">
        <f t="shared" si="3"/>
        <v>-8476.8320000000003</v>
      </c>
      <c r="W8" s="311">
        <f t="shared" si="3"/>
        <v>-8476.8320000000003</v>
      </c>
      <c r="X8" s="311">
        <f t="shared" si="3"/>
        <v>-8476.8320000000003</v>
      </c>
      <c r="Y8" s="311">
        <f t="shared" si="3"/>
        <v>-8476.8320000000003</v>
      </c>
      <c r="Z8" s="311">
        <f t="shared" si="3"/>
        <v>-8476.8320000000003</v>
      </c>
      <c r="AA8" s="311">
        <f t="shared" si="3"/>
        <v>-8476.8320000000003</v>
      </c>
      <c r="AB8" s="311">
        <f t="shared" si="3"/>
        <v>-8476.8320000000003</v>
      </c>
      <c r="AC8" s="311">
        <f t="shared" si="3"/>
        <v>-8476.8320000000003</v>
      </c>
      <c r="AD8" s="311">
        <f t="shared" si="3"/>
        <v>-8476.8320000000003</v>
      </c>
      <c r="AE8" s="311">
        <f t="shared" si="3"/>
        <v>-8476.8320000000003</v>
      </c>
      <c r="AF8" s="311">
        <f t="shared" si="3"/>
        <v>-8476.8320000000003</v>
      </c>
      <c r="AG8" s="311">
        <f t="shared" si="3"/>
        <v>-7485.0990000000002</v>
      </c>
      <c r="AH8" s="215"/>
      <c r="AJ8" s="483"/>
    </row>
    <row r="9" spans="1:36" x14ac:dyDescent="0.2">
      <c r="A9" s="56">
        <v>20000</v>
      </c>
      <c r="B9" s="215" t="s">
        <v>691</v>
      </c>
      <c r="C9" s="311">
        <f>C312</f>
        <v>-16297.021000000001</v>
      </c>
      <c r="D9" s="311">
        <f t="shared" ref="D9:AG9" si="4">D312</f>
        <v>-16297.021000000001</v>
      </c>
      <c r="E9" s="311">
        <f t="shared" si="4"/>
        <v>-16297.021000000001</v>
      </c>
      <c r="F9" s="311">
        <f t="shared" si="4"/>
        <v>-16297.021000000001</v>
      </c>
      <c r="G9" s="784">
        <f t="shared" si="4"/>
        <v>-16297.021000000001</v>
      </c>
      <c r="H9" s="311">
        <f t="shared" si="4"/>
        <v>-16297.021000000001</v>
      </c>
      <c r="I9" s="311">
        <f t="shared" si="4"/>
        <v>-16297.021000000001</v>
      </c>
      <c r="J9" s="314">
        <f t="shared" si="4"/>
        <v>-16297.021000000001</v>
      </c>
      <c r="K9" s="314">
        <f t="shared" si="4"/>
        <v>-16297.021000000001</v>
      </c>
      <c r="L9" s="311">
        <f t="shared" si="4"/>
        <v>-16297.021000000001</v>
      </c>
      <c r="M9" s="311">
        <f t="shared" si="4"/>
        <v>-16297.021000000001</v>
      </c>
      <c r="N9" s="311">
        <f t="shared" si="4"/>
        <v>-16297.021000000001</v>
      </c>
      <c r="O9" s="311">
        <f t="shared" si="4"/>
        <v>-16297.021000000001</v>
      </c>
      <c r="P9" s="629">
        <f t="shared" si="4"/>
        <v>-16297.021000000001</v>
      </c>
      <c r="Q9" s="311">
        <f t="shared" si="4"/>
        <v>-16297.021000000001</v>
      </c>
      <c r="R9" s="311">
        <f t="shared" si="4"/>
        <v>-16297.021000000001</v>
      </c>
      <c r="S9" s="311">
        <f t="shared" si="4"/>
        <v>-16297.021000000001</v>
      </c>
      <c r="T9" s="311">
        <f t="shared" si="4"/>
        <v>-16297.021000000001</v>
      </c>
      <c r="U9" s="311">
        <f t="shared" si="4"/>
        <v>-16297.021000000001</v>
      </c>
      <c r="V9" s="311">
        <f t="shared" si="4"/>
        <v>-16297.021000000001</v>
      </c>
      <c r="W9" s="311">
        <f t="shared" si="4"/>
        <v>-16297.021000000001</v>
      </c>
      <c r="X9" s="311">
        <f t="shared" si="4"/>
        <v>-16297.021000000001</v>
      </c>
      <c r="Y9" s="311">
        <f t="shared" si="4"/>
        <v>-16297.021000000001</v>
      </c>
      <c r="Z9" s="311">
        <f t="shared" si="4"/>
        <v>-16297.021000000001</v>
      </c>
      <c r="AA9" s="311">
        <f t="shared" si="4"/>
        <v>-16297.021000000001</v>
      </c>
      <c r="AB9" s="311">
        <f t="shared" si="4"/>
        <v>-16297.021000000001</v>
      </c>
      <c r="AC9" s="311">
        <f t="shared" si="4"/>
        <v>-16297.021000000001</v>
      </c>
      <c r="AD9" s="311">
        <f t="shared" si="4"/>
        <v>-16297.021000000001</v>
      </c>
      <c r="AE9" s="311">
        <f t="shared" si="4"/>
        <v>-16297.021000000001</v>
      </c>
      <c r="AF9" s="311">
        <f t="shared" si="4"/>
        <v>-16297.021000000001</v>
      </c>
      <c r="AG9" s="311">
        <f t="shared" si="4"/>
        <v>-16297.021000000001</v>
      </c>
      <c r="AH9" s="215"/>
    </row>
    <row r="10" spans="1:36" x14ac:dyDescent="0.2">
      <c r="A10" s="1" t="s">
        <v>692</v>
      </c>
      <c r="B10" s="451" t="s">
        <v>132</v>
      </c>
      <c r="C10" s="452">
        <f>C11+C12+C13</f>
        <v>7500</v>
      </c>
      <c r="D10" s="452">
        <f t="shared" ref="D10:AG10" si="5">D11+D12+D13</f>
        <v>0</v>
      </c>
      <c r="E10" s="452">
        <f t="shared" si="5"/>
        <v>11125</v>
      </c>
      <c r="F10" s="452">
        <f t="shared" si="5"/>
        <v>6868</v>
      </c>
      <c r="G10" s="452">
        <f t="shared" si="5"/>
        <v>5469</v>
      </c>
      <c r="H10" s="452">
        <f t="shared" si="5"/>
        <v>3935</v>
      </c>
      <c r="I10" s="452">
        <f t="shared" si="5"/>
        <v>7732</v>
      </c>
      <c r="J10" s="454">
        <f t="shared" si="5"/>
        <v>2618</v>
      </c>
      <c r="K10" s="454">
        <f t="shared" si="5"/>
        <v>8360</v>
      </c>
      <c r="L10" s="452">
        <f t="shared" si="5"/>
        <v>34149</v>
      </c>
      <c r="M10" s="452">
        <f t="shared" si="5"/>
        <v>0</v>
      </c>
      <c r="N10" s="452">
        <f t="shared" si="5"/>
        <v>1170</v>
      </c>
      <c r="O10" s="452">
        <f t="shared" si="5"/>
        <v>6924</v>
      </c>
      <c r="P10" s="859">
        <f t="shared" si="5"/>
        <v>4460</v>
      </c>
      <c r="Q10" s="452">
        <f t="shared" si="5"/>
        <v>28447</v>
      </c>
      <c r="R10" s="452">
        <f t="shared" si="5"/>
        <v>0</v>
      </c>
      <c r="S10" s="452">
        <f t="shared" si="5"/>
        <v>5105</v>
      </c>
      <c r="T10" s="452">
        <f t="shared" si="5"/>
        <v>0</v>
      </c>
      <c r="U10" s="452">
        <f t="shared" si="5"/>
        <v>3065</v>
      </c>
      <c r="V10" s="452">
        <f t="shared" si="5"/>
        <v>12604</v>
      </c>
      <c r="W10" s="452">
        <f t="shared" si="5"/>
        <v>2710</v>
      </c>
      <c r="X10" s="452">
        <f t="shared" si="5"/>
        <v>3810</v>
      </c>
      <c r="Y10" s="452">
        <f t="shared" si="5"/>
        <v>0</v>
      </c>
      <c r="Z10" s="452">
        <f t="shared" si="5"/>
        <v>10867</v>
      </c>
      <c r="AA10" s="452">
        <f t="shared" si="5"/>
        <v>9041</v>
      </c>
      <c r="AB10" s="452">
        <f t="shared" si="5"/>
        <v>3090</v>
      </c>
      <c r="AC10" s="452">
        <f t="shared" si="5"/>
        <v>2267</v>
      </c>
      <c r="AD10" s="452">
        <f t="shared" si="5"/>
        <v>4547</v>
      </c>
      <c r="AE10" s="452">
        <f t="shared" si="5"/>
        <v>0</v>
      </c>
      <c r="AF10" s="452">
        <f t="shared" si="5"/>
        <v>24663</v>
      </c>
      <c r="AG10" s="452">
        <f t="shared" si="5"/>
        <v>62878</v>
      </c>
      <c r="AH10" s="286">
        <f>SUM(C10:AG10)</f>
        <v>273404</v>
      </c>
    </row>
    <row r="11" spans="1:36" x14ac:dyDescent="0.2">
      <c r="A11" s="1"/>
      <c r="B11" s="215" t="s">
        <v>666</v>
      </c>
      <c r="C11" s="286">
        <f>C172</f>
        <v>0</v>
      </c>
      <c r="D11" s="286">
        <f t="shared" ref="D11:AG11" si="6">D172</f>
        <v>0</v>
      </c>
      <c r="E11" s="286">
        <f t="shared" si="6"/>
        <v>7000</v>
      </c>
      <c r="F11" s="286">
        <f t="shared" si="6"/>
        <v>1961</v>
      </c>
      <c r="G11" s="286">
        <f t="shared" si="6"/>
        <v>612</v>
      </c>
      <c r="H11" s="286">
        <f t="shared" si="6"/>
        <v>0</v>
      </c>
      <c r="I11" s="286">
        <f t="shared" si="6"/>
        <v>449</v>
      </c>
      <c r="J11" s="315">
        <f t="shared" si="6"/>
        <v>0</v>
      </c>
      <c r="K11" s="315">
        <f t="shared" si="6"/>
        <v>8360</v>
      </c>
      <c r="L11" s="286">
        <f t="shared" si="6"/>
        <v>19173</v>
      </c>
      <c r="M11" s="286">
        <f t="shared" si="6"/>
        <v>0</v>
      </c>
      <c r="N11" s="286">
        <f t="shared" si="6"/>
        <v>0</v>
      </c>
      <c r="O11" s="286">
        <f t="shared" si="6"/>
        <v>0</v>
      </c>
      <c r="P11" s="308">
        <f t="shared" si="6"/>
        <v>435</v>
      </c>
      <c r="Q11" s="286">
        <f t="shared" si="6"/>
        <v>809</v>
      </c>
      <c r="R11" s="286">
        <f t="shared" si="6"/>
        <v>0</v>
      </c>
      <c r="S11" s="286">
        <f t="shared" si="6"/>
        <v>0</v>
      </c>
      <c r="T11" s="286">
        <f t="shared" si="6"/>
        <v>0</v>
      </c>
      <c r="U11" s="286">
        <f t="shared" si="6"/>
        <v>1400</v>
      </c>
      <c r="V11" s="286">
        <f t="shared" si="6"/>
        <v>0</v>
      </c>
      <c r="W11" s="286">
        <f t="shared" si="6"/>
        <v>0</v>
      </c>
      <c r="X11" s="286">
        <f t="shared" si="6"/>
        <v>0</v>
      </c>
      <c r="Y11" s="286">
        <f t="shared" si="6"/>
        <v>0</v>
      </c>
      <c r="Z11" s="286">
        <f t="shared" si="6"/>
        <v>7574</v>
      </c>
      <c r="AA11" s="286">
        <f t="shared" si="6"/>
        <v>0</v>
      </c>
      <c r="AB11" s="286">
        <f t="shared" si="6"/>
        <v>0</v>
      </c>
      <c r="AC11" s="286">
        <f t="shared" si="6"/>
        <v>0</v>
      </c>
      <c r="AD11" s="286">
        <f t="shared" si="6"/>
        <v>0</v>
      </c>
      <c r="AE11" s="286">
        <f t="shared" si="6"/>
        <v>0</v>
      </c>
      <c r="AF11" s="286">
        <f t="shared" si="6"/>
        <v>3166</v>
      </c>
      <c r="AG11" s="286">
        <f t="shared" si="6"/>
        <v>12150</v>
      </c>
      <c r="AH11" s="215"/>
    </row>
    <row r="12" spans="1:36" x14ac:dyDescent="0.2">
      <c r="A12" s="1"/>
      <c r="B12" s="215" t="s">
        <v>667</v>
      </c>
      <c r="C12" s="286">
        <f>C235</f>
        <v>2500</v>
      </c>
      <c r="D12" s="286">
        <f t="shared" ref="D12:AG12" si="7">D235</f>
        <v>0</v>
      </c>
      <c r="E12" s="286">
        <f t="shared" si="7"/>
        <v>0</v>
      </c>
      <c r="F12" s="286">
        <f t="shared" si="7"/>
        <v>0</v>
      </c>
      <c r="G12" s="286">
        <f t="shared" si="7"/>
        <v>0</v>
      </c>
      <c r="H12" s="286">
        <f t="shared" si="7"/>
        <v>0</v>
      </c>
      <c r="I12" s="286">
        <f t="shared" si="7"/>
        <v>860</v>
      </c>
      <c r="J12" s="315">
        <f t="shared" si="7"/>
        <v>0</v>
      </c>
      <c r="K12" s="315">
        <f t="shared" si="7"/>
        <v>0</v>
      </c>
      <c r="L12" s="286">
        <f t="shared" si="7"/>
        <v>3885</v>
      </c>
      <c r="M12" s="286">
        <f t="shared" si="7"/>
        <v>0</v>
      </c>
      <c r="N12" s="286">
        <f t="shared" si="7"/>
        <v>0</v>
      </c>
      <c r="O12" s="286">
        <f t="shared" si="7"/>
        <v>0</v>
      </c>
      <c r="P12" s="308">
        <f t="shared" si="7"/>
        <v>0</v>
      </c>
      <c r="Q12" s="286">
        <f t="shared" si="7"/>
        <v>10107</v>
      </c>
      <c r="R12" s="286">
        <f t="shared" si="7"/>
        <v>0</v>
      </c>
      <c r="S12" s="286">
        <f t="shared" si="7"/>
        <v>0</v>
      </c>
      <c r="T12" s="286">
        <f t="shared" si="7"/>
        <v>0</v>
      </c>
      <c r="U12" s="286">
        <f t="shared" si="7"/>
        <v>0</v>
      </c>
      <c r="V12" s="286">
        <f t="shared" si="7"/>
        <v>2626</v>
      </c>
      <c r="W12" s="286">
        <f t="shared" si="7"/>
        <v>0</v>
      </c>
      <c r="X12" s="286">
        <f t="shared" si="7"/>
        <v>2684</v>
      </c>
      <c r="Y12" s="286">
        <f t="shared" si="7"/>
        <v>0</v>
      </c>
      <c r="Z12" s="286">
        <f t="shared" si="7"/>
        <v>860</v>
      </c>
      <c r="AA12" s="286">
        <f t="shared" si="7"/>
        <v>0</v>
      </c>
      <c r="AB12" s="286">
        <f t="shared" si="7"/>
        <v>0</v>
      </c>
      <c r="AC12" s="286">
        <f t="shared" si="7"/>
        <v>860</v>
      </c>
      <c r="AD12" s="286">
        <f t="shared" si="7"/>
        <v>2197</v>
      </c>
      <c r="AE12" s="286">
        <f t="shared" si="7"/>
        <v>0</v>
      </c>
      <c r="AF12" s="286">
        <f t="shared" si="7"/>
        <v>6068</v>
      </c>
      <c r="AG12" s="286">
        <f t="shared" si="7"/>
        <v>16366</v>
      </c>
      <c r="AH12" s="215"/>
    </row>
    <row r="13" spans="1:36" x14ac:dyDescent="0.2">
      <c r="A13" s="1"/>
      <c r="B13" s="215" t="s">
        <v>691</v>
      </c>
      <c r="C13" s="286">
        <f>C299</f>
        <v>5000</v>
      </c>
      <c r="D13" s="286">
        <f t="shared" ref="D13:AG13" si="8">D299</f>
        <v>0</v>
      </c>
      <c r="E13" s="286">
        <f t="shared" si="8"/>
        <v>4125</v>
      </c>
      <c r="F13" s="286">
        <f t="shared" si="8"/>
        <v>4907</v>
      </c>
      <c r="G13" s="286">
        <f t="shared" si="8"/>
        <v>4857</v>
      </c>
      <c r="H13" s="286">
        <f t="shared" si="8"/>
        <v>3935</v>
      </c>
      <c r="I13" s="286">
        <f t="shared" si="8"/>
        <v>6423</v>
      </c>
      <c r="J13" s="315">
        <f t="shared" si="8"/>
        <v>2618</v>
      </c>
      <c r="K13" s="315">
        <f t="shared" si="8"/>
        <v>0</v>
      </c>
      <c r="L13" s="286">
        <f t="shared" si="8"/>
        <v>11091</v>
      </c>
      <c r="M13" s="286">
        <f t="shared" si="8"/>
        <v>0</v>
      </c>
      <c r="N13" s="286">
        <f t="shared" si="8"/>
        <v>1170</v>
      </c>
      <c r="O13" s="286">
        <f t="shared" si="8"/>
        <v>6924</v>
      </c>
      <c r="P13" s="308">
        <f t="shared" si="8"/>
        <v>4025</v>
      </c>
      <c r="Q13" s="286">
        <f t="shared" si="8"/>
        <v>17531</v>
      </c>
      <c r="R13" s="286">
        <f t="shared" si="8"/>
        <v>0</v>
      </c>
      <c r="S13" s="286">
        <f t="shared" si="8"/>
        <v>5105</v>
      </c>
      <c r="T13" s="286">
        <f t="shared" si="8"/>
        <v>0</v>
      </c>
      <c r="U13" s="286">
        <f t="shared" si="8"/>
        <v>1665</v>
      </c>
      <c r="V13" s="286">
        <f t="shared" si="8"/>
        <v>9978</v>
      </c>
      <c r="W13" s="286">
        <f t="shared" si="8"/>
        <v>2710</v>
      </c>
      <c r="X13" s="286">
        <f t="shared" si="8"/>
        <v>1126</v>
      </c>
      <c r="Y13" s="286">
        <f t="shared" si="8"/>
        <v>0</v>
      </c>
      <c r="Z13" s="286">
        <f t="shared" si="8"/>
        <v>2433</v>
      </c>
      <c r="AA13" s="286">
        <f t="shared" si="8"/>
        <v>9041</v>
      </c>
      <c r="AB13" s="286">
        <f t="shared" si="8"/>
        <v>3090</v>
      </c>
      <c r="AC13" s="286">
        <f t="shared" si="8"/>
        <v>1407</v>
      </c>
      <c r="AD13" s="286">
        <f t="shared" si="8"/>
        <v>2350</v>
      </c>
      <c r="AE13" s="286">
        <f t="shared" si="8"/>
        <v>0</v>
      </c>
      <c r="AF13" s="286">
        <f t="shared" si="8"/>
        <v>15429</v>
      </c>
      <c r="AG13" s="286">
        <f t="shared" si="8"/>
        <v>34362</v>
      </c>
      <c r="AH13" s="215"/>
    </row>
    <row r="14" spans="1:36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-163431.64399999997</v>
      </c>
    </row>
    <row r="15" spans="1:36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902"/>
      <c r="AI15" s="483"/>
    </row>
    <row r="16" spans="1:36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902"/>
      <c r="AI16" s="483"/>
    </row>
    <row r="17" spans="1:35" x14ac:dyDescent="0.2">
      <c r="A17" s="265"/>
      <c r="B17" s="266" t="s">
        <v>37</v>
      </c>
      <c r="C17" s="266"/>
      <c r="D17" s="266"/>
      <c r="E17" s="267" t="s">
        <v>837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902"/>
      <c r="AI17" s="483"/>
    </row>
    <row r="18" spans="1:35" x14ac:dyDescent="0.2">
      <c r="A18" s="265"/>
      <c r="B18" s="266"/>
      <c r="C18" s="266"/>
      <c r="D18" s="268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308"/>
    </row>
    <row r="19" spans="1:35" x14ac:dyDescent="0.2">
      <c r="A19" s="769"/>
      <c r="B19" s="268"/>
      <c r="C19" s="268"/>
      <c r="D19" s="267">
        <v>42275</v>
      </c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5" x14ac:dyDescent="0.2">
      <c r="A20" s="769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5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5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5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5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5" x14ac:dyDescent="0.2">
      <c r="A25" s="265" t="s">
        <v>0</v>
      </c>
      <c r="B25" s="274">
        <v>-392058.67599999998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5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5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5" x14ac:dyDescent="0.2">
      <c r="A28" s="265" t="s">
        <v>1</v>
      </c>
      <c r="B28" s="274">
        <f>B29+B30+B31</f>
        <v>0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5" x14ac:dyDescent="0.2">
      <c r="A29" s="265" t="s">
        <v>38</v>
      </c>
      <c r="B29" s="274">
        <f>C82</f>
        <v>0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5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5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5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x14ac:dyDescent="0.2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x14ac:dyDescent="0.2">
      <c r="A34" s="265" t="s">
        <v>4</v>
      </c>
      <c r="B34" s="274">
        <f>B25+B28</f>
        <v>-392058.67599999998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3.5" thickBot="1" x14ac:dyDescent="0.25">
      <c r="A35" s="275"/>
      <c r="B35" s="27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15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15"/>
    </row>
    <row r="37" spans="1:40" x14ac:dyDescent="0.2">
      <c r="A37" s="265" t="s">
        <v>913</v>
      </c>
      <c r="B37" s="274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15"/>
    </row>
    <row r="38" spans="1:40" ht="13.5" thickBot="1" x14ac:dyDescent="0.25">
      <c r="A38" s="275"/>
      <c r="B38" s="276"/>
      <c r="C38" s="266"/>
      <c r="D38" s="266"/>
      <c r="E38" s="269"/>
      <c r="F38" s="266"/>
      <c r="G38" s="266"/>
      <c r="H38" s="269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15"/>
    </row>
    <row r="39" spans="1:40" x14ac:dyDescent="0.2">
      <c r="A39" s="263"/>
      <c r="B39" s="278"/>
      <c r="C39" s="269"/>
      <c r="D39" s="269"/>
      <c r="E39" s="269"/>
      <c r="F39" s="934"/>
      <c r="G39" s="267"/>
      <c r="H39" s="269" t="s">
        <v>250</v>
      </c>
      <c r="I39" s="266"/>
      <c r="J39" s="266"/>
      <c r="K39" s="266"/>
      <c r="L39" s="266"/>
      <c r="M39" s="266"/>
      <c r="N39" s="266"/>
      <c r="O39" s="330"/>
      <c r="P39" s="281"/>
      <c r="Q39" s="707"/>
      <c r="R39" s="266"/>
      <c r="S39" s="269"/>
      <c r="T39" s="266"/>
      <c r="U39" s="280"/>
      <c r="V39" s="280"/>
      <c r="W39" s="280"/>
      <c r="X39" s="280"/>
      <c r="Y39" s="280"/>
      <c r="Z39" s="280"/>
      <c r="AA39" s="407"/>
      <c r="AB39" s="280"/>
      <c r="AC39" s="280"/>
      <c r="AD39" s="280"/>
      <c r="AE39" s="280"/>
      <c r="AF39" s="280"/>
      <c r="AG39" s="280"/>
      <c r="AH39" s="215"/>
    </row>
    <row r="40" spans="1:40" x14ac:dyDescent="0.2">
      <c r="A40" s="265" t="s">
        <v>5</v>
      </c>
      <c r="B40" s="274">
        <f>B34-B37</f>
        <v>-392058.67599999998</v>
      </c>
      <c r="C40" s="483"/>
      <c r="D40" s="269"/>
      <c r="E40" s="269" t="s">
        <v>1042</v>
      </c>
      <c r="F40" s="269" t="s">
        <v>1038</v>
      </c>
      <c r="G40" s="269" t="s">
        <v>1043</v>
      </c>
      <c r="H40" s="269" t="s">
        <v>293</v>
      </c>
      <c r="I40" s="269"/>
      <c r="J40" s="269"/>
      <c r="K40" s="269"/>
      <c r="L40" s="568"/>
      <c r="M40" s="281"/>
      <c r="N40" s="281"/>
      <c r="O40" s="269"/>
      <c r="P40" s="281" t="s">
        <v>1048</v>
      </c>
      <c r="Q40" s="568"/>
      <c r="R40" s="269"/>
      <c r="S40" s="281"/>
      <c r="T40" s="281"/>
      <c r="U40" s="281"/>
      <c r="V40" s="269"/>
      <c r="W40" s="281"/>
      <c r="X40" s="269"/>
      <c r="Y40" s="281"/>
      <c r="Z40" s="281"/>
      <c r="AA40" s="407"/>
      <c r="AB40" s="281"/>
      <c r="AC40" s="942"/>
      <c r="AD40" s="407"/>
      <c r="AE40" s="407"/>
      <c r="AF40" s="281"/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</f>
        <v>0</v>
      </c>
      <c r="D43" s="288">
        <f t="shared" ref="D43:AG43" si="10">D44+D45+D48+D52+D51+D49+D50+D46+D47</f>
        <v>0</v>
      </c>
      <c r="E43" s="288">
        <f t="shared" si="10"/>
        <v>886</v>
      </c>
      <c r="F43" s="288">
        <f t="shared" si="10"/>
        <v>0</v>
      </c>
      <c r="G43" s="288">
        <f t="shared" si="10"/>
        <v>874.5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0</v>
      </c>
      <c r="M43" s="288">
        <f t="shared" si="10"/>
        <v>0</v>
      </c>
      <c r="N43" s="288">
        <f t="shared" si="10"/>
        <v>0</v>
      </c>
      <c r="O43" s="288">
        <f t="shared" si="10"/>
        <v>0</v>
      </c>
      <c r="P43" s="865">
        <f>P44+P45+P48+P52+P51+P49+P50+P46+P47</f>
        <v>985.30799999999954</v>
      </c>
      <c r="Q43" s="288">
        <f t="shared" si="10"/>
        <v>0</v>
      </c>
      <c r="R43" s="288">
        <f t="shared" si="10"/>
        <v>0</v>
      </c>
      <c r="S43" s="288">
        <f t="shared" si="10"/>
        <v>0</v>
      </c>
      <c r="T43" s="288">
        <f t="shared" si="10"/>
        <v>0</v>
      </c>
      <c r="U43" s="288">
        <f t="shared" si="10"/>
        <v>0</v>
      </c>
      <c r="V43" s="288">
        <f t="shared" si="10"/>
        <v>0</v>
      </c>
      <c r="W43" s="288">
        <f t="shared" si="10"/>
        <v>0</v>
      </c>
      <c r="X43" s="288">
        <f t="shared" si="10"/>
        <v>0</v>
      </c>
      <c r="Y43" s="288">
        <f t="shared" si="10"/>
        <v>0</v>
      </c>
      <c r="Z43" s="288">
        <f t="shared" si="10"/>
        <v>0</v>
      </c>
      <c r="AA43" s="288">
        <f t="shared" si="10"/>
        <v>0</v>
      </c>
      <c r="AB43" s="288">
        <f t="shared" si="10"/>
        <v>0</v>
      </c>
      <c r="AC43" s="288">
        <f t="shared" si="10"/>
        <v>0</v>
      </c>
      <c r="AD43" s="288">
        <f t="shared" si="10"/>
        <v>0</v>
      </c>
      <c r="AE43" s="288">
        <f t="shared" si="10"/>
        <v>0</v>
      </c>
      <c r="AF43" s="288">
        <f t="shared" si="10"/>
        <v>0</v>
      </c>
      <c r="AG43" s="288">
        <f t="shared" si="10"/>
        <v>0</v>
      </c>
      <c r="AH43" s="286">
        <f t="shared" si="9"/>
        <v>2745.8079999999995</v>
      </c>
    </row>
    <row r="44" spans="1:40" x14ac:dyDescent="0.2">
      <c r="A44" s="287" t="s">
        <v>8</v>
      </c>
      <c r="B44" s="266"/>
      <c r="C44" s="289"/>
      <c r="D44" s="290"/>
      <c r="E44" s="291"/>
      <c r="F44" s="290"/>
      <c r="G44" s="295"/>
      <c r="H44" s="290"/>
      <c r="I44" s="290"/>
      <c r="J44" s="290"/>
      <c r="K44" s="290"/>
      <c r="L44" s="295"/>
      <c r="M44" s="292"/>
      <c r="N44" s="292"/>
      <c r="O44" s="295"/>
      <c r="P44" s="292"/>
      <c r="Q44" s="295"/>
      <c r="R44" s="295"/>
      <c r="S44" s="295"/>
      <c r="T44" s="295"/>
      <c r="U44" s="581"/>
      <c r="V44" s="295"/>
      <c r="W44" s="295"/>
      <c r="X44" s="295"/>
      <c r="Y44" s="581"/>
      <c r="Z44" s="295"/>
      <c r="AA44" s="295"/>
      <c r="AB44" s="295"/>
      <c r="AC44" s="581"/>
      <c r="AD44" s="295"/>
      <c r="AE44" s="295"/>
      <c r="AF44" s="295"/>
      <c r="AG44" s="295"/>
      <c r="AH44" s="286">
        <f t="shared" si="9"/>
        <v>0</v>
      </c>
      <c r="AN44" s="25">
        <v>9918.1650000000009</v>
      </c>
    </row>
    <row r="45" spans="1:40" x14ac:dyDescent="0.2">
      <c r="A45" s="287" t="s">
        <v>703</v>
      </c>
      <c r="B45" s="266"/>
      <c r="C45" s="291"/>
      <c r="D45" s="290"/>
      <c r="E45" s="291">
        <v>886</v>
      </c>
      <c r="F45" s="290"/>
      <c r="G45" s="290">
        <f>22495-1970.5-14000-5650</f>
        <v>874.5</v>
      </c>
      <c r="H45" s="290"/>
      <c r="I45" s="290"/>
      <c r="J45" s="290"/>
      <c r="K45" s="290"/>
      <c r="L45" s="295"/>
      <c r="M45" s="290"/>
      <c r="N45" s="290"/>
      <c r="O45" s="295"/>
      <c r="P45" s="292">
        <f>12698-4343.305-3795.34-3574.047</f>
        <v>985.30799999999954</v>
      </c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86">
        <f>SUM(C45:AG45)</f>
        <v>2745.8079999999995</v>
      </c>
      <c r="AI45" s="42">
        <f>+AH45+AH44</f>
        <v>2745.8079999999995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291"/>
      <c r="F46" s="290"/>
      <c r="G46" s="290"/>
      <c r="H46" s="290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86">
        <f t="shared" si="9"/>
        <v>0</v>
      </c>
      <c r="AN46" s="25"/>
    </row>
    <row r="47" spans="1:40" x14ac:dyDescent="0.2">
      <c r="A47" s="287" t="s">
        <v>705</v>
      </c>
      <c r="B47" s="266"/>
      <c r="C47" s="291"/>
      <c r="D47" s="290"/>
      <c r="E47" s="291"/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2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86">
        <f t="shared" si="9"/>
        <v>0</v>
      </c>
      <c r="AN47" s="25"/>
    </row>
    <row r="48" spans="1:40" s="360" customFormat="1" x14ac:dyDescent="0.2">
      <c r="A48" s="662" t="s">
        <v>10</v>
      </c>
      <c r="B48" s="663"/>
      <c r="C48" s="664"/>
      <c r="D48" s="380"/>
      <c r="E48" s="664"/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560"/>
      <c r="Q48" s="380"/>
      <c r="R48" s="380"/>
      <c r="S48" s="380"/>
      <c r="T48" s="380"/>
      <c r="U48" s="380"/>
      <c r="V48" s="665"/>
      <c r="W48" s="380"/>
      <c r="X48" s="380"/>
      <c r="Y48" s="380"/>
      <c r="Z48" s="380"/>
      <c r="AA48" s="560"/>
      <c r="AB48" s="380"/>
      <c r="AC48" s="708"/>
      <c r="AD48" s="380"/>
      <c r="AE48" s="380"/>
      <c r="AF48" s="380"/>
      <c r="AG48" s="380"/>
      <c r="AH48" s="379">
        <f t="shared" si="9"/>
        <v>0</v>
      </c>
      <c r="AI48" s="666"/>
      <c r="AN48" s="667">
        <v>6347.85</v>
      </c>
    </row>
    <row r="49" spans="1:40" s="360" customFormat="1" x14ac:dyDescent="0.2">
      <c r="A49" s="662" t="s">
        <v>356</v>
      </c>
      <c r="B49" s="668"/>
      <c r="C49" s="565"/>
      <c r="D49" s="380"/>
      <c r="E49" s="565"/>
      <c r="F49" s="560"/>
      <c r="G49" s="560"/>
      <c r="H49" s="560"/>
      <c r="I49" s="560"/>
      <c r="J49" s="560"/>
      <c r="K49" s="560"/>
      <c r="L49" s="560"/>
      <c r="M49" s="560"/>
      <c r="N49" s="38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379">
        <f t="shared" si="9"/>
        <v>0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0"/>
      <c r="AG50" s="290"/>
      <c r="AH50" s="286">
        <f t="shared" si="9"/>
        <v>0</v>
      </c>
      <c r="AN50" s="25">
        <v>2246.556</v>
      </c>
    </row>
    <row r="51" spans="1:40" x14ac:dyDescent="0.2">
      <c r="A51" s="287" t="s">
        <v>41</v>
      </c>
      <c r="B51" s="266"/>
      <c r="C51" s="289"/>
      <c r="D51" s="291"/>
      <c r="E51" s="362"/>
      <c r="F51" s="290"/>
      <c r="G51" s="295"/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/>
      <c r="AG51" s="290"/>
      <c r="AH51" s="286">
        <f t="shared" si="9"/>
        <v>0</v>
      </c>
      <c r="AN51" s="25"/>
    </row>
    <row r="52" spans="1:40" x14ac:dyDescent="0.2">
      <c r="A52" s="287" t="s">
        <v>11</v>
      </c>
      <c r="B52" s="266"/>
      <c r="C52" s="289"/>
      <c r="D52" s="289"/>
      <c r="E52" s="289"/>
      <c r="F52" s="754"/>
      <c r="G52" s="292"/>
      <c r="H52" s="292"/>
      <c r="I52" s="292"/>
      <c r="J52" s="754"/>
      <c r="K52" s="292"/>
      <c r="L52" s="292"/>
      <c r="M52" s="292"/>
      <c r="N52" s="754"/>
      <c r="O52" s="292"/>
      <c r="P52" s="292"/>
      <c r="Q52" s="292"/>
      <c r="R52" s="292"/>
      <c r="S52" s="292"/>
      <c r="T52" s="292"/>
      <c r="U52" s="292"/>
      <c r="V52" s="455"/>
      <c r="W52" s="292"/>
      <c r="X52" s="292"/>
      <c r="Y52" s="292"/>
      <c r="Z52" s="292"/>
      <c r="AA52" s="295"/>
      <c r="AB52" s="295"/>
      <c r="AC52" s="295"/>
      <c r="AD52" s="295"/>
      <c r="AE52" s="292"/>
      <c r="AF52" s="292"/>
      <c r="AG52" s="292"/>
      <c r="AH52" s="286">
        <f t="shared" si="9"/>
        <v>0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2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5"/>
      <c r="AC53" s="295"/>
      <c r="AD53" s="290"/>
      <c r="AE53" s="290"/>
      <c r="AF53" s="290"/>
      <c r="AG53" s="290"/>
      <c r="AH53" s="286">
        <f t="shared" si="9"/>
        <v>0</v>
      </c>
      <c r="AI53" s="42"/>
      <c r="AJ53" s="360"/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/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288"/>
      <c r="N55" s="288"/>
      <c r="O55" s="288"/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 t="shared" si="11"/>
        <v>0</v>
      </c>
      <c r="T55" s="288">
        <f t="shared" si="11"/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N56" s="25">
        <v>673.17700000000002</v>
      </c>
    </row>
    <row r="57" spans="1:40" x14ac:dyDescent="0.2">
      <c r="A57" s="287" t="s">
        <v>215</v>
      </c>
      <c r="B57" s="266"/>
      <c r="C57" s="289">
        <v>2000</v>
      </c>
      <c r="D57" s="291"/>
      <c r="E57" s="362">
        <v>4240</v>
      </c>
      <c r="F57" s="290">
        <v>2000</v>
      </c>
      <c r="G57" s="295">
        <v>10109</v>
      </c>
      <c r="H57" s="292">
        <v>7486</v>
      </c>
      <c r="I57" s="290">
        <v>860</v>
      </c>
      <c r="J57" s="290">
        <v>4727</v>
      </c>
      <c r="K57" s="290">
        <v>1470</v>
      </c>
      <c r="L57" s="290">
        <v>25619</v>
      </c>
      <c r="M57" s="290">
        <v>1080</v>
      </c>
      <c r="N57" s="290">
        <v>3469</v>
      </c>
      <c r="O57" s="290">
        <v>2000</v>
      </c>
      <c r="P57" s="292">
        <v>830</v>
      </c>
      <c r="Q57" s="290">
        <v>39819</v>
      </c>
      <c r="R57" s="290">
        <v>2000</v>
      </c>
      <c r="S57" s="290">
        <v>4351</v>
      </c>
      <c r="T57" s="290">
        <v>9214</v>
      </c>
      <c r="U57" s="290">
        <v>1981</v>
      </c>
      <c r="V57" s="290">
        <v>20837</v>
      </c>
      <c r="W57" s="290">
        <v>2469</v>
      </c>
      <c r="X57" s="290">
        <v>11359</v>
      </c>
      <c r="Y57" s="290">
        <v>3000</v>
      </c>
      <c r="Z57" s="290">
        <v>16849</v>
      </c>
      <c r="AA57" s="292">
        <v>13154</v>
      </c>
      <c r="AB57" s="290">
        <v>3098</v>
      </c>
      <c r="AC57" s="290">
        <v>3753</v>
      </c>
      <c r="AD57" s="290">
        <v>3722</v>
      </c>
      <c r="AE57" s="290">
        <v>6487</v>
      </c>
      <c r="AF57" s="290">
        <v>17445</v>
      </c>
      <c r="AG57" s="290">
        <v>68109</v>
      </c>
      <c r="AH57" s="286">
        <f t="shared" si="9"/>
        <v>293537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N59" s="25">
        <v>1850.7819999999999</v>
      </c>
    </row>
    <row r="60" spans="1:40" x14ac:dyDescent="0.2">
      <c r="A60" s="287" t="s">
        <v>915</v>
      </c>
      <c r="B60" s="266"/>
      <c r="C60" s="300">
        <f t="shared" ref="C60:AG60" si="12">C55-C43</f>
        <v>0</v>
      </c>
      <c r="D60" s="300">
        <f t="shared" si="12"/>
        <v>0</v>
      </c>
      <c r="E60" s="300">
        <f t="shared" si="12"/>
        <v>-886</v>
      </c>
      <c r="F60" s="300">
        <f t="shared" si="12"/>
        <v>0</v>
      </c>
      <c r="G60" s="300">
        <f t="shared" si="12"/>
        <v>-874.5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0</v>
      </c>
      <c r="M60" s="300">
        <f t="shared" si="12"/>
        <v>0</v>
      </c>
      <c r="N60" s="300">
        <f t="shared" si="12"/>
        <v>0</v>
      </c>
      <c r="O60" s="300">
        <f t="shared" si="12"/>
        <v>0</v>
      </c>
      <c r="P60" s="867">
        <f t="shared" si="12"/>
        <v>-985.30799999999954</v>
      </c>
      <c r="Q60" s="300">
        <f t="shared" si="12"/>
        <v>0</v>
      </c>
      <c r="R60" s="300">
        <f t="shared" si="12"/>
        <v>0</v>
      </c>
      <c r="S60" s="300">
        <f t="shared" si="12"/>
        <v>0</v>
      </c>
      <c r="T60" s="300">
        <f t="shared" si="12"/>
        <v>0</v>
      </c>
      <c r="U60" s="300">
        <f t="shared" si="12"/>
        <v>0</v>
      </c>
      <c r="V60" s="300">
        <f t="shared" si="12"/>
        <v>0</v>
      </c>
      <c r="W60" s="300">
        <f t="shared" si="12"/>
        <v>0</v>
      </c>
      <c r="X60" s="300">
        <f t="shared" si="12"/>
        <v>0</v>
      </c>
      <c r="Y60" s="300">
        <f t="shared" si="12"/>
        <v>0</v>
      </c>
      <c r="Z60" s="300">
        <f t="shared" si="12"/>
        <v>0</v>
      </c>
      <c r="AA60" s="300">
        <f t="shared" si="12"/>
        <v>0</v>
      </c>
      <c r="AB60" s="300">
        <f t="shared" si="12"/>
        <v>0</v>
      </c>
      <c r="AC60" s="300">
        <f t="shared" si="12"/>
        <v>0</v>
      </c>
      <c r="AD60" s="300">
        <f t="shared" si="12"/>
        <v>0</v>
      </c>
      <c r="AE60" s="300">
        <f t="shared" si="12"/>
        <v>0</v>
      </c>
      <c r="AF60" s="300">
        <f t="shared" si="12"/>
        <v>0</v>
      </c>
      <c r="AG60" s="300">
        <f t="shared" si="12"/>
        <v>0</v>
      </c>
      <c r="AH60" s="215"/>
      <c r="AL60" s="42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-392058.67599999998</v>
      </c>
      <c r="D63" s="291">
        <f>C70+D60</f>
        <v>-392058.67599999998</v>
      </c>
      <c r="E63" s="291">
        <f t="shared" ref="E63:AG63" si="13">D70+E60</f>
        <v>-392944.67599999998</v>
      </c>
      <c r="F63" s="291">
        <f t="shared" si="13"/>
        <v>-392944.67599999998</v>
      </c>
      <c r="G63" s="291">
        <f t="shared" si="13"/>
        <v>-393819.17599999998</v>
      </c>
      <c r="H63" s="291">
        <f t="shared" si="13"/>
        <v>-393819.17599999998</v>
      </c>
      <c r="I63" s="291">
        <f t="shared" si="13"/>
        <v>-393819.17599999998</v>
      </c>
      <c r="J63" s="291">
        <f t="shared" si="13"/>
        <v>-393819.17599999998</v>
      </c>
      <c r="K63" s="291">
        <f t="shared" si="13"/>
        <v>-393819.17599999998</v>
      </c>
      <c r="L63" s="291">
        <f t="shared" si="13"/>
        <v>-393819.17599999998</v>
      </c>
      <c r="M63" s="291">
        <f t="shared" si="13"/>
        <v>-393819.17599999998</v>
      </c>
      <c r="N63" s="291">
        <f t="shared" si="13"/>
        <v>-393819.17599999998</v>
      </c>
      <c r="O63" s="291">
        <f t="shared" si="13"/>
        <v>-393819.17599999998</v>
      </c>
      <c r="P63" s="289">
        <f>O70+P60</f>
        <v>-394804.484</v>
      </c>
      <c r="Q63" s="291">
        <f t="shared" si="13"/>
        <v>-394804.484</v>
      </c>
      <c r="R63" s="291">
        <f t="shared" si="13"/>
        <v>-394804.484</v>
      </c>
      <c r="S63" s="291">
        <f t="shared" si="13"/>
        <v>-394804.484</v>
      </c>
      <c r="T63" s="291">
        <f t="shared" si="13"/>
        <v>-394804.484</v>
      </c>
      <c r="U63" s="291">
        <f t="shared" si="13"/>
        <v>-394804.484</v>
      </c>
      <c r="V63" s="291">
        <f t="shared" si="13"/>
        <v>-394804.484</v>
      </c>
      <c r="W63" s="291">
        <f t="shared" si="13"/>
        <v>-394804.484</v>
      </c>
      <c r="X63" s="291">
        <f t="shared" si="13"/>
        <v>-394804.484</v>
      </c>
      <c r="Y63" s="291">
        <f t="shared" si="13"/>
        <v>-394804.484</v>
      </c>
      <c r="Z63" s="291">
        <f t="shared" si="13"/>
        <v>-394804.484</v>
      </c>
      <c r="AA63" s="291">
        <f t="shared" si="13"/>
        <v>-394804.484</v>
      </c>
      <c r="AB63" s="291">
        <f t="shared" si="13"/>
        <v>-394804.484</v>
      </c>
      <c r="AC63" s="291">
        <f t="shared" si="13"/>
        <v>-394804.484</v>
      </c>
      <c r="AD63" s="291">
        <f t="shared" si="13"/>
        <v>-394804.484</v>
      </c>
      <c r="AE63" s="291">
        <f t="shared" si="13"/>
        <v>-394804.484</v>
      </c>
      <c r="AF63" s="291">
        <f t="shared" si="13"/>
        <v>-394804.484</v>
      </c>
      <c r="AG63" s="291">
        <f t="shared" si="13"/>
        <v>-394804.484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-392058.67599999998</v>
      </c>
      <c r="D70" s="291">
        <f t="shared" ref="D70:AG70" si="15">D63+D66+D67</f>
        <v>-392058.67599999998</v>
      </c>
      <c r="E70" s="291">
        <f t="shared" si="15"/>
        <v>-392944.67599999998</v>
      </c>
      <c r="F70" s="291">
        <f t="shared" si="15"/>
        <v>-392944.67599999998</v>
      </c>
      <c r="G70" s="291">
        <f t="shared" si="15"/>
        <v>-393819.17599999998</v>
      </c>
      <c r="H70" s="291">
        <f t="shared" si="15"/>
        <v>-393819.17599999998</v>
      </c>
      <c r="I70" s="291">
        <f t="shared" si="15"/>
        <v>-393819.17599999998</v>
      </c>
      <c r="J70" s="291">
        <f t="shared" si="15"/>
        <v>-393819.17599999998</v>
      </c>
      <c r="K70" s="291">
        <f t="shared" si="15"/>
        <v>-393819.17599999998</v>
      </c>
      <c r="L70" s="291">
        <f t="shared" si="15"/>
        <v>-393819.17599999998</v>
      </c>
      <c r="M70" s="291">
        <f t="shared" si="15"/>
        <v>-393819.17599999998</v>
      </c>
      <c r="N70" s="291">
        <f t="shared" si="15"/>
        <v>-393819.17599999998</v>
      </c>
      <c r="O70" s="291">
        <f t="shared" si="15"/>
        <v>-393819.17599999998</v>
      </c>
      <c r="P70" s="289">
        <f>P63+P66+P67</f>
        <v>-394804.484</v>
      </c>
      <c r="Q70" s="291">
        <f t="shared" si="15"/>
        <v>-394804.484</v>
      </c>
      <c r="R70" s="291">
        <f t="shared" si="15"/>
        <v>-394804.484</v>
      </c>
      <c r="S70" s="291">
        <f t="shared" si="15"/>
        <v>-394804.484</v>
      </c>
      <c r="T70" s="291">
        <f t="shared" si="15"/>
        <v>-394804.484</v>
      </c>
      <c r="U70" s="291">
        <f t="shared" si="15"/>
        <v>-394804.484</v>
      </c>
      <c r="V70" s="291">
        <f t="shared" si="15"/>
        <v>-394804.484</v>
      </c>
      <c r="W70" s="291">
        <f t="shared" si="15"/>
        <v>-394804.484</v>
      </c>
      <c r="X70" s="291">
        <f t="shared" si="15"/>
        <v>-394804.484</v>
      </c>
      <c r="Y70" s="291">
        <f t="shared" si="15"/>
        <v>-394804.484</v>
      </c>
      <c r="Z70" s="291">
        <f t="shared" si="15"/>
        <v>-394804.484</v>
      </c>
      <c r="AA70" s="291">
        <f t="shared" si="15"/>
        <v>-394804.484</v>
      </c>
      <c r="AB70" s="291">
        <f t="shared" si="15"/>
        <v>-394804.484</v>
      </c>
      <c r="AC70" s="291">
        <f t="shared" si="15"/>
        <v>-394804.484</v>
      </c>
      <c r="AD70" s="291">
        <f t="shared" si="15"/>
        <v>-394804.484</v>
      </c>
      <c r="AE70" s="291">
        <f t="shared" si="15"/>
        <v>-394804.484</v>
      </c>
      <c r="AF70" s="291">
        <f t="shared" si="15"/>
        <v>-394804.484</v>
      </c>
      <c r="AG70" s="291">
        <f t="shared" si="15"/>
        <v>-394804.484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5"/>
      <c r="E74" s="290"/>
      <c r="F74" s="295"/>
      <c r="G74" s="295"/>
      <c r="H74" s="295">
        <f>+D51</f>
        <v>0</v>
      </c>
      <c r="I74" s="295"/>
      <c r="J74" s="295"/>
      <c r="K74" s="295"/>
      <c r="L74" s="295"/>
      <c r="M74" s="295"/>
      <c r="N74" s="295"/>
      <c r="O74" s="295">
        <f>+K51</f>
        <v>0</v>
      </c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>
        <f>+AB51</f>
        <v>0</v>
      </c>
      <c r="AG74" s="295"/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SUM(C84:C122)</f>
        <v>0</v>
      </c>
      <c r="D82" s="286"/>
      <c r="E82" s="470"/>
      <c r="F82" s="286"/>
      <c r="G82" s="317"/>
      <c r="H82" s="315"/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/>
      <c r="G83" s="319"/>
      <c r="H83" s="215"/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>
        <v>42258</v>
      </c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42243</v>
      </c>
      <c r="C85" s="318"/>
      <c r="D85" s="309"/>
      <c r="E85" s="215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42244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41673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42258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42242</v>
      </c>
      <c r="C89" s="501"/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42242</v>
      </c>
      <c r="C90" s="325"/>
      <c r="D90" s="323"/>
      <c r="E90" s="353"/>
      <c r="F90" s="215"/>
      <c r="G90" s="326"/>
      <c r="H90" s="215"/>
      <c r="I90" s="215"/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42243</v>
      </c>
      <c r="C91" s="325"/>
      <c r="D91" s="323"/>
      <c r="E91" s="323"/>
      <c r="F91" s="215"/>
      <c r="G91" s="326"/>
      <c r="H91" s="215"/>
      <c r="I91" s="215"/>
      <c r="J91" s="215"/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42243</v>
      </c>
      <c r="C92" s="323"/>
      <c r="D92" s="323"/>
      <c r="E92" s="323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42243</v>
      </c>
      <c r="C93" s="501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42244</v>
      </c>
      <c r="C94" s="325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42244</v>
      </c>
      <c r="C95" s="325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42244</v>
      </c>
      <c r="C96" s="325"/>
      <c r="D96" s="323"/>
      <c r="E96" s="323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>
        <v>42244</v>
      </c>
      <c r="C97" s="325"/>
      <c r="D97" s="323"/>
      <c r="E97" s="323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42244</v>
      </c>
      <c r="C98" s="325"/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42244</v>
      </c>
      <c r="C99" s="325"/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42244</v>
      </c>
      <c r="C100" s="325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42242</v>
      </c>
      <c r="C101" s="1063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42241</v>
      </c>
      <c r="C102" s="324"/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42240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42242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42241</v>
      </c>
      <c r="C105" s="324"/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42240</v>
      </c>
      <c r="C106" s="1049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320">
        <v>42227</v>
      </c>
      <c r="C107" s="1049"/>
      <c r="D107" s="323"/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/>
      <c r="B108" s="320">
        <v>42216</v>
      </c>
      <c r="C108" s="1049"/>
      <c r="D108" s="323"/>
      <c r="E108" s="323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  <c r="AP108" s="194"/>
    </row>
    <row r="109" spans="1:42" x14ac:dyDescent="0.2">
      <c r="A109" s="215" t="s">
        <v>436</v>
      </c>
      <c r="B109" s="320"/>
      <c r="C109" s="325"/>
      <c r="D109" s="323"/>
      <c r="E109" s="215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/>
    </row>
    <row r="110" spans="1:42" x14ac:dyDescent="0.2">
      <c r="A110" s="327" t="s">
        <v>33</v>
      </c>
      <c r="B110" s="320"/>
      <c r="C110" s="318"/>
      <c r="D110" s="323"/>
      <c r="E110" s="215"/>
      <c r="F110" s="215"/>
      <c r="G110" s="470"/>
      <c r="H110" s="323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  <c r="AN110" s="25">
        <v>222914.55799999999</v>
      </c>
    </row>
    <row r="111" spans="1:42" x14ac:dyDescent="0.2">
      <c r="A111" s="327" t="s">
        <v>33</v>
      </c>
      <c r="B111" s="320">
        <v>42235</v>
      </c>
      <c r="C111" s="318"/>
      <c r="D111" s="323"/>
      <c r="E111" s="318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</row>
    <row r="112" spans="1:42" x14ac:dyDescent="0.2">
      <c r="A112" s="327" t="s">
        <v>1036</v>
      </c>
      <c r="B112" s="320">
        <v>42228</v>
      </c>
      <c r="C112" s="318"/>
      <c r="D112" s="323"/>
      <c r="E112" s="320"/>
      <c r="F112" s="311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  <c r="AN112" s="194">
        <f>AN110-AN93</f>
        <v>55537.753999999957</v>
      </c>
    </row>
    <row r="113" spans="1:34" x14ac:dyDescent="0.2">
      <c r="A113" s="327" t="s">
        <v>1036</v>
      </c>
      <c r="B113" s="320">
        <v>42226</v>
      </c>
      <c r="C113" s="318"/>
      <c r="D113" s="215"/>
      <c r="E113" s="320"/>
      <c r="F113" s="311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33</v>
      </c>
      <c r="B114" s="320">
        <v>42241</v>
      </c>
      <c r="C114" s="318"/>
      <c r="D114" s="215"/>
      <c r="E114" s="215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33</v>
      </c>
      <c r="B115" s="320">
        <v>42236</v>
      </c>
      <c r="C115" s="318"/>
      <c r="D115" s="215"/>
      <c r="E115" s="323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32</v>
      </c>
      <c r="B116" s="320">
        <v>42242</v>
      </c>
      <c r="C116" s="318"/>
      <c r="D116" s="323"/>
      <c r="E116" s="323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33</v>
      </c>
      <c r="B117" s="320">
        <v>42242</v>
      </c>
      <c r="C117" s="318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32</v>
      </c>
      <c r="B118" s="320">
        <v>42243</v>
      </c>
      <c r="C118" s="318"/>
      <c r="D118" s="215"/>
      <c r="E118" s="323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33</v>
      </c>
      <c r="B119" s="320">
        <v>42243</v>
      </c>
      <c r="C119" s="318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327" t="s">
        <v>33</v>
      </c>
      <c r="B120" s="320">
        <v>42206</v>
      </c>
      <c r="C120" s="318"/>
      <c r="D120" s="215"/>
      <c r="E120" s="500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327" t="s">
        <v>32</v>
      </c>
      <c r="B121" s="320">
        <v>42244</v>
      </c>
      <c r="C121" s="316"/>
      <c r="D121" s="215"/>
      <c r="E121" s="323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310" t="s">
        <v>33</v>
      </c>
      <c r="B122" s="321">
        <v>42207</v>
      </c>
      <c r="C122" s="318"/>
      <c r="D122" s="215"/>
      <c r="E122" s="215"/>
      <c r="F122" s="215"/>
      <c r="G122" s="323"/>
      <c r="H122" s="323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62"/>
      <c r="D123" s="215"/>
      <c r="E123" s="215"/>
      <c r="F123" s="215"/>
      <c r="G123" s="323"/>
      <c r="H123" s="215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215"/>
      <c r="B124" s="320"/>
      <c r="C124" s="215"/>
      <c r="D124" s="215"/>
      <c r="E124" s="215"/>
      <c r="F124" s="215"/>
      <c r="G124" s="215"/>
      <c r="H124" s="316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215"/>
      <c r="B125" s="320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310"/>
      <c r="B126" s="320"/>
      <c r="C126" s="262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310"/>
      <c r="B127" s="320"/>
      <c r="C127" s="262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309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</row>
    <row r="132" spans="1:34" ht="13.5" thickBot="1" x14ac:dyDescent="0.25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309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</row>
    <row r="133" spans="1:34" x14ac:dyDescent="0.2">
      <c r="A133" s="263"/>
      <c r="B133" s="264"/>
      <c r="C133" s="264"/>
      <c r="D133" s="264"/>
      <c r="E133" s="264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860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15"/>
    </row>
    <row r="134" spans="1:34" x14ac:dyDescent="0.2">
      <c r="A134" s="265"/>
      <c r="B134" s="266" t="s">
        <v>37</v>
      </c>
      <c r="C134" s="266"/>
      <c r="D134" s="331" t="s">
        <v>70</v>
      </c>
      <c r="E134" s="267" t="s">
        <v>837</v>
      </c>
      <c r="F134" s="268" t="s">
        <v>95</v>
      </c>
      <c r="G134" s="269" t="s">
        <v>6</v>
      </c>
      <c r="H134" s="268"/>
      <c r="I134" s="268"/>
      <c r="J134" s="268"/>
      <c r="K134" s="268"/>
      <c r="L134" s="268"/>
      <c r="M134" s="268"/>
      <c r="N134" s="268"/>
      <c r="O134" s="268"/>
      <c r="P134" s="861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15"/>
    </row>
    <row r="135" spans="1:34" x14ac:dyDescent="0.2">
      <c r="A135" s="265"/>
      <c r="B135" s="266"/>
      <c r="C135" s="266"/>
      <c r="D135" s="268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x14ac:dyDescent="0.2">
      <c r="A136" s="328"/>
      <c r="B136" s="266"/>
      <c r="C136" s="268"/>
      <c r="D136" s="268">
        <v>42257</v>
      </c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x14ac:dyDescent="0.2">
      <c r="A137" s="265"/>
      <c r="B137" s="266"/>
      <c r="C137" s="268"/>
      <c r="D137" s="268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79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15"/>
    </row>
    <row r="138" spans="1:34" ht="13.5" thickBot="1" x14ac:dyDescent="0.25">
      <c r="A138" s="265"/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79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  <c r="AH138" s="215"/>
    </row>
    <row r="139" spans="1:34" ht="13.5" thickBot="1" x14ac:dyDescent="0.25">
      <c r="A139" s="265"/>
      <c r="B139" s="266"/>
      <c r="C139" s="270"/>
      <c r="D139" s="271" t="s">
        <v>16</v>
      </c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  <c r="O139" s="271"/>
      <c r="P139" s="862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15"/>
    </row>
    <row r="140" spans="1:34" ht="13.5" thickBot="1" x14ac:dyDescent="0.25">
      <c r="A140" s="265"/>
      <c r="B140" s="266"/>
      <c r="C140" s="272" t="s">
        <v>452</v>
      </c>
      <c r="D140" s="272" t="s">
        <v>453</v>
      </c>
      <c r="E140" s="272" t="s">
        <v>434</v>
      </c>
      <c r="F140" s="272" t="s">
        <v>390</v>
      </c>
      <c r="G140" s="272" t="s">
        <v>454</v>
      </c>
      <c r="H140" s="272" t="s">
        <v>455</v>
      </c>
      <c r="I140" s="272" t="s">
        <v>456</v>
      </c>
      <c r="J140" s="272" t="s">
        <v>457</v>
      </c>
      <c r="K140" s="272" t="s">
        <v>458</v>
      </c>
      <c r="L140" s="272" t="s">
        <v>216</v>
      </c>
      <c r="M140" s="272" t="s">
        <v>459</v>
      </c>
      <c r="N140" s="272" t="s">
        <v>297</v>
      </c>
      <c r="O140" s="272" t="s">
        <v>211</v>
      </c>
      <c r="P140" s="863" t="s">
        <v>270</v>
      </c>
      <c r="Q140" s="272">
        <v>15</v>
      </c>
      <c r="R140" s="272">
        <v>16</v>
      </c>
      <c r="S140" s="272" t="s">
        <v>461</v>
      </c>
      <c r="T140" s="272" t="s">
        <v>442</v>
      </c>
      <c r="U140" s="272" t="s">
        <v>462</v>
      </c>
      <c r="V140" s="272" t="s">
        <v>470</v>
      </c>
      <c r="W140" s="272" t="s">
        <v>471</v>
      </c>
      <c r="X140" s="272" t="s">
        <v>472</v>
      </c>
      <c r="Y140" s="272" t="s">
        <v>463</v>
      </c>
      <c r="Z140" s="272" t="s">
        <v>465</v>
      </c>
      <c r="AA140" s="272" t="s">
        <v>466</v>
      </c>
      <c r="AB140" s="272" t="s">
        <v>435</v>
      </c>
      <c r="AC140" s="272" t="s">
        <v>467</v>
      </c>
      <c r="AD140" s="272" t="s">
        <v>464</v>
      </c>
      <c r="AE140" s="272" t="s">
        <v>429</v>
      </c>
      <c r="AF140" s="272" t="s">
        <v>149</v>
      </c>
      <c r="AG140" s="272" t="s">
        <v>210</v>
      </c>
      <c r="AH140" s="215"/>
    </row>
    <row r="141" spans="1:34" x14ac:dyDescent="0.2">
      <c r="A141" s="263"/>
      <c r="B141" s="273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x14ac:dyDescent="0.2">
      <c r="A142" s="265" t="s">
        <v>0</v>
      </c>
      <c r="B142" s="274">
        <v>-18249.04</v>
      </c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ht="13.5" thickBot="1" x14ac:dyDescent="0.25">
      <c r="A143" s="275"/>
      <c r="B143" s="27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3"/>
      <c r="B144" s="278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1</v>
      </c>
      <c r="B145" s="274">
        <f>B146+B147+B148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38</v>
      </c>
      <c r="B146" s="274">
        <f>C196</f>
        <v>0</v>
      </c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x14ac:dyDescent="0.2">
      <c r="A147" s="265" t="s">
        <v>39</v>
      </c>
      <c r="B147" s="274">
        <f>C216</f>
        <v>0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x14ac:dyDescent="0.2">
      <c r="A148" s="265" t="s">
        <v>3</v>
      </c>
      <c r="B148" s="274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ht="13.5" thickBot="1" x14ac:dyDescent="0.25">
      <c r="A149" s="275"/>
      <c r="B149" s="27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x14ac:dyDescent="0.2">
      <c r="A150" s="263"/>
      <c r="B150" s="278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x14ac:dyDescent="0.2">
      <c r="A151" s="265" t="s">
        <v>4</v>
      </c>
      <c r="B151" s="274">
        <f>B142+B145</f>
        <v>-18249.04</v>
      </c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ht="13.5" thickBot="1" x14ac:dyDescent="0.25">
      <c r="A152" s="275"/>
      <c r="B152" s="276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x14ac:dyDescent="0.2">
      <c r="A153" s="263"/>
      <c r="B153" s="278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79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x14ac:dyDescent="0.2">
      <c r="A154" s="265" t="s">
        <v>17</v>
      </c>
      <c r="B154" s="274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15"/>
    </row>
    <row r="155" spans="1:34" ht="13.5" thickBot="1" x14ac:dyDescent="0.25">
      <c r="A155" s="275"/>
      <c r="B155" s="27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79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  <c r="AA155" s="266"/>
      <c r="AB155" s="266"/>
      <c r="AC155" s="266"/>
      <c r="AD155" s="266"/>
      <c r="AE155" s="266"/>
      <c r="AF155" s="266"/>
      <c r="AG155" s="266"/>
      <c r="AH155" s="215"/>
    </row>
    <row r="156" spans="1:34" x14ac:dyDescent="0.2">
      <c r="A156" s="263"/>
      <c r="B156" s="278"/>
      <c r="C156" s="266"/>
      <c r="D156" s="802"/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79"/>
      <c r="Q156" s="266"/>
      <c r="R156" s="266"/>
      <c r="S156" s="266"/>
      <c r="T156" s="266"/>
      <c r="U156" s="266"/>
      <c r="V156" s="266"/>
      <c r="W156" s="266"/>
      <c r="X156" s="266"/>
      <c r="Y156" s="266"/>
      <c r="Z156" s="266"/>
      <c r="AA156" s="266"/>
      <c r="AB156" s="266"/>
      <c r="AC156" s="802"/>
      <c r="AD156" s="266"/>
      <c r="AF156" s="266"/>
      <c r="AG156" s="266"/>
      <c r="AH156" s="215"/>
    </row>
    <row r="157" spans="1:34" x14ac:dyDescent="0.2">
      <c r="A157" s="265" t="s">
        <v>5</v>
      </c>
      <c r="B157" s="274">
        <f>B151-B154</f>
        <v>-18249.04</v>
      </c>
      <c r="C157" s="269"/>
      <c r="D157" s="802"/>
      <c r="E157" s="269"/>
      <c r="F157" s="266"/>
      <c r="G157" s="810"/>
      <c r="H157" s="269"/>
      <c r="I157" s="269"/>
      <c r="J157" s="266"/>
      <c r="K157" s="269"/>
      <c r="L157" s="707"/>
      <c r="M157" s="266"/>
      <c r="N157" s="266"/>
      <c r="O157" s="269"/>
      <c r="P157" s="281"/>
      <c r="Q157" s="269"/>
      <c r="R157" s="269"/>
      <c r="S157" s="269"/>
      <c r="T157" s="810"/>
      <c r="U157" s="269"/>
      <c r="V157" s="269"/>
      <c r="W157" s="269"/>
      <c r="X157" s="269"/>
      <c r="Y157" s="269"/>
      <c r="Z157" s="269"/>
      <c r="AA157" s="707"/>
      <c r="AB157" s="269" t="s">
        <v>477</v>
      </c>
      <c r="AC157" s="802"/>
      <c r="AD157" s="269"/>
      <c r="AF157" s="269"/>
      <c r="AG157" s="269"/>
      <c r="AH157" s="215"/>
    </row>
    <row r="158" spans="1:34" ht="13.5" thickBot="1" x14ac:dyDescent="0.25">
      <c r="A158" s="275"/>
      <c r="B158" s="27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81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15"/>
    </row>
    <row r="159" spans="1:34" x14ac:dyDescent="0.2">
      <c r="A159" s="282"/>
      <c r="B159" s="266"/>
      <c r="C159" s="283"/>
      <c r="D159" s="285"/>
      <c r="E159" s="285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86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  <c r="AA159" s="284"/>
      <c r="AB159" s="284"/>
      <c r="AC159" s="284"/>
      <c r="AD159" s="284"/>
      <c r="AE159" s="284"/>
      <c r="AF159" s="284"/>
      <c r="AG159" s="284"/>
      <c r="AH159" s="215"/>
    </row>
    <row r="160" spans="1:34" ht="13.5" thickBot="1" x14ac:dyDescent="0.25">
      <c r="A160" s="287" t="s">
        <v>7</v>
      </c>
      <c r="B160" s="266"/>
      <c r="C160" s="288">
        <f>C161+C162+C163+C167+C166+C164+C165</f>
        <v>0</v>
      </c>
      <c r="D160" s="288">
        <f t="shared" ref="D160:AE160" si="16">D161+D162+D163+D167+D166+D164+D165</f>
        <v>0</v>
      </c>
      <c r="E160" s="288">
        <f t="shared" si="16"/>
        <v>0</v>
      </c>
      <c r="F160" s="288">
        <f t="shared" si="16"/>
        <v>0</v>
      </c>
      <c r="G160" s="288">
        <f t="shared" si="16"/>
        <v>0</v>
      </c>
      <c r="H160" s="288">
        <f t="shared" si="16"/>
        <v>0</v>
      </c>
      <c r="I160" s="288">
        <f t="shared" si="16"/>
        <v>0</v>
      </c>
      <c r="J160" s="288">
        <f t="shared" si="16"/>
        <v>0</v>
      </c>
      <c r="K160" s="288">
        <f t="shared" si="16"/>
        <v>0</v>
      </c>
      <c r="L160" s="288">
        <f t="shared" si="16"/>
        <v>0</v>
      </c>
      <c r="M160" s="288">
        <f t="shared" si="16"/>
        <v>0</v>
      </c>
      <c r="N160" s="288">
        <f t="shared" si="16"/>
        <v>0</v>
      </c>
      <c r="O160" s="288">
        <f t="shared" si="16"/>
        <v>0</v>
      </c>
      <c r="P160" s="865">
        <f t="shared" si="16"/>
        <v>0</v>
      </c>
      <c r="Q160" s="288">
        <f t="shared" si="16"/>
        <v>0</v>
      </c>
      <c r="R160" s="288">
        <f t="shared" si="16"/>
        <v>0</v>
      </c>
      <c r="S160" s="288">
        <f t="shared" si="16"/>
        <v>0</v>
      </c>
      <c r="T160" s="288">
        <f t="shared" si="16"/>
        <v>0</v>
      </c>
      <c r="U160" s="288">
        <f t="shared" si="16"/>
        <v>0</v>
      </c>
      <c r="V160" s="288">
        <f t="shared" si="16"/>
        <v>0</v>
      </c>
      <c r="W160" s="288">
        <f t="shared" si="16"/>
        <v>0</v>
      </c>
      <c r="X160" s="288">
        <f t="shared" si="16"/>
        <v>0</v>
      </c>
      <c r="Y160" s="288">
        <f t="shared" si="16"/>
        <v>0</v>
      </c>
      <c r="Z160" s="288">
        <f t="shared" si="16"/>
        <v>0</v>
      </c>
      <c r="AA160" s="288">
        <f t="shared" si="16"/>
        <v>0</v>
      </c>
      <c r="AB160" s="288">
        <f t="shared" si="16"/>
        <v>0</v>
      </c>
      <c r="AC160" s="288">
        <f t="shared" si="16"/>
        <v>0</v>
      </c>
      <c r="AD160" s="288">
        <f t="shared" si="16"/>
        <v>0</v>
      </c>
      <c r="AE160" s="288">
        <f t="shared" si="16"/>
        <v>0</v>
      </c>
      <c r="AF160" s="288">
        <f>AF161+AF162+AF163+AF167+AF166+AF164+AF165</f>
        <v>0</v>
      </c>
      <c r="AG160" s="288">
        <f>AG161+AG162+AG163+AG167+AG166+AG164+AG165</f>
        <v>0</v>
      </c>
      <c r="AH160" s="286">
        <f t="shared" ref="AH160:AH168" si="17">SUM(C160:AG160)</f>
        <v>0</v>
      </c>
    </row>
    <row r="161" spans="1:35" x14ac:dyDescent="0.2">
      <c r="A161" s="287" t="s">
        <v>8</v>
      </c>
      <c r="B161" s="266"/>
      <c r="C161" s="291"/>
      <c r="D161" s="291"/>
      <c r="E161" s="291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2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86">
        <f t="shared" si="17"/>
        <v>0</v>
      </c>
    </row>
    <row r="162" spans="1:35" x14ac:dyDescent="0.2">
      <c r="A162" s="287" t="s">
        <v>9</v>
      </c>
      <c r="B162" s="266"/>
      <c r="C162" s="291"/>
      <c r="D162" s="291"/>
      <c r="E162" s="291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2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86">
        <f t="shared" si="17"/>
        <v>0</v>
      </c>
    </row>
    <row r="163" spans="1:35" s="360" customFormat="1" x14ac:dyDescent="0.2">
      <c r="A163" s="662" t="s">
        <v>10</v>
      </c>
      <c r="B163" s="669"/>
      <c r="C163" s="664"/>
      <c r="D163" s="565"/>
      <c r="E163" s="565"/>
      <c r="F163" s="560"/>
      <c r="G163" s="811"/>
      <c r="H163" s="560"/>
      <c r="I163" s="560"/>
      <c r="J163" s="560"/>
      <c r="K163" s="560"/>
      <c r="L163" s="708"/>
      <c r="M163" s="560"/>
      <c r="N163" s="560"/>
      <c r="O163" s="560"/>
      <c r="P163" s="560"/>
      <c r="Q163" s="560"/>
      <c r="R163" s="560"/>
      <c r="S163" s="560"/>
      <c r="T163" s="811"/>
      <c r="U163" s="560"/>
      <c r="V163" s="560"/>
      <c r="W163" s="560"/>
      <c r="X163" s="560"/>
      <c r="Y163" s="560"/>
      <c r="Z163" s="560"/>
      <c r="AA163" s="708"/>
      <c r="AB163" s="560"/>
      <c r="AC163" s="560"/>
      <c r="AD163" s="560"/>
      <c r="AE163" s="803"/>
      <c r="AF163" s="560"/>
      <c r="AG163" s="560"/>
      <c r="AH163" s="379">
        <f t="shared" si="17"/>
        <v>0</v>
      </c>
    </row>
    <row r="164" spans="1:35" s="360" customFormat="1" x14ac:dyDescent="0.2">
      <c r="A164" s="662" t="s">
        <v>356</v>
      </c>
      <c r="B164" s="669"/>
      <c r="C164" s="565"/>
      <c r="D164" s="565"/>
      <c r="E164" s="565"/>
      <c r="F164" s="560"/>
      <c r="G164" s="560"/>
      <c r="H164" s="560"/>
      <c r="I164" s="560"/>
      <c r="J164" s="560"/>
      <c r="K164" s="560"/>
      <c r="L164" s="560"/>
      <c r="M164" s="560"/>
      <c r="N164" s="560"/>
      <c r="O164" s="560"/>
      <c r="P164" s="560"/>
      <c r="Q164" s="560"/>
      <c r="R164" s="560"/>
      <c r="S164" s="560"/>
      <c r="T164" s="560"/>
      <c r="U164" s="560"/>
      <c r="V164" s="560"/>
      <c r="W164" s="560"/>
      <c r="X164" s="560"/>
      <c r="Y164" s="560"/>
      <c r="Z164" s="560"/>
      <c r="AA164" s="560"/>
      <c r="AB164" s="560">
        <v>13400</v>
      </c>
      <c r="AC164" s="560"/>
      <c r="AD164" s="560"/>
      <c r="AE164" s="560"/>
      <c r="AF164" s="560"/>
      <c r="AG164" s="560"/>
      <c r="AH164" s="379">
        <f t="shared" si="17"/>
        <v>13400</v>
      </c>
    </row>
    <row r="165" spans="1:35" x14ac:dyDescent="0.2">
      <c r="A165" s="287" t="s">
        <v>357</v>
      </c>
      <c r="B165" s="266"/>
      <c r="C165" s="289"/>
      <c r="D165" s="291"/>
      <c r="E165" s="289"/>
      <c r="F165" s="290"/>
      <c r="G165" s="290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x14ac:dyDescent="0.2">
      <c r="A166" s="287" t="s">
        <v>41</v>
      </c>
      <c r="B166" s="266"/>
      <c r="C166" s="289"/>
      <c r="D166" s="291"/>
      <c r="E166" s="289"/>
      <c r="F166" s="290"/>
      <c r="G166" s="290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86">
        <f t="shared" si="17"/>
        <v>0</v>
      </c>
    </row>
    <row r="167" spans="1:35" x14ac:dyDescent="0.2">
      <c r="A167" s="287" t="s">
        <v>11</v>
      </c>
      <c r="B167" s="266"/>
      <c r="C167" s="291"/>
      <c r="D167" s="289"/>
      <c r="E167" s="289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455">
        <v>-13400</v>
      </c>
      <c r="AC167" s="292"/>
      <c r="AD167" s="292"/>
      <c r="AE167" s="292"/>
      <c r="AF167" s="292"/>
      <c r="AG167" s="292"/>
      <c r="AH167" s="286">
        <f t="shared" si="17"/>
        <v>-13400</v>
      </c>
    </row>
    <row r="168" spans="1:35" ht="13.5" thickBot="1" x14ac:dyDescent="0.25">
      <c r="A168" s="296"/>
      <c r="B168" s="266"/>
      <c r="C168" s="291"/>
      <c r="D168" s="291"/>
      <c r="E168" s="291"/>
      <c r="F168" s="290"/>
      <c r="G168" s="290"/>
      <c r="H168" s="290"/>
      <c r="I168" s="290"/>
      <c r="J168" s="290"/>
      <c r="K168" s="290"/>
      <c r="L168" s="290"/>
      <c r="M168" s="290"/>
      <c r="N168" s="290"/>
      <c r="O168" s="290"/>
      <c r="P168" s="292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  <c r="AE168" s="290"/>
      <c r="AF168" s="290"/>
      <c r="AG168" s="290"/>
      <c r="AH168" s="286">
        <f t="shared" si="17"/>
        <v>0</v>
      </c>
    </row>
    <row r="169" spans="1:35" x14ac:dyDescent="0.2">
      <c r="A169" s="282"/>
      <c r="B169" s="266"/>
      <c r="C169" s="297"/>
      <c r="D169" s="298"/>
      <c r="E169" s="298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866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  <c r="AB169" s="299"/>
      <c r="AC169" s="299"/>
      <c r="AD169" s="299"/>
      <c r="AE169" s="299"/>
      <c r="AF169" s="299"/>
      <c r="AG169" s="299"/>
      <c r="AH169" s="215"/>
    </row>
    <row r="170" spans="1:35" ht="13.5" thickBot="1" x14ac:dyDescent="0.25">
      <c r="A170" s="287" t="s">
        <v>12</v>
      </c>
      <c r="B170" s="266"/>
      <c r="C170" s="288">
        <f t="shared" ref="C170:AG170" si="18">C171</f>
        <v>0</v>
      </c>
      <c r="D170" s="288">
        <f t="shared" si="18"/>
        <v>0</v>
      </c>
      <c r="E170" s="288">
        <f t="shared" si="18"/>
        <v>0</v>
      </c>
      <c r="F170" s="288">
        <f t="shared" si="18"/>
        <v>0</v>
      </c>
      <c r="G170" s="288">
        <f t="shared" si="18"/>
        <v>0</v>
      </c>
      <c r="H170" s="288">
        <f t="shared" si="18"/>
        <v>0</v>
      </c>
      <c r="I170" s="288">
        <f t="shared" si="18"/>
        <v>0</v>
      </c>
      <c r="J170" s="288">
        <f t="shared" si="18"/>
        <v>0</v>
      </c>
      <c r="K170" s="288">
        <f t="shared" si="18"/>
        <v>0</v>
      </c>
      <c r="L170" s="288">
        <f t="shared" si="18"/>
        <v>0</v>
      </c>
      <c r="M170" s="288">
        <f t="shared" si="18"/>
        <v>0</v>
      </c>
      <c r="N170" s="288">
        <f t="shared" si="18"/>
        <v>0</v>
      </c>
      <c r="O170" s="288">
        <f t="shared" si="18"/>
        <v>0</v>
      </c>
      <c r="P170" s="865">
        <f t="shared" si="18"/>
        <v>0</v>
      </c>
      <c r="Q170" s="288">
        <f t="shared" si="18"/>
        <v>0</v>
      </c>
      <c r="R170" s="288">
        <f t="shared" si="18"/>
        <v>0</v>
      </c>
      <c r="S170" s="288">
        <f t="shared" si="18"/>
        <v>0</v>
      </c>
      <c r="T170" s="288">
        <f t="shared" si="18"/>
        <v>0</v>
      </c>
      <c r="U170" s="288">
        <f t="shared" si="18"/>
        <v>0</v>
      </c>
      <c r="V170" s="288">
        <f t="shared" si="18"/>
        <v>0</v>
      </c>
      <c r="W170" s="288">
        <f t="shared" si="18"/>
        <v>0</v>
      </c>
      <c r="X170" s="288">
        <f t="shared" si="18"/>
        <v>0</v>
      </c>
      <c r="Y170" s="288">
        <f t="shared" si="18"/>
        <v>0</v>
      </c>
      <c r="Z170" s="288">
        <f t="shared" si="18"/>
        <v>0</v>
      </c>
      <c r="AA170" s="288">
        <f t="shared" si="18"/>
        <v>0</v>
      </c>
      <c r="AB170" s="288">
        <f t="shared" si="18"/>
        <v>0</v>
      </c>
      <c r="AC170" s="288">
        <f t="shared" si="18"/>
        <v>0</v>
      </c>
      <c r="AD170" s="288">
        <f t="shared" si="18"/>
        <v>0</v>
      </c>
      <c r="AE170" s="288">
        <f t="shared" si="18"/>
        <v>0</v>
      </c>
      <c r="AF170" s="288">
        <f t="shared" si="18"/>
        <v>0</v>
      </c>
      <c r="AG170" s="288">
        <f t="shared" si="18"/>
        <v>0</v>
      </c>
      <c r="AH170" s="215"/>
    </row>
    <row r="171" spans="1:35" x14ac:dyDescent="0.2">
      <c r="A171" s="287" t="s">
        <v>8</v>
      </c>
      <c r="B171" s="266"/>
      <c r="C171" s="291"/>
      <c r="D171" s="291"/>
      <c r="E171" s="291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2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15"/>
    </row>
    <row r="172" spans="1:35" x14ac:dyDescent="0.2">
      <c r="A172" s="287" t="s">
        <v>775</v>
      </c>
      <c r="B172" s="266"/>
      <c r="C172" s="291"/>
      <c r="D172" s="291"/>
      <c r="E172" s="291">
        <v>7000</v>
      </c>
      <c r="F172" s="290">
        <v>1961</v>
      </c>
      <c r="G172" s="290">
        <v>612</v>
      </c>
      <c r="H172" s="292"/>
      <c r="I172" s="292">
        <v>449</v>
      </c>
      <c r="J172" s="292"/>
      <c r="K172" s="292">
        <v>8360</v>
      </c>
      <c r="L172" s="292">
        <v>19173</v>
      </c>
      <c r="M172" s="292"/>
      <c r="N172" s="292"/>
      <c r="O172" s="292"/>
      <c r="P172" s="292">
        <v>435</v>
      </c>
      <c r="Q172" s="292">
        <v>809</v>
      </c>
      <c r="R172" s="292"/>
      <c r="S172" s="292"/>
      <c r="T172" s="292"/>
      <c r="U172" s="292">
        <v>1400</v>
      </c>
      <c r="V172" s="292"/>
      <c r="W172" s="292"/>
      <c r="X172" s="292"/>
      <c r="Y172" s="292"/>
      <c r="Z172" s="292">
        <v>7574</v>
      </c>
      <c r="AA172" s="292"/>
      <c r="AB172" s="292"/>
      <c r="AC172" s="292"/>
      <c r="AD172" s="292"/>
      <c r="AE172" s="292"/>
      <c r="AF172" s="290">
        <v>3166</v>
      </c>
      <c r="AG172" s="290">
        <v>12150</v>
      </c>
      <c r="AH172" s="286">
        <f>SUM(C172:AG172)</f>
        <v>63089</v>
      </c>
    </row>
    <row r="173" spans="1:35" ht="13.5" thickBot="1" x14ac:dyDescent="0.25">
      <c r="A173" s="296"/>
      <c r="B173" s="266"/>
      <c r="C173" s="291"/>
      <c r="D173" s="291"/>
      <c r="E173" s="291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2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15"/>
    </row>
    <row r="174" spans="1:35" x14ac:dyDescent="0.2">
      <c r="A174" s="282"/>
      <c r="B174" s="266"/>
      <c r="C174" s="297"/>
      <c r="D174" s="298"/>
      <c r="E174" s="298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866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  <c r="AA174" s="299"/>
      <c r="AB174" s="299"/>
      <c r="AC174" s="299"/>
      <c r="AD174" s="299"/>
      <c r="AE174" s="299"/>
      <c r="AF174" s="299"/>
      <c r="AG174" s="299"/>
      <c r="AH174" s="215"/>
    </row>
    <row r="175" spans="1:35" x14ac:dyDescent="0.2">
      <c r="A175" s="287" t="s">
        <v>13</v>
      </c>
      <c r="B175" s="266"/>
      <c r="C175" s="300">
        <f t="shared" ref="C175:AE175" si="19">C170-C160</f>
        <v>0</v>
      </c>
      <c r="D175" s="300">
        <f t="shared" si="19"/>
        <v>0</v>
      </c>
      <c r="E175" s="300">
        <f t="shared" si="19"/>
        <v>0</v>
      </c>
      <c r="F175" s="300">
        <f t="shared" si="19"/>
        <v>0</v>
      </c>
      <c r="G175" s="300">
        <f t="shared" si="19"/>
        <v>0</v>
      </c>
      <c r="H175" s="300">
        <f t="shared" si="19"/>
        <v>0</v>
      </c>
      <c r="I175" s="300">
        <f t="shared" si="19"/>
        <v>0</v>
      </c>
      <c r="J175" s="300">
        <f t="shared" si="19"/>
        <v>0</v>
      </c>
      <c r="K175" s="300">
        <f t="shared" si="19"/>
        <v>0</v>
      </c>
      <c r="L175" s="300">
        <f t="shared" si="19"/>
        <v>0</v>
      </c>
      <c r="M175" s="300">
        <f t="shared" si="19"/>
        <v>0</v>
      </c>
      <c r="N175" s="300">
        <f t="shared" si="19"/>
        <v>0</v>
      </c>
      <c r="O175" s="300">
        <f t="shared" si="19"/>
        <v>0</v>
      </c>
      <c r="P175" s="867">
        <f t="shared" si="19"/>
        <v>0</v>
      </c>
      <c r="Q175" s="300">
        <f t="shared" si="19"/>
        <v>0</v>
      </c>
      <c r="R175" s="300">
        <f t="shared" si="19"/>
        <v>0</v>
      </c>
      <c r="S175" s="300">
        <f t="shared" si="19"/>
        <v>0</v>
      </c>
      <c r="T175" s="300">
        <f t="shared" si="19"/>
        <v>0</v>
      </c>
      <c r="U175" s="300">
        <f t="shared" si="19"/>
        <v>0</v>
      </c>
      <c r="V175" s="300">
        <f t="shared" si="19"/>
        <v>0</v>
      </c>
      <c r="W175" s="300">
        <f t="shared" si="19"/>
        <v>0</v>
      </c>
      <c r="X175" s="300">
        <f t="shared" si="19"/>
        <v>0</v>
      </c>
      <c r="Y175" s="300">
        <f t="shared" si="19"/>
        <v>0</v>
      </c>
      <c r="Z175" s="300">
        <f t="shared" si="19"/>
        <v>0</v>
      </c>
      <c r="AA175" s="300">
        <f t="shared" si="19"/>
        <v>0</v>
      </c>
      <c r="AB175" s="300">
        <f t="shared" si="19"/>
        <v>0</v>
      </c>
      <c r="AC175" s="300">
        <f t="shared" si="19"/>
        <v>0</v>
      </c>
      <c r="AD175" s="300">
        <f t="shared" si="19"/>
        <v>0</v>
      </c>
      <c r="AE175" s="300">
        <f t="shared" si="19"/>
        <v>0</v>
      </c>
      <c r="AF175" s="300">
        <f>AF170-AF160</f>
        <v>0</v>
      </c>
      <c r="AG175" s="300">
        <f>AG170-AG160</f>
        <v>0</v>
      </c>
      <c r="AH175" s="215"/>
    </row>
    <row r="176" spans="1:35" ht="13.5" thickBot="1" x14ac:dyDescent="0.25">
      <c r="A176" s="287"/>
      <c r="B176" s="266"/>
      <c r="C176" s="300"/>
      <c r="D176" s="291"/>
      <c r="E176" s="291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2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15"/>
      <c r="AI176" t="s">
        <v>813</v>
      </c>
    </row>
    <row r="177" spans="1:34" x14ac:dyDescent="0.2">
      <c r="A177" s="263"/>
      <c r="B177" s="264"/>
      <c r="C177" s="301"/>
      <c r="D177" s="298"/>
      <c r="E177" s="298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866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  <c r="AB177" s="299"/>
      <c r="AC177" s="299"/>
      <c r="AD177" s="299"/>
      <c r="AE177" s="299"/>
      <c r="AF177" s="299"/>
      <c r="AG177" s="299"/>
      <c r="AH177" s="215"/>
    </row>
    <row r="178" spans="1:34" x14ac:dyDescent="0.2">
      <c r="A178" s="265" t="s">
        <v>15</v>
      </c>
      <c r="B178" s="266"/>
      <c r="C178" s="291">
        <f>B157+C175</f>
        <v>-18249.04</v>
      </c>
      <c r="D178" s="291">
        <f t="shared" ref="D178:AE178" si="20">C185+D175</f>
        <v>-18249.04</v>
      </c>
      <c r="E178" s="291">
        <f t="shared" si="20"/>
        <v>-18249.04</v>
      </c>
      <c r="F178" s="291">
        <f t="shared" si="20"/>
        <v>-18249.04</v>
      </c>
      <c r="G178" s="291">
        <f t="shared" si="20"/>
        <v>-18249.04</v>
      </c>
      <c r="H178" s="291">
        <f t="shared" si="20"/>
        <v>-18249.04</v>
      </c>
      <c r="I178" s="291">
        <f t="shared" si="20"/>
        <v>-18249.04</v>
      </c>
      <c r="J178" s="291">
        <f t="shared" si="20"/>
        <v>-18249.04</v>
      </c>
      <c r="K178" s="291">
        <f t="shared" si="20"/>
        <v>-18249.04</v>
      </c>
      <c r="L178" s="291">
        <f t="shared" si="20"/>
        <v>-18249.04</v>
      </c>
      <c r="M178" s="291">
        <f t="shared" si="20"/>
        <v>-18249.04</v>
      </c>
      <c r="N178" s="291">
        <f t="shared" si="20"/>
        <v>-18249.04</v>
      </c>
      <c r="O178" s="291">
        <f t="shared" si="20"/>
        <v>-18249.04</v>
      </c>
      <c r="P178" s="289">
        <f t="shared" si="20"/>
        <v>-18249.04</v>
      </c>
      <c r="Q178" s="291">
        <f t="shared" si="20"/>
        <v>-18249.04</v>
      </c>
      <c r="R178" s="291">
        <f>Q185+R175</f>
        <v>-18249.04</v>
      </c>
      <c r="S178" s="291">
        <f>R185+S175</f>
        <v>-18249.04</v>
      </c>
      <c r="T178" s="291">
        <f>S185+T175</f>
        <v>-18249.04</v>
      </c>
      <c r="U178" s="291">
        <f>T185+U175</f>
        <v>-18249.04</v>
      </c>
      <c r="V178" s="291">
        <f>U185+V175</f>
        <v>-18249.04</v>
      </c>
      <c r="W178" s="291">
        <f t="shared" si="20"/>
        <v>-18249.04</v>
      </c>
      <c r="X178" s="291">
        <f t="shared" si="20"/>
        <v>-18249.04</v>
      </c>
      <c r="Y178" s="291">
        <f t="shared" si="20"/>
        <v>-18249.04</v>
      </c>
      <c r="Z178" s="291">
        <f t="shared" si="20"/>
        <v>-18249.04</v>
      </c>
      <c r="AA178" s="291">
        <f t="shared" si="20"/>
        <v>-18249.04</v>
      </c>
      <c r="AB178" s="291">
        <f t="shared" si="20"/>
        <v>-18249.04</v>
      </c>
      <c r="AC178" s="291">
        <f t="shared" si="20"/>
        <v>-18249.04</v>
      </c>
      <c r="AD178" s="291">
        <f t="shared" si="20"/>
        <v>-18249.04</v>
      </c>
      <c r="AE178" s="291">
        <f t="shared" si="20"/>
        <v>-18249.04</v>
      </c>
      <c r="AF178" s="291">
        <f>AE185+AF175</f>
        <v>-18249.04</v>
      </c>
      <c r="AG178" s="291">
        <f>AF185+AG175</f>
        <v>-18249.04</v>
      </c>
      <c r="AH178" s="215"/>
    </row>
    <row r="179" spans="1:34" ht="13.5" thickBot="1" x14ac:dyDescent="0.25">
      <c r="A179" s="275"/>
      <c r="B179" s="302"/>
      <c r="C179" s="303"/>
      <c r="D179" s="303"/>
      <c r="E179" s="303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868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215"/>
    </row>
    <row r="180" spans="1:34" x14ac:dyDescent="0.2">
      <c r="A180" s="263"/>
      <c r="B180" s="264"/>
      <c r="C180" s="298"/>
      <c r="D180" s="298"/>
      <c r="E180" s="298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866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  <c r="AB180" s="299"/>
      <c r="AC180" s="299"/>
      <c r="AD180" s="299"/>
      <c r="AE180" s="299"/>
      <c r="AF180" s="299"/>
      <c r="AG180" s="299"/>
      <c r="AH180" s="215"/>
    </row>
    <row r="181" spans="1:34" x14ac:dyDescent="0.2">
      <c r="A181" s="265" t="s">
        <v>82</v>
      </c>
      <c r="B181" s="266"/>
      <c r="C181" s="291">
        <f t="shared" ref="C181:AE182" si="21">C189</f>
        <v>0</v>
      </c>
      <c r="D181" s="291">
        <f t="shared" si="21"/>
        <v>0</v>
      </c>
      <c r="E181" s="291">
        <f t="shared" si="21"/>
        <v>0</v>
      </c>
      <c r="F181" s="291">
        <f t="shared" si="21"/>
        <v>0</v>
      </c>
      <c r="G181" s="291">
        <f t="shared" si="21"/>
        <v>0</v>
      </c>
      <c r="H181" s="291">
        <f t="shared" si="21"/>
        <v>0</v>
      </c>
      <c r="I181" s="291">
        <f t="shared" si="21"/>
        <v>0</v>
      </c>
      <c r="J181" s="291">
        <f t="shared" si="21"/>
        <v>0</v>
      </c>
      <c r="K181" s="291">
        <f t="shared" si="21"/>
        <v>0</v>
      </c>
      <c r="L181" s="291">
        <f t="shared" si="21"/>
        <v>0</v>
      </c>
      <c r="M181" s="291">
        <f t="shared" si="21"/>
        <v>0</v>
      </c>
      <c r="N181" s="291">
        <f t="shared" si="21"/>
        <v>0</v>
      </c>
      <c r="O181" s="291">
        <f t="shared" si="21"/>
        <v>0</v>
      </c>
      <c r="P181" s="289">
        <f t="shared" si="21"/>
        <v>0</v>
      </c>
      <c r="Q181" s="291">
        <f t="shared" si="21"/>
        <v>0</v>
      </c>
      <c r="R181" s="291">
        <f t="shared" si="21"/>
        <v>0</v>
      </c>
      <c r="S181" s="291">
        <f t="shared" si="21"/>
        <v>0</v>
      </c>
      <c r="T181" s="291">
        <f t="shared" si="21"/>
        <v>0</v>
      </c>
      <c r="U181" s="291">
        <f t="shared" si="21"/>
        <v>0</v>
      </c>
      <c r="V181" s="291">
        <f t="shared" si="21"/>
        <v>0</v>
      </c>
      <c r="W181" s="291">
        <f t="shared" si="21"/>
        <v>0</v>
      </c>
      <c r="X181" s="291">
        <f t="shared" si="21"/>
        <v>0</v>
      </c>
      <c r="Y181" s="291">
        <f t="shared" si="21"/>
        <v>0</v>
      </c>
      <c r="Z181" s="291">
        <f t="shared" si="21"/>
        <v>0</v>
      </c>
      <c r="AA181" s="291">
        <f t="shared" si="21"/>
        <v>0</v>
      </c>
      <c r="AB181" s="291">
        <f t="shared" si="21"/>
        <v>0</v>
      </c>
      <c r="AC181" s="291">
        <f t="shared" si="21"/>
        <v>0</v>
      </c>
      <c r="AD181" s="291">
        <f t="shared" si="21"/>
        <v>0</v>
      </c>
      <c r="AE181" s="291">
        <f t="shared" si="21"/>
        <v>0</v>
      </c>
      <c r="AF181" s="291">
        <f>AF189</f>
        <v>0</v>
      </c>
      <c r="AG181" s="291">
        <f>AG189</f>
        <v>0</v>
      </c>
      <c r="AH181" s="215"/>
    </row>
    <row r="182" spans="1:34" x14ac:dyDescent="0.2">
      <c r="A182" s="265" t="s">
        <v>83</v>
      </c>
      <c r="B182" s="266"/>
      <c r="C182" s="289">
        <f t="shared" si="21"/>
        <v>0</v>
      </c>
      <c r="D182" s="289">
        <f t="shared" si="21"/>
        <v>0</v>
      </c>
      <c r="E182" s="289">
        <f t="shared" si="21"/>
        <v>0</v>
      </c>
      <c r="F182" s="289">
        <f t="shared" si="21"/>
        <v>0</v>
      </c>
      <c r="G182" s="289">
        <f t="shared" si="21"/>
        <v>0</v>
      </c>
      <c r="H182" s="289">
        <f t="shared" si="21"/>
        <v>0</v>
      </c>
      <c r="I182" s="289">
        <f t="shared" si="21"/>
        <v>0</v>
      </c>
      <c r="J182" s="289">
        <f t="shared" si="21"/>
        <v>0</v>
      </c>
      <c r="K182" s="289">
        <f t="shared" si="21"/>
        <v>0</v>
      </c>
      <c r="L182" s="289">
        <f t="shared" si="21"/>
        <v>0</v>
      </c>
      <c r="M182" s="289">
        <f t="shared" si="21"/>
        <v>0</v>
      </c>
      <c r="N182" s="289">
        <f t="shared" si="21"/>
        <v>0</v>
      </c>
      <c r="O182" s="289">
        <f t="shared" si="21"/>
        <v>0</v>
      </c>
      <c r="P182" s="289">
        <f t="shared" si="21"/>
        <v>0</v>
      </c>
      <c r="Q182" s="289">
        <f t="shared" si="21"/>
        <v>0</v>
      </c>
      <c r="R182" s="289">
        <f t="shared" si="21"/>
        <v>0</v>
      </c>
      <c r="S182" s="289">
        <f t="shared" si="21"/>
        <v>0</v>
      </c>
      <c r="T182" s="289">
        <f t="shared" si="21"/>
        <v>0</v>
      </c>
      <c r="U182" s="289">
        <f t="shared" si="21"/>
        <v>0</v>
      </c>
      <c r="V182" s="289">
        <f t="shared" si="21"/>
        <v>0</v>
      </c>
      <c r="W182" s="289">
        <f t="shared" si="21"/>
        <v>0</v>
      </c>
      <c r="X182" s="289">
        <f t="shared" si="21"/>
        <v>0</v>
      </c>
      <c r="Y182" s="289">
        <f t="shared" si="21"/>
        <v>0</v>
      </c>
      <c r="Z182" s="289">
        <f t="shared" si="21"/>
        <v>0</v>
      </c>
      <c r="AA182" s="289">
        <f t="shared" si="21"/>
        <v>0</v>
      </c>
      <c r="AB182" s="289">
        <f t="shared" si="21"/>
        <v>0</v>
      </c>
      <c r="AC182" s="289">
        <f t="shared" si="21"/>
        <v>0</v>
      </c>
      <c r="AD182" s="289">
        <f t="shared" si="21"/>
        <v>0</v>
      </c>
      <c r="AE182" s="289">
        <f t="shared" si="21"/>
        <v>0</v>
      </c>
      <c r="AF182" s="289">
        <f>AF190</f>
        <v>0</v>
      </c>
      <c r="AG182" s="289">
        <f>AG190</f>
        <v>0</v>
      </c>
      <c r="AH182" s="215"/>
    </row>
    <row r="183" spans="1:34" ht="13.5" thickBot="1" x14ac:dyDescent="0.25">
      <c r="A183" s="275"/>
      <c r="B183" s="302"/>
      <c r="C183" s="303"/>
      <c r="D183" s="303"/>
      <c r="E183" s="303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868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215"/>
    </row>
    <row r="184" spans="1:34" x14ac:dyDescent="0.2">
      <c r="A184" s="265"/>
      <c r="B184" s="266"/>
      <c r="C184" s="291"/>
      <c r="D184" s="291"/>
      <c r="E184" s="291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2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309"/>
    </row>
    <row r="185" spans="1:34" x14ac:dyDescent="0.2">
      <c r="A185" s="265" t="s">
        <v>14</v>
      </c>
      <c r="B185" s="266"/>
      <c r="C185" s="291">
        <f t="shared" ref="C185:AE185" si="22">C178+C181+C182</f>
        <v>-18249.04</v>
      </c>
      <c r="D185" s="291">
        <f t="shared" si="22"/>
        <v>-18249.04</v>
      </c>
      <c r="E185" s="291">
        <f t="shared" si="22"/>
        <v>-18249.04</v>
      </c>
      <c r="F185" s="291">
        <f t="shared" si="22"/>
        <v>-18249.04</v>
      </c>
      <c r="G185" s="291">
        <f t="shared" si="22"/>
        <v>-18249.04</v>
      </c>
      <c r="H185" s="291">
        <f t="shared" si="22"/>
        <v>-18249.04</v>
      </c>
      <c r="I185" s="291">
        <f t="shared" si="22"/>
        <v>-18249.04</v>
      </c>
      <c r="J185" s="291">
        <f t="shared" si="22"/>
        <v>-18249.04</v>
      </c>
      <c r="K185" s="291">
        <f t="shared" si="22"/>
        <v>-18249.04</v>
      </c>
      <c r="L185" s="291">
        <f t="shared" si="22"/>
        <v>-18249.04</v>
      </c>
      <c r="M185" s="291">
        <f t="shared" si="22"/>
        <v>-18249.04</v>
      </c>
      <c r="N185" s="291">
        <f t="shared" si="22"/>
        <v>-18249.04</v>
      </c>
      <c r="O185" s="291">
        <f t="shared" si="22"/>
        <v>-18249.04</v>
      </c>
      <c r="P185" s="289">
        <f t="shared" si="22"/>
        <v>-18249.04</v>
      </c>
      <c r="Q185" s="291">
        <f t="shared" si="22"/>
        <v>-18249.04</v>
      </c>
      <c r="R185" s="291">
        <f t="shared" si="22"/>
        <v>-18249.04</v>
      </c>
      <c r="S185" s="291">
        <f t="shared" si="22"/>
        <v>-18249.04</v>
      </c>
      <c r="T185" s="291">
        <f t="shared" si="22"/>
        <v>-18249.04</v>
      </c>
      <c r="U185" s="291">
        <f t="shared" si="22"/>
        <v>-18249.04</v>
      </c>
      <c r="V185" s="291">
        <f t="shared" si="22"/>
        <v>-18249.04</v>
      </c>
      <c r="W185" s="291">
        <f t="shared" si="22"/>
        <v>-18249.04</v>
      </c>
      <c r="X185" s="291">
        <f t="shared" si="22"/>
        <v>-18249.04</v>
      </c>
      <c r="Y185" s="291">
        <f t="shared" si="22"/>
        <v>-18249.04</v>
      </c>
      <c r="Z185" s="291">
        <f t="shared" si="22"/>
        <v>-18249.04</v>
      </c>
      <c r="AA185" s="291">
        <f t="shared" si="22"/>
        <v>-18249.04</v>
      </c>
      <c r="AB185" s="291">
        <f t="shared" si="22"/>
        <v>-18249.04</v>
      </c>
      <c r="AC185" s="291">
        <f t="shared" si="22"/>
        <v>-18249.04</v>
      </c>
      <c r="AD185" s="291">
        <f t="shared" si="22"/>
        <v>-18249.04</v>
      </c>
      <c r="AE185" s="291">
        <f t="shared" si="22"/>
        <v>-18249.04</v>
      </c>
      <c r="AF185" s="291">
        <f>AF178+AF181+AF182</f>
        <v>-18249.04</v>
      </c>
      <c r="AG185" s="291">
        <f>AG178+AG181+AG182</f>
        <v>-18249.04</v>
      </c>
      <c r="AH185" s="308"/>
    </row>
    <row r="186" spans="1:34" x14ac:dyDescent="0.2">
      <c r="A186" s="265"/>
      <c r="B186" s="266"/>
      <c r="C186" s="291"/>
      <c r="D186" s="291"/>
      <c r="E186" s="291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2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309"/>
    </row>
    <row r="187" spans="1:34" ht="13.5" thickBot="1" x14ac:dyDescent="0.25">
      <c r="A187" s="275"/>
      <c r="B187" s="302"/>
      <c r="C187" s="306"/>
      <c r="D187" s="306"/>
      <c r="E187" s="306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869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9"/>
    </row>
    <row r="188" spans="1:34" x14ac:dyDescent="0.2">
      <c r="A188" s="310"/>
      <c r="B188" s="215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308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309"/>
    </row>
    <row r="189" spans="1:34" x14ac:dyDescent="0.2">
      <c r="A189" s="312"/>
      <c r="B189" s="475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629"/>
      <c r="P189" s="629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408"/>
      <c r="AB189" s="311"/>
      <c r="AC189" s="311"/>
      <c r="AD189" s="311"/>
      <c r="AE189" s="311"/>
      <c r="AF189" s="311"/>
      <c r="AG189" s="311"/>
      <c r="AH189" s="308"/>
    </row>
    <row r="190" spans="1:34" x14ac:dyDescent="0.2">
      <c r="A190" s="310"/>
      <c r="B190" s="215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  <c r="O190" s="311"/>
      <c r="P190" s="629"/>
      <c r="Q190" s="311"/>
      <c r="R190" s="311"/>
      <c r="S190" s="311"/>
      <c r="T190" s="311"/>
      <c r="U190" s="311"/>
      <c r="V190" s="311"/>
      <c r="W190" s="311"/>
      <c r="X190" s="311"/>
      <c r="Y190" s="311"/>
      <c r="Z190" s="311"/>
      <c r="AA190" s="311"/>
      <c r="AB190" s="311"/>
      <c r="AC190" s="311"/>
      <c r="AD190" s="311"/>
      <c r="AE190" s="311"/>
      <c r="AF190" s="311"/>
      <c r="AG190" s="311"/>
      <c r="AH190" s="308"/>
    </row>
    <row r="191" spans="1:34" x14ac:dyDescent="0.2">
      <c r="A191" s="358" t="s">
        <v>415</v>
      </c>
      <c r="B191" s="359">
        <f>SUM(B192:B195)</f>
        <v>375000</v>
      </c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215"/>
      <c r="T191" s="456"/>
      <c r="U191" s="262"/>
      <c r="V191" s="215"/>
      <c r="W191" s="215"/>
      <c r="X191" s="215"/>
      <c r="Y191" s="215"/>
      <c r="Z191" s="215"/>
      <c r="AA191" s="408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27" t="s">
        <v>414</v>
      </c>
      <c r="B192" s="311">
        <v>25000</v>
      </c>
      <c r="C192" s="215"/>
      <c r="D192" s="30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27" t="s">
        <v>287</v>
      </c>
      <c r="B193" s="311">
        <v>200000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309"/>
      <c r="Q193" s="215"/>
      <c r="R193" s="215"/>
      <c r="S193" s="311"/>
      <c r="T193" s="320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310" t="s">
        <v>413</v>
      </c>
      <c r="B194" s="329">
        <v>75000</v>
      </c>
      <c r="C194" s="215"/>
      <c r="D194" s="215"/>
      <c r="E194" s="215"/>
      <c r="F194" s="215"/>
      <c r="G194" s="215"/>
      <c r="H194" s="215"/>
      <c r="I194" s="215"/>
      <c r="J194" s="215"/>
      <c r="K194" s="215"/>
      <c r="L194" s="286"/>
      <c r="M194" s="215"/>
      <c r="N194" s="215"/>
      <c r="O194" s="215"/>
      <c r="P194" s="309"/>
      <c r="Q194" s="215"/>
      <c r="R194" s="215"/>
      <c r="S194" s="311"/>
      <c r="T194" s="320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x14ac:dyDescent="0.2">
      <c r="A195" s="310" t="s">
        <v>441</v>
      </c>
      <c r="B195" s="311">
        <v>75000</v>
      </c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309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</row>
    <row r="197" spans="1:34" ht="13.5" thickBot="1" x14ac:dyDescent="0.25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5"/>
      <c r="O197" s="215"/>
      <c r="P197" s="309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 s="215"/>
      <c r="AC197" s="215"/>
      <c r="AD197" s="215"/>
      <c r="AE197" s="215"/>
      <c r="AF197" s="215"/>
      <c r="AG197" s="215"/>
      <c r="AH197" s="215"/>
    </row>
    <row r="198" spans="1:34" x14ac:dyDescent="0.2">
      <c r="A198" s="263"/>
      <c r="B198" s="264"/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860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15"/>
    </row>
    <row r="199" spans="1:34" x14ac:dyDescent="0.2">
      <c r="A199" s="265"/>
      <c r="B199" s="266" t="s">
        <v>37</v>
      </c>
      <c r="C199" s="266"/>
      <c r="D199" s="266"/>
      <c r="E199" s="267" t="s">
        <v>837</v>
      </c>
      <c r="F199" s="268" t="s">
        <v>96</v>
      </c>
      <c r="G199" s="269" t="s">
        <v>72</v>
      </c>
      <c r="H199" s="268"/>
      <c r="I199" s="268"/>
      <c r="J199" s="268"/>
      <c r="K199" s="268"/>
      <c r="L199" s="268"/>
      <c r="M199" s="268"/>
      <c r="N199" s="268"/>
      <c r="O199" s="268"/>
      <c r="P199" s="861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15"/>
    </row>
    <row r="200" spans="1:34" x14ac:dyDescent="0.2">
      <c r="A200" s="265"/>
      <c r="B200" s="266"/>
      <c r="C200" s="266"/>
      <c r="D200" s="268"/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x14ac:dyDescent="0.2">
      <c r="A201" s="265"/>
      <c r="B201" s="266"/>
      <c r="C201" s="268"/>
      <c r="D201" s="268">
        <v>42275</v>
      </c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x14ac:dyDescent="0.2">
      <c r="A202" s="265"/>
      <c r="B202" s="266"/>
      <c r="C202" s="268"/>
      <c r="D202" s="268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79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15"/>
    </row>
    <row r="203" spans="1:34" ht="13.5" thickBot="1" x14ac:dyDescent="0.25">
      <c r="A203" s="265"/>
      <c r="B203" s="266"/>
      <c r="C203" s="266"/>
      <c r="D203" s="266"/>
      <c r="E203" s="266"/>
      <c r="F203" s="266"/>
      <c r="G203" s="266"/>
      <c r="H203" s="266"/>
      <c r="I203" s="266"/>
      <c r="J203" s="266"/>
      <c r="K203" s="266"/>
      <c r="L203" s="266"/>
      <c r="M203" s="266"/>
      <c r="N203" s="266"/>
      <c r="O203" s="266"/>
      <c r="P203" s="279"/>
      <c r="Q203" s="266"/>
      <c r="R203" s="266"/>
      <c r="S203" s="266"/>
      <c r="T203" s="266"/>
      <c r="U203" s="266"/>
      <c r="V203" s="266"/>
      <c r="W203" s="266"/>
      <c r="X203" s="266"/>
      <c r="Y203" s="266"/>
      <c r="Z203" s="266"/>
      <c r="AA203" s="266"/>
      <c r="AB203" s="266"/>
      <c r="AC203" s="266"/>
      <c r="AD203" s="266"/>
      <c r="AE203" s="266"/>
      <c r="AF203" s="266"/>
      <c r="AG203" s="266"/>
      <c r="AH203" s="215"/>
    </row>
    <row r="204" spans="1:34" ht="13.5" thickBot="1" x14ac:dyDescent="0.25">
      <c r="A204" s="265"/>
      <c r="B204" s="266"/>
      <c r="C204" s="270"/>
      <c r="D204" s="271" t="s">
        <v>16</v>
      </c>
      <c r="E204" s="271"/>
      <c r="F204" s="271"/>
      <c r="G204" s="271"/>
      <c r="H204" s="271"/>
      <c r="I204" s="271"/>
      <c r="J204" s="271"/>
      <c r="K204" s="271"/>
      <c r="L204" s="271"/>
      <c r="M204" s="271"/>
      <c r="N204" s="271"/>
      <c r="O204" s="271"/>
      <c r="P204" s="862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  <c r="AA204" s="271"/>
      <c r="AB204" s="271"/>
      <c r="AC204" s="271"/>
      <c r="AD204" s="271"/>
      <c r="AE204" s="271"/>
      <c r="AF204" s="271"/>
      <c r="AG204" s="271"/>
      <c r="AH204" s="215"/>
    </row>
    <row r="205" spans="1:34" ht="13.5" thickBot="1" x14ac:dyDescent="0.25">
      <c r="A205" s="265"/>
      <c r="B205" s="266"/>
      <c r="C205" s="272" t="s">
        <v>452</v>
      </c>
      <c r="D205" s="272" t="s">
        <v>453</v>
      </c>
      <c r="E205" s="272" t="s">
        <v>434</v>
      </c>
      <c r="F205" s="272" t="s">
        <v>390</v>
      </c>
      <c r="G205" s="272" t="s">
        <v>454</v>
      </c>
      <c r="H205" s="272" t="s">
        <v>455</v>
      </c>
      <c r="I205" s="272" t="s">
        <v>456</v>
      </c>
      <c r="J205" s="272" t="s">
        <v>457</v>
      </c>
      <c r="K205" s="272" t="s">
        <v>458</v>
      </c>
      <c r="L205" s="272" t="s">
        <v>216</v>
      </c>
      <c r="M205" s="272" t="s">
        <v>459</v>
      </c>
      <c r="N205" s="272" t="s">
        <v>297</v>
      </c>
      <c r="O205" s="272" t="s">
        <v>211</v>
      </c>
      <c r="P205" s="863" t="s">
        <v>270</v>
      </c>
      <c r="Q205" s="272"/>
      <c r="R205" s="272" t="s">
        <v>469</v>
      </c>
      <c r="S205" s="272" t="s">
        <v>461</v>
      </c>
      <c r="T205" s="272" t="s">
        <v>442</v>
      </c>
      <c r="U205" s="272" t="s">
        <v>462</v>
      </c>
      <c r="V205" s="272" t="s">
        <v>470</v>
      </c>
      <c r="W205" s="272" t="s">
        <v>471</v>
      </c>
      <c r="X205" s="272" t="s">
        <v>472</v>
      </c>
      <c r="Y205" s="272" t="s">
        <v>463</v>
      </c>
      <c r="Z205" s="272" t="s">
        <v>465</v>
      </c>
      <c r="AA205" s="272" t="s">
        <v>466</v>
      </c>
      <c r="AB205" s="272" t="s">
        <v>435</v>
      </c>
      <c r="AC205" s="272" t="s">
        <v>467</v>
      </c>
      <c r="AD205" s="272" t="s">
        <v>464</v>
      </c>
      <c r="AE205" s="272" t="s">
        <v>429</v>
      </c>
      <c r="AF205" s="272" t="s">
        <v>149</v>
      </c>
      <c r="AG205" s="272" t="s">
        <v>210</v>
      </c>
      <c r="AH205" s="215"/>
    </row>
    <row r="206" spans="1:34" x14ac:dyDescent="0.2">
      <c r="A206" s="263"/>
      <c r="B206" s="273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x14ac:dyDescent="0.2">
      <c r="A207" s="265" t="s">
        <v>0</v>
      </c>
      <c r="B207" s="274">
        <v>-8476.8320000000003</v>
      </c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ht="13.5" thickBot="1" x14ac:dyDescent="0.25">
      <c r="A208" s="275"/>
      <c r="B208" s="27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3"/>
      <c r="B209" s="278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1</v>
      </c>
      <c r="B210" s="274">
        <f>B211+B212+B213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38</v>
      </c>
      <c r="B211" s="274">
        <f>C259</f>
        <v>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x14ac:dyDescent="0.2">
      <c r="A212" s="265" t="s">
        <v>39</v>
      </c>
      <c r="B212" s="274">
        <f>C281</f>
        <v>0</v>
      </c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x14ac:dyDescent="0.2">
      <c r="A213" s="265" t="s">
        <v>3</v>
      </c>
      <c r="B213" s="274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ht="13.5" thickBot="1" x14ac:dyDescent="0.25">
      <c r="A214" s="275"/>
      <c r="B214" s="27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x14ac:dyDescent="0.2">
      <c r="A215" s="263"/>
      <c r="B215" s="278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x14ac:dyDescent="0.2">
      <c r="A216" s="265" t="s">
        <v>4</v>
      </c>
      <c r="B216" s="274">
        <f>B207-B210</f>
        <v>-8476.8320000000003</v>
      </c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ht="13.5" thickBot="1" x14ac:dyDescent="0.25">
      <c r="A217" s="275"/>
      <c r="B217" s="276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x14ac:dyDescent="0.2">
      <c r="A218" s="263"/>
      <c r="B218" s="278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x14ac:dyDescent="0.2">
      <c r="A219" s="265" t="s">
        <v>17</v>
      </c>
      <c r="B219" s="274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266"/>
      <c r="Y219" s="266"/>
      <c r="Z219" s="266"/>
      <c r="AA219" s="266"/>
      <c r="AB219" s="266"/>
      <c r="AC219" s="266"/>
      <c r="AD219" s="266"/>
      <c r="AE219" s="266"/>
      <c r="AF219" s="266"/>
      <c r="AG219" s="266"/>
      <c r="AH219" s="215"/>
    </row>
    <row r="220" spans="1:34" ht="13.5" thickBot="1" x14ac:dyDescent="0.25">
      <c r="A220" s="275"/>
      <c r="B220" s="276"/>
      <c r="C220" s="269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  <c r="N220" s="266"/>
      <c r="O220" s="266"/>
      <c r="P220" s="279"/>
      <c r="Q220" s="266"/>
      <c r="R220" s="266"/>
      <c r="S220" s="266"/>
      <c r="T220" s="266"/>
      <c r="U220" s="266"/>
      <c r="V220" s="266"/>
      <c r="W220" s="266"/>
      <c r="X220" s="330"/>
      <c r="Y220" s="266"/>
      <c r="Z220" s="266"/>
      <c r="AA220" s="266"/>
      <c r="AB220" s="266"/>
      <c r="AC220" s="266"/>
      <c r="AD220" s="266"/>
      <c r="AE220" s="266"/>
      <c r="AF220" s="266"/>
      <c r="AG220" s="266"/>
      <c r="AH220" s="215"/>
    </row>
    <row r="221" spans="1:34" x14ac:dyDescent="0.2">
      <c r="A221" s="263"/>
      <c r="B221" s="278"/>
      <c r="C221" s="281" t="s">
        <v>250</v>
      </c>
      <c r="D221" s="269"/>
      <c r="E221" s="266"/>
      <c r="F221" s="266"/>
      <c r="G221" s="269"/>
      <c r="H221" s="269"/>
      <c r="I221" s="266"/>
      <c r="J221" s="269"/>
      <c r="K221" s="266"/>
      <c r="L221" s="266"/>
      <c r="M221" s="266"/>
      <c r="N221" s="266"/>
      <c r="O221" s="266"/>
      <c r="P221" s="279"/>
      <c r="Q221" s="281"/>
      <c r="R221" s="266"/>
      <c r="S221" s="266"/>
      <c r="T221" s="266"/>
      <c r="U221" s="266"/>
      <c r="V221" s="266"/>
      <c r="W221" s="266"/>
      <c r="X221" s="266"/>
      <c r="Y221" s="266"/>
      <c r="Z221" s="266"/>
      <c r="AA221" s="266"/>
      <c r="AB221" s="266"/>
      <c r="AC221" s="810"/>
      <c r="AD221" s="802"/>
      <c r="AE221" s="269"/>
      <c r="AF221" s="268"/>
      <c r="AG221" s="269"/>
      <c r="AH221" s="215"/>
    </row>
    <row r="222" spans="1:34" x14ac:dyDescent="0.2">
      <c r="A222" s="265" t="s">
        <v>5</v>
      </c>
      <c r="B222" s="274">
        <f>B216-B219</f>
        <v>-8476.8320000000003</v>
      </c>
      <c r="C222" s="281" t="s">
        <v>193</v>
      </c>
      <c r="D222" s="269"/>
      <c r="E222" s="934"/>
      <c r="G222" s="269"/>
      <c r="H222" s="269"/>
      <c r="I222" s="269"/>
      <c r="J222" s="269"/>
      <c r="K222" s="281"/>
      <c r="L222" s="269"/>
      <c r="M222" s="269"/>
      <c r="N222" s="281"/>
      <c r="O222" s="269"/>
      <c r="P222" s="279"/>
      <c r="Q222" s="281"/>
      <c r="R222" s="266"/>
      <c r="S222" s="269"/>
      <c r="T222" s="269"/>
      <c r="U222" s="269"/>
      <c r="V222" s="269"/>
      <c r="W222" s="266"/>
      <c r="X222" s="710"/>
      <c r="Y222" s="269"/>
      <c r="Z222" s="266"/>
      <c r="AA222" s="269"/>
      <c r="AB222" s="269"/>
      <c r="AC222" s="810"/>
      <c r="AD222" s="802"/>
      <c r="AE222" s="269"/>
      <c r="AF222" s="269"/>
      <c r="AG222" s="269"/>
      <c r="AH222" s="215"/>
    </row>
    <row r="223" spans="1:34" ht="13.5" thickBot="1" x14ac:dyDescent="0.25">
      <c r="A223" s="275"/>
      <c r="B223" s="276"/>
      <c r="D223" s="266"/>
      <c r="E223" s="266"/>
      <c r="F223" s="266"/>
      <c r="G223" s="266"/>
      <c r="H223" s="266"/>
      <c r="I223" s="266"/>
      <c r="J223" s="269"/>
      <c r="K223" s="266"/>
      <c r="L223" s="266"/>
      <c r="M223" s="266"/>
      <c r="N223" s="266"/>
      <c r="O223" s="266"/>
      <c r="P223" s="279"/>
      <c r="Q223" s="266"/>
      <c r="R223" s="266"/>
      <c r="S223" s="266"/>
      <c r="T223" s="266"/>
      <c r="U223" s="269"/>
      <c r="V223" s="266"/>
      <c r="W223" s="266"/>
      <c r="X223" s="266"/>
      <c r="Y223" s="266"/>
      <c r="Z223" s="266"/>
      <c r="AA223" s="266"/>
      <c r="AB223" s="266"/>
      <c r="AC223" s="266"/>
      <c r="AD223" s="266"/>
      <c r="AE223" s="266"/>
      <c r="AF223" s="266"/>
      <c r="AG223" s="266"/>
      <c r="AH223" s="215"/>
    </row>
    <row r="224" spans="1:34" x14ac:dyDescent="0.2">
      <c r="A224" s="282"/>
      <c r="B224" s="266"/>
      <c r="C224" s="283"/>
      <c r="D224" s="285"/>
      <c r="E224" s="284"/>
      <c r="F224" s="284"/>
      <c r="G224" s="284"/>
      <c r="H224" s="284"/>
      <c r="I224" s="284"/>
      <c r="J224" s="284"/>
      <c r="K224" s="284"/>
      <c r="L224" s="284"/>
      <c r="M224" s="284"/>
      <c r="N224" s="284"/>
      <c r="O224" s="284"/>
      <c r="P224" s="86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15"/>
    </row>
    <row r="225" spans="1:34" ht="13.5" thickBot="1" x14ac:dyDescent="0.25">
      <c r="A225" s="287" t="s">
        <v>7</v>
      </c>
      <c r="B225" s="266"/>
      <c r="C225" s="288">
        <f>C226+C227+C228+C230+C229</f>
        <v>0</v>
      </c>
      <c r="D225" s="288">
        <f>D226+D227+D228+D230+D229</f>
        <v>0</v>
      </c>
      <c r="E225" s="288">
        <f>E226+E227+E228+E230+E229</f>
        <v>0</v>
      </c>
      <c r="F225" s="288">
        <f>F226+F227+F228+F230+F229</f>
        <v>0</v>
      </c>
      <c r="G225" s="288">
        <f>G226+G227+G228+G230+G229</f>
        <v>0</v>
      </c>
      <c r="H225" s="288">
        <f t="shared" ref="H225:AG225" si="23">H226+H227+H228+H230+H229</f>
        <v>0</v>
      </c>
      <c r="I225" s="288">
        <f t="shared" si="23"/>
        <v>0</v>
      </c>
      <c r="J225" s="288">
        <f t="shared" si="23"/>
        <v>0</v>
      </c>
      <c r="K225" s="288">
        <f t="shared" si="23"/>
        <v>0</v>
      </c>
      <c r="L225" s="288">
        <f t="shared" si="23"/>
        <v>0</v>
      </c>
      <c r="M225" s="288">
        <f t="shared" si="23"/>
        <v>0</v>
      </c>
      <c r="N225" s="288">
        <f t="shared" si="23"/>
        <v>0</v>
      </c>
      <c r="O225" s="288">
        <f t="shared" si="23"/>
        <v>0</v>
      </c>
      <c r="P225" s="865">
        <f t="shared" si="23"/>
        <v>0</v>
      </c>
      <c r="Q225" s="288">
        <f t="shared" si="23"/>
        <v>0</v>
      </c>
      <c r="R225" s="288">
        <f t="shared" si="23"/>
        <v>0</v>
      </c>
      <c r="S225" s="288">
        <f t="shared" si="23"/>
        <v>0</v>
      </c>
      <c r="T225" s="288">
        <f t="shared" si="23"/>
        <v>0</v>
      </c>
      <c r="U225" s="288">
        <f t="shared" si="23"/>
        <v>0</v>
      </c>
      <c r="V225" s="288">
        <f t="shared" si="23"/>
        <v>0</v>
      </c>
      <c r="W225" s="288">
        <f t="shared" si="23"/>
        <v>0</v>
      </c>
      <c r="X225" s="288">
        <f t="shared" si="23"/>
        <v>0</v>
      </c>
      <c r="Y225" s="288">
        <f t="shared" si="23"/>
        <v>0</v>
      </c>
      <c r="Z225" s="288">
        <f t="shared" si="23"/>
        <v>0</v>
      </c>
      <c r="AA225" s="288">
        <f t="shared" si="23"/>
        <v>0</v>
      </c>
      <c r="AB225" s="288">
        <f t="shared" si="23"/>
        <v>0</v>
      </c>
      <c r="AC225" s="288">
        <f t="shared" si="23"/>
        <v>0</v>
      </c>
      <c r="AD225" s="288">
        <f>AD226+AD227+AD228+AD230+AD229</f>
        <v>0</v>
      </c>
      <c r="AE225" s="288">
        <f t="shared" si="23"/>
        <v>0</v>
      </c>
      <c r="AF225" s="288">
        <f t="shared" si="23"/>
        <v>0</v>
      </c>
      <c r="AG225" s="288">
        <f t="shared" si="23"/>
        <v>0</v>
      </c>
      <c r="AH225" s="286">
        <f>SUM(C225:AG225)</f>
        <v>0</v>
      </c>
    </row>
    <row r="226" spans="1:34" x14ac:dyDescent="0.2">
      <c r="A226" s="287" t="s">
        <v>8</v>
      </c>
      <c r="B226" s="331"/>
      <c r="C226" s="291"/>
      <c r="D226" s="291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2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86">
        <f>SUM(C226:AG226)</f>
        <v>0</v>
      </c>
    </row>
    <row r="227" spans="1:34" x14ac:dyDescent="0.2">
      <c r="A227" s="287" t="s">
        <v>9</v>
      </c>
      <c r="B227" s="331"/>
      <c r="C227" s="291"/>
      <c r="D227" s="291"/>
      <c r="E227" s="290"/>
      <c r="F227" s="290"/>
      <c r="G227" s="290"/>
      <c r="H227" s="290"/>
      <c r="I227" s="290"/>
      <c r="J227" s="290"/>
      <c r="K227" s="290"/>
      <c r="L227" s="290"/>
      <c r="M227" s="295"/>
      <c r="N227" s="290"/>
      <c r="O227" s="290"/>
      <c r="P227" s="292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86">
        <f>SUM(C227:AG227)</f>
        <v>0</v>
      </c>
    </row>
    <row r="228" spans="1:34" s="360" customFormat="1" x14ac:dyDescent="0.2">
      <c r="A228" s="662" t="s">
        <v>10</v>
      </c>
      <c r="B228" s="669"/>
      <c r="C228" s="565"/>
      <c r="D228" s="565"/>
      <c r="E228" s="560"/>
      <c r="F228" s="560"/>
      <c r="G228" s="560"/>
      <c r="H228" s="560"/>
      <c r="I228" s="560"/>
      <c r="J228" s="560"/>
      <c r="K228" s="560"/>
      <c r="L228" s="380"/>
      <c r="M228" s="560"/>
      <c r="N228" s="560"/>
      <c r="O228" s="560"/>
      <c r="P228" s="560"/>
      <c r="Q228" s="560"/>
      <c r="R228" s="560"/>
      <c r="S228" s="560"/>
      <c r="T228" s="560"/>
      <c r="U228" s="560"/>
      <c r="V228" s="560"/>
      <c r="W228" s="560"/>
      <c r="X228" s="708"/>
      <c r="Y228" s="560"/>
      <c r="Z228" s="560"/>
      <c r="AA228" s="560"/>
      <c r="AB228" s="560"/>
      <c r="AC228" s="811"/>
      <c r="AD228" s="803"/>
      <c r="AE228" s="560"/>
      <c r="AF228" s="380"/>
      <c r="AG228" s="560"/>
      <c r="AH228" s="379">
        <f>SUM(C228:AG228)</f>
        <v>0</v>
      </c>
    </row>
    <row r="229" spans="1:34" s="360" customFormat="1" x14ac:dyDescent="0.2">
      <c r="A229" s="662" t="s">
        <v>356</v>
      </c>
      <c r="B229" s="669"/>
      <c r="C229" s="565"/>
      <c r="D229" s="565"/>
      <c r="E229" s="565"/>
      <c r="F229" s="560"/>
      <c r="G229" s="560"/>
      <c r="H229" s="560"/>
      <c r="I229" s="560"/>
      <c r="J229" s="560"/>
      <c r="K229" s="560"/>
      <c r="L229" s="560"/>
      <c r="M229" s="560"/>
      <c r="N229" s="560"/>
      <c r="O229" s="560"/>
      <c r="P229" s="560"/>
      <c r="Q229" s="560"/>
      <c r="R229" s="560"/>
      <c r="S229" s="560"/>
      <c r="T229" s="560"/>
      <c r="U229" s="560"/>
      <c r="V229" s="560"/>
      <c r="W229" s="560"/>
      <c r="X229" s="560"/>
      <c r="Y229" s="560"/>
      <c r="Z229" s="560"/>
      <c r="AA229" s="560"/>
      <c r="AB229" s="560"/>
      <c r="AC229" s="560"/>
      <c r="AD229" s="560"/>
      <c r="AE229" s="560"/>
      <c r="AF229" s="560"/>
      <c r="AG229" s="560"/>
      <c r="AH229" s="379">
        <f>SUM(C229:AG229)</f>
        <v>0</v>
      </c>
    </row>
    <row r="230" spans="1:34" x14ac:dyDescent="0.2">
      <c r="A230" s="287" t="s">
        <v>11</v>
      </c>
      <c r="B230" s="266"/>
      <c r="C230" s="291"/>
      <c r="D230" s="289"/>
      <c r="E230" s="289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15"/>
    </row>
    <row r="231" spans="1:34" ht="13.5" thickBot="1" x14ac:dyDescent="0.25">
      <c r="A231" s="296"/>
      <c r="B231" s="266"/>
      <c r="C231" s="291"/>
      <c r="D231" s="291"/>
      <c r="E231" s="291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2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15"/>
    </row>
    <row r="232" spans="1:34" x14ac:dyDescent="0.2">
      <c r="A232" s="282"/>
      <c r="B232" s="266"/>
      <c r="C232" s="297"/>
      <c r="D232" s="298"/>
      <c r="E232" s="298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866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  <c r="AA232" s="299"/>
      <c r="AB232" s="299"/>
      <c r="AC232" s="299"/>
      <c r="AD232" s="299"/>
      <c r="AE232" s="299"/>
      <c r="AF232" s="299"/>
      <c r="AG232" s="299"/>
      <c r="AH232" s="215"/>
    </row>
    <row r="233" spans="1:34" ht="13.5" thickBot="1" x14ac:dyDescent="0.25">
      <c r="A233" s="287" t="s">
        <v>12</v>
      </c>
      <c r="B233" s="266"/>
      <c r="C233" s="288">
        <f>C234</f>
        <v>0</v>
      </c>
      <c r="D233" s="288">
        <f t="shared" ref="D233:AG233" si="24">D234</f>
        <v>0</v>
      </c>
      <c r="E233" s="288">
        <f t="shared" si="24"/>
        <v>0</v>
      </c>
      <c r="F233" s="288">
        <f t="shared" si="24"/>
        <v>0</v>
      </c>
      <c r="G233" s="288">
        <f t="shared" si="24"/>
        <v>0</v>
      </c>
      <c r="H233" s="288">
        <f t="shared" si="24"/>
        <v>0</v>
      </c>
      <c r="I233" s="288">
        <f t="shared" si="24"/>
        <v>0</v>
      </c>
      <c r="J233" s="288">
        <f t="shared" si="24"/>
        <v>0</v>
      </c>
      <c r="K233" s="288">
        <f t="shared" si="24"/>
        <v>0</v>
      </c>
      <c r="L233" s="288">
        <f t="shared" si="24"/>
        <v>0</v>
      </c>
      <c r="M233" s="288">
        <f t="shared" si="24"/>
        <v>0</v>
      </c>
      <c r="N233" s="288">
        <f t="shared" si="24"/>
        <v>0</v>
      </c>
      <c r="O233" s="288">
        <f t="shared" si="24"/>
        <v>0</v>
      </c>
      <c r="P233" s="865">
        <f t="shared" si="24"/>
        <v>0</v>
      </c>
      <c r="Q233" s="288">
        <f t="shared" si="24"/>
        <v>0</v>
      </c>
      <c r="R233" s="288">
        <f t="shared" si="24"/>
        <v>0</v>
      </c>
      <c r="S233" s="288">
        <f t="shared" si="24"/>
        <v>0</v>
      </c>
      <c r="T233" s="288">
        <f t="shared" si="24"/>
        <v>0</v>
      </c>
      <c r="U233" s="288">
        <f t="shared" si="24"/>
        <v>0</v>
      </c>
      <c r="V233" s="288">
        <f t="shared" si="24"/>
        <v>0</v>
      </c>
      <c r="W233" s="288">
        <f t="shared" si="24"/>
        <v>0</v>
      </c>
      <c r="X233" s="288">
        <f t="shared" si="24"/>
        <v>0</v>
      </c>
      <c r="Y233" s="288">
        <f t="shared" si="24"/>
        <v>0</v>
      </c>
      <c r="Z233" s="288">
        <f t="shared" si="24"/>
        <v>0</v>
      </c>
      <c r="AA233" s="288">
        <f t="shared" si="24"/>
        <v>0</v>
      </c>
      <c r="AB233" s="288">
        <f t="shared" si="24"/>
        <v>0</v>
      </c>
      <c r="AC233" s="288">
        <f t="shared" si="24"/>
        <v>0</v>
      </c>
      <c r="AD233" s="288">
        <f t="shared" si="24"/>
        <v>0</v>
      </c>
      <c r="AE233" s="288">
        <f t="shared" si="24"/>
        <v>0</v>
      </c>
      <c r="AF233" s="288">
        <f t="shared" si="24"/>
        <v>0</v>
      </c>
      <c r="AG233" s="288">
        <f t="shared" si="24"/>
        <v>0</v>
      </c>
      <c r="AH233" s="215"/>
    </row>
    <row r="234" spans="1:34" x14ac:dyDescent="0.2">
      <c r="A234" s="287" t="s">
        <v>8</v>
      </c>
      <c r="B234" s="266"/>
      <c r="C234" s="291"/>
      <c r="D234" s="291"/>
      <c r="E234" s="291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2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15"/>
    </row>
    <row r="235" spans="1:34" x14ac:dyDescent="0.2">
      <c r="A235" s="287" t="s">
        <v>775</v>
      </c>
      <c r="B235" s="266"/>
      <c r="C235" s="291">
        <v>2500</v>
      </c>
      <c r="D235" s="291"/>
      <c r="E235" s="291"/>
      <c r="F235" s="290"/>
      <c r="G235" s="290"/>
      <c r="H235" s="290"/>
      <c r="I235" s="290">
        <v>860</v>
      </c>
      <c r="J235" s="290"/>
      <c r="K235" s="290"/>
      <c r="L235" s="290">
        <v>3885</v>
      </c>
      <c r="M235" s="290"/>
      <c r="N235" s="290"/>
      <c r="O235" s="290"/>
      <c r="P235" s="292"/>
      <c r="Q235" s="290">
        <v>10107</v>
      </c>
      <c r="R235" s="290"/>
      <c r="S235" s="290"/>
      <c r="T235" s="290"/>
      <c r="U235" s="290"/>
      <c r="V235" s="290">
        <v>2626</v>
      </c>
      <c r="W235" s="290"/>
      <c r="X235" s="290">
        <v>2684</v>
      </c>
      <c r="Y235" s="290"/>
      <c r="Z235" s="290">
        <v>860</v>
      </c>
      <c r="AA235" s="290"/>
      <c r="AB235" s="290"/>
      <c r="AC235" s="290">
        <v>860</v>
      </c>
      <c r="AD235" s="290">
        <v>2197</v>
      </c>
      <c r="AE235" s="290"/>
      <c r="AF235" s="290">
        <v>6068</v>
      </c>
      <c r="AG235" s="290">
        <v>16366</v>
      </c>
      <c r="AH235" s="286">
        <f>SUM(C235:AG235)</f>
        <v>49013</v>
      </c>
    </row>
    <row r="236" spans="1:34" ht="13.5" thickBot="1" x14ac:dyDescent="0.25">
      <c r="A236" s="296"/>
      <c r="B236" s="266"/>
      <c r="C236" s="291"/>
      <c r="D236" s="291"/>
      <c r="E236" s="291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2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15"/>
    </row>
    <row r="237" spans="1:34" x14ac:dyDescent="0.2">
      <c r="A237" s="282"/>
      <c r="B237" s="266"/>
      <c r="C237" s="297"/>
      <c r="D237" s="298"/>
      <c r="E237" s="298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866"/>
      <c r="Q237" s="299"/>
      <c r="R237" s="299"/>
      <c r="S237" s="299"/>
      <c r="T237" s="299"/>
      <c r="U237" s="299"/>
      <c r="V237" s="299"/>
      <c r="W237" s="299"/>
      <c r="X237" s="299"/>
      <c r="Y237" s="299"/>
      <c r="Z237" s="299"/>
      <c r="AA237" s="299"/>
      <c r="AB237" s="299"/>
      <c r="AC237" s="299"/>
      <c r="AD237" s="299"/>
      <c r="AE237" s="299"/>
      <c r="AF237" s="299"/>
      <c r="AG237" s="299"/>
      <c r="AH237" s="215"/>
    </row>
    <row r="238" spans="1:34" x14ac:dyDescent="0.2">
      <c r="A238" s="287" t="s">
        <v>13</v>
      </c>
      <c r="B238" s="266"/>
      <c r="C238" s="300">
        <f>C233-C225</f>
        <v>0</v>
      </c>
      <c r="D238" s="300">
        <f>D233-D225</f>
        <v>0</v>
      </c>
      <c r="E238" s="300">
        <f>E233-E225</f>
        <v>0</v>
      </c>
      <c r="F238" s="300">
        <f>F233-F225</f>
        <v>0</v>
      </c>
      <c r="G238" s="300">
        <f>G233-G225</f>
        <v>0</v>
      </c>
      <c r="H238" s="300">
        <f t="shared" ref="H238:AG238" si="25">H233-H225</f>
        <v>0</v>
      </c>
      <c r="I238" s="300">
        <f t="shared" si="25"/>
        <v>0</v>
      </c>
      <c r="J238" s="300">
        <f t="shared" si="25"/>
        <v>0</v>
      </c>
      <c r="K238" s="300">
        <f t="shared" si="25"/>
        <v>0</v>
      </c>
      <c r="L238" s="300">
        <f t="shared" si="25"/>
        <v>0</v>
      </c>
      <c r="M238" s="300">
        <f t="shared" si="25"/>
        <v>0</v>
      </c>
      <c r="N238" s="300">
        <f t="shared" si="25"/>
        <v>0</v>
      </c>
      <c r="O238" s="300">
        <f t="shared" si="25"/>
        <v>0</v>
      </c>
      <c r="P238" s="867">
        <f t="shared" si="25"/>
        <v>0</v>
      </c>
      <c r="Q238" s="300">
        <f t="shared" si="25"/>
        <v>0</v>
      </c>
      <c r="R238" s="300">
        <f t="shared" si="25"/>
        <v>0</v>
      </c>
      <c r="S238" s="300">
        <f t="shared" si="25"/>
        <v>0</v>
      </c>
      <c r="T238" s="300">
        <f t="shared" si="25"/>
        <v>0</v>
      </c>
      <c r="U238" s="300">
        <f t="shared" si="25"/>
        <v>0</v>
      </c>
      <c r="V238" s="300">
        <f t="shared" si="25"/>
        <v>0</v>
      </c>
      <c r="W238" s="300">
        <f t="shared" si="25"/>
        <v>0</v>
      </c>
      <c r="X238" s="300">
        <f t="shared" si="25"/>
        <v>0</v>
      </c>
      <c r="Y238" s="300">
        <f t="shared" si="25"/>
        <v>0</v>
      </c>
      <c r="Z238" s="300">
        <f t="shared" si="25"/>
        <v>0</v>
      </c>
      <c r="AA238" s="300">
        <f t="shared" si="25"/>
        <v>0</v>
      </c>
      <c r="AB238" s="300">
        <f t="shared" si="25"/>
        <v>0</v>
      </c>
      <c r="AC238" s="300">
        <f t="shared" si="25"/>
        <v>0</v>
      </c>
      <c r="AD238" s="300">
        <f t="shared" si="25"/>
        <v>0</v>
      </c>
      <c r="AE238" s="300">
        <f t="shared" si="25"/>
        <v>0</v>
      </c>
      <c r="AF238" s="300">
        <f t="shared" si="25"/>
        <v>0</v>
      </c>
      <c r="AG238" s="300">
        <f t="shared" si="25"/>
        <v>0</v>
      </c>
      <c r="AH238" s="215"/>
    </row>
    <row r="239" spans="1:34" ht="13.5" thickBot="1" x14ac:dyDescent="0.25">
      <c r="A239" s="287"/>
      <c r="B239" s="266"/>
      <c r="C239" s="300"/>
      <c r="D239" s="291"/>
      <c r="E239" s="291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2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15"/>
    </row>
    <row r="240" spans="1:34" x14ac:dyDescent="0.2">
      <c r="A240" s="263"/>
      <c r="B240" s="264"/>
      <c r="C240" s="301"/>
      <c r="D240" s="298"/>
      <c r="E240" s="298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866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  <c r="AH240" s="215"/>
    </row>
    <row r="241" spans="1:34" x14ac:dyDescent="0.2">
      <c r="A241" s="265" t="s">
        <v>15</v>
      </c>
      <c r="B241" s="266"/>
      <c r="C241" s="291">
        <f>B222+C238</f>
        <v>-8476.8320000000003</v>
      </c>
      <c r="D241" s="291">
        <f t="shared" ref="D241:AG241" si="26">C248+D238</f>
        <v>-8476.8320000000003</v>
      </c>
      <c r="E241" s="291">
        <f t="shared" si="26"/>
        <v>-8476.8320000000003</v>
      </c>
      <c r="F241" s="291">
        <f t="shared" si="26"/>
        <v>-8476.8320000000003</v>
      </c>
      <c r="G241" s="291">
        <f t="shared" si="26"/>
        <v>-8476.8320000000003</v>
      </c>
      <c r="H241" s="291">
        <f t="shared" si="26"/>
        <v>-8476.8320000000003</v>
      </c>
      <c r="I241" s="291">
        <f t="shared" si="26"/>
        <v>-8476.8320000000003</v>
      </c>
      <c r="J241" s="291">
        <f t="shared" si="26"/>
        <v>-8476.8320000000003</v>
      </c>
      <c r="K241" s="291">
        <f t="shared" si="26"/>
        <v>-8476.8320000000003</v>
      </c>
      <c r="L241" s="291">
        <f t="shared" si="26"/>
        <v>-8476.8320000000003</v>
      </c>
      <c r="M241" s="291">
        <f t="shared" si="26"/>
        <v>-8476.8320000000003</v>
      </c>
      <c r="N241" s="291">
        <f t="shared" si="26"/>
        <v>-8476.8320000000003</v>
      </c>
      <c r="O241" s="291">
        <f t="shared" si="26"/>
        <v>-8476.8320000000003</v>
      </c>
      <c r="P241" s="289">
        <f t="shared" si="26"/>
        <v>-8476.8320000000003</v>
      </c>
      <c r="Q241" s="291">
        <f t="shared" si="26"/>
        <v>-8476.8320000000003</v>
      </c>
      <c r="R241" s="291">
        <f t="shared" si="26"/>
        <v>-8476.8320000000003</v>
      </c>
      <c r="S241" s="291">
        <f t="shared" si="26"/>
        <v>-8476.8320000000003</v>
      </c>
      <c r="T241" s="291">
        <f t="shared" si="26"/>
        <v>-8476.8320000000003</v>
      </c>
      <c r="U241" s="291">
        <f t="shared" si="26"/>
        <v>-8476.8320000000003</v>
      </c>
      <c r="V241" s="291">
        <f t="shared" si="26"/>
        <v>-8476.8320000000003</v>
      </c>
      <c r="W241" s="291">
        <f t="shared" si="26"/>
        <v>-8476.8320000000003</v>
      </c>
      <c r="X241" s="291">
        <f t="shared" si="26"/>
        <v>-8476.8320000000003</v>
      </c>
      <c r="Y241" s="291">
        <f t="shared" si="26"/>
        <v>-8476.8320000000003</v>
      </c>
      <c r="Z241" s="291">
        <f t="shared" si="26"/>
        <v>-8476.8320000000003</v>
      </c>
      <c r="AA241" s="291">
        <f t="shared" si="26"/>
        <v>-8476.8320000000003</v>
      </c>
      <c r="AB241" s="291">
        <f t="shared" si="26"/>
        <v>-8476.8320000000003</v>
      </c>
      <c r="AC241" s="291">
        <f t="shared" si="26"/>
        <v>-8476.8320000000003</v>
      </c>
      <c r="AD241" s="291">
        <f t="shared" si="26"/>
        <v>-8476.8320000000003</v>
      </c>
      <c r="AE241" s="291">
        <f t="shared" si="26"/>
        <v>-8476.8320000000003</v>
      </c>
      <c r="AF241" s="291">
        <f t="shared" si="26"/>
        <v>-8476.8320000000003</v>
      </c>
      <c r="AG241" s="291">
        <f t="shared" si="26"/>
        <v>-8476.8320000000003</v>
      </c>
      <c r="AH241" s="215"/>
    </row>
    <row r="242" spans="1:34" ht="13.5" thickBot="1" x14ac:dyDescent="0.25">
      <c r="A242" s="275"/>
      <c r="B242" s="302"/>
      <c r="C242" s="303"/>
      <c r="D242" s="303"/>
      <c r="E242" s="303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868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215"/>
    </row>
    <row r="243" spans="1:34" x14ac:dyDescent="0.2">
      <c r="A243" s="263"/>
      <c r="B243" s="264"/>
      <c r="C243" s="298"/>
      <c r="D243" s="298"/>
      <c r="E243" s="298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866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  <c r="AB243" s="299"/>
      <c r="AC243" s="299"/>
      <c r="AD243" s="299"/>
      <c r="AE243" s="299"/>
      <c r="AF243" s="299"/>
      <c r="AG243" s="299"/>
      <c r="AH243" s="215"/>
    </row>
    <row r="244" spans="1:34" x14ac:dyDescent="0.2">
      <c r="A244" s="265" t="s">
        <v>82</v>
      </c>
      <c r="B244" s="266"/>
      <c r="C244" s="291">
        <f t="shared" ref="C244:AG245" si="27">C252</f>
        <v>0</v>
      </c>
      <c r="D244" s="291">
        <f t="shared" si="27"/>
        <v>0</v>
      </c>
      <c r="E244" s="291">
        <f t="shared" si="27"/>
        <v>0</v>
      </c>
      <c r="F244" s="291">
        <f t="shared" si="27"/>
        <v>0</v>
      </c>
      <c r="G244" s="291">
        <f t="shared" si="27"/>
        <v>0</v>
      </c>
      <c r="H244" s="291">
        <f t="shared" si="27"/>
        <v>0</v>
      </c>
      <c r="I244" s="291">
        <f t="shared" si="27"/>
        <v>0</v>
      </c>
      <c r="J244" s="291">
        <f t="shared" si="27"/>
        <v>0</v>
      </c>
      <c r="K244" s="291">
        <f t="shared" si="27"/>
        <v>0</v>
      </c>
      <c r="L244" s="291">
        <f t="shared" si="27"/>
        <v>0</v>
      </c>
      <c r="M244" s="291">
        <f t="shared" si="27"/>
        <v>0</v>
      </c>
      <c r="N244" s="291">
        <f t="shared" si="27"/>
        <v>0</v>
      </c>
      <c r="O244" s="291">
        <f t="shared" si="27"/>
        <v>0</v>
      </c>
      <c r="P244" s="289">
        <f t="shared" si="27"/>
        <v>0</v>
      </c>
      <c r="Q244" s="291">
        <f t="shared" si="27"/>
        <v>0</v>
      </c>
      <c r="R244" s="291">
        <f t="shared" si="27"/>
        <v>0</v>
      </c>
      <c r="S244" s="291">
        <f t="shared" si="27"/>
        <v>0</v>
      </c>
      <c r="T244" s="291">
        <f t="shared" si="27"/>
        <v>0</v>
      </c>
      <c r="U244" s="291">
        <f t="shared" si="27"/>
        <v>0</v>
      </c>
      <c r="V244" s="291">
        <f t="shared" si="27"/>
        <v>0</v>
      </c>
      <c r="W244" s="291">
        <f t="shared" si="27"/>
        <v>0</v>
      </c>
      <c r="X244" s="291">
        <f t="shared" si="27"/>
        <v>0</v>
      </c>
      <c r="Y244" s="291">
        <f t="shared" si="27"/>
        <v>0</v>
      </c>
      <c r="Z244" s="291">
        <f t="shared" si="27"/>
        <v>0</v>
      </c>
      <c r="AA244" s="291">
        <f t="shared" si="27"/>
        <v>0</v>
      </c>
      <c r="AB244" s="291">
        <f t="shared" si="27"/>
        <v>0</v>
      </c>
      <c r="AC244" s="291">
        <f t="shared" si="27"/>
        <v>0</v>
      </c>
      <c r="AD244" s="291">
        <f t="shared" si="27"/>
        <v>0</v>
      </c>
      <c r="AE244" s="291">
        <f t="shared" si="27"/>
        <v>0</v>
      </c>
      <c r="AF244" s="291">
        <f t="shared" si="27"/>
        <v>0</v>
      </c>
      <c r="AG244" s="291">
        <f t="shared" si="27"/>
        <v>991.73299999999995</v>
      </c>
      <c r="AH244" s="215"/>
    </row>
    <row r="245" spans="1:34" x14ac:dyDescent="0.2">
      <c r="A245" s="265" t="s">
        <v>83</v>
      </c>
      <c r="B245" s="266"/>
      <c r="C245" s="289">
        <f t="shared" si="27"/>
        <v>0</v>
      </c>
      <c r="D245" s="289">
        <f t="shared" si="27"/>
        <v>0</v>
      </c>
      <c r="E245" s="289">
        <f t="shared" si="27"/>
        <v>0</v>
      </c>
      <c r="F245" s="289">
        <f t="shared" si="27"/>
        <v>0</v>
      </c>
      <c r="G245" s="289">
        <f t="shared" si="27"/>
        <v>0</v>
      </c>
      <c r="H245" s="289">
        <f t="shared" si="27"/>
        <v>0</v>
      </c>
      <c r="I245" s="289">
        <f t="shared" si="27"/>
        <v>0</v>
      </c>
      <c r="J245" s="289">
        <f t="shared" si="27"/>
        <v>0</v>
      </c>
      <c r="K245" s="289">
        <f t="shared" si="27"/>
        <v>0</v>
      </c>
      <c r="L245" s="289">
        <f t="shared" si="27"/>
        <v>0</v>
      </c>
      <c r="M245" s="289">
        <f t="shared" si="27"/>
        <v>0</v>
      </c>
      <c r="N245" s="289">
        <f t="shared" si="27"/>
        <v>0</v>
      </c>
      <c r="O245" s="289">
        <f t="shared" si="27"/>
        <v>0</v>
      </c>
      <c r="P245" s="289">
        <f t="shared" si="27"/>
        <v>0</v>
      </c>
      <c r="Q245" s="289">
        <f t="shared" si="27"/>
        <v>0</v>
      </c>
      <c r="R245" s="289">
        <f t="shared" si="27"/>
        <v>0</v>
      </c>
      <c r="S245" s="289">
        <f t="shared" si="27"/>
        <v>0</v>
      </c>
      <c r="T245" s="289">
        <f t="shared" si="27"/>
        <v>0</v>
      </c>
      <c r="U245" s="289">
        <f t="shared" si="27"/>
        <v>0</v>
      </c>
      <c r="V245" s="289">
        <f t="shared" si="27"/>
        <v>0</v>
      </c>
      <c r="W245" s="289">
        <f t="shared" si="27"/>
        <v>0</v>
      </c>
      <c r="X245" s="289">
        <f t="shared" si="27"/>
        <v>0</v>
      </c>
      <c r="Y245" s="289">
        <f t="shared" si="27"/>
        <v>0</v>
      </c>
      <c r="Z245" s="289">
        <f t="shared" si="27"/>
        <v>0</v>
      </c>
      <c r="AA245" s="289">
        <f t="shared" si="27"/>
        <v>0</v>
      </c>
      <c r="AB245" s="289">
        <f t="shared" si="27"/>
        <v>0</v>
      </c>
      <c r="AC245" s="289">
        <f t="shared" si="27"/>
        <v>0</v>
      </c>
      <c r="AD245" s="289">
        <f t="shared" si="27"/>
        <v>0</v>
      </c>
      <c r="AE245" s="289">
        <f t="shared" si="27"/>
        <v>0</v>
      </c>
      <c r="AF245" s="289">
        <f t="shared" si="27"/>
        <v>0</v>
      </c>
      <c r="AG245" s="289">
        <f t="shared" si="27"/>
        <v>0</v>
      </c>
      <c r="AH245" s="215"/>
    </row>
    <row r="246" spans="1:34" ht="13.5" thickBot="1" x14ac:dyDescent="0.25">
      <c r="A246" s="275"/>
      <c r="B246" s="302"/>
      <c r="C246" s="303"/>
      <c r="D246" s="303"/>
      <c r="E246" s="303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868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04"/>
      <c r="AF246" s="304"/>
      <c r="AG246" s="304"/>
      <c r="AH246" s="215"/>
    </row>
    <row r="247" spans="1:34" x14ac:dyDescent="0.2">
      <c r="A247" s="265"/>
      <c r="B247" s="266"/>
      <c r="C247" s="291"/>
      <c r="D247" s="291"/>
      <c r="E247" s="291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2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15"/>
    </row>
    <row r="248" spans="1:34" x14ac:dyDescent="0.2">
      <c r="A248" s="265" t="s">
        <v>14</v>
      </c>
      <c r="B248" s="266"/>
      <c r="C248" s="291">
        <f>C241+C244+C245</f>
        <v>-8476.8320000000003</v>
      </c>
      <c r="D248" s="291">
        <f>D241+D244+D245</f>
        <v>-8476.8320000000003</v>
      </c>
      <c r="E248" s="291">
        <f>E241+E244+E245</f>
        <v>-8476.8320000000003</v>
      </c>
      <c r="F248" s="291">
        <f>F241+F244+F245</f>
        <v>-8476.8320000000003</v>
      </c>
      <c r="G248" s="291">
        <f>G241+G244+G245</f>
        <v>-8476.8320000000003</v>
      </c>
      <c r="H248" s="291">
        <f t="shared" ref="H248:AG248" si="28">H241+H244+H245</f>
        <v>-8476.8320000000003</v>
      </c>
      <c r="I248" s="291">
        <f t="shared" si="28"/>
        <v>-8476.8320000000003</v>
      </c>
      <c r="J248" s="291">
        <f t="shared" si="28"/>
        <v>-8476.8320000000003</v>
      </c>
      <c r="K248" s="291">
        <f t="shared" si="28"/>
        <v>-8476.8320000000003</v>
      </c>
      <c r="L248" s="291">
        <f t="shared" si="28"/>
        <v>-8476.8320000000003</v>
      </c>
      <c r="M248" s="291">
        <f t="shared" si="28"/>
        <v>-8476.8320000000003</v>
      </c>
      <c r="N248" s="291">
        <f t="shared" si="28"/>
        <v>-8476.8320000000003</v>
      </c>
      <c r="O248" s="291">
        <f t="shared" si="28"/>
        <v>-8476.8320000000003</v>
      </c>
      <c r="P248" s="289">
        <f t="shared" si="28"/>
        <v>-8476.8320000000003</v>
      </c>
      <c r="Q248" s="291">
        <f t="shared" si="28"/>
        <v>-8476.8320000000003</v>
      </c>
      <c r="R248" s="291">
        <f t="shared" si="28"/>
        <v>-8476.8320000000003</v>
      </c>
      <c r="S248" s="291">
        <f t="shared" si="28"/>
        <v>-8476.8320000000003</v>
      </c>
      <c r="T248" s="291">
        <f t="shared" si="28"/>
        <v>-8476.8320000000003</v>
      </c>
      <c r="U248" s="291">
        <f t="shared" si="28"/>
        <v>-8476.8320000000003</v>
      </c>
      <c r="V248" s="291">
        <f t="shared" si="28"/>
        <v>-8476.8320000000003</v>
      </c>
      <c r="W248" s="291">
        <f t="shared" si="28"/>
        <v>-8476.8320000000003</v>
      </c>
      <c r="X248" s="291">
        <f t="shared" si="28"/>
        <v>-8476.8320000000003</v>
      </c>
      <c r="Y248" s="291">
        <f t="shared" si="28"/>
        <v>-8476.8320000000003</v>
      </c>
      <c r="Z248" s="291">
        <f t="shared" si="28"/>
        <v>-8476.8320000000003</v>
      </c>
      <c r="AA248" s="291">
        <f t="shared" si="28"/>
        <v>-8476.8320000000003</v>
      </c>
      <c r="AB248" s="291">
        <f t="shared" si="28"/>
        <v>-8476.8320000000003</v>
      </c>
      <c r="AC248" s="291">
        <f t="shared" si="28"/>
        <v>-8476.8320000000003</v>
      </c>
      <c r="AD248" s="291">
        <f t="shared" si="28"/>
        <v>-8476.8320000000003</v>
      </c>
      <c r="AE248" s="291">
        <f t="shared" si="28"/>
        <v>-8476.8320000000003</v>
      </c>
      <c r="AF248" s="291">
        <f t="shared" si="28"/>
        <v>-8476.8320000000003</v>
      </c>
      <c r="AG248" s="291">
        <f t="shared" si="28"/>
        <v>-7485.0990000000002</v>
      </c>
      <c r="AH248" s="215"/>
    </row>
    <row r="249" spans="1:34" x14ac:dyDescent="0.2">
      <c r="A249" s="265"/>
      <c r="B249" s="266"/>
      <c r="C249" s="291"/>
      <c r="D249" s="291"/>
      <c r="E249" s="291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2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  <c r="AE249" s="290"/>
      <c r="AF249" s="290"/>
      <c r="AG249" s="290"/>
      <c r="AH249" s="215"/>
    </row>
    <row r="250" spans="1:34" ht="13.5" thickBot="1" x14ac:dyDescent="0.25">
      <c r="A250" s="275"/>
      <c r="B250" s="302"/>
      <c r="C250" s="306"/>
      <c r="D250" s="306"/>
      <c r="E250" s="306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869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C250" s="307"/>
      <c r="AD250" s="307"/>
      <c r="AE250" s="307"/>
      <c r="AF250" s="307"/>
      <c r="AG250" s="307"/>
      <c r="AH250" s="215"/>
    </row>
    <row r="251" spans="1:34" x14ac:dyDescent="0.2">
      <c r="A251" s="310"/>
      <c r="B251" s="215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308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>
        <f>SUM(C251:AG251)</f>
        <v>0</v>
      </c>
    </row>
    <row r="252" spans="1:34" x14ac:dyDescent="0.2">
      <c r="A252" s="310"/>
      <c r="B252" s="215"/>
      <c r="C252" s="311"/>
      <c r="D252" s="311"/>
      <c r="E252" s="311"/>
      <c r="F252" s="311"/>
      <c r="G252" s="314"/>
      <c r="H252" s="311"/>
      <c r="I252" s="311"/>
      <c r="J252" s="311"/>
      <c r="K252" s="311"/>
      <c r="L252" s="314"/>
      <c r="M252" s="314"/>
      <c r="N252" s="629"/>
      <c r="O252" s="314"/>
      <c r="P252" s="629"/>
      <c r="Q252" s="311"/>
      <c r="R252" s="311"/>
      <c r="S252" s="311"/>
      <c r="T252" s="311"/>
      <c r="U252" s="311"/>
      <c r="V252" s="629"/>
      <c r="W252" s="311"/>
      <c r="X252" s="311"/>
      <c r="Y252" s="311"/>
      <c r="Z252" s="311"/>
      <c r="AA252" s="408"/>
      <c r="AB252" s="311"/>
      <c r="AC252" s="311"/>
      <c r="AD252" s="314"/>
      <c r="AE252" s="311"/>
      <c r="AF252" s="629"/>
      <c r="AG252" s="311">
        <v>991.73299999999995</v>
      </c>
      <c r="AH252" s="262"/>
    </row>
    <row r="253" spans="1:34" x14ac:dyDescent="0.2">
      <c r="A253" s="215"/>
      <c r="B253" s="215"/>
      <c r="C253" s="215"/>
      <c r="D253" s="311"/>
      <c r="E253" s="317"/>
      <c r="F253" s="215"/>
      <c r="G253" s="215"/>
      <c r="H253" s="215"/>
      <c r="I253" s="215"/>
      <c r="J253" s="215"/>
      <c r="K253" s="215"/>
      <c r="L253" s="215"/>
      <c r="M253" s="215"/>
      <c r="N253" s="215"/>
      <c r="O253" s="215"/>
      <c r="P253" s="309"/>
      <c r="Q253" s="286"/>
      <c r="R253" s="215"/>
      <c r="S253" s="262"/>
      <c r="T253" s="215"/>
      <c r="U253" s="215"/>
      <c r="V253" s="215"/>
      <c r="W253" s="215"/>
      <c r="X253" s="215"/>
      <c r="Y253" s="262"/>
      <c r="Z253" s="262"/>
      <c r="AA253" s="262"/>
      <c r="AB253" s="262"/>
      <c r="AC253" s="262"/>
      <c r="AD253" s="262"/>
      <c r="AE253" s="262"/>
      <c r="AF253" s="262"/>
      <c r="AG253" s="262"/>
      <c r="AH253" s="286">
        <f>SUM(C253:AG253)</f>
        <v>0</v>
      </c>
    </row>
    <row r="254" spans="1:34" x14ac:dyDescent="0.2">
      <c r="A254" s="358" t="s">
        <v>415</v>
      </c>
      <c r="B254" s="359">
        <f>B255+B256+B258</f>
        <v>425000</v>
      </c>
      <c r="C254" s="215"/>
      <c r="D254" s="215"/>
      <c r="E254" s="215"/>
      <c r="F254" s="215"/>
      <c r="G254" s="215"/>
      <c r="H254" s="215"/>
      <c r="I254" s="215"/>
      <c r="J254" s="215"/>
      <c r="K254" s="409"/>
      <c r="L254" s="215"/>
      <c r="M254" s="215"/>
      <c r="N254" s="215"/>
      <c r="O254" s="215"/>
      <c r="P254" s="309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408"/>
      <c r="AB254" s="215"/>
      <c r="AC254" s="215"/>
      <c r="AD254" s="215"/>
      <c r="AE254" s="215"/>
      <c r="AF254" s="215"/>
      <c r="AG254" s="215"/>
      <c r="AH254" s="215"/>
    </row>
    <row r="255" spans="1:34" x14ac:dyDescent="0.2">
      <c r="A255" s="327" t="s">
        <v>414</v>
      </c>
      <c r="B255" s="311">
        <v>25000</v>
      </c>
      <c r="C255" s="215"/>
      <c r="D255" s="215"/>
      <c r="E255" s="286"/>
      <c r="F255" s="286"/>
      <c r="G255" s="286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86"/>
      <c r="V255" s="215"/>
      <c r="W255" s="215"/>
      <c r="X255" s="215"/>
      <c r="Y255" s="215"/>
      <c r="Z255" s="215"/>
      <c r="AA255" s="323"/>
      <c r="AB255" s="215"/>
      <c r="AC255" s="215"/>
      <c r="AD255" s="215"/>
      <c r="AE255" s="215"/>
      <c r="AF255" s="215"/>
      <c r="AG255" s="286"/>
      <c r="AH255" s="215"/>
    </row>
    <row r="256" spans="1:34" x14ac:dyDescent="0.2">
      <c r="A256" s="327" t="s">
        <v>287</v>
      </c>
      <c r="B256" s="311">
        <v>300000</v>
      </c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86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409"/>
      <c r="AG256" s="215"/>
      <c r="AH256" s="215"/>
    </row>
    <row r="257" spans="1:34" x14ac:dyDescent="0.2">
      <c r="A257" s="310" t="s">
        <v>413</v>
      </c>
      <c r="B257" s="311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310" t="s">
        <v>441</v>
      </c>
      <c r="B258" s="311">
        <v>100000</v>
      </c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309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</row>
    <row r="261" spans="1:34" ht="13.5" thickBot="1" x14ac:dyDescent="0.25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309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 s="215"/>
      <c r="AC261" s="215"/>
      <c r="AD261" s="215"/>
      <c r="AE261" s="215"/>
      <c r="AF261" s="215"/>
      <c r="AG261" s="215"/>
      <c r="AH261" s="215"/>
    </row>
    <row r="262" spans="1:34" x14ac:dyDescent="0.2">
      <c r="A262" s="263"/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860"/>
      <c r="Q262" s="264"/>
      <c r="R262" s="264"/>
      <c r="S262" s="264"/>
      <c r="T262" s="264"/>
      <c r="U262" s="264"/>
      <c r="V262" s="264"/>
      <c r="W262" s="264"/>
      <c r="X262" s="264"/>
      <c r="Y262" s="264"/>
      <c r="Z262" s="264"/>
      <c r="AA262" s="264"/>
      <c r="AB262" s="264"/>
      <c r="AC262" s="264"/>
      <c r="AD262" s="264"/>
      <c r="AE262" s="264"/>
      <c r="AF262" s="264"/>
      <c r="AG262" s="264"/>
      <c r="AH262" s="215"/>
    </row>
    <row r="263" spans="1:34" x14ac:dyDescent="0.2">
      <c r="A263" s="265"/>
      <c r="B263" s="266" t="s">
        <v>37</v>
      </c>
      <c r="C263" s="266"/>
      <c r="D263" s="266"/>
      <c r="E263" s="267" t="s">
        <v>837</v>
      </c>
      <c r="F263" s="268" t="s">
        <v>340</v>
      </c>
      <c r="G263" s="269" t="s">
        <v>691</v>
      </c>
      <c r="H263" s="268"/>
      <c r="I263" s="268"/>
      <c r="J263" s="268"/>
      <c r="K263" s="268"/>
      <c r="L263" s="268"/>
      <c r="M263" s="268"/>
      <c r="N263" s="268"/>
      <c r="O263" s="268"/>
      <c r="P263" s="861"/>
      <c r="Q263" s="268"/>
      <c r="R263" s="268"/>
      <c r="S263" s="268"/>
      <c r="T263" s="268"/>
      <c r="U263" s="268"/>
      <c r="V263" s="268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15"/>
    </row>
    <row r="264" spans="1:34" x14ac:dyDescent="0.2">
      <c r="A264" s="265"/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x14ac:dyDescent="0.2">
      <c r="A265" s="265"/>
      <c r="B265" s="266"/>
      <c r="C265" s="268"/>
      <c r="D265" s="268">
        <v>42268</v>
      </c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x14ac:dyDescent="0.2">
      <c r="A266" s="265"/>
      <c r="B266" s="266"/>
      <c r="C266" s="268"/>
      <c r="D266" s="268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79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  <c r="AH266" s="215"/>
    </row>
    <row r="267" spans="1:34" ht="13.5" thickBot="1" x14ac:dyDescent="0.25">
      <c r="A267" s="265"/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  <c r="O267" s="266"/>
      <c r="P267" s="279"/>
      <c r="Q267" s="266"/>
      <c r="R267" s="266"/>
      <c r="S267" s="266"/>
      <c r="T267" s="266"/>
      <c r="U267" s="266"/>
      <c r="V267" s="266"/>
      <c r="W267" s="266"/>
      <c r="X267" s="266"/>
      <c r="Y267" s="266"/>
      <c r="Z267" s="266"/>
      <c r="AA267" s="266"/>
      <c r="AB267" s="266"/>
      <c r="AC267" s="266"/>
      <c r="AD267" s="266"/>
      <c r="AE267" s="266"/>
      <c r="AF267" s="266"/>
      <c r="AG267" s="266"/>
      <c r="AH267" s="215"/>
    </row>
    <row r="268" spans="1:34" ht="13.5" thickBot="1" x14ac:dyDescent="0.25">
      <c r="A268" s="265"/>
      <c r="B268" s="266"/>
      <c r="C268" s="270"/>
      <c r="D268" s="271" t="s">
        <v>16</v>
      </c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271"/>
      <c r="P268" s="862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  <c r="AA268" s="271"/>
      <c r="AB268" s="271"/>
      <c r="AC268" s="271"/>
      <c r="AD268" s="271"/>
      <c r="AE268" s="271"/>
      <c r="AF268" s="271"/>
      <c r="AG268" s="271"/>
      <c r="AH268" s="215"/>
    </row>
    <row r="269" spans="1:34" ht="13.5" thickBot="1" x14ac:dyDescent="0.25">
      <c r="A269" s="265"/>
      <c r="B269" s="266"/>
      <c r="C269" s="272" t="s">
        <v>452</v>
      </c>
      <c r="D269" s="272" t="s">
        <v>453</v>
      </c>
      <c r="E269" s="272" t="s">
        <v>434</v>
      </c>
      <c r="F269" s="272" t="s">
        <v>390</v>
      </c>
      <c r="G269" s="272" t="s">
        <v>454</v>
      </c>
      <c r="H269" s="272" t="s">
        <v>455</v>
      </c>
      <c r="I269" s="272" t="s">
        <v>456</v>
      </c>
      <c r="J269" s="272" t="s">
        <v>457</v>
      </c>
      <c r="K269" s="272" t="s">
        <v>458</v>
      </c>
      <c r="L269" s="272" t="s">
        <v>216</v>
      </c>
      <c r="M269" s="272" t="s">
        <v>459</v>
      </c>
      <c r="N269" s="272" t="s">
        <v>297</v>
      </c>
      <c r="O269" s="272" t="s">
        <v>211</v>
      </c>
      <c r="P269" s="863" t="s">
        <v>270</v>
      </c>
      <c r="Q269" s="272">
        <v>15</v>
      </c>
      <c r="R269" s="272">
        <v>16</v>
      </c>
      <c r="S269" s="272" t="s">
        <v>461</v>
      </c>
      <c r="T269" s="272" t="s">
        <v>442</v>
      </c>
      <c r="U269" s="272" t="s">
        <v>462</v>
      </c>
      <c r="V269" s="272" t="s">
        <v>470</v>
      </c>
      <c r="W269" s="272" t="s">
        <v>471</v>
      </c>
      <c r="X269" s="272" t="s">
        <v>472</v>
      </c>
      <c r="Y269" s="272" t="s">
        <v>463</v>
      </c>
      <c r="Z269" s="272" t="s">
        <v>465</v>
      </c>
      <c r="AA269" s="272" t="s">
        <v>466</v>
      </c>
      <c r="AB269" s="272" t="s">
        <v>435</v>
      </c>
      <c r="AC269" s="272" t="s">
        <v>467</v>
      </c>
      <c r="AD269" s="272" t="s">
        <v>464</v>
      </c>
      <c r="AE269" s="272" t="s">
        <v>429</v>
      </c>
      <c r="AF269" s="272" t="s">
        <v>149</v>
      </c>
      <c r="AG269" s="272" t="s">
        <v>210</v>
      </c>
      <c r="AH269" s="215"/>
    </row>
    <row r="270" spans="1:34" x14ac:dyDescent="0.2">
      <c r="A270" s="263"/>
      <c r="B270" s="273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x14ac:dyDescent="0.2">
      <c r="A271" s="265" t="s">
        <v>0</v>
      </c>
      <c r="B271" s="274">
        <v>-16297.021000000001</v>
      </c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ht="13.5" thickBot="1" x14ac:dyDescent="0.25">
      <c r="A272" s="275"/>
      <c r="B272" s="276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3"/>
      <c r="B273" s="278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1</v>
      </c>
      <c r="B274" s="274">
        <f>B275+B276+B277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38</v>
      </c>
      <c r="B275" s="274">
        <f>C323</f>
        <v>0</v>
      </c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x14ac:dyDescent="0.2">
      <c r="A276" s="265" t="s">
        <v>39</v>
      </c>
      <c r="B276" s="274">
        <f>C346</f>
        <v>0</v>
      </c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x14ac:dyDescent="0.2">
      <c r="A277" s="265" t="s">
        <v>3</v>
      </c>
      <c r="B277" s="274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ht="13.5" thickBot="1" x14ac:dyDescent="0.25">
      <c r="A278" s="275"/>
      <c r="B278" s="276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x14ac:dyDescent="0.2">
      <c r="A279" s="263"/>
      <c r="B279" s="278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x14ac:dyDescent="0.2">
      <c r="A280" s="265" t="s">
        <v>4</v>
      </c>
      <c r="B280" s="274">
        <f>B271-B274</f>
        <v>-16297.021000000001</v>
      </c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ht="13.5" thickBot="1" x14ac:dyDescent="0.25">
      <c r="A281" s="275"/>
      <c r="B281" s="276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x14ac:dyDescent="0.2">
      <c r="A282" s="263"/>
      <c r="B282" s="278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x14ac:dyDescent="0.2">
      <c r="A283" s="265" t="s">
        <v>17</v>
      </c>
      <c r="B283" s="274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266"/>
      <c r="Y283" s="266"/>
      <c r="Z283" s="266"/>
      <c r="AA283" s="266"/>
      <c r="AB283" s="266"/>
      <c r="AC283" s="266"/>
      <c r="AD283" s="266"/>
      <c r="AE283" s="266"/>
      <c r="AF283" s="266"/>
      <c r="AG283" s="266"/>
      <c r="AH283" s="215"/>
    </row>
    <row r="284" spans="1:34" ht="13.5" thickBot="1" x14ac:dyDescent="0.25">
      <c r="A284" s="275"/>
      <c r="B284" s="276"/>
      <c r="C284" s="266"/>
      <c r="D284" s="266"/>
      <c r="E284" s="266"/>
      <c r="F284" s="266"/>
      <c r="G284" s="266"/>
      <c r="H284" s="266"/>
      <c r="I284" s="266"/>
      <c r="J284" s="266"/>
      <c r="K284" s="266"/>
      <c r="L284" s="266"/>
      <c r="M284" s="266"/>
      <c r="N284" s="266"/>
      <c r="O284" s="266"/>
      <c r="P284" s="279"/>
      <c r="Q284" s="266"/>
      <c r="R284" s="266"/>
      <c r="S284" s="266"/>
      <c r="T284" s="266"/>
      <c r="U284" s="266"/>
      <c r="V284" s="266"/>
      <c r="W284" s="266"/>
      <c r="X284" s="330"/>
      <c r="Y284" s="266"/>
      <c r="Z284" s="266"/>
      <c r="AA284" s="266"/>
      <c r="AB284" s="266"/>
      <c r="AC284" s="266"/>
      <c r="AD284" s="266"/>
      <c r="AE284" s="266"/>
      <c r="AF284" s="266"/>
      <c r="AG284" s="266"/>
      <c r="AH284" s="215"/>
    </row>
    <row r="285" spans="1:34" x14ac:dyDescent="0.2">
      <c r="A285" s="263"/>
      <c r="B285" s="278"/>
      <c r="D285" s="266"/>
      <c r="E285" s="269"/>
      <c r="F285" s="266"/>
      <c r="G285" s="266"/>
      <c r="H285" s="266"/>
      <c r="I285" s="266"/>
      <c r="J285" s="266"/>
      <c r="K285" s="330"/>
      <c r="L285" s="266"/>
      <c r="M285" s="266"/>
      <c r="N285" s="266"/>
      <c r="O285" s="266"/>
      <c r="P285" s="279"/>
      <c r="R285" s="266"/>
      <c r="S285" s="266"/>
      <c r="T285" s="266"/>
      <c r="U285" s="266"/>
      <c r="V285" s="266"/>
      <c r="W285" s="266"/>
      <c r="X285" s="269"/>
      <c r="Y285" s="269"/>
      <c r="Z285" s="269"/>
      <c r="AA285" s="269" t="s">
        <v>185</v>
      </c>
      <c r="AB285" s="266"/>
      <c r="AC285" s="266"/>
      <c r="AD285" s="266"/>
      <c r="AE285" s="266"/>
      <c r="AF285" s="266"/>
      <c r="AG285" s="269" t="s">
        <v>1044</v>
      </c>
      <c r="AH285" s="215"/>
    </row>
    <row r="286" spans="1:34" x14ac:dyDescent="0.2">
      <c r="A286" s="265" t="s">
        <v>5</v>
      </c>
      <c r="B286" s="274">
        <f>B280-B283</f>
        <v>-16297.021000000001</v>
      </c>
      <c r="C286" s="409"/>
      <c r="D286" s="269"/>
      <c r="E286" s="794"/>
      <c r="F286" s="269"/>
      <c r="G286" s="269"/>
      <c r="H286" s="269" t="s">
        <v>605</v>
      </c>
      <c r="I286" s="269"/>
      <c r="J286" s="269"/>
      <c r="K286" s="269" t="s">
        <v>49</v>
      </c>
      <c r="L286" s="269"/>
      <c r="M286" s="269" t="s">
        <v>301</v>
      </c>
      <c r="N286" s="269"/>
      <c r="O286" s="269"/>
      <c r="P286" s="281" t="s">
        <v>139</v>
      </c>
      <c r="Q286" s="568"/>
      <c r="R286" s="269"/>
      <c r="S286" s="281" t="s">
        <v>166</v>
      </c>
      <c r="T286" s="269"/>
      <c r="U286" s="266"/>
      <c r="V286" s="269"/>
      <c r="W286" s="266"/>
      <c r="X286" s="269"/>
      <c r="Y286" s="269" t="s">
        <v>174</v>
      </c>
      <c r="Z286" s="281" t="s">
        <v>223</v>
      </c>
      <c r="AA286" s="281" t="s">
        <v>145</v>
      </c>
      <c r="AB286" s="281"/>
      <c r="AC286" s="796"/>
      <c r="AD286" s="796"/>
      <c r="AE286" s="269" t="s">
        <v>831</v>
      </c>
      <c r="AF286" s="269" t="s">
        <v>921</v>
      </c>
      <c r="AG286" s="269" t="s">
        <v>171</v>
      </c>
      <c r="AH286" s="215"/>
    </row>
    <row r="287" spans="1:34" ht="13.5" thickBot="1" x14ac:dyDescent="0.25">
      <c r="A287" s="275"/>
      <c r="B287" s="276"/>
      <c r="C287" s="266"/>
      <c r="D287" s="266"/>
      <c r="E287" s="266"/>
      <c r="F287" s="266"/>
      <c r="G287" s="266"/>
      <c r="H287" s="266"/>
      <c r="I287" s="266"/>
      <c r="J287" s="266"/>
      <c r="K287" s="266"/>
      <c r="L287" s="266"/>
      <c r="M287" s="269"/>
      <c r="N287" s="266"/>
      <c r="O287" s="266"/>
      <c r="P287" s="279"/>
      <c r="Q287" s="266"/>
      <c r="R287" s="266"/>
      <c r="S287" s="266"/>
      <c r="T287" s="266"/>
      <c r="U287" s="266"/>
      <c r="V287" s="266"/>
      <c r="W287" s="266"/>
      <c r="X287" s="266"/>
      <c r="Y287" s="266"/>
      <c r="Z287" s="266"/>
      <c r="AA287" s="266"/>
      <c r="AB287" s="266"/>
      <c r="AC287" s="266"/>
      <c r="AD287" s="266"/>
      <c r="AE287" s="266"/>
      <c r="AF287" s="266"/>
      <c r="AG287" s="266"/>
      <c r="AH287" s="215"/>
    </row>
    <row r="288" spans="1:34" x14ac:dyDescent="0.2">
      <c r="A288" s="282"/>
      <c r="B288" s="266"/>
      <c r="C288" s="283"/>
      <c r="D288" s="285"/>
      <c r="E288" s="285"/>
      <c r="F288" s="284"/>
      <c r="G288" s="284"/>
      <c r="H288" s="284"/>
      <c r="I288" s="284"/>
      <c r="J288" s="284"/>
      <c r="K288" s="284"/>
      <c r="L288" s="284"/>
      <c r="M288" s="284"/>
      <c r="N288" s="284"/>
      <c r="O288" s="284"/>
      <c r="P288" s="864"/>
      <c r="Q288" s="284"/>
      <c r="R288" s="284"/>
      <c r="S288" s="284"/>
      <c r="T288" s="284"/>
      <c r="U288" s="284"/>
      <c r="V288" s="284"/>
      <c r="W288" s="284"/>
      <c r="X288" s="284"/>
      <c r="Y288" s="284"/>
      <c r="Z288" s="284"/>
      <c r="AA288" s="284"/>
      <c r="AB288" s="284"/>
      <c r="AC288" s="284"/>
      <c r="AD288" s="284"/>
      <c r="AE288" s="284"/>
      <c r="AF288" s="284"/>
      <c r="AG288" s="284"/>
      <c r="AH288" s="215"/>
    </row>
    <row r="289" spans="1:34" ht="13.5" thickBot="1" x14ac:dyDescent="0.25">
      <c r="A289" s="287" t="s">
        <v>7</v>
      </c>
      <c r="B289" s="266"/>
      <c r="C289" s="288">
        <f>C290+C291+C292+C294+C293</f>
        <v>0</v>
      </c>
      <c r="D289" s="288">
        <f>D290+D291+D292+D294+D293</f>
        <v>0</v>
      </c>
      <c r="E289" s="288">
        <f>E290+E291+E292+E294+E293</f>
        <v>0</v>
      </c>
      <c r="F289" s="288">
        <f>F290+F291+F292+F294+F293</f>
        <v>0</v>
      </c>
      <c r="G289" s="288">
        <f>G290+G291+G292+G294+G293</f>
        <v>0</v>
      </c>
      <c r="H289" s="288">
        <f t="shared" ref="H289:AF289" si="29">H290+H291+H292+H294+H293</f>
        <v>0</v>
      </c>
      <c r="I289" s="288">
        <f t="shared" si="29"/>
        <v>0</v>
      </c>
      <c r="J289" s="288">
        <f t="shared" si="29"/>
        <v>0</v>
      </c>
      <c r="K289" s="288">
        <f t="shared" si="29"/>
        <v>0</v>
      </c>
      <c r="L289" s="288">
        <f t="shared" si="29"/>
        <v>0</v>
      </c>
      <c r="M289" s="288">
        <f t="shared" si="29"/>
        <v>0</v>
      </c>
      <c r="N289" s="288">
        <f t="shared" si="29"/>
        <v>0</v>
      </c>
      <c r="O289" s="288">
        <f t="shared" si="29"/>
        <v>0</v>
      </c>
      <c r="P289" s="865">
        <f t="shared" si="29"/>
        <v>0</v>
      </c>
      <c r="Q289" s="288">
        <f t="shared" si="29"/>
        <v>0</v>
      </c>
      <c r="R289" s="288">
        <f t="shared" si="29"/>
        <v>0</v>
      </c>
      <c r="S289" s="288">
        <f t="shared" si="29"/>
        <v>0</v>
      </c>
      <c r="T289" s="288">
        <f t="shared" si="29"/>
        <v>0</v>
      </c>
      <c r="U289" s="288">
        <f t="shared" si="29"/>
        <v>0</v>
      </c>
      <c r="V289" s="288">
        <f t="shared" si="29"/>
        <v>0</v>
      </c>
      <c r="W289" s="288">
        <f t="shared" si="29"/>
        <v>0</v>
      </c>
      <c r="X289" s="288">
        <f t="shared" si="29"/>
        <v>0</v>
      </c>
      <c r="Y289" s="288">
        <f t="shared" si="29"/>
        <v>0</v>
      </c>
      <c r="Z289" s="288">
        <f t="shared" si="29"/>
        <v>0</v>
      </c>
      <c r="AA289" s="288">
        <f t="shared" si="29"/>
        <v>0</v>
      </c>
      <c r="AB289" s="288">
        <f t="shared" si="29"/>
        <v>0</v>
      </c>
      <c r="AC289" s="288">
        <f t="shared" si="29"/>
        <v>0</v>
      </c>
      <c r="AD289" s="288">
        <f t="shared" si="29"/>
        <v>0</v>
      </c>
      <c r="AE289" s="288">
        <f t="shared" si="29"/>
        <v>0</v>
      </c>
      <c r="AF289" s="288">
        <f t="shared" si="29"/>
        <v>0</v>
      </c>
      <c r="AG289" s="288">
        <f>AG290+AG291+AG292+AG294+AG293</f>
        <v>0</v>
      </c>
      <c r="AH289" s="286">
        <f>SUM(C289:AG289)</f>
        <v>0</v>
      </c>
    </row>
    <row r="290" spans="1:34" x14ac:dyDescent="0.2">
      <c r="A290" s="287" t="s">
        <v>8</v>
      </c>
      <c r="B290" s="331"/>
      <c r="C290" s="291"/>
      <c r="D290" s="291"/>
      <c r="E290" s="362"/>
      <c r="F290" s="290"/>
      <c r="G290" s="290"/>
      <c r="H290" s="290"/>
      <c r="I290" s="295"/>
      <c r="J290" s="290"/>
      <c r="K290" s="290"/>
      <c r="L290" s="290"/>
      <c r="M290" s="290"/>
      <c r="N290" s="290"/>
      <c r="O290" s="290"/>
      <c r="P290" s="292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  <c r="AB290" s="290"/>
      <c r="AC290" s="290"/>
      <c r="AD290" s="290"/>
      <c r="AE290" s="290"/>
      <c r="AF290" s="290"/>
      <c r="AG290" s="290"/>
      <c r="AH290" s="286">
        <f>SUM(C290:AG290)</f>
        <v>0</v>
      </c>
    </row>
    <row r="291" spans="1:34" x14ac:dyDescent="0.2">
      <c r="A291" s="287" t="s">
        <v>9</v>
      </c>
      <c r="B291" s="331"/>
      <c r="C291" s="291"/>
      <c r="D291" s="291"/>
      <c r="E291" s="362"/>
      <c r="F291" s="290"/>
      <c r="G291" s="290"/>
      <c r="H291" s="290"/>
      <c r="I291" s="290"/>
      <c r="J291" s="290"/>
      <c r="K291" s="290"/>
      <c r="L291" s="290"/>
      <c r="M291" s="290"/>
      <c r="N291" s="290"/>
      <c r="O291" s="295"/>
      <c r="P291" s="292"/>
      <c r="Q291" s="290"/>
      <c r="R291" s="290"/>
      <c r="S291" s="290"/>
      <c r="T291" s="290"/>
      <c r="U291" s="290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0"/>
      <c r="AF291" s="290"/>
      <c r="AG291" s="290"/>
      <c r="AH291" s="286">
        <f>SUM(C291:AG291)</f>
        <v>0</v>
      </c>
    </row>
    <row r="292" spans="1:34" s="360" customFormat="1" x14ac:dyDescent="0.2">
      <c r="A292" s="662" t="s">
        <v>10</v>
      </c>
      <c r="B292" s="669"/>
      <c r="C292" s="795"/>
      <c r="D292" s="565"/>
      <c r="E292" s="565"/>
      <c r="F292" s="560"/>
      <c r="G292" s="560"/>
      <c r="H292" s="560"/>
      <c r="I292" s="560"/>
      <c r="J292" s="560"/>
      <c r="K292" s="560"/>
      <c r="L292" s="560"/>
      <c r="M292" s="560"/>
      <c r="N292" s="560"/>
      <c r="O292" s="560"/>
      <c r="P292" s="560"/>
      <c r="Q292" s="560"/>
      <c r="R292" s="560"/>
      <c r="S292" s="560"/>
      <c r="T292" s="560"/>
      <c r="U292" s="560"/>
      <c r="V292" s="560"/>
      <c r="W292" s="560"/>
      <c r="X292" s="560"/>
      <c r="Y292" s="560"/>
      <c r="Z292" s="665"/>
      <c r="AA292" s="1050"/>
      <c r="AB292" s="560"/>
      <c r="AC292" s="560"/>
      <c r="AD292" s="708"/>
      <c r="AE292" s="560"/>
      <c r="AF292" s="560"/>
      <c r="AG292" s="380"/>
      <c r="AH292" s="379">
        <f>SUM(C292:AG292)</f>
        <v>0</v>
      </c>
    </row>
    <row r="293" spans="1:34" s="360" customFormat="1" x14ac:dyDescent="0.2">
      <c r="A293" s="662" t="s">
        <v>356</v>
      </c>
      <c r="B293" s="669"/>
      <c r="C293" s="565"/>
      <c r="D293" s="565"/>
      <c r="E293" s="565"/>
      <c r="F293" s="560"/>
      <c r="G293" s="380"/>
      <c r="H293" s="560"/>
      <c r="I293" s="380"/>
      <c r="J293" s="560"/>
      <c r="K293" s="560"/>
      <c r="L293" s="560"/>
      <c r="M293" s="560"/>
      <c r="N293" s="380"/>
      <c r="O293" s="560"/>
      <c r="P293" s="560">
        <v>37518</v>
      </c>
      <c r="Q293" s="560"/>
      <c r="R293" s="560"/>
      <c r="S293" s="560">
        <v>118347</v>
      </c>
      <c r="T293" s="560"/>
      <c r="U293" s="560"/>
      <c r="V293" s="560"/>
      <c r="W293" s="560"/>
      <c r="X293" s="560"/>
      <c r="Y293" s="560"/>
      <c r="Z293" s="560"/>
      <c r="AA293" s="560">
        <v>28863</v>
      </c>
      <c r="AB293" s="380"/>
      <c r="AC293" s="560"/>
      <c r="AD293" s="560"/>
      <c r="AE293" s="560"/>
      <c r="AF293" s="560"/>
      <c r="AG293" s="560">
        <v>51472</v>
      </c>
      <c r="AH293" s="379">
        <f>SUM(C293:AG293)</f>
        <v>236200</v>
      </c>
    </row>
    <row r="294" spans="1:34" x14ac:dyDescent="0.2">
      <c r="A294" s="287" t="s">
        <v>11</v>
      </c>
      <c r="B294" s="266"/>
      <c r="C294" s="291"/>
      <c r="D294" s="289"/>
      <c r="E294" s="294"/>
      <c r="F294" s="292"/>
      <c r="G294" s="292"/>
      <c r="H294" s="292"/>
      <c r="I294" s="292"/>
      <c r="J294" s="295"/>
      <c r="K294" s="292"/>
      <c r="L294" s="292"/>
      <c r="M294" s="292"/>
      <c r="N294" s="292"/>
      <c r="O294" s="292"/>
      <c r="P294" s="455">
        <v>-37518</v>
      </c>
      <c r="Q294" s="292"/>
      <c r="R294" s="292"/>
      <c r="S294" s="455">
        <v>-118347</v>
      </c>
      <c r="T294" s="292"/>
      <c r="U294" s="292"/>
      <c r="V294" s="295"/>
      <c r="W294" s="295"/>
      <c r="X294" s="295"/>
      <c r="Y294" s="455"/>
      <c r="Z294" s="295"/>
      <c r="AA294" s="293">
        <v>-28863</v>
      </c>
      <c r="AB294" s="295"/>
      <c r="AC294" s="292"/>
      <c r="AD294" s="295"/>
      <c r="AE294" s="292"/>
      <c r="AF294" s="292"/>
      <c r="AG294" s="292">
        <v>-51472</v>
      </c>
      <c r="AH294" s="215"/>
    </row>
    <row r="295" spans="1:34" ht="13.5" thickBot="1" x14ac:dyDescent="0.25">
      <c r="A295" s="296"/>
      <c r="B295" s="266"/>
      <c r="C295" s="291"/>
      <c r="D295" s="291"/>
      <c r="E295" s="291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2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  <c r="AE295" s="290"/>
      <c r="AF295" s="290"/>
      <c r="AG295" s="290"/>
      <c r="AH295" s="215"/>
    </row>
    <row r="296" spans="1:34" x14ac:dyDescent="0.2">
      <c r="A296" s="282"/>
      <c r="B296" s="266"/>
      <c r="C296" s="297"/>
      <c r="D296" s="298"/>
      <c r="E296" s="298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866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F296" s="299"/>
      <c r="AG296" s="299"/>
      <c r="AH296" s="215"/>
    </row>
    <row r="297" spans="1:34" ht="13.5" thickBot="1" x14ac:dyDescent="0.25">
      <c r="A297" s="287" t="s">
        <v>12</v>
      </c>
      <c r="B297" s="266"/>
      <c r="C297" s="288">
        <f t="shared" ref="C297:AG297" si="30">C298</f>
        <v>0</v>
      </c>
      <c r="D297" s="288">
        <f t="shared" si="30"/>
        <v>0</v>
      </c>
      <c r="E297" s="288">
        <f t="shared" si="30"/>
        <v>0</v>
      </c>
      <c r="F297" s="288">
        <f t="shared" si="30"/>
        <v>0</v>
      </c>
      <c r="G297" s="288">
        <f t="shared" si="30"/>
        <v>0</v>
      </c>
      <c r="H297" s="288">
        <f t="shared" si="30"/>
        <v>0</v>
      </c>
      <c r="I297" s="288">
        <f t="shared" si="30"/>
        <v>0</v>
      </c>
      <c r="J297" s="288">
        <f t="shared" si="30"/>
        <v>0</v>
      </c>
      <c r="K297" s="288">
        <f t="shared" si="30"/>
        <v>0</v>
      </c>
      <c r="L297" s="288">
        <f t="shared" si="30"/>
        <v>0</v>
      </c>
      <c r="M297" s="288">
        <f t="shared" si="30"/>
        <v>0</v>
      </c>
      <c r="N297" s="288">
        <f t="shared" si="30"/>
        <v>0</v>
      </c>
      <c r="O297" s="288">
        <f t="shared" si="30"/>
        <v>0</v>
      </c>
      <c r="P297" s="865">
        <f t="shared" si="30"/>
        <v>0</v>
      </c>
      <c r="Q297" s="288">
        <f t="shared" si="30"/>
        <v>0</v>
      </c>
      <c r="R297" s="288">
        <f t="shared" si="30"/>
        <v>0</v>
      </c>
      <c r="S297" s="288">
        <f t="shared" si="30"/>
        <v>0</v>
      </c>
      <c r="T297" s="288">
        <f t="shared" si="30"/>
        <v>0</v>
      </c>
      <c r="U297" s="288">
        <f t="shared" si="30"/>
        <v>0</v>
      </c>
      <c r="V297" s="288">
        <f t="shared" si="30"/>
        <v>0</v>
      </c>
      <c r="W297" s="288">
        <f t="shared" si="30"/>
        <v>0</v>
      </c>
      <c r="X297" s="288">
        <f t="shared" si="30"/>
        <v>0</v>
      </c>
      <c r="Y297" s="288">
        <f t="shared" si="30"/>
        <v>0</v>
      </c>
      <c r="Z297" s="288">
        <f t="shared" si="30"/>
        <v>0</v>
      </c>
      <c r="AA297" s="288">
        <f t="shared" si="30"/>
        <v>0</v>
      </c>
      <c r="AB297" s="288">
        <f t="shared" si="30"/>
        <v>0</v>
      </c>
      <c r="AC297" s="288">
        <f t="shared" si="30"/>
        <v>0</v>
      </c>
      <c r="AD297" s="288">
        <f t="shared" si="30"/>
        <v>0</v>
      </c>
      <c r="AE297" s="288">
        <f t="shared" si="30"/>
        <v>0</v>
      </c>
      <c r="AF297" s="288">
        <f t="shared" si="30"/>
        <v>0</v>
      </c>
      <c r="AG297" s="288">
        <f t="shared" si="30"/>
        <v>0</v>
      </c>
      <c r="AH297" s="215"/>
    </row>
    <row r="298" spans="1:34" x14ac:dyDescent="0.2">
      <c r="A298" s="287" t="s">
        <v>8</v>
      </c>
      <c r="B298" s="266"/>
      <c r="C298" s="291"/>
      <c r="D298" s="291"/>
      <c r="E298" s="291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2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15"/>
    </row>
    <row r="299" spans="1:34" x14ac:dyDescent="0.2">
      <c r="A299" s="287" t="s">
        <v>775</v>
      </c>
      <c r="B299" s="266"/>
      <c r="C299" s="291">
        <v>5000</v>
      </c>
      <c r="D299" s="291"/>
      <c r="E299" s="291">
        <v>4125</v>
      </c>
      <c r="F299" s="290">
        <v>4907</v>
      </c>
      <c r="G299" s="290">
        <v>4857</v>
      </c>
      <c r="H299" s="290">
        <v>3935</v>
      </c>
      <c r="I299" s="290">
        <v>6423</v>
      </c>
      <c r="J299" s="290">
        <v>2618</v>
      </c>
      <c r="K299" s="290"/>
      <c r="L299" s="290">
        <v>11091</v>
      </c>
      <c r="M299" s="290"/>
      <c r="N299" s="290">
        <v>1170</v>
      </c>
      <c r="O299" s="290">
        <v>6924</v>
      </c>
      <c r="P299" s="292">
        <v>4025</v>
      </c>
      <c r="Q299" s="290">
        <v>17531</v>
      </c>
      <c r="R299" s="290"/>
      <c r="S299" s="290">
        <v>5105</v>
      </c>
      <c r="T299" s="290"/>
      <c r="U299" s="290">
        <v>1665</v>
      </c>
      <c r="V299" s="290">
        <v>9978</v>
      </c>
      <c r="W299" s="290">
        <v>2710</v>
      </c>
      <c r="X299" s="290">
        <v>1126</v>
      </c>
      <c r="Y299" s="290"/>
      <c r="Z299" s="290">
        <v>2433</v>
      </c>
      <c r="AA299" s="290">
        <v>9041</v>
      </c>
      <c r="AB299" s="290">
        <v>3090</v>
      </c>
      <c r="AC299" s="290">
        <v>1407</v>
      </c>
      <c r="AD299" s="290">
        <v>2350</v>
      </c>
      <c r="AE299" s="290"/>
      <c r="AF299" s="290">
        <v>15429</v>
      </c>
      <c r="AG299" s="290">
        <v>34362</v>
      </c>
      <c r="AH299" s="286">
        <f>SUM(C299:AG299)</f>
        <v>161302</v>
      </c>
    </row>
    <row r="300" spans="1:34" ht="13.5" thickBot="1" x14ac:dyDescent="0.25">
      <c r="A300" s="296"/>
      <c r="B300" s="266"/>
      <c r="C300" s="291"/>
      <c r="D300" s="291"/>
      <c r="E300" s="291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2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  <c r="AE300" s="290"/>
      <c r="AF300" s="290"/>
      <c r="AG300" s="290"/>
      <c r="AH300" s="215"/>
    </row>
    <row r="301" spans="1:34" x14ac:dyDescent="0.2">
      <c r="A301" s="282"/>
      <c r="B301" s="266"/>
      <c r="C301" s="297"/>
      <c r="D301" s="298"/>
      <c r="E301" s="298"/>
      <c r="F301" s="299"/>
      <c r="G301" s="299"/>
      <c r="H301" s="299"/>
      <c r="I301" s="299"/>
      <c r="J301" s="299"/>
      <c r="K301" s="299"/>
      <c r="L301" s="299"/>
      <c r="M301" s="299"/>
      <c r="N301" s="299"/>
      <c r="O301" s="299"/>
      <c r="P301" s="866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  <c r="AB301" s="299"/>
      <c r="AC301" s="299"/>
      <c r="AD301" s="299"/>
      <c r="AE301" s="299"/>
      <c r="AF301" s="299"/>
      <c r="AG301" s="299"/>
      <c r="AH301" s="215"/>
    </row>
    <row r="302" spans="1:34" x14ac:dyDescent="0.2">
      <c r="A302" s="287" t="s">
        <v>13</v>
      </c>
      <c r="B302" s="266"/>
      <c r="C302" s="300">
        <f>C297-C289</f>
        <v>0</v>
      </c>
      <c r="D302" s="300">
        <f>D297-D289</f>
        <v>0</v>
      </c>
      <c r="E302" s="300">
        <f>E297-E289</f>
        <v>0</v>
      </c>
      <c r="F302" s="300">
        <f>F297-F289</f>
        <v>0</v>
      </c>
      <c r="G302" s="300">
        <f>G297-G289</f>
        <v>0</v>
      </c>
      <c r="H302" s="300">
        <f t="shared" ref="H302:AG302" si="31">H297-H289</f>
        <v>0</v>
      </c>
      <c r="I302" s="300">
        <f t="shared" si="31"/>
        <v>0</v>
      </c>
      <c r="J302" s="300">
        <f t="shared" si="31"/>
        <v>0</v>
      </c>
      <c r="K302" s="300">
        <f t="shared" si="31"/>
        <v>0</v>
      </c>
      <c r="L302" s="300">
        <f t="shared" si="31"/>
        <v>0</v>
      </c>
      <c r="M302" s="300">
        <f t="shared" si="31"/>
        <v>0</v>
      </c>
      <c r="N302" s="300">
        <f t="shared" si="31"/>
        <v>0</v>
      </c>
      <c r="O302" s="300">
        <f t="shared" si="31"/>
        <v>0</v>
      </c>
      <c r="P302" s="867">
        <f t="shared" si="31"/>
        <v>0</v>
      </c>
      <c r="Q302" s="300">
        <f t="shared" si="31"/>
        <v>0</v>
      </c>
      <c r="R302" s="300">
        <f t="shared" si="31"/>
        <v>0</v>
      </c>
      <c r="S302" s="300">
        <f t="shared" si="31"/>
        <v>0</v>
      </c>
      <c r="T302" s="300">
        <f t="shared" si="31"/>
        <v>0</v>
      </c>
      <c r="U302" s="300">
        <f t="shared" si="31"/>
        <v>0</v>
      </c>
      <c r="V302" s="300">
        <f t="shared" si="31"/>
        <v>0</v>
      </c>
      <c r="W302" s="300">
        <f t="shared" si="31"/>
        <v>0</v>
      </c>
      <c r="X302" s="300">
        <f t="shared" si="31"/>
        <v>0</v>
      </c>
      <c r="Y302" s="300">
        <f t="shared" si="31"/>
        <v>0</v>
      </c>
      <c r="Z302" s="300">
        <f t="shared" si="31"/>
        <v>0</v>
      </c>
      <c r="AA302" s="300">
        <f t="shared" si="31"/>
        <v>0</v>
      </c>
      <c r="AB302" s="300">
        <f t="shared" si="31"/>
        <v>0</v>
      </c>
      <c r="AC302" s="300">
        <f t="shared" si="31"/>
        <v>0</v>
      </c>
      <c r="AD302" s="300">
        <f t="shared" si="31"/>
        <v>0</v>
      </c>
      <c r="AE302" s="300">
        <f t="shared" si="31"/>
        <v>0</v>
      </c>
      <c r="AF302" s="300">
        <f t="shared" si="31"/>
        <v>0</v>
      </c>
      <c r="AG302" s="300">
        <f t="shared" si="31"/>
        <v>0</v>
      </c>
      <c r="AH302" s="215"/>
    </row>
    <row r="303" spans="1:34" ht="13.5" thickBot="1" x14ac:dyDescent="0.25">
      <c r="A303" s="287"/>
      <c r="B303" s="266"/>
      <c r="C303" s="300"/>
      <c r="D303" s="291"/>
      <c r="E303" s="291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2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15"/>
    </row>
    <row r="304" spans="1:34" x14ac:dyDescent="0.2">
      <c r="A304" s="263"/>
      <c r="B304" s="264"/>
      <c r="C304" s="301"/>
      <c r="D304" s="298"/>
      <c r="E304" s="298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866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  <c r="AB304" s="299"/>
      <c r="AC304" s="299"/>
      <c r="AD304" s="299"/>
      <c r="AE304" s="299"/>
      <c r="AF304" s="299"/>
      <c r="AG304" s="299"/>
      <c r="AH304" s="215"/>
    </row>
    <row r="305" spans="1:34" x14ac:dyDescent="0.2">
      <c r="A305" s="265" t="s">
        <v>15</v>
      </c>
      <c r="B305" s="266"/>
      <c r="C305" s="291">
        <f>B286+C302</f>
        <v>-16297.021000000001</v>
      </c>
      <c r="D305" s="291">
        <f t="shared" ref="D305:AG305" si="32">C312+D302</f>
        <v>-16297.021000000001</v>
      </c>
      <c r="E305" s="291">
        <f t="shared" si="32"/>
        <v>-16297.021000000001</v>
      </c>
      <c r="F305" s="291">
        <f t="shared" si="32"/>
        <v>-16297.021000000001</v>
      </c>
      <c r="G305" s="291">
        <f t="shared" si="32"/>
        <v>-16297.021000000001</v>
      </c>
      <c r="H305" s="291">
        <f t="shared" si="32"/>
        <v>-16297.021000000001</v>
      </c>
      <c r="I305" s="291">
        <f t="shared" si="32"/>
        <v>-16297.021000000001</v>
      </c>
      <c r="J305" s="291">
        <f t="shared" si="32"/>
        <v>-16297.021000000001</v>
      </c>
      <c r="K305" s="291">
        <f t="shared" si="32"/>
        <v>-16297.021000000001</v>
      </c>
      <c r="L305" s="291">
        <f t="shared" si="32"/>
        <v>-16297.021000000001</v>
      </c>
      <c r="M305" s="291">
        <f t="shared" si="32"/>
        <v>-16297.021000000001</v>
      </c>
      <c r="N305" s="291">
        <f t="shared" si="32"/>
        <v>-16297.021000000001</v>
      </c>
      <c r="O305" s="291">
        <f t="shared" si="32"/>
        <v>-16297.021000000001</v>
      </c>
      <c r="P305" s="289">
        <f t="shared" si="32"/>
        <v>-16297.021000000001</v>
      </c>
      <c r="Q305" s="291">
        <f t="shared" si="32"/>
        <v>-16297.021000000001</v>
      </c>
      <c r="R305" s="291">
        <f t="shared" si="32"/>
        <v>-16297.021000000001</v>
      </c>
      <c r="S305" s="291">
        <f t="shared" si="32"/>
        <v>-16297.021000000001</v>
      </c>
      <c r="T305" s="291">
        <f t="shared" si="32"/>
        <v>-16297.021000000001</v>
      </c>
      <c r="U305" s="291">
        <f t="shared" si="32"/>
        <v>-16297.021000000001</v>
      </c>
      <c r="V305" s="291">
        <f t="shared" si="32"/>
        <v>-16297.021000000001</v>
      </c>
      <c r="W305" s="291">
        <f t="shared" si="32"/>
        <v>-16297.021000000001</v>
      </c>
      <c r="X305" s="291">
        <f t="shared" si="32"/>
        <v>-16297.021000000001</v>
      </c>
      <c r="Y305" s="291">
        <f t="shared" si="32"/>
        <v>-16297.021000000001</v>
      </c>
      <c r="Z305" s="291">
        <f t="shared" si="32"/>
        <v>-16297.021000000001</v>
      </c>
      <c r="AA305" s="291">
        <f t="shared" si="32"/>
        <v>-16297.021000000001</v>
      </c>
      <c r="AB305" s="291">
        <f t="shared" si="32"/>
        <v>-16297.021000000001</v>
      </c>
      <c r="AC305" s="291">
        <f t="shared" si="32"/>
        <v>-16297.021000000001</v>
      </c>
      <c r="AD305" s="291">
        <f t="shared" si="32"/>
        <v>-16297.021000000001</v>
      </c>
      <c r="AE305" s="291">
        <f t="shared" si="32"/>
        <v>-16297.021000000001</v>
      </c>
      <c r="AF305" s="291">
        <f t="shared" si="32"/>
        <v>-16297.021000000001</v>
      </c>
      <c r="AG305" s="291">
        <f t="shared" si="32"/>
        <v>-16297.021000000001</v>
      </c>
      <c r="AH305" s="215"/>
    </row>
    <row r="306" spans="1:34" ht="13.5" thickBot="1" x14ac:dyDescent="0.25">
      <c r="A306" s="275"/>
      <c r="B306" s="302"/>
      <c r="C306" s="303"/>
      <c r="D306" s="303"/>
      <c r="E306" s="303"/>
      <c r="F306" s="304"/>
      <c r="G306" s="304"/>
      <c r="H306" s="304"/>
      <c r="I306" s="304"/>
      <c r="J306" s="304"/>
      <c r="K306" s="304"/>
      <c r="L306" s="304"/>
      <c r="M306" s="304"/>
      <c r="N306" s="304"/>
      <c r="O306" s="304"/>
      <c r="P306" s="868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4"/>
      <c r="AG306" s="304"/>
      <c r="AH306" s="215"/>
    </row>
    <row r="307" spans="1:34" x14ac:dyDescent="0.2">
      <c r="A307" s="263"/>
      <c r="B307" s="264"/>
      <c r="C307" s="298"/>
      <c r="D307" s="298"/>
      <c r="E307" s="298"/>
      <c r="F307" s="299"/>
      <c r="G307" s="299"/>
      <c r="H307" s="299"/>
      <c r="I307" s="299"/>
      <c r="J307" s="299"/>
      <c r="K307" s="299"/>
      <c r="L307" s="299"/>
      <c r="M307" s="299"/>
      <c r="N307" s="299"/>
      <c r="O307" s="299"/>
      <c r="P307" s="866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  <c r="AB307" s="299"/>
      <c r="AC307" s="299"/>
      <c r="AD307" s="299"/>
      <c r="AE307" s="299"/>
      <c r="AF307" s="299"/>
      <c r="AG307" s="299"/>
      <c r="AH307" s="215"/>
    </row>
    <row r="308" spans="1:34" x14ac:dyDescent="0.2">
      <c r="A308" s="265" t="s">
        <v>82</v>
      </c>
      <c r="B308" s="266"/>
      <c r="C308" s="291">
        <f t="shared" ref="C308:AG309" si="33">C316</f>
        <v>0</v>
      </c>
      <c r="D308" s="291">
        <f t="shared" si="33"/>
        <v>0</v>
      </c>
      <c r="E308" s="291">
        <f t="shared" si="33"/>
        <v>0</v>
      </c>
      <c r="F308" s="291">
        <f t="shared" si="33"/>
        <v>0</v>
      </c>
      <c r="G308" s="291">
        <f t="shared" si="33"/>
        <v>0</v>
      </c>
      <c r="H308" s="291">
        <f t="shared" si="33"/>
        <v>0</v>
      </c>
      <c r="I308" s="291">
        <f t="shared" si="33"/>
        <v>0</v>
      </c>
      <c r="J308" s="291">
        <f t="shared" si="33"/>
        <v>0</v>
      </c>
      <c r="K308" s="291">
        <f t="shared" si="33"/>
        <v>0</v>
      </c>
      <c r="L308" s="291">
        <f t="shared" si="33"/>
        <v>0</v>
      </c>
      <c r="M308" s="291">
        <f t="shared" si="33"/>
        <v>0</v>
      </c>
      <c r="N308" s="291">
        <f t="shared" si="33"/>
        <v>0</v>
      </c>
      <c r="O308" s="291">
        <f t="shared" si="33"/>
        <v>0</v>
      </c>
      <c r="P308" s="289">
        <f t="shared" si="33"/>
        <v>0</v>
      </c>
      <c r="Q308" s="291">
        <f t="shared" si="33"/>
        <v>0</v>
      </c>
      <c r="R308" s="291">
        <f t="shared" si="33"/>
        <v>0</v>
      </c>
      <c r="S308" s="291">
        <f t="shared" si="33"/>
        <v>0</v>
      </c>
      <c r="T308" s="291">
        <f t="shared" si="33"/>
        <v>0</v>
      </c>
      <c r="U308" s="291">
        <f t="shared" si="33"/>
        <v>0</v>
      </c>
      <c r="V308" s="291">
        <f t="shared" si="33"/>
        <v>0</v>
      </c>
      <c r="W308" s="291">
        <f t="shared" si="33"/>
        <v>0</v>
      </c>
      <c r="X308" s="291">
        <f t="shared" si="33"/>
        <v>0</v>
      </c>
      <c r="Y308" s="291">
        <f t="shared" si="33"/>
        <v>0</v>
      </c>
      <c r="Z308" s="291">
        <f t="shared" si="33"/>
        <v>0</v>
      </c>
      <c r="AA308" s="291">
        <f>AA316</f>
        <v>0</v>
      </c>
      <c r="AB308" s="291">
        <f t="shared" si="33"/>
        <v>0</v>
      </c>
      <c r="AC308" s="291">
        <f t="shared" si="33"/>
        <v>0</v>
      </c>
      <c r="AD308" s="291">
        <f t="shared" si="33"/>
        <v>0</v>
      </c>
      <c r="AE308" s="291">
        <f t="shared" si="33"/>
        <v>0</v>
      </c>
      <c r="AF308" s="291">
        <f t="shared" si="33"/>
        <v>0</v>
      </c>
      <c r="AG308" s="291">
        <f t="shared" si="33"/>
        <v>0</v>
      </c>
      <c r="AH308" s="215"/>
    </row>
    <row r="309" spans="1:34" x14ac:dyDescent="0.2">
      <c r="A309" s="265" t="s">
        <v>83</v>
      </c>
      <c r="B309" s="266"/>
      <c r="C309" s="289">
        <f t="shared" si="33"/>
        <v>0</v>
      </c>
      <c r="D309" s="289">
        <f t="shared" si="33"/>
        <v>0</v>
      </c>
      <c r="E309" s="289">
        <f t="shared" si="33"/>
        <v>0</v>
      </c>
      <c r="F309" s="289">
        <f t="shared" si="33"/>
        <v>0</v>
      </c>
      <c r="G309" s="289">
        <f t="shared" si="33"/>
        <v>0</v>
      </c>
      <c r="H309" s="289">
        <f t="shared" si="33"/>
        <v>0</v>
      </c>
      <c r="I309" s="289">
        <f t="shared" si="33"/>
        <v>0</v>
      </c>
      <c r="J309" s="289">
        <f t="shared" si="33"/>
        <v>0</v>
      </c>
      <c r="K309" s="289">
        <f t="shared" si="33"/>
        <v>0</v>
      </c>
      <c r="L309" s="289">
        <f t="shared" si="33"/>
        <v>0</v>
      </c>
      <c r="M309" s="289">
        <f t="shared" si="33"/>
        <v>0</v>
      </c>
      <c r="N309" s="289">
        <f t="shared" si="33"/>
        <v>0</v>
      </c>
      <c r="O309" s="289">
        <f t="shared" si="33"/>
        <v>0</v>
      </c>
      <c r="P309" s="289">
        <f t="shared" si="33"/>
        <v>0</v>
      </c>
      <c r="Q309" s="289">
        <f t="shared" si="33"/>
        <v>0</v>
      </c>
      <c r="R309" s="289">
        <f t="shared" si="33"/>
        <v>0</v>
      </c>
      <c r="S309" s="289">
        <f t="shared" si="33"/>
        <v>0</v>
      </c>
      <c r="T309" s="289">
        <f t="shared" si="33"/>
        <v>0</v>
      </c>
      <c r="U309" s="289">
        <f t="shared" si="33"/>
        <v>0</v>
      </c>
      <c r="V309" s="289">
        <f t="shared" si="33"/>
        <v>0</v>
      </c>
      <c r="W309" s="289">
        <f t="shared" si="33"/>
        <v>0</v>
      </c>
      <c r="X309" s="289">
        <f t="shared" si="33"/>
        <v>0</v>
      </c>
      <c r="Y309" s="289">
        <f t="shared" si="33"/>
        <v>0</v>
      </c>
      <c r="Z309" s="289">
        <f t="shared" si="33"/>
        <v>0</v>
      </c>
      <c r="AA309" s="289">
        <f t="shared" si="33"/>
        <v>0</v>
      </c>
      <c r="AB309" s="289">
        <f t="shared" si="33"/>
        <v>0</v>
      </c>
      <c r="AC309" s="289">
        <f t="shared" si="33"/>
        <v>0</v>
      </c>
      <c r="AD309" s="289">
        <f t="shared" si="33"/>
        <v>0</v>
      </c>
      <c r="AE309" s="289">
        <f t="shared" si="33"/>
        <v>0</v>
      </c>
      <c r="AF309" s="289">
        <f t="shared" si="33"/>
        <v>0</v>
      </c>
      <c r="AG309" s="289">
        <f t="shared" si="33"/>
        <v>0</v>
      </c>
      <c r="AH309" s="215"/>
    </row>
    <row r="310" spans="1:34" ht="13.5" thickBot="1" x14ac:dyDescent="0.25">
      <c r="A310" s="275"/>
      <c r="B310" s="302"/>
      <c r="C310" s="303"/>
      <c r="D310" s="303"/>
      <c r="E310" s="303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868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215"/>
    </row>
    <row r="311" spans="1:34" x14ac:dyDescent="0.2">
      <c r="A311" s="265"/>
      <c r="B311" s="266"/>
      <c r="C311" s="291"/>
      <c r="D311" s="291"/>
      <c r="E311" s="291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2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  <c r="AE311" s="290"/>
      <c r="AF311" s="290"/>
      <c r="AG311" s="290"/>
      <c r="AH311" s="215"/>
    </row>
    <row r="312" spans="1:34" x14ac:dyDescent="0.2">
      <c r="A312" s="265" t="s">
        <v>14</v>
      </c>
      <c r="B312" s="266"/>
      <c r="C312" s="291">
        <f>C305+C308+C309</f>
        <v>-16297.021000000001</v>
      </c>
      <c r="D312" s="291">
        <f>D305+D308+D309</f>
        <v>-16297.021000000001</v>
      </c>
      <c r="E312" s="291">
        <f>E305+E308+E309</f>
        <v>-16297.021000000001</v>
      </c>
      <c r="F312" s="291">
        <f>F305+F308+F309</f>
        <v>-16297.021000000001</v>
      </c>
      <c r="G312" s="291">
        <f>G305+G308+G309</f>
        <v>-16297.021000000001</v>
      </c>
      <c r="H312" s="291">
        <f t="shared" ref="H312:AG312" si="34">H305+H308+H309</f>
        <v>-16297.021000000001</v>
      </c>
      <c r="I312" s="291">
        <f t="shared" si="34"/>
        <v>-16297.021000000001</v>
      </c>
      <c r="J312" s="291">
        <f t="shared" si="34"/>
        <v>-16297.021000000001</v>
      </c>
      <c r="K312" s="291">
        <f t="shared" si="34"/>
        <v>-16297.021000000001</v>
      </c>
      <c r="L312" s="291">
        <f t="shared" si="34"/>
        <v>-16297.021000000001</v>
      </c>
      <c r="M312" s="291">
        <f t="shared" si="34"/>
        <v>-16297.021000000001</v>
      </c>
      <c r="N312" s="291">
        <f t="shared" si="34"/>
        <v>-16297.021000000001</v>
      </c>
      <c r="O312" s="291">
        <f t="shared" si="34"/>
        <v>-16297.021000000001</v>
      </c>
      <c r="P312" s="289">
        <f t="shared" si="34"/>
        <v>-16297.021000000001</v>
      </c>
      <c r="Q312" s="291">
        <f t="shared" si="34"/>
        <v>-16297.021000000001</v>
      </c>
      <c r="R312" s="291">
        <f t="shared" si="34"/>
        <v>-16297.021000000001</v>
      </c>
      <c r="S312" s="291">
        <f t="shared" si="34"/>
        <v>-16297.021000000001</v>
      </c>
      <c r="T312" s="291">
        <f t="shared" si="34"/>
        <v>-16297.021000000001</v>
      </c>
      <c r="U312" s="291">
        <f t="shared" si="34"/>
        <v>-16297.021000000001</v>
      </c>
      <c r="V312" s="291">
        <f t="shared" si="34"/>
        <v>-16297.021000000001</v>
      </c>
      <c r="W312" s="291">
        <f t="shared" si="34"/>
        <v>-16297.021000000001</v>
      </c>
      <c r="X312" s="291">
        <f t="shared" si="34"/>
        <v>-16297.021000000001</v>
      </c>
      <c r="Y312" s="291">
        <f t="shared" si="34"/>
        <v>-16297.021000000001</v>
      </c>
      <c r="Z312" s="291">
        <f t="shared" si="34"/>
        <v>-16297.021000000001</v>
      </c>
      <c r="AA312" s="291">
        <f t="shared" si="34"/>
        <v>-16297.021000000001</v>
      </c>
      <c r="AB312" s="291">
        <f t="shared" si="34"/>
        <v>-16297.021000000001</v>
      </c>
      <c r="AC312" s="291">
        <f t="shared" si="34"/>
        <v>-16297.021000000001</v>
      </c>
      <c r="AD312" s="291">
        <f t="shared" si="34"/>
        <v>-16297.021000000001</v>
      </c>
      <c r="AE312" s="291">
        <f t="shared" si="34"/>
        <v>-16297.021000000001</v>
      </c>
      <c r="AF312" s="291">
        <f t="shared" si="34"/>
        <v>-16297.021000000001</v>
      </c>
      <c r="AG312" s="291">
        <f t="shared" si="34"/>
        <v>-16297.021000000001</v>
      </c>
      <c r="AH312" s="215"/>
    </row>
    <row r="313" spans="1:34" x14ac:dyDescent="0.2">
      <c r="A313" s="265"/>
      <c r="B313" s="266"/>
      <c r="C313" s="291"/>
      <c r="D313" s="291"/>
      <c r="E313" s="291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2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  <c r="AA313" s="290"/>
      <c r="AB313" s="290"/>
      <c r="AC313" s="290"/>
      <c r="AD313" s="290"/>
      <c r="AE313" s="290"/>
      <c r="AF313" s="290"/>
      <c r="AG313" s="290"/>
      <c r="AH313" s="215"/>
    </row>
    <row r="314" spans="1:34" ht="13.5" thickBot="1" x14ac:dyDescent="0.25">
      <c r="A314" s="275"/>
      <c r="B314" s="302"/>
      <c r="C314" s="306"/>
      <c r="D314" s="306"/>
      <c r="E314" s="306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869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C314" s="307"/>
      <c r="AD314" s="307"/>
      <c r="AE314" s="307"/>
      <c r="AF314" s="307"/>
      <c r="AG314" s="307"/>
      <c r="AH314" s="215"/>
    </row>
    <row r="315" spans="1:34" x14ac:dyDescent="0.2">
      <c r="A315" s="310"/>
      <c r="B315" s="215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308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>
        <f>SUM(C315:AG315)</f>
        <v>0</v>
      </c>
    </row>
    <row r="316" spans="1:34" x14ac:dyDescent="0.2">
      <c r="A316" s="312"/>
      <c r="B316" s="475"/>
      <c r="C316" s="311"/>
      <c r="D316" s="629"/>
      <c r="E316" s="371"/>
      <c r="F316" s="311"/>
      <c r="G316" s="311"/>
      <c r="H316" s="314"/>
      <c r="I316" s="311"/>
      <c r="J316" s="311"/>
      <c r="K316" s="311"/>
      <c r="L316" s="311"/>
      <c r="M316" s="314"/>
      <c r="N316" s="314"/>
      <c r="O316" s="314"/>
      <c r="P316" s="629"/>
      <c r="Q316" s="311"/>
      <c r="R316" s="311"/>
      <c r="S316" s="311"/>
      <c r="T316" s="311"/>
      <c r="U316" s="311"/>
      <c r="V316" s="311"/>
      <c r="W316" s="314"/>
      <c r="X316" s="314"/>
      <c r="Y316" s="314"/>
      <c r="Z316" s="314"/>
      <c r="AA316" s="314"/>
      <c r="AB316" s="314"/>
      <c r="AC316" s="314"/>
      <c r="AD316" s="629"/>
      <c r="AE316" s="311"/>
      <c r="AF316" s="311"/>
      <c r="AG316" s="311"/>
      <c r="AH316" s="286"/>
    </row>
    <row r="317" spans="1:34" x14ac:dyDescent="0.2">
      <c r="A317" s="215"/>
      <c r="B317" s="215"/>
      <c r="C317" s="215"/>
      <c r="D317" s="215"/>
      <c r="E317" s="317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/>
      <c r="AF317" s="215"/>
      <c r="AG317" s="215"/>
      <c r="AH317" s="286"/>
    </row>
    <row r="318" spans="1:34" x14ac:dyDescent="0.2">
      <c r="A318" s="358" t="s">
        <v>415</v>
      </c>
      <c r="B318" s="359">
        <f>B319+B320+B322+B321</f>
        <v>1020000</v>
      </c>
      <c r="C318" s="316"/>
      <c r="D318" s="215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309"/>
      <c r="Q318" s="215"/>
      <c r="R318" s="215"/>
      <c r="S318" s="215"/>
      <c r="T318" s="215"/>
      <c r="U318" s="457"/>
      <c r="V318" s="314"/>
      <c r="W318" s="286"/>
      <c r="X318" s="215"/>
      <c r="Y318" s="215"/>
      <c r="Z318" s="215"/>
      <c r="AA318" s="408"/>
      <c r="AB318" s="215"/>
      <c r="AC318" s="215"/>
      <c r="AD318" s="215"/>
      <c r="AE318" s="215"/>
      <c r="AF318" s="215"/>
      <c r="AG318" s="215"/>
      <c r="AH318" s="215"/>
    </row>
    <row r="319" spans="1:34" x14ac:dyDescent="0.2">
      <c r="A319" s="327" t="s">
        <v>414</v>
      </c>
      <c r="B319" s="311">
        <v>20000</v>
      </c>
      <c r="C319" s="215"/>
      <c r="D319" s="215"/>
      <c r="E319" s="286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309"/>
      <c r="Q319" s="215"/>
      <c r="R319" s="215"/>
      <c r="S319" s="215"/>
      <c r="T319" s="215"/>
      <c r="U319" s="313"/>
      <c r="V319" s="313"/>
      <c r="W319" s="215"/>
      <c r="X319" s="215"/>
      <c r="Y319" s="215"/>
      <c r="Z319" s="215"/>
      <c r="AA319" s="215"/>
      <c r="AB319" s="215"/>
      <c r="AC319" s="286"/>
      <c r="AD319" s="286"/>
      <c r="AE319" s="215"/>
      <c r="AF319" s="215"/>
      <c r="AG319" s="215"/>
      <c r="AH319" s="215"/>
    </row>
    <row r="320" spans="1:34" x14ac:dyDescent="0.2">
      <c r="A320" s="327" t="s">
        <v>287</v>
      </c>
      <c r="B320" s="311">
        <v>600000</v>
      </c>
      <c r="C320" s="215"/>
      <c r="D320" s="215"/>
      <c r="E320" s="215"/>
      <c r="F320" s="215"/>
      <c r="G320" s="215"/>
      <c r="H320" s="215"/>
      <c r="I320" s="215"/>
      <c r="J320" s="215"/>
      <c r="K320" s="286"/>
      <c r="L320" s="215"/>
      <c r="M320" s="215"/>
      <c r="N320" s="215"/>
      <c r="O320" s="215"/>
      <c r="P320" s="309"/>
      <c r="Q320" s="215"/>
      <c r="R320" s="215"/>
      <c r="S320" s="215"/>
      <c r="T320" s="215"/>
      <c r="U320" s="458"/>
      <c r="V320" s="313"/>
      <c r="W320" s="215"/>
      <c r="X320" s="286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310" t="s">
        <v>413</v>
      </c>
      <c r="B321" s="311">
        <v>200000</v>
      </c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310" t="s">
        <v>441</v>
      </c>
      <c r="B322" s="311">
        <v>200000</v>
      </c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309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</row>
    <row r="323" spans="1:33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309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5"/>
      <c r="AG323" s="215"/>
    </row>
    <row r="324" spans="1:33" x14ac:dyDescent="0.2">
      <c r="A324" s="183" t="s">
        <v>449</v>
      </c>
      <c r="B324" s="25"/>
      <c r="L324" s="42"/>
    </row>
    <row r="325" spans="1:33" x14ac:dyDescent="0.2">
      <c r="AB325" s="42"/>
      <c r="AC325" s="42"/>
      <c r="AD325" s="42"/>
      <c r="AE325" s="42"/>
    </row>
    <row r="332" spans="1:33" ht="15" x14ac:dyDescent="0.2">
      <c r="A332" s="401"/>
      <c r="B332" s="791"/>
    </row>
    <row r="333" spans="1:33" ht="15" x14ac:dyDescent="0.2">
      <c r="A333" s="401"/>
      <c r="B333" s="791"/>
    </row>
    <row r="334" spans="1:33" ht="15" x14ac:dyDescent="0.2">
      <c r="A334" s="401"/>
      <c r="B334" s="791"/>
    </row>
    <row r="339" spans="1:2" ht="18" x14ac:dyDescent="0.25">
      <c r="A339" s="1757"/>
      <c r="B339" s="1757"/>
    </row>
    <row r="340" spans="1:2" x14ac:dyDescent="0.2">
      <c r="A340" s="54"/>
      <c r="B340" s="54"/>
    </row>
    <row r="342" spans="1:2" x14ac:dyDescent="0.2">
      <c r="A342" s="483"/>
      <c r="B342" s="25"/>
    </row>
    <row r="343" spans="1:2" x14ac:dyDescent="0.2">
      <c r="A343" s="483"/>
      <c r="B343" s="25"/>
    </row>
    <row r="344" spans="1:2" x14ac:dyDescent="0.2">
      <c r="A344" s="483"/>
      <c r="B344" s="25"/>
    </row>
    <row r="345" spans="1:2" x14ac:dyDescent="0.2">
      <c r="A345" s="483"/>
      <c r="B345" s="25"/>
    </row>
    <row r="346" spans="1:2" x14ac:dyDescent="0.2">
      <c r="A346" s="483"/>
      <c r="B346" s="25"/>
    </row>
    <row r="347" spans="1:2" x14ac:dyDescent="0.2">
      <c r="A347" s="483"/>
      <c r="B347" s="25"/>
    </row>
    <row r="348" spans="1:2" x14ac:dyDescent="0.2">
      <c r="A348" s="483"/>
      <c r="B348" s="25"/>
    </row>
    <row r="349" spans="1:2" x14ac:dyDescent="0.2">
      <c r="A349" s="483"/>
      <c r="B349" s="25"/>
    </row>
    <row r="350" spans="1:2" x14ac:dyDescent="0.2">
      <c r="A350" s="483"/>
      <c r="B350" s="25"/>
    </row>
    <row r="351" spans="1:2" x14ac:dyDescent="0.2">
      <c r="A351" s="483"/>
      <c r="B351" s="25"/>
    </row>
    <row r="352" spans="1:2" x14ac:dyDescent="0.2">
      <c r="A352" s="483"/>
      <c r="B352" s="25"/>
    </row>
    <row r="355" spans="2:2" x14ac:dyDescent="0.2">
      <c r="B355" s="25"/>
    </row>
    <row r="356" spans="2:2" x14ac:dyDescent="0.2">
      <c r="B356" s="25"/>
    </row>
    <row r="357" spans="2:2" x14ac:dyDescent="0.2">
      <c r="B357" s="25"/>
    </row>
    <row r="359" spans="2:2" x14ac:dyDescent="0.2">
      <c r="B359" s="889"/>
    </row>
  </sheetData>
  <mergeCells count="1">
    <mergeCell ref="A339:B339"/>
  </mergeCells>
  <pageMargins left="0.78740157480314965" right="0.78740157480314965" top="0.98425196850393704" bottom="0.98425196850393704" header="0.51181102362204722" footer="0.51181102362204722"/>
  <pageSetup paperSize="9" fitToHeight="2" orientation="landscape" horizontalDpi="300" verticalDpi="300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3">
    <pageSetUpPr fitToPage="1"/>
  </sheetPr>
  <dimension ref="A1:AQ359"/>
  <sheetViews>
    <sheetView topLeftCell="A19" workbookViewId="0">
      <pane ySplit="1995" topLeftCell="A277" activePane="bottomLeft"/>
      <selection activeCell="G19" sqref="G19"/>
      <selection pane="bottomLeft" activeCell="E39" sqref="E39"/>
    </sheetView>
  </sheetViews>
  <sheetFormatPr defaultColWidth="11.42578125" defaultRowHeight="12.75" x14ac:dyDescent="0.2"/>
  <cols>
    <col min="1" max="1" width="37.42578125" customWidth="1"/>
    <col min="2" max="2" width="13.7109375" customWidth="1"/>
    <col min="3" max="3" width="14" customWidth="1"/>
    <col min="4" max="4" width="14.28515625" customWidth="1"/>
    <col min="5" max="5" width="14.42578125" bestFit="1" customWidth="1"/>
    <col min="6" max="6" width="12.7109375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2.28515625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6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6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6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6" x14ac:dyDescent="0.2">
      <c r="A4" s="215"/>
      <c r="B4" s="215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81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15"/>
    </row>
    <row r="5" spans="1:36" x14ac:dyDescent="0.2">
      <c r="A5" s="1" t="s">
        <v>689</v>
      </c>
      <c r="B5" s="451" t="s">
        <v>132</v>
      </c>
      <c r="C5" s="359">
        <f>C6+C7+C8+C9</f>
        <v>-318935.859</v>
      </c>
      <c r="D5" s="359">
        <f t="shared" ref="D5:AG5" si="0">D6+D7+D8+D9</f>
        <v>-330322.859</v>
      </c>
      <c r="E5" s="359">
        <f t="shared" si="0"/>
        <v>-330322.859</v>
      </c>
      <c r="F5" s="359">
        <f t="shared" si="0"/>
        <v>-330322.859</v>
      </c>
      <c r="G5" s="359">
        <f t="shared" si="0"/>
        <v>-330322.859</v>
      </c>
      <c r="H5" s="359">
        <f t="shared" si="0"/>
        <v>-330322.859</v>
      </c>
      <c r="I5" s="359">
        <f t="shared" si="0"/>
        <v>-330322.859</v>
      </c>
      <c r="J5" s="453">
        <f t="shared" si="0"/>
        <v>-330322.859</v>
      </c>
      <c r="K5" s="453">
        <f t="shared" si="0"/>
        <v>-330322.859</v>
      </c>
      <c r="L5" s="359">
        <f t="shared" si="0"/>
        <v>-330322.859</v>
      </c>
      <c r="M5" s="359">
        <f t="shared" si="0"/>
        <v>-330322.859</v>
      </c>
      <c r="N5" s="359">
        <f t="shared" si="0"/>
        <v>-330322.859</v>
      </c>
      <c r="O5" s="359">
        <f t="shared" si="0"/>
        <v>-330322.859</v>
      </c>
      <c r="P5" s="858">
        <f t="shared" si="0"/>
        <v>-330322.859</v>
      </c>
      <c r="Q5" s="359">
        <f t="shared" si="0"/>
        <v>-330322.859</v>
      </c>
      <c r="R5" s="359">
        <f t="shared" si="0"/>
        <v>-330322.859</v>
      </c>
      <c r="S5" s="359">
        <f t="shared" si="0"/>
        <v>-330322.859</v>
      </c>
      <c r="T5" s="359">
        <f t="shared" si="0"/>
        <v>-330322.859</v>
      </c>
      <c r="U5" s="359">
        <f t="shared" si="0"/>
        <v>-330322.859</v>
      </c>
      <c r="V5" s="359">
        <f t="shared" si="0"/>
        <v>-330322.859</v>
      </c>
      <c r="W5" s="359">
        <f t="shared" si="0"/>
        <v>-330322.859</v>
      </c>
      <c r="X5" s="359">
        <f t="shared" si="0"/>
        <v>-330322.859</v>
      </c>
      <c r="Y5" s="359">
        <f t="shared" si="0"/>
        <v>-330322.859</v>
      </c>
      <c r="Z5" s="359">
        <f t="shared" si="0"/>
        <v>-330322.859</v>
      </c>
      <c r="AA5" s="359">
        <f t="shared" si="0"/>
        <v>-330322.859</v>
      </c>
      <c r="AB5" s="359">
        <f t="shared" si="0"/>
        <v>-330322.859</v>
      </c>
      <c r="AC5" s="359">
        <f t="shared" si="0"/>
        <v>-330322.859</v>
      </c>
      <c r="AD5" s="359">
        <f t="shared" si="0"/>
        <v>-330322.859</v>
      </c>
      <c r="AE5" s="359">
        <f t="shared" si="0"/>
        <v>-330322.859</v>
      </c>
      <c r="AF5" s="359">
        <f t="shared" si="0"/>
        <v>-330322.859</v>
      </c>
      <c r="AG5" s="359">
        <f t="shared" si="0"/>
        <v>-330322.859</v>
      </c>
      <c r="AH5" s="215"/>
    </row>
    <row r="6" spans="1:36" x14ac:dyDescent="0.2">
      <c r="A6" s="56">
        <v>100000</v>
      </c>
      <c r="B6" s="215" t="s">
        <v>690</v>
      </c>
      <c r="C6" s="311">
        <f>C70</f>
        <v>-197353.18599999999</v>
      </c>
      <c r="D6" s="311">
        <f t="shared" ref="D6:AG6" si="1">D70</f>
        <v>-208740.18599999999</v>
      </c>
      <c r="E6" s="311">
        <f t="shared" si="1"/>
        <v>-208740.18599999999</v>
      </c>
      <c r="F6" s="311">
        <f t="shared" si="1"/>
        <v>-208740.18599999999</v>
      </c>
      <c r="G6" s="311">
        <f t="shared" si="1"/>
        <v>-208740.18599999999</v>
      </c>
      <c r="H6" s="311">
        <f t="shared" si="1"/>
        <v>-208740.18599999999</v>
      </c>
      <c r="I6" s="311">
        <f t="shared" si="1"/>
        <v>-208740.18599999999</v>
      </c>
      <c r="J6" s="314">
        <f t="shared" si="1"/>
        <v>-208740.18599999999</v>
      </c>
      <c r="K6" s="314">
        <f>K70</f>
        <v>-208740.18599999999</v>
      </c>
      <c r="L6" s="311">
        <f t="shared" si="1"/>
        <v>-208740.18599999999</v>
      </c>
      <c r="M6" s="311">
        <f t="shared" si="1"/>
        <v>-208740.18599999999</v>
      </c>
      <c r="N6" s="311">
        <f t="shared" si="1"/>
        <v>-208740.18599999999</v>
      </c>
      <c r="O6" s="311">
        <f t="shared" si="1"/>
        <v>-208740.18599999999</v>
      </c>
      <c r="P6" s="629">
        <f t="shared" si="1"/>
        <v>-208740.18599999999</v>
      </c>
      <c r="Q6" s="311">
        <f t="shared" si="1"/>
        <v>-208740.18599999999</v>
      </c>
      <c r="R6" s="311">
        <f t="shared" si="1"/>
        <v>-208740.18599999999</v>
      </c>
      <c r="S6" s="311">
        <f t="shared" si="1"/>
        <v>-208740.18599999999</v>
      </c>
      <c r="T6" s="311">
        <f t="shared" si="1"/>
        <v>-208740.18599999999</v>
      </c>
      <c r="U6" s="311">
        <f t="shared" si="1"/>
        <v>-208740.18599999999</v>
      </c>
      <c r="V6" s="311">
        <f t="shared" si="1"/>
        <v>-208740.18599999999</v>
      </c>
      <c r="W6" s="311">
        <f t="shared" si="1"/>
        <v>-208740.18599999999</v>
      </c>
      <c r="X6" s="311">
        <f t="shared" si="1"/>
        <v>-208740.18599999999</v>
      </c>
      <c r="Y6" s="311">
        <f t="shared" si="1"/>
        <v>-208740.18599999999</v>
      </c>
      <c r="Z6" s="311">
        <f t="shared" si="1"/>
        <v>-208740.18599999999</v>
      </c>
      <c r="AA6" s="311">
        <f t="shared" si="1"/>
        <v>-208740.18599999999</v>
      </c>
      <c r="AB6" s="311">
        <f t="shared" si="1"/>
        <v>-208740.18599999999</v>
      </c>
      <c r="AC6" s="311">
        <f t="shared" si="1"/>
        <v>-208740.18599999999</v>
      </c>
      <c r="AD6" s="311">
        <f t="shared" si="1"/>
        <v>-208740.18599999999</v>
      </c>
      <c r="AE6" s="311">
        <f t="shared" si="1"/>
        <v>-208740.18599999999</v>
      </c>
      <c r="AF6" s="311">
        <f t="shared" si="1"/>
        <v>-208740.18599999999</v>
      </c>
      <c r="AG6" s="311">
        <f t="shared" si="1"/>
        <v>-208740.18599999999</v>
      </c>
      <c r="AH6" s="215"/>
    </row>
    <row r="7" spans="1:36" x14ac:dyDescent="0.2">
      <c r="A7" s="56">
        <v>25000</v>
      </c>
      <c r="B7" s="215" t="s">
        <v>666</v>
      </c>
      <c r="C7" s="311">
        <f>C185</f>
        <v>-24642.054</v>
      </c>
      <c r="D7" s="311">
        <f t="shared" ref="D7:AG7" si="2">D185</f>
        <v>-24642.054</v>
      </c>
      <c r="E7" s="311">
        <f t="shared" si="2"/>
        <v>-24642.054</v>
      </c>
      <c r="F7" s="311">
        <f t="shared" si="2"/>
        <v>-24642.054</v>
      </c>
      <c r="G7" s="311">
        <f t="shared" si="2"/>
        <v>-24642.054</v>
      </c>
      <c r="H7" s="311">
        <f t="shared" si="2"/>
        <v>-24642.054</v>
      </c>
      <c r="I7" s="311">
        <f t="shared" si="2"/>
        <v>-24642.054</v>
      </c>
      <c r="J7" s="314">
        <f t="shared" si="2"/>
        <v>-24642.054</v>
      </c>
      <c r="K7" s="314">
        <f t="shared" si="2"/>
        <v>-24642.054</v>
      </c>
      <c r="L7" s="311">
        <f t="shared" si="2"/>
        <v>-24642.054</v>
      </c>
      <c r="M7" s="311">
        <f t="shared" si="2"/>
        <v>-24642.054</v>
      </c>
      <c r="N7" s="311">
        <f t="shared" si="2"/>
        <v>-24642.054</v>
      </c>
      <c r="O7" s="311">
        <f t="shared" si="2"/>
        <v>-24642.054</v>
      </c>
      <c r="P7" s="629">
        <f>P185</f>
        <v>-24642.054</v>
      </c>
      <c r="Q7" s="311">
        <f t="shared" si="2"/>
        <v>-24642.054</v>
      </c>
      <c r="R7" s="311">
        <f t="shared" si="2"/>
        <v>-24642.054</v>
      </c>
      <c r="S7" s="784">
        <f t="shared" si="2"/>
        <v>-24642.054</v>
      </c>
      <c r="T7" s="311">
        <f t="shared" si="2"/>
        <v>-24642.054</v>
      </c>
      <c r="U7" s="311">
        <f t="shared" si="2"/>
        <v>-24642.054</v>
      </c>
      <c r="V7" s="311">
        <f t="shared" si="2"/>
        <v>-24642.054</v>
      </c>
      <c r="W7" s="311">
        <f t="shared" si="2"/>
        <v>-24642.054</v>
      </c>
      <c r="X7" s="311">
        <f t="shared" si="2"/>
        <v>-24642.054</v>
      </c>
      <c r="Y7" s="311">
        <f t="shared" si="2"/>
        <v>-24642.054</v>
      </c>
      <c r="Z7" s="311">
        <f t="shared" si="2"/>
        <v>-24642.054</v>
      </c>
      <c r="AA7" s="311">
        <f t="shared" si="2"/>
        <v>-24642.054</v>
      </c>
      <c r="AB7" s="311">
        <f t="shared" si="2"/>
        <v>-24642.054</v>
      </c>
      <c r="AC7" s="311">
        <f t="shared" si="2"/>
        <v>-24642.054</v>
      </c>
      <c r="AD7" s="311">
        <f t="shared" si="2"/>
        <v>-24642.054</v>
      </c>
      <c r="AE7" s="311">
        <f t="shared" si="2"/>
        <v>-24642.054</v>
      </c>
      <c r="AF7" s="311">
        <f t="shared" si="2"/>
        <v>-24642.054</v>
      </c>
      <c r="AG7" s="311">
        <f t="shared" si="2"/>
        <v>-24642.054</v>
      </c>
      <c r="AH7" s="215"/>
    </row>
    <row r="8" spans="1:36" x14ac:dyDescent="0.2">
      <c r="A8" s="56">
        <v>25000</v>
      </c>
      <c r="B8" s="215" t="s">
        <v>667</v>
      </c>
      <c r="C8" s="311">
        <f>C248</f>
        <v>-21345.325000000001</v>
      </c>
      <c r="D8" s="311">
        <f t="shared" ref="D8:AG8" si="3">D248</f>
        <v>-21345.325000000001</v>
      </c>
      <c r="E8" s="311">
        <f t="shared" si="3"/>
        <v>-21345.325000000001</v>
      </c>
      <c r="F8" s="311">
        <f t="shared" si="3"/>
        <v>-21345.325000000001</v>
      </c>
      <c r="G8" s="311">
        <f t="shared" si="3"/>
        <v>-21345.325000000001</v>
      </c>
      <c r="H8" s="311">
        <f t="shared" si="3"/>
        <v>-21345.325000000001</v>
      </c>
      <c r="I8" s="784">
        <f t="shared" si="3"/>
        <v>-21345.325000000001</v>
      </c>
      <c r="J8" s="314">
        <f t="shared" si="3"/>
        <v>-21345.325000000001</v>
      </c>
      <c r="K8" s="314">
        <f t="shared" si="3"/>
        <v>-21345.325000000001</v>
      </c>
      <c r="L8" s="311">
        <f t="shared" si="3"/>
        <v>-21345.325000000001</v>
      </c>
      <c r="M8" s="311">
        <f t="shared" si="3"/>
        <v>-21345.325000000001</v>
      </c>
      <c r="N8" s="311">
        <f t="shared" si="3"/>
        <v>-21345.325000000001</v>
      </c>
      <c r="O8" s="311">
        <f t="shared" si="3"/>
        <v>-21345.325000000001</v>
      </c>
      <c r="P8" s="629">
        <f t="shared" si="3"/>
        <v>-21345.325000000001</v>
      </c>
      <c r="Q8" s="311">
        <f t="shared" si="3"/>
        <v>-21345.325000000001</v>
      </c>
      <c r="R8" s="311">
        <f t="shared" si="3"/>
        <v>-21345.325000000001</v>
      </c>
      <c r="S8" s="311">
        <f t="shared" si="3"/>
        <v>-21345.325000000001</v>
      </c>
      <c r="T8" s="311">
        <f t="shared" si="3"/>
        <v>-21345.325000000001</v>
      </c>
      <c r="U8" s="311">
        <f t="shared" si="3"/>
        <v>-21345.325000000001</v>
      </c>
      <c r="V8" s="311">
        <f t="shared" si="3"/>
        <v>-21345.325000000001</v>
      </c>
      <c r="W8" s="311">
        <f t="shared" si="3"/>
        <v>-21345.325000000001</v>
      </c>
      <c r="X8" s="311">
        <f t="shared" si="3"/>
        <v>-21345.325000000001</v>
      </c>
      <c r="Y8" s="311">
        <f t="shared" si="3"/>
        <v>-21345.325000000001</v>
      </c>
      <c r="Z8" s="311">
        <f t="shared" si="3"/>
        <v>-21345.325000000001</v>
      </c>
      <c r="AA8" s="311">
        <f t="shared" si="3"/>
        <v>-21345.325000000001</v>
      </c>
      <c r="AB8" s="311">
        <f t="shared" si="3"/>
        <v>-21345.325000000001</v>
      </c>
      <c r="AC8" s="311">
        <f t="shared" si="3"/>
        <v>-21345.325000000001</v>
      </c>
      <c r="AD8" s="311">
        <f t="shared" si="3"/>
        <v>-21345.325000000001</v>
      </c>
      <c r="AE8" s="311">
        <f t="shared" si="3"/>
        <v>-21345.325000000001</v>
      </c>
      <c r="AF8" s="311">
        <f t="shared" si="3"/>
        <v>-21345.325000000001</v>
      </c>
      <c r="AG8" s="311">
        <f t="shared" si="3"/>
        <v>-21345.325000000001</v>
      </c>
      <c r="AH8" s="215"/>
      <c r="AJ8" s="483"/>
    </row>
    <row r="9" spans="1:36" x14ac:dyDescent="0.2">
      <c r="A9" s="56">
        <v>20000</v>
      </c>
      <c r="B9" s="215" t="s">
        <v>691</v>
      </c>
      <c r="C9" s="311">
        <f>C312</f>
        <v>-75595.293999999994</v>
      </c>
      <c r="D9" s="311">
        <f t="shared" ref="D9:AG9" si="4">D312</f>
        <v>-75595.293999999994</v>
      </c>
      <c r="E9" s="311">
        <f t="shared" si="4"/>
        <v>-75595.293999999994</v>
      </c>
      <c r="F9" s="311">
        <f t="shared" si="4"/>
        <v>-75595.293999999994</v>
      </c>
      <c r="G9" s="784">
        <f t="shared" si="4"/>
        <v>-75595.293999999994</v>
      </c>
      <c r="H9" s="311">
        <f t="shared" si="4"/>
        <v>-75595.293999999994</v>
      </c>
      <c r="I9" s="311">
        <f t="shared" si="4"/>
        <v>-75595.293999999994</v>
      </c>
      <c r="J9" s="314">
        <f t="shared" si="4"/>
        <v>-75595.293999999994</v>
      </c>
      <c r="K9" s="314">
        <f t="shared" si="4"/>
        <v>-75595.293999999994</v>
      </c>
      <c r="L9" s="311">
        <f t="shared" si="4"/>
        <v>-75595.293999999994</v>
      </c>
      <c r="M9" s="311">
        <f t="shared" si="4"/>
        <v>-75595.293999999994</v>
      </c>
      <c r="N9" s="311">
        <f t="shared" si="4"/>
        <v>-75595.293999999994</v>
      </c>
      <c r="O9" s="311">
        <f t="shared" si="4"/>
        <v>-75595.293999999994</v>
      </c>
      <c r="P9" s="629">
        <f t="shared" si="4"/>
        <v>-75595.293999999994</v>
      </c>
      <c r="Q9" s="311">
        <f t="shared" si="4"/>
        <v>-75595.293999999994</v>
      </c>
      <c r="R9" s="311">
        <f t="shared" si="4"/>
        <v>-75595.293999999994</v>
      </c>
      <c r="S9" s="311">
        <f t="shared" si="4"/>
        <v>-75595.293999999994</v>
      </c>
      <c r="T9" s="311">
        <f t="shared" si="4"/>
        <v>-75595.293999999994</v>
      </c>
      <c r="U9" s="311">
        <f t="shared" si="4"/>
        <v>-75595.293999999994</v>
      </c>
      <c r="V9" s="311">
        <f t="shared" si="4"/>
        <v>-75595.293999999994</v>
      </c>
      <c r="W9" s="311">
        <f t="shared" si="4"/>
        <v>-75595.293999999994</v>
      </c>
      <c r="X9" s="311">
        <f t="shared" si="4"/>
        <v>-75595.293999999994</v>
      </c>
      <c r="Y9" s="311">
        <f t="shared" si="4"/>
        <v>-75595.293999999994</v>
      </c>
      <c r="Z9" s="311">
        <f t="shared" si="4"/>
        <v>-75595.293999999994</v>
      </c>
      <c r="AA9" s="311">
        <f t="shared" si="4"/>
        <v>-75595.293999999994</v>
      </c>
      <c r="AB9" s="311">
        <f t="shared" si="4"/>
        <v>-75595.293999999994</v>
      </c>
      <c r="AC9" s="311">
        <f t="shared" si="4"/>
        <v>-75595.293999999994</v>
      </c>
      <c r="AD9" s="311">
        <f t="shared" si="4"/>
        <v>-75595.293999999994</v>
      </c>
      <c r="AE9" s="311">
        <f t="shared" si="4"/>
        <v>-75595.293999999994</v>
      </c>
      <c r="AF9" s="311">
        <f t="shared" si="4"/>
        <v>-75595.293999999994</v>
      </c>
      <c r="AG9" s="311">
        <f t="shared" si="4"/>
        <v>-75595.293999999994</v>
      </c>
      <c r="AH9" s="215"/>
    </row>
    <row r="10" spans="1:36" x14ac:dyDescent="0.2">
      <c r="A10" s="1" t="s">
        <v>692</v>
      </c>
      <c r="B10" s="451" t="s">
        <v>132</v>
      </c>
      <c r="C10" s="452">
        <f>C11+C12+C13</f>
        <v>4931</v>
      </c>
      <c r="D10" s="452">
        <f t="shared" ref="D10:AG10" si="5">D11+D12+D13</f>
        <v>0</v>
      </c>
      <c r="E10" s="452">
        <f t="shared" si="5"/>
        <v>624</v>
      </c>
      <c r="F10" s="452">
        <f t="shared" si="5"/>
        <v>2599</v>
      </c>
      <c r="G10" s="452">
        <f t="shared" si="5"/>
        <v>7297</v>
      </c>
      <c r="H10" s="452">
        <f t="shared" si="5"/>
        <v>2671</v>
      </c>
      <c r="I10" s="452">
        <f t="shared" si="5"/>
        <v>580</v>
      </c>
      <c r="J10" s="454">
        <f t="shared" si="5"/>
        <v>8151</v>
      </c>
      <c r="K10" s="454">
        <f t="shared" si="5"/>
        <v>0</v>
      </c>
      <c r="L10" s="452">
        <f t="shared" si="5"/>
        <v>34248</v>
      </c>
      <c r="M10" s="452">
        <f t="shared" si="5"/>
        <v>5266</v>
      </c>
      <c r="N10" s="452">
        <f t="shared" si="5"/>
        <v>0</v>
      </c>
      <c r="O10" s="452">
        <f t="shared" si="5"/>
        <v>8093</v>
      </c>
      <c r="P10" s="859">
        <f t="shared" si="5"/>
        <v>2648</v>
      </c>
      <c r="Q10" s="452">
        <f t="shared" si="5"/>
        <v>22791</v>
      </c>
      <c r="R10" s="452">
        <f t="shared" si="5"/>
        <v>0</v>
      </c>
      <c r="S10" s="452">
        <f t="shared" si="5"/>
        <v>1250</v>
      </c>
      <c r="T10" s="452">
        <f t="shared" si="5"/>
        <v>12236</v>
      </c>
      <c r="U10" s="452">
        <f t="shared" si="5"/>
        <v>0</v>
      </c>
      <c r="V10" s="452">
        <f t="shared" si="5"/>
        <v>28734</v>
      </c>
      <c r="W10" s="452">
        <f t="shared" si="5"/>
        <v>563</v>
      </c>
      <c r="X10" s="452">
        <f t="shared" si="5"/>
        <v>1914</v>
      </c>
      <c r="Y10" s="452">
        <f t="shared" si="5"/>
        <v>2523</v>
      </c>
      <c r="Z10" s="452">
        <f t="shared" si="5"/>
        <v>7294</v>
      </c>
      <c r="AA10" s="452">
        <f t="shared" si="5"/>
        <v>6564</v>
      </c>
      <c r="AB10" s="452">
        <f t="shared" si="5"/>
        <v>0</v>
      </c>
      <c r="AC10" s="452">
        <f t="shared" si="5"/>
        <v>11093</v>
      </c>
      <c r="AD10" s="452">
        <f t="shared" si="5"/>
        <v>4962</v>
      </c>
      <c r="AE10" s="452">
        <f t="shared" si="5"/>
        <v>465</v>
      </c>
      <c r="AF10" s="452">
        <f t="shared" si="5"/>
        <v>28151</v>
      </c>
      <c r="AG10" s="452">
        <f t="shared" si="5"/>
        <v>57261</v>
      </c>
      <c r="AH10" s="286">
        <f>SUM(C10:AG10)</f>
        <v>262909</v>
      </c>
    </row>
    <row r="11" spans="1:36" x14ac:dyDescent="0.2">
      <c r="A11" s="1"/>
      <c r="B11" s="215" t="s">
        <v>666</v>
      </c>
      <c r="C11" s="286">
        <f>C172</f>
        <v>0</v>
      </c>
      <c r="D11" s="286">
        <f t="shared" ref="D11:AG11" si="6">D172</f>
        <v>0</v>
      </c>
      <c r="E11" s="286">
        <f t="shared" si="6"/>
        <v>0</v>
      </c>
      <c r="F11" s="286">
        <f t="shared" si="6"/>
        <v>0</v>
      </c>
      <c r="G11" s="286">
        <f t="shared" si="6"/>
        <v>6243</v>
      </c>
      <c r="H11" s="286">
        <f t="shared" si="6"/>
        <v>0</v>
      </c>
      <c r="I11" s="286">
        <f t="shared" si="6"/>
        <v>0</v>
      </c>
      <c r="J11" s="315">
        <f t="shared" si="6"/>
        <v>0</v>
      </c>
      <c r="K11" s="315">
        <f t="shared" si="6"/>
        <v>0</v>
      </c>
      <c r="L11" s="286">
        <f t="shared" si="6"/>
        <v>7082</v>
      </c>
      <c r="M11" s="286">
        <f t="shared" si="6"/>
        <v>2599</v>
      </c>
      <c r="N11" s="286">
        <f t="shared" si="6"/>
        <v>0</v>
      </c>
      <c r="O11" s="286">
        <f t="shared" si="6"/>
        <v>450</v>
      </c>
      <c r="P11" s="308">
        <f t="shared" si="6"/>
        <v>0</v>
      </c>
      <c r="Q11" s="286">
        <f t="shared" si="6"/>
        <v>1710</v>
      </c>
      <c r="R11" s="286">
        <f t="shared" si="6"/>
        <v>0</v>
      </c>
      <c r="S11" s="286">
        <f t="shared" si="6"/>
        <v>0</v>
      </c>
      <c r="T11" s="286">
        <f t="shared" si="6"/>
        <v>11219</v>
      </c>
      <c r="U11" s="286">
        <f t="shared" si="6"/>
        <v>0</v>
      </c>
      <c r="V11" s="286">
        <f t="shared" si="6"/>
        <v>7057</v>
      </c>
      <c r="W11" s="286">
        <f t="shared" si="6"/>
        <v>0</v>
      </c>
      <c r="X11" s="286">
        <f t="shared" si="6"/>
        <v>664</v>
      </c>
      <c r="Y11" s="286">
        <f t="shared" si="6"/>
        <v>2523</v>
      </c>
      <c r="Z11" s="286">
        <f t="shared" si="6"/>
        <v>2080</v>
      </c>
      <c r="AA11" s="286">
        <f t="shared" si="6"/>
        <v>6564</v>
      </c>
      <c r="AB11" s="286">
        <f t="shared" si="6"/>
        <v>0</v>
      </c>
      <c r="AC11" s="286">
        <f t="shared" si="6"/>
        <v>10013</v>
      </c>
      <c r="AD11" s="286">
        <f t="shared" si="6"/>
        <v>0</v>
      </c>
      <c r="AE11" s="286">
        <f t="shared" si="6"/>
        <v>465</v>
      </c>
      <c r="AF11" s="286">
        <f t="shared" si="6"/>
        <v>599</v>
      </c>
      <c r="AG11" s="286">
        <f t="shared" si="6"/>
        <v>8092</v>
      </c>
      <c r="AH11" s="215"/>
    </row>
    <row r="12" spans="1:36" x14ac:dyDescent="0.2">
      <c r="A12" s="1"/>
      <c r="B12" s="215" t="s">
        <v>667</v>
      </c>
      <c r="C12" s="286">
        <f>C235</f>
        <v>0</v>
      </c>
      <c r="D12" s="286">
        <f t="shared" ref="D12:AG12" si="7">D235</f>
        <v>0</v>
      </c>
      <c r="E12" s="286">
        <f t="shared" si="7"/>
        <v>0</v>
      </c>
      <c r="F12" s="286">
        <f t="shared" si="7"/>
        <v>0</v>
      </c>
      <c r="G12" s="286">
        <f t="shared" si="7"/>
        <v>1054</v>
      </c>
      <c r="H12" s="286">
        <f t="shared" si="7"/>
        <v>1447</v>
      </c>
      <c r="I12" s="286">
        <f t="shared" si="7"/>
        <v>0</v>
      </c>
      <c r="J12" s="315">
        <f t="shared" si="7"/>
        <v>2203</v>
      </c>
      <c r="K12" s="315">
        <f t="shared" si="7"/>
        <v>0</v>
      </c>
      <c r="L12" s="286">
        <f t="shared" si="7"/>
        <v>4340</v>
      </c>
      <c r="M12" s="286">
        <f t="shared" si="7"/>
        <v>0</v>
      </c>
      <c r="N12" s="286">
        <f t="shared" si="7"/>
        <v>0</v>
      </c>
      <c r="O12" s="286">
        <f t="shared" si="7"/>
        <v>0</v>
      </c>
      <c r="P12" s="308">
        <f t="shared" si="7"/>
        <v>0</v>
      </c>
      <c r="Q12" s="286">
        <f t="shared" si="7"/>
        <v>2602</v>
      </c>
      <c r="R12" s="286">
        <f t="shared" si="7"/>
        <v>0</v>
      </c>
      <c r="S12" s="286">
        <f t="shared" si="7"/>
        <v>0</v>
      </c>
      <c r="T12" s="286">
        <f t="shared" si="7"/>
        <v>0</v>
      </c>
      <c r="U12" s="286">
        <f t="shared" si="7"/>
        <v>0</v>
      </c>
      <c r="V12" s="286">
        <f t="shared" si="7"/>
        <v>4342</v>
      </c>
      <c r="W12" s="286">
        <f t="shared" si="7"/>
        <v>0</v>
      </c>
      <c r="X12" s="286">
        <f t="shared" si="7"/>
        <v>0</v>
      </c>
      <c r="Y12" s="286">
        <f t="shared" si="7"/>
        <v>0</v>
      </c>
      <c r="Z12" s="286">
        <f t="shared" si="7"/>
        <v>1080</v>
      </c>
      <c r="AA12" s="286">
        <f t="shared" si="7"/>
        <v>0</v>
      </c>
      <c r="AB12" s="286">
        <f t="shared" si="7"/>
        <v>0</v>
      </c>
      <c r="AC12" s="286">
        <f t="shared" si="7"/>
        <v>0</v>
      </c>
      <c r="AD12" s="286">
        <f t="shared" si="7"/>
        <v>1608</v>
      </c>
      <c r="AE12" s="286">
        <f t="shared" si="7"/>
        <v>0</v>
      </c>
      <c r="AF12" s="286">
        <f t="shared" si="7"/>
        <v>4453</v>
      </c>
      <c r="AG12" s="286">
        <f t="shared" si="7"/>
        <v>29665</v>
      </c>
      <c r="AH12" s="215"/>
    </row>
    <row r="13" spans="1:36" x14ac:dyDescent="0.2">
      <c r="A13" s="1"/>
      <c r="B13" s="215" t="s">
        <v>691</v>
      </c>
      <c r="C13" s="286">
        <f>C299</f>
        <v>4931</v>
      </c>
      <c r="D13" s="286">
        <f t="shared" ref="D13:AG13" si="8">D299</f>
        <v>0</v>
      </c>
      <c r="E13" s="286">
        <f t="shared" si="8"/>
        <v>624</v>
      </c>
      <c r="F13" s="286">
        <f t="shared" si="8"/>
        <v>2599</v>
      </c>
      <c r="G13" s="286">
        <f t="shared" si="8"/>
        <v>0</v>
      </c>
      <c r="H13" s="286">
        <f t="shared" si="8"/>
        <v>1224</v>
      </c>
      <c r="I13" s="286">
        <f t="shared" si="8"/>
        <v>580</v>
      </c>
      <c r="J13" s="315">
        <f t="shared" si="8"/>
        <v>5948</v>
      </c>
      <c r="K13" s="315">
        <f t="shared" si="8"/>
        <v>0</v>
      </c>
      <c r="L13" s="286">
        <f t="shared" si="8"/>
        <v>22826</v>
      </c>
      <c r="M13" s="286">
        <f t="shared" si="8"/>
        <v>2667</v>
      </c>
      <c r="N13" s="286">
        <f t="shared" si="8"/>
        <v>0</v>
      </c>
      <c r="O13" s="286">
        <f t="shared" si="8"/>
        <v>7643</v>
      </c>
      <c r="P13" s="308">
        <f t="shared" si="8"/>
        <v>2648</v>
      </c>
      <c r="Q13" s="286">
        <f t="shared" si="8"/>
        <v>18479</v>
      </c>
      <c r="R13" s="286">
        <f t="shared" si="8"/>
        <v>0</v>
      </c>
      <c r="S13" s="286">
        <f t="shared" si="8"/>
        <v>1250</v>
      </c>
      <c r="T13" s="286">
        <f t="shared" si="8"/>
        <v>1017</v>
      </c>
      <c r="U13" s="286">
        <f t="shared" si="8"/>
        <v>0</v>
      </c>
      <c r="V13" s="286">
        <f t="shared" si="8"/>
        <v>17335</v>
      </c>
      <c r="W13" s="286">
        <f t="shared" si="8"/>
        <v>563</v>
      </c>
      <c r="X13" s="286">
        <f t="shared" si="8"/>
        <v>1250</v>
      </c>
      <c r="Y13" s="286">
        <f t="shared" si="8"/>
        <v>0</v>
      </c>
      <c r="Z13" s="286">
        <f t="shared" si="8"/>
        <v>4134</v>
      </c>
      <c r="AA13" s="286">
        <f t="shared" si="8"/>
        <v>0</v>
      </c>
      <c r="AB13" s="286">
        <f t="shared" si="8"/>
        <v>0</v>
      </c>
      <c r="AC13" s="286">
        <f t="shared" si="8"/>
        <v>1080</v>
      </c>
      <c r="AD13" s="286">
        <f t="shared" si="8"/>
        <v>3354</v>
      </c>
      <c r="AE13" s="286">
        <f t="shared" si="8"/>
        <v>0</v>
      </c>
      <c r="AF13" s="286">
        <f t="shared" si="8"/>
        <v>23099</v>
      </c>
      <c r="AG13" s="286">
        <f t="shared" si="8"/>
        <v>19504</v>
      </c>
      <c r="AH13" s="215"/>
    </row>
    <row r="14" spans="1:36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-67413.858999999997</v>
      </c>
    </row>
    <row r="15" spans="1:36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902"/>
      <c r="AI15" s="483"/>
    </row>
    <row r="16" spans="1:36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902"/>
      <c r="AI16" s="483"/>
    </row>
    <row r="17" spans="1:35" x14ac:dyDescent="0.2">
      <c r="A17" s="265"/>
      <c r="B17" s="266" t="s">
        <v>37</v>
      </c>
      <c r="C17" s="266"/>
      <c r="D17" s="266"/>
      <c r="E17" s="267" t="s">
        <v>824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902"/>
      <c r="AI17" s="483"/>
    </row>
    <row r="18" spans="1:35" x14ac:dyDescent="0.2">
      <c r="A18" s="265"/>
      <c r="B18" s="266"/>
      <c r="C18" s="266"/>
      <c r="D18" s="268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308"/>
    </row>
    <row r="19" spans="1:35" x14ac:dyDescent="0.2">
      <c r="A19" s="769"/>
      <c r="B19" s="268"/>
      <c r="C19" s="268"/>
      <c r="D19" s="267">
        <v>42235</v>
      </c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5" x14ac:dyDescent="0.2">
      <c r="A20" s="769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5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5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5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5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5" x14ac:dyDescent="0.2">
      <c r="A25" s="265" t="s">
        <v>0</v>
      </c>
      <c r="B25" s="274">
        <v>-201805.57699999999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5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5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5" x14ac:dyDescent="0.2">
      <c r="A28" s="265" t="s">
        <v>1</v>
      </c>
      <c r="B28" s="274">
        <f>B29+B30+B31</f>
        <v>4452.3909999999996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5" x14ac:dyDescent="0.2">
      <c r="A29" s="265" t="s">
        <v>38</v>
      </c>
      <c r="B29" s="274">
        <f>C82</f>
        <v>4452.3909999999996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5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5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5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x14ac:dyDescent="0.2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x14ac:dyDescent="0.2">
      <c r="A34" s="265" t="s">
        <v>4</v>
      </c>
      <c r="B34" s="274">
        <f>B25+B28</f>
        <v>-197353.18599999999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3.5" thickBot="1" x14ac:dyDescent="0.25">
      <c r="A35" s="275"/>
      <c r="B35" s="27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15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15"/>
    </row>
    <row r="37" spans="1:40" x14ac:dyDescent="0.2">
      <c r="A37" s="265" t="s">
        <v>913</v>
      </c>
      <c r="B37" s="274">
        <f>C121</f>
        <v>0</v>
      </c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15"/>
    </row>
    <row r="38" spans="1:40" ht="13.5" thickBot="1" x14ac:dyDescent="0.25">
      <c r="A38" s="275"/>
      <c r="B38" s="276"/>
      <c r="C38" s="266"/>
      <c r="D38" s="266"/>
      <c r="E38" s="269"/>
      <c r="F38" s="266"/>
      <c r="G38" s="266"/>
      <c r="H38" s="266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15"/>
    </row>
    <row r="39" spans="1:40" x14ac:dyDescent="0.2">
      <c r="A39" s="263"/>
      <c r="B39" s="278"/>
      <c r="C39" s="269"/>
      <c r="E39" s="269"/>
      <c r="F39" s="934"/>
      <c r="G39" s="267"/>
      <c r="H39" s="266"/>
      <c r="I39" s="266"/>
      <c r="J39" s="266"/>
      <c r="K39" s="266"/>
      <c r="L39" s="266"/>
      <c r="M39" s="266"/>
      <c r="N39" s="266"/>
      <c r="O39" s="330"/>
      <c r="P39" s="281"/>
      <c r="Q39" s="707"/>
      <c r="R39" s="266"/>
      <c r="S39" s="269"/>
      <c r="T39" s="266"/>
      <c r="U39" s="280"/>
      <c r="V39" s="280"/>
      <c r="W39" s="280"/>
      <c r="X39" s="280"/>
      <c r="Y39" s="280"/>
      <c r="Z39" s="280"/>
      <c r="AA39" s="407"/>
      <c r="AB39" s="280"/>
      <c r="AC39" s="280"/>
      <c r="AD39" s="280"/>
      <c r="AE39" s="280"/>
      <c r="AF39" s="280"/>
      <c r="AG39" s="280"/>
      <c r="AH39" s="215"/>
    </row>
    <row r="40" spans="1:40" x14ac:dyDescent="0.2">
      <c r="A40" s="265" t="s">
        <v>5</v>
      </c>
      <c r="B40" s="274">
        <f>B34-B37</f>
        <v>-197353.18599999999</v>
      </c>
      <c r="C40" s="406"/>
      <c r="E40" s="269"/>
      <c r="F40" s="269"/>
      <c r="G40" s="269"/>
      <c r="H40" s="269"/>
      <c r="I40" s="269"/>
      <c r="J40" s="269"/>
      <c r="K40" s="269"/>
      <c r="L40" s="568"/>
      <c r="M40" s="281"/>
      <c r="N40" s="281"/>
      <c r="O40" s="269"/>
      <c r="P40" s="281"/>
      <c r="Q40" s="568"/>
      <c r="R40" s="269"/>
      <c r="S40" s="281"/>
      <c r="T40" s="281"/>
      <c r="U40" s="281"/>
      <c r="V40" s="269"/>
      <c r="W40" s="281"/>
      <c r="X40" s="269"/>
      <c r="Y40" s="281"/>
      <c r="Z40" s="281"/>
      <c r="AA40" s="407"/>
      <c r="AB40" s="269" t="s">
        <v>826</v>
      </c>
      <c r="AC40" s="942" t="s">
        <v>713</v>
      </c>
      <c r="AD40" s="407"/>
      <c r="AE40" s="407"/>
      <c r="AF40" s="281"/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</f>
        <v>0</v>
      </c>
      <c r="D43" s="288">
        <f t="shared" ref="D43:AG43" si="10">D44+D45+D48+D52+D51+D49+D50+D46+D47</f>
        <v>11387</v>
      </c>
      <c r="E43" s="288">
        <f t="shared" si="10"/>
        <v>0</v>
      </c>
      <c r="F43" s="288">
        <f t="shared" si="10"/>
        <v>0</v>
      </c>
      <c r="G43" s="288">
        <f t="shared" si="10"/>
        <v>0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0</v>
      </c>
      <c r="M43" s="288">
        <f t="shared" si="10"/>
        <v>0</v>
      </c>
      <c r="N43" s="288">
        <f t="shared" si="10"/>
        <v>0</v>
      </c>
      <c r="O43" s="288">
        <f t="shared" si="10"/>
        <v>0</v>
      </c>
      <c r="P43" s="865">
        <f>P44+P45+P48+P52+P51+P49+P50+P46+P47</f>
        <v>0</v>
      </c>
      <c r="Q43" s="288">
        <f t="shared" si="10"/>
        <v>0</v>
      </c>
      <c r="R43" s="288">
        <f t="shared" si="10"/>
        <v>0</v>
      </c>
      <c r="S43" s="288">
        <f t="shared" si="10"/>
        <v>0</v>
      </c>
      <c r="T43" s="288">
        <f t="shared" si="10"/>
        <v>0</v>
      </c>
      <c r="U43" s="288">
        <f t="shared" si="10"/>
        <v>0</v>
      </c>
      <c r="V43" s="288">
        <f t="shared" si="10"/>
        <v>0</v>
      </c>
      <c r="W43" s="288">
        <f t="shared" si="10"/>
        <v>0</v>
      </c>
      <c r="X43" s="288">
        <f t="shared" si="10"/>
        <v>0</v>
      </c>
      <c r="Y43" s="288">
        <f t="shared" si="10"/>
        <v>0</v>
      </c>
      <c r="Z43" s="288">
        <f t="shared" si="10"/>
        <v>0</v>
      </c>
      <c r="AA43" s="288">
        <f t="shared" si="10"/>
        <v>0</v>
      </c>
      <c r="AB43" s="288">
        <f t="shared" si="10"/>
        <v>0</v>
      </c>
      <c r="AC43" s="288">
        <f t="shared" si="10"/>
        <v>0</v>
      </c>
      <c r="AD43" s="288">
        <f t="shared" si="10"/>
        <v>0</v>
      </c>
      <c r="AE43" s="288">
        <f t="shared" si="10"/>
        <v>0</v>
      </c>
      <c r="AF43" s="288">
        <f t="shared" si="10"/>
        <v>0</v>
      </c>
      <c r="AG43" s="288">
        <f t="shared" si="10"/>
        <v>0</v>
      </c>
      <c r="AH43" s="286">
        <f t="shared" si="9"/>
        <v>11387</v>
      </c>
    </row>
    <row r="44" spans="1:40" x14ac:dyDescent="0.2">
      <c r="A44" s="287" t="s">
        <v>8</v>
      </c>
      <c r="B44" s="266"/>
      <c r="C44" s="289"/>
      <c r="D44" s="290">
        <f>10750</f>
        <v>10750</v>
      </c>
      <c r="E44" s="291"/>
      <c r="F44" s="290"/>
      <c r="G44" s="295"/>
      <c r="H44" s="290"/>
      <c r="I44" s="290"/>
      <c r="J44" s="290"/>
      <c r="K44" s="290"/>
      <c r="L44" s="295"/>
      <c r="M44" s="292"/>
      <c r="N44" s="292"/>
      <c r="O44" s="295"/>
      <c r="P44" s="292"/>
      <c r="Q44" s="295"/>
      <c r="R44" s="295"/>
      <c r="S44" s="295"/>
      <c r="T44" s="295"/>
      <c r="U44" s="581"/>
      <c r="V44" s="295"/>
      <c r="W44" s="295"/>
      <c r="X44" s="295"/>
      <c r="Y44" s="581"/>
      <c r="Z44" s="295"/>
      <c r="AA44" s="295"/>
      <c r="AB44" s="295"/>
      <c r="AC44" s="581"/>
      <c r="AD44" s="295"/>
      <c r="AE44" s="295"/>
      <c r="AF44" s="295"/>
      <c r="AG44" s="295"/>
      <c r="AH44" s="286">
        <f t="shared" si="9"/>
        <v>10750</v>
      </c>
      <c r="AN44" s="25">
        <v>9918.1650000000009</v>
      </c>
    </row>
    <row r="45" spans="1:40" x14ac:dyDescent="0.2">
      <c r="A45" s="287" t="s">
        <v>703</v>
      </c>
      <c r="B45" s="266"/>
      <c r="C45" s="291"/>
      <c r="D45" s="290">
        <v>637</v>
      </c>
      <c r="E45" s="291"/>
      <c r="F45" s="290"/>
      <c r="G45" s="290"/>
      <c r="H45" s="290"/>
      <c r="I45" s="290"/>
      <c r="J45" s="290"/>
      <c r="K45" s="290"/>
      <c r="L45" s="295"/>
      <c r="M45" s="290"/>
      <c r="N45" s="290"/>
      <c r="O45" s="295"/>
      <c r="P45" s="292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86">
        <f t="shared" si="9"/>
        <v>637</v>
      </c>
      <c r="AI45" s="42">
        <f>+AH45+AH44</f>
        <v>11387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291"/>
      <c r="F46" s="290"/>
      <c r="G46" s="290"/>
      <c r="H46" s="290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86">
        <f t="shared" si="9"/>
        <v>0</v>
      </c>
      <c r="AN46" s="25"/>
    </row>
    <row r="47" spans="1:40" x14ac:dyDescent="0.2">
      <c r="A47" s="287" t="s">
        <v>705</v>
      </c>
      <c r="B47" s="266"/>
      <c r="C47" s="291"/>
      <c r="D47" s="290"/>
      <c r="E47" s="291"/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2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86">
        <f t="shared" si="9"/>
        <v>0</v>
      </c>
      <c r="AN47" s="25"/>
    </row>
    <row r="48" spans="1:40" s="360" customFormat="1" x14ac:dyDescent="0.2">
      <c r="A48" s="662" t="s">
        <v>10</v>
      </c>
      <c r="B48" s="663"/>
      <c r="C48" s="664"/>
      <c r="D48" s="380"/>
      <c r="E48" s="664"/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560"/>
      <c r="Q48" s="380"/>
      <c r="R48" s="380"/>
      <c r="S48" s="380"/>
      <c r="T48" s="380"/>
      <c r="U48" s="380"/>
      <c r="V48" s="665"/>
      <c r="W48" s="380"/>
      <c r="X48" s="380"/>
      <c r="Y48" s="380"/>
      <c r="Z48" s="380"/>
      <c r="AA48" s="560"/>
      <c r="AB48" s="380"/>
      <c r="AC48" s="708"/>
      <c r="AD48" s="380"/>
      <c r="AE48" s="380"/>
      <c r="AF48" s="380"/>
      <c r="AG48" s="380"/>
      <c r="AH48" s="379">
        <f t="shared" si="9"/>
        <v>0</v>
      </c>
      <c r="AI48" s="666"/>
      <c r="AN48" s="667">
        <v>6347.85</v>
      </c>
    </row>
    <row r="49" spans="1:40" s="360" customFormat="1" x14ac:dyDescent="0.2">
      <c r="A49" s="662" t="s">
        <v>356</v>
      </c>
      <c r="B49" s="668"/>
      <c r="C49" s="565"/>
      <c r="D49" s="380"/>
      <c r="E49" s="565"/>
      <c r="F49" s="560"/>
      <c r="G49" s="560"/>
      <c r="H49" s="560"/>
      <c r="I49" s="560"/>
      <c r="J49" s="560"/>
      <c r="K49" s="560"/>
      <c r="L49" s="560"/>
      <c r="M49" s="560"/>
      <c r="N49" s="38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379">
        <f t="shared" si="9"/>
        <v>0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0"/>
      <c r="AG50" s="290"/>
      <c r="AH50" s="286">
        <f t="shared" si="9"/>
        <v>0</v>
      </c>
      <c r="AN50" s="25">
        <v>2246.556</v>
      </c>
    </row>
    <row r="51" spans="1:40" x14ac:dyDescent="0.2">
      <c r="A51" s="287" t="s">
        <v>41</v>
      </c>
      <c r="B51" s="266"/>
      <c r="C51" s="289"/>
      <c r="D51" s="291"/>
      <c r="E51" s="362"/>
      <c r="F51" s="290"/>
      <c r="G51" s="295"/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/>
      <c r="AG51" s="290"/>
      <c r="AH51" s="286">
        <f t="shared" si="9"/>
        <v>0</v>
      </c>
      <c r="AN51" s="25"/>
    </row>
    <row r="52" spans="1:40" x14ac:dyDescent="0.2">
      <c r="A52" s="287" t="s">
        <v>11</v>
      </c>
      <c r="B52" s="266"/>
      <c r="C52" s="289"/>
      <c r="D52" s="289"/>
      <c r="E52" s="289"/>
      <c r="F52" s="754"/>
      <c r="G52" s="292"/>
      <c r="H52" s="292"/>
      <c r="I52" s="292"/>
      <c r="J52" s="754"/>
      <c r="K52" s="292"/>
      <c r="L52" s="292"/>
      <c r="M52" s="292"/>
      <c r="N52" s="754"/>
      <c r="O52" s="292"/>
      <c r="P52" s="292"/>
      <c r="Q52" s="292"/>
      <c r="R52" s="292"/>
      <c r="S52" s="292"/>
      <c r="T52" s="292"/>
      <c r="U52" s="292"/>
      <c r="V52" s="455"/>
      <c r="W52" s="292"/>
      <c r="X52" s="292"/>
      <c r="Y52" s="292"/>
      <c r="Z52" s="292"/>
      <c r="AA52" s="295"/>
      <c r="AB52" s="295"/>
      <c r="AC52" s="295"/>
      <c r="AD52" s="295"/>
      <c r="AE52" s="292"/>
      <c r="AF52" s="292"/>
      <c r="AG52" s="292"/>
      <c r="AH52" s="286">
        <f t="shared" si="9"/>
        <v>0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2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5"/>
      <c r="AC53" s="295"/>
      <c r="AD53" s="290"/>
      <c r="AE53" s="290"/>
      <c r="AF53" s="290"/>
      <c r="AG53" s="290"/>
      <c r="AH53" s="286">
        <f t="shared" si="9"/>
        <v>0</v>
      </c>
      <c r="AI53" s="42"/>
      <c r="AJ53" s="360"/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/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288"/>
      <c r="N55" s="288"/>
      <c r="O55" s="288"/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 t="shared" si="11"/>
        <v>0</v>
      </c>
      <c r="T55" s="288">
        <f t="shared" si="11"/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N56" s="25">
        <v>673.17700000000002</v>
      </c>
    </row>
    <row r="57" spans="1:40" x14ac:dyDescent="0.2">
      <c r="A57" s="287" t="s">
        <v>215</v>
      </c>
      <c r="B57" s="266"/>
      <c r="C57" s="289">
        <v>1660</v>
      </c>
      <c r="D57" s="291">
        <v>3130</v>
      </c>
      <c r="E57" s="362">
        <v>800</v>
      </c>
      <c r="F57" s="290"/>
      <c r="G57" s="295">
        <v>13919</v>
      </c>
      <c r="H57" s="292">
        <v>3160</v>
      </c>
      <c r="I57" s="290"/>
      <c r="J57" s="290">
        <v>9876</v>
      </c>
      <c r="K57" s="290">
        <v>3646</v>
      </c>
      <c r="L57" s="290">
        <v>26329</v>
      </c>
      <c r="M57" s="290">
        <v>2306</v>
      </c>
      <c r="N57" s="290">
        <v>4667</v>
      </c>
      <c r="O57" s="290">
        <v>5806</v>
      </c>
      <c r="P57" s="292">
        <v>2306</v>
      </c>
      <c r="Q57" s="290">
        <v>18953</v>
      </c>
      <c r="R57" s="290">
        <v>4156</v>
      </c>
      <c r="S57" s="290">
        <v>5630</v>
      </c>
      <c r="T57" s="290">
        <v>2348</v>
      </c>
      <c r="U57" s="290">
        <v>675</v>
      </c>
      <c r="V57" s="290">
        <v>29598</v>
      </c>
      <c r="W57" s="290">
        <v>1000</v>
      </c>
      <c r="X57" s="290">
        <v>4907</v>
      </c>
      <c r="Y57" s="290">
        <v>6292</v>
      </c>
      <c r="Z57" s="290">
        <v>1675</v>
      </c>
      <c r="AA57" s="292">
        <v>2000</v>
      </c>
      <c r="AB57" s="290">
        <v>1630</v>
      </c>
      <c r="AC57" s="290">
        <v>7482</v>
      </c>
      <c r="AD57" s="290"/>
      <c r="AE57" s="290">
        <v>6872</v>
      </c>
      <c r="AF57" s="290">
        <v>27163</v>
      </c>
      <c r="AG57" s="290">
        <v>88048</v>
      </c>
      <c r="AH57" s="286">
        <f t="shared" si="9"/>
        <v>286034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N59" s="25">
        <v>1850.7819999999999</v>
      </c>
    </row>
    <row r="60" spans="1:40" x14ac:dyDescent="0.2">
      <c r="A60" s="287" t="s">
        <v>915</v>
      </c>
      <c r="B60" s="266"/>
      <c r="C60" s="300">
        <f t="shared" ref="C60:AG60" si="12">C55-C43</f>
        <v>0</v>
      </c>
      <c r="D60" s="300">
        <f t="shared" si="12"/>
        <v>-11387</v>
      </c>
      <c r="E60" s="300">
        <f t="shared" si="12"/>
        <v>0</v>
      </c>
      <c r="F60" s="300">
        <f t="shared" si="12"/>
        <v>0</v>
      </c>
      <c r="G60" s="300">
        <f t="shared" si="12"/>
        <v>0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0</v>
      </c>
      <c r="M60" s="300">
        <f t="shared" si="12"/>
        <v>0</v>
      </c>
      <c r="N60" s="300">
        <f t="shared" si="12"/>
        <v>0</v>
      </c>
      <c r="O60" s="300">
        <f t="shared" si="12"/>
        <v>0</v>
      </c>
      <c r="P60" s="867">
        <f t="shared" si="12"/>
        <v>0</v>
      </c>
      <c r="Q60" s="300">
        <f t="shared" si="12"/>
        <v>0</v>
      </c>
      <c r="R60" s="300">
        <f t="shared" si="12"/>
        <v>0</v>
      </c>
      <c r="S60" s="300">
        <f t="shared" si="12"/>
        <v>0</v>
      </c>
      <c r="T60" s="300">
        <f t="shared" si="12"/>
        <v>0</v>
      </c>
      <c r="U60" s="300">
        <f t="shared" si="12"/>
        <v>0</v>
      </c>
      <c r="V60" s="300">
        <f t="shared" si="12"/>
        <v>0</v>
      </c>
      <c r="W60" s="300">
        <f t="shared" si="12"/>
        <v>0</v>
      </c>
      <c r="X60" s="300">
        <f t="shared" si="12"/>
        <v>0</v>
      </c>
      <c r="Y60" s="300">
        <f t="shared" si="12"/>
        <v>0</v>
      </c>
      <c r="Z60" s="300">
        <f t="shared" si="12"/>
        <v>0</v>
      </c>
      <c r="AA60" s="300">
        <f t="shared" si="12"/>
        <v>0</v>
      </c>
      <c r="AB60" s="300">
        <f t="shared" si="12"/>
        <v>0</v>
      </c>
      <c r="AC60" s="300">
        <f t="shared" si="12"/>
        <v>0</v>
      </c>
      <c r="AD60" s="300">
        <f t="shared" si="12"/>
        <v>0</v>
      </c>
      <c r="AE60" s="300">
        <f t="shared" si="12"/>
        <v>0</v>
      </c>
      <c r="AF60" s="300">
        <f t="shared" si="12"/>
        <v>0</v>
      </c>
      <c r="AG60" s="300">
        <f t="shared" si="12"/>
        <v>0</v>
      </c>
      <c r="AH60" s="215"/>
      <c r="AL60" s="42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-197353.18599999999</v>
      </c>
      <c r="D63" s="291">
        <f>C70+D60</f>
        <v>-208740.18599999999</v>
      </c>
      <c r="E63" s="291">
        <f t="shared" ref="E63:AG63" si="13">D70+E60</f>
        <v>-208740.18599999999</v>
      </c>
      <c r="F63" s="291">
        <f t="shared" si="13"/>
        <v>-208740.18599999999</v>
      </c>
      <c r="G63" s="291">
        <f t="shared" si="13"/>
        <v>-208740.18599999999</v>
      </c>
      <c r="H63" s="291">
        <f t="shared" si="13"/>
        <v>-208740.18599999999</v>
      </c>
      <c r="I63" s="291">
        <f t="shared" si="13"/>
        <v>-208740.18599999999</v>
      </c>
      <c r="J63" s="291">
        <f t="shared" si="13"/>
        <v>-208740.18599999999</v>
      </c>
      <c r="K63" s="291">
        <f t="shared" si="13"/>
        <v>-208740.18599999999</v>
      </c>
      <c r="L63" s="291">
        <f t="shared" si="13"/>
        <v>-208740.18599999999</v>
      </c>
      <c r="M63" s="291">
        <f t="shared" si="13"/>
        <v>-208740.18599999999</v>
      </c>
      <c r="N63" s="291">
        <f t="shared" si="13"/>
        <v>-208740.18599999999</v>
      </c>
      <c r="O63" s="291">
        <f t="shared" si="13"/>
        <v>-208740.18599999999</v>
      </c>
      <c r="P63" s="289">
        <f>O70+P60</f>
        <v>-208740.18599999999</v>
      </c>
      <c r="Q63" s="291">
        <f t="shared" si="13"/>
        <v>-208740.18599999999</v>
      </c>
      <c r="R63" s="291">
        <f t="shared" si="13"/>
        <v>-208740.18599999999</v>
      </c>
      <c r="S63" s="291">
        <f t="shared" si="13"/>
        <v>-208740.18599999999</v>
      </c>
      <c r="T63" s="291">
        <f t="shared" si="13"/>
        <v>-208740.18599999999</v>
      </c>
      <c r="U63" s="291">
        <f t="shared" si="13"/>
        <v>-208740.18599999999</v>
      </c>
      <c r="V63" s="291">
        <f t="shared" si="13"/>
        <v>-208740.18599999999</v>
      </c>
      <c r="W63" s="291">
        <f t="shared" si="13"/>
        <v>-208740.18599999999</v>
      </c>
      <c r="X63" s="291">
        <f t="shared" si="13"/>
        <v>-208740.18599999999</v>
      </c>
      <c r="Y63" s="291">
        <f t="shared" si="13"/>
        <v>-208740.18599999999</v>
      </c>
      <c r="Z63" s="291">
        <f t="shared" si="13"/>
        <v>-208740.18599999999</v>
      </c>
      <c r="AA63" s="291">
        <f t="shared" si="13"/>
        <v>-208740.18599999999</v>
      </c>
      <c r="AB63" s="291">
        <f t="shared" si="13"/>
        <v>-208740.18599999999</v>
      </c>
      <c r="AC63" s="291">
        <f t="shared" si="13"/>
        <v>-208740.18599999999</v>
      </c>
      <c r="AD63" s="291">
        <f t="shared" si="13"/>
        <v>-208740.18599999999</v>
      </c>
      <c r="AE63" s="291">
        <f t="shared" si="13"/>
        <v>-208740.18599999999</v>
      </c>
      <c r="AF63" s="291">
        <f t="shared" si="13"/>
        <v>-208740.18599999999</v>
      </c>
      <c r="AG63" s="291">
        <f t="shared" si="13"/>
        <v>-208740.18599999999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-197353.18599999999</v>
      </c>
      <c r="D70" s="291">
        <f t="shared" ref="D70:AG70" si="15">D63+D66+D67</f>
        <v>-208740.18599999999</v>
      </c>
      <c r="E70" s="291">
        <f t="shared" si="15"/>
        <v>-208740.18599999999</v>
      </c>
      <c r="F70" s="291">
        <f t="shared" si="15"/>
        <v>-208740.18599999999</v>
      </c>
      <c r="G70" s="291">
        <f t="shared" si="15"/>
        <v>-208740.18599999999</v>
      </c>
      <c r="H70" s="291">
        <f t="shared" si="15"/>
        <v>-208740.18599999999</v>
      </c>
      <c r="I70" s="291">
        <f t="shared" si="15"/>
        <v>-208740.18599999999</v>
      </c>
      <c r="J70" s="291">
        <f t="shared" si="15"/>
        <v>-208740.18599999999</v>
      </c>
      <c r="K70" s="291">
        <f t="shared" si="15"/>
        <v>-208740.18599999999</v>
      </c>
      <c r="L70" s="291">
        <f t="shared" si="15"/>
        <v>-208740.18599999999</v>
      </c>
      <c r="M70" s="291">
        <f t="shared" si="15"/>
        <v>-208740.18599999999</v>
      </c>
      <c r="N70" s="291">
        <f t="shared" si="15"/>
        <v>-208740.18599999999</v>
      </c>
      <c r="O70" s="291">
        <f t="shared" si="15"/>
        <v>-208740.18599999999</v>
      </c>
      <c r="P70" s="289">
        <f>P63+P66+P67</f>
        <v>-208740.18599999999</v>
      </c>
      <c r="Q70" s="291">
        <f t="shared" si="15"/>
        <v>-208740.18599999999</v>
      </c>
      <c r="R70" s="291">
        <f t="shared" si="15"/>
        <v>-208740.18599999999</v>
      </c>
      <c r="S70" s="291">
        <f t="shared" si="15"/>
        <v>-208740.18599999999</v>
      </c>
      <c r="T70" s="291">
        <f t="shared" si="15"/>
        <v>-208740.18599999999</v>
      </c>
      <c r="U70" s="291">
        <f t="shared" si="15"/>
        <v>-208740.18599999999</v>
      </c>
      <c r="V70" s="291">
        <f t="shared" si="15"/>
        <v>-208740.18599999999</v>
      </c>
      <c r="W70" s="291">
        <f t="shared" si="15"/>
        <v>-208740.18599999999</v>
      </c>
      <c r="X70" s="291">
        <f t="shared" si="15"/>
        <v>-208740.18599999999</v>
      </c>
      <c r="Y70" s="291">
        <f t="shared" si="15"/>
        <v>-208740.18599999999</v>
      </c>
      <c r="Z70" s="291">
        <f t="shared" si="15"/>
        <v>-208740.18599999999</v>
      </c>
      <c r="AA70" s="291">
        <f t="shared" si="15"/>
        <v>-208740.18599999999</v>
      </c>
      <c r="AB70" s="291">
        <f t="shared" si="15"/>
        <v>-208740.18599999999</v>
      </c>
      <c r="AC70" s="291">
        <f t="shared" si="15"/>
        <v>-208740.18599999999</v>
      </c>
      <c r="AD70" s="291">
        <f t="shared" si="15"/>
        <v>-208740.18599999999</v>
      </c>
      <c r="AE70" s="291">
        <f t="shared" si="15"/>
        <v>-208740.18599999999</v>
      </c>
      <c r="AF70" s="291">
        <f t="shared" si="15"/>
        <v>-208740.18599999999</v>
      </c>
      <c r="AG70" s="291">
        <f t="shared" si="15"/>
        <v>-208740.18599999999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5"/>
      <c r="E74" s="290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>
        <f>P51</f>
        <v>0</v>
      </c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>
        <f>AD57</f>
        <v>0</v>
      </c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SUM(C84:C122)</f>
        <v>4452.3909999999996</v>
      </c>
      <c r="D82" s="286"/>
      <c r="E82" s="470"/>
      <c r="F82" s="286"/>
      <c r="G82" s="317"/>
      <c r="H82" s="315"/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/>
      <c r="G83" s="319"/>
      <c r="H83" s="215"/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>
        <v>42216</v>
      </c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41673</v>
      </c>
      <c r="C85" s="318"/>
      <c r="D85" s="309"/>
      <c r="E85" s="215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41673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41673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42214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42215</v>
      </c>
      <c r="C89" s="501"/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42216</v>
      </c>
      <c r="C90" s="325"/>
      <c r="D90" s="323"/>
      <c r="E90" s="353"/>
      <c r="F90" s="215"/>
      <c r="G90" s="326"/>
      <c r="H90" s="215"/>
      <c r="I90" s="215"/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42213</v>
      </c>
      <c r="C91" s="325"/>
      <c r="D91" s="323"/>
      <c r="E91" s="323"/>
      <c r="F91" s="215"/>
      <c r="G91" s="326"/>
      <c r="H91" s="215"/>
      <c r="I91" s="215"/>
      <c r="J91" s="215"/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42205</v>
      </c>
      <c r="C92" s="323"/>
      <c r="D92" s="323"/>
      <c r="E92" s="323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42206</v>
      </c>
      <c r="C93" s="501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42207</v>
      </c>
      <c r="C94" s="324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42207</v>
      </c>
      <c r="C95" s="325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42202</v>
      </c>
      <c r="C96" s="324"/>
      <c r="D96" s="323"/>
      <c r="E96" s="323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>
        <v>42203</v>
      </c>
      <c r="C97" s="324"/>
      <c r="D97" s="323"/>
      <c r="E97" s="323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42204</v>
      </c>
      <c r="C98" s="324"/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42210</v>
      </c>
      <c r="C99" s="324"/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42211</v>
      </c>
      <c r="C100" s="324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42212</v>
      </c>
      <c r="C101" s="324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42206</v>
      </c>
      <c r="C102" s="324"/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42213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42215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42208</v>
      </c>
      <c r="C105" s="324"/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42214</v>
      </c>
      <c r="C106" s="324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1045">
        <v>42215</v>
      </c>
      <c r="C107" s="840">
        <f>1600.963+2562.478+288.95</f>
        <v>4452.3909999999996</v>
      </c>
      <c r="D107" s="323"/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/>
      <c r="B108" s="320">
        <v>42216</v>
      </c>
      <c r="C108" s="324"/>
      <c r="D108" s="323"/>
      <c r="E108" s="323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  <c r="AP108" s="194"/>
    </row>
    <row r="109" spans="1:42" x14ac:dyDescent="0.2">
      <c r="A109" s="215" t="s">
        <v>436</v>
      </c>
      <c r="B109" s="320"/>
      <c r="C109" s="325"/>
      <c r="D109" s="323"/>
      <c r="E109" s="215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/>
    </row>
    <row r="110" spans="1:42" x14ac:dyDescent="0.2">
      <c r="A110" s="327" t="s">
        <v>32</v>
      </c>
      <c r="B110" s="320">
        <v>42216</v>
      </c>
      <c r="C110" s="318"/>
      <c r="D110" s="323"/>
      <c r="E110" s="215"/>
      <c r="F110" s="215"/>
      <c r="G110" s="470"/>
      <c r="H110" s="323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  <c r="AN110" s="25">
        <v>222914.55799999999</v>
      </c>
    </row>
    <row r="111" spans="1:42" x14ac:dyDescent="0.2">
      <c r="A111" s="327" t="s">
        <v>33</v>
      </c>
      <c r="B111" s="320">
        <v>42216</v>
      </c>
      <c r="C111" s="318"/>
      <c r="D111" s="323"/>
      <c r="E111" s="318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</row>
    <row r="112" spans="1:42" x14ac:dyDescent="0.2">
      <c r="A112" s="327" t="s">
        <v>33</v>
      </c>
      <c r="B112" s="320">
        <v>42213</v>
      </c>
      <c r="C112" s="318"/>
      <c r="D112" s="215"/>
      <c r="E112" s="320"/>
      <c r="F112" s="311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  <c r="AN112" s="194">
        <f>AN110-AN93</f>
        <v>55537.753999999957</v>
      </c>
    </row>
    <row r="113" spans="1:34" x14ac:dyDescent="0.2">
      <c r="A113" s="327" t="s">
        <v>32</v>
      </c>
      <c r="B113" s="320">
        <v>42214</v>
      </c>
      <c r="C113" s="318"/>
      <c r="D113" s="215"/>
      <c r="E113" s="320"/>
      <c r="F113" s="311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33</v>
      </c>
      <c r="B114" s="320">
        <v>42215</v>
      </c>
      <c r="C114" s="318"/>
      <c r="D114" s="215"/>
      <c r="E114" s="215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1036</v>
      </c>
      <c r="B115" s="320">
        <v>42199</v>
      </c>
      <c r="C115" s="318"/>
      <c r="D115" s="215"/>
      <c r="E115" s="323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32</v>
      </c>
      <c r="B116" s="320">
        <v>42200</v>
      </c>
      <c r="C116" s="318"/>
      <c r="D116" s="323"/>
      <c r="E116" s="323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33</v>
      </c>
      <c r="B117" s="320">
        <v>42200</v>
      </c>
      <c r="C117" s="318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33</v>
      </c>
      <c r="B118" s="320">
        <v>42201</v>
      </c>
      <c r="C118" s="318"/>
      <c r="D118" s="215"/>
      <c r="E118" s="323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33</v>
      </c>
      <c r="B119" s="320">
        <v>42205</v>
      </c>
      <c r="C119" s="318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327" t="s">
        <v>33</v>
      </c>
      <c r="B120" s="320">
        <v>42206</v>
      </c>
      <c r="C120" s="318"/>
      <c r="D120" s="215"/>
      <c r="E120" s="500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327" t="s">
        <v>32</v>
      </c>
      <c r="B121" s="320">
        <v>42207</v>
      </c>
      <c r="C121" s="316"/>
      <c r="D121" s="215"/>
      <c r="E121" s="323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310" t="s">
        <v>33</v>
      </c>
      <c r="B122" s="321">
        <v>42207</v>
      </c>
      <c r="C122" s="318"/>
      <c r="D122" s="215"/>
      <c r="E122" s="215"/>
      <c r="F122" s="215"/>
      <c r="G122" s="323"/>
      <c r="H122" s="323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62"/>
      <c r="D123" s="215"/>
      <c r="E123" s="215"/>
      <c r="F123" s="215"/>
      <c r="G123" s="323"/>
      <c r="H123" s="215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215"/>
      <c r="B124" s="320"/>
      <c r="C124" s="215"/>
      <c r="D124" s="215"/>
      <c r="E124" s="215"/>
      <c r="F124" s="215"/>
      <c r="G124" s="215"/>
      <c r="H124" s="316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215"/>
      <c r="B125" s="320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310"/>
      <c r="B126" s="320"/>
      <c r="C126" s="262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310"/>
      <c r="B127" s="320"/>
      <c r="C127" s="262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309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</row>
    <row r="132" spans="1:34" ht="13.5" thickBot="1" x14ac:dyDescent="0.25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309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</row>
    <row r="133" spans="1:34" x14ac:dyDescent="0.2">
      <c r="A133" s="263"/>
      <c r="B133" s="264"/>
      <c r="C133" s="264"/>
      <c r="D133" s="264"/>
      <c r="E133" s="264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860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15"/>
    </row>
    <row r="134" spans="1:34" x14ac:dyDescent="0.2">
      <c r="A134" s="265"/>
      <c r="B134" s="266" t="s">
        <v>37</v>
      </c>
      <c r="C134" s="266"/>
      <c r="D134" s="266"/>
      <c r="E134" s="267" t="s">
        <v>824</v>
      </c>
      <c r="F134" s="268" t="s">
        <v>95</v>
      </c>
      <c r="G134" s="269" t="s">
        <v>6</v>
      </c>
      <c r="H134" s="268"/>
      <c r="I134" s="268"/>
      <c r="J134" s="268"/>
      <c r="K134" s="268"/>
      <c r="L134" s="268"/>
      <c r="M134" s="268"/>
      <c r="N134" s="268"/>
      <c r="O134" s="268"/>
      <c r="P134" s="861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15"/>
    </row>
    <row r="135" spans="1:34" x14ac:dyDescent="0.2">
      <c r="A135" s="265"/>
      <c r="B135" s="266"/>
      <c r="C135" s="266"/>
      <c r="D135" s="268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x14ac:dyDescent="0.2">
      <c r="A136" s="328"/>
      <c r="B136" s="266"/>
      <c r="C136" s="268"/>
      <c r="D136" s="268">
        <v>42221</v>
      </c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x14ac:dyDescent="0.2">
      <c r="A137" s="265"/>
      <c r="B137" s="266"/>
      <c r="C137" s="268"/>
      <c r="D137" s="268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79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15"/>
    </row>
    <row r="138" spans="1:34" ht="13.5" thickBot="1" x14ac:dyDescent="0.25">
      <c r="A138" s="265"/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79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  <c r="AH138" s="215"/>
    </row>
    <row r="139" spans="1:34" ht="13.5" thickBot="1" x14ac:dyDescent="0.25">
      <c r="A139" s="265"/>
      <c r="B139" s="266"/>
      <c r="C139" s="270"/>
      <c r="D139" s="271" t="s">
        <v>16</v>
      </c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  <c r="O139" s="271"/>
      <c r="P139" s="862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15"/>
    </row>
    <row r="140" spans="1:34" ht="13.5" thickBot="1" x14ac:dyDescent="0.25">
      <c r="A140" s="265"/>
      <c r="B140" s="266"/>
      <c r="C140" s="272" t="s">
        <v>452</v>
      </c>
      <c r="D140" s="272" t="s">
        <v>453</v>
      </c>
      <c r="E140" s="272" t="s">
        <v>434</v>
      </c>
      <c r="F140" s="272" t="s">
        <v>390</v>
      </c>
      <c r="G140" s="272" t="s">
        <v>454</v>
      </c>
      <c r="H140" s="272" t="s">
        <v>455</v>
      </c>
      <c r="I140" s="272" t="s">
        <v>456</v>
      </c>
      <c r="J140" s="272" t="s">
        <v>457</v>
      </c>
      <c r="K140" s="272" t="s">
        <v>458</v>
      </c>
      <c r="L140" s="272" t="s">
        <v>216</v>
      </c>
      <c r="M140" s="272" t="s">
        <v>459</v>
      </c>
      <c r="N140" s="272" t="s">
        <v>297</v>
      </c>
      <c r="O140" s="272" t="s">
        <v>211</v>
      </c>
      <c r="P140" s="863" t="s">
        <v>270</v>
      </c>
      <c r="Q140" s="272">
        <v>15</v>
      </c>
      <c r="R140" s="272">
        <v>16</v>
      </c>
      <c r="S140" s="272" t="s">
        <v>461</v>
      </c>
      <c r="T140" s="272" t="s">
        <v>442</v>
      </c>
      <c r="U140" s="272" t="s">
        <v>462</v>
      </c>
      <c r="V140" s="272" t="s">
        <v>470</v>
      </c>
      <c r="W140" s="272" t="s">
        <v>471</v>
      </c>
      <c r="X140" s="272" t="s">
        <v>472</v>
      </c>
      <c r="Y140" s="272" t="s">
        <v>463</v>
      </c>
      <c r="Z140" s="272" t="s">
        <v>465</v>
      </c>
      <c r="AA140" s="272" t="s">
        <v>466</v>
      </c>
      <c r="AB140" s="272" t="s">
        <v>435</v>
      </c>
      <c r="AC140" s="272" t="s">
        <v>467</v>
      </c>
      <c r="AD140" s="272" t="s">
        <v>464</v>
      </c>
      <c r="AE140" s="272" t="s">
        <v>429</v>
      </c>
      <c r="AF140" s="272" t="s">
        <v>149</v>
      </c>
      <c r="AG140" s="272" t="s">
        <v>210</v>
      </c>
      <c r="AH140" s="215"/>
    </row>
    <row r="141" spans="1:34" x14ac:dyDescent="0.2">
      <c r="A141" s="263"/>
      <c r="B141" s="273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x14ac:dyDescent="0.2">
      <c r="A142" s="265" t="s">
        <v>0</v>
      </c>
      <c r="B142" s="274">
        <v>-24642.054</v>
      </c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ht="13.5" thickBot="1" x14ac:dyDescent="0.25">
      <c r="A143" s="275"/>
      <c r="B143" s="27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3"/>
      <c r="B144" s="278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1</v>
      </c>
      <c r="B145" s="274">
        <f>B146+B147+B148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38</v>
      </c>
      <c r="B146" s="274">
        <f>C196</f>
        <v>0</v>
      </c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x14ac:dyDescent="0.2">
      <c r="A147" s="265" t="s">
        <v>39</v>
      </c>
      <c r="B147" s="274">
        <f>C216</f>
        <v>0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x14ac:dyDescent="0.2">
      <c r="A148" s="265" t="s">
        <v>3</v>
      </c>
      <c r="B148" s="274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ht="13.5" thickBot="1" x14ac:dyDescent="0.25">
      <c r="A149" s="275"/>
      <c r="B149" s="27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x14ac:dyDescent="0.2">
      <c r="A150" s="263"/>
      <c r="B150" s="278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x14ac:dyDescent="0.2">
      <c r="A151" s="265" t="s">
        <v>4</v>
      </c>
      <c r="B151" s="274">
        <f>B142+B145</f>
        <v>-24642.054</v>
      </c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ht="13.5" thickBot="1" x14ac:dyDescent="0.25">
      <c r="A152" s="275"/>
      <c r="B152" s="276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x14ac:dyDescent="0.2">
      <c r="A153" s="263"/>
      <c r="B153" s="278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79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x14ac:dyDescent="0.2">
      <c r="A154" s="265" t="s">
        <v>17</v>
      </c>
      <c r="B154" s="274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15"/>
    </row>
    <row r="155" spans="1:34" ht="13.5" thickBot="1" x14ac:dyDescent="0.25">
      <c r="A155" s="275"/>
      <c r="B155" s="27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79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  <c r="AA155" s="266"/>
      <c r="AB155" s="266"/>
      <c r="AC155" s="266"/>
      <c r="AD155" s="266"/>
      <c r="AE155" s="266"/>
      <c r="AF155" s="266"/>
      <c r="AG155" s="266"/>
      <c r="AH155" s="215"/>
    </row>
    <row r="156" spans="1:34" x14ac:dyDescent="0.2">
      <c r="A156" s="263"/>
      <c r="B156" s="278"/>
      <c r="C156" s="266"/>
      <c r="D156" s="802"/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79"/>
      <c r="Q156" s="266"/>
      <c r="R156" s="266"/>
      <c r="S156" s="266"/>
      <c r="T156" s="266"/>
      <c r="U156" s="266"/>
      <c r="V156" s="266"/>
      <c r="W156" s="266"/>
      <c r="X156" s="266"/>
      <c r="Y156" s="266"/>
      <c r="Z156" s="266"/>
      <c r="AA156" s="266"/>
      <c r="AB156" s="266"/>
      <c r="AC156" s="802"/>
      <c r="AD156" s="266"/>
      <c r="AF156" s="266"/>
      <c r="AG156" s="266"/>
      <c r="AH156" s="215"/>
    </row>
    <row r="157" spans="1:34" x14ac:dyDescent="0.2">
      <c r="A157" s="265" t="s">
        <v>5</v>
      </c>
      <c r="B157" s="274">
        <f>B151-B154</f>
        <v>-24642.054</v>
      </c>
      <c r="C157" s="269"/>
      <c r="D157" s="802"/>
      <c r="E157" s="269"/>
      <c r="F157" s="266"/>
      <c r="G157" s="810"/>
      <c r="H157" s="269" t="s">
        <v>712</v>
      </c>
      <c r="I157" s="269"/>
      <c r="J157" s="266"/>
      <c r="K157" s="266"/>
      <c r="L157" s="707"/>
      <c r="M157" s="266"/>
      <c r="N157" s="266"/>
      <c r="O157" s="269"/>
      <c r="P157" s="281"/>
      <c r="Q157" s="269"/>
      <c r="R157" s="269"/>
      <c r="S157" s="269"/>
      <c r="T157" s="810"/>
      <c r="U157" s="269"/>
      <c r="V157" s="269"/>
      <c r="W157" s="269"/>
      <c r="X157" s="269"/>
      <c r="Y157" s="269"/>
      <c r="Z157" s="269"/>
      <c r="AA157" s="707"/>
      <c r="AB157" s="269"/>
      <c r="AC157" s="802"/>
      <c r="AD157" s="269"/>
      <c r="AF157" s="269"/>
      <c r="AG157" s="269"/>
      <c r="AH157" s="215"/>
    </row>
    <row r="158" spans="1:34" ht="13.5" thickBot="1" x14ac:dyDescent="0.25">
      <c r="A158" s="275"/>
      <c r="B158" s="27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81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15"/>
    </row>
    <row r="159" spans="1:34" x14ac:dyDescent="0.2">
      <c r="A159" s="282"/>
      <c r="B159" s="266"/>
      <c r="C159" s="283"/>
      <c r="D159" s="285"/>
      <c r="E159" s="285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86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  <c r="AA159" s="284"/>
      <c r="AB159" s="284"/>
      <c r="AC159" s="284"/>
      <c r="AD159" s="284"/>
      <c r="AE159" s="284"/>
      <c r="AF159" s="284"/>
      <c r="AG159" s="284"/>
      <c r="AH159" s="215"/>
    </row>
    <row r="160" spans="1:34" ht="13.5" thickBot="1" x14ac:dyDescent="0.25">
      <c r="A160" s="287" t="s">
        <v>7</v>
      </c>
      <c r="B160" s="266"/>
      <c r="C160" s="288">
        <f>C161+C162+C163+C167+C166+C164+C165</f>
        <v>0</v>
      </c>
      <c r="D160" s="288">
        <f t="shared" ref="D160:AE160" si="16">D161+D162+D163+D167+D166+D164+D165</f>
        <v>0</v>
      </c>
      <c r="E160" s="288">
        <f t="shared" si="16"/>
        <v>0</v>
      </c>
      <c r="F160" s="288">
        <f t="shared" si="16"/>
        <v>0</v>
      </c>
      <c r="G160" s="288">
        <f t="shared" si="16"/>
        <v>0</v>
      </c>
      <c r="H160" s="288">
        <f t="shared" si="16"/>
        <v>0</v>
      </c>
      <c r="I160" s="288">
        <f t="shared" si="16"/>
        <v>0</v>
      </c>
      <c r="J160" s="288">
        <f t="shared" si="16"/>
        <v>0</v>
      </c>
      <c r="K160" s="288">
        <f t="shared" si="16"/>
        <v>0</v>
      </c>
      <c r="L160" s="288">
        <f t="shared" si="16"/>
        <v>0</v>
      </c>
      <c r="M160" s="288">
        <f t="shared" si="16"/>
        <v>0</v>
      </c>
      <c r="N160" s="288">
        <f t="shared" si="16"/>
        <v>0</v>
      </c>
      <c r="O160" s="288">
        <f t="shared" si="16"/>
        <v>0</v>
      </c>
      <c r="P160" s="865">
        <f t="shared" si="16"/>
        <v>0</v>
      </c>
      <c r="Q160" s="288">
        <f t="shared" si="16"/>
        <v>0</v>
      </c>
      <c r="R160" s="288">
        <f t="shared" si="16"/>
        <v>0</v>
      </c>
      <c r="S160" s="288">
        <f t="shared" si="16"/>
        <v>0</v>
      </c>
      <c r="T160" s="288">
        <f t="shared" si="16"/>
        <v>0</v>
      </c>
      <c r="U160" s="288">
        <f t="shared" si="16"/>
        <v>0</v>
      </c>
      <c r="V160" s="288">
        <f t="shared" si="16"/>
        <v>0</v>
      </c>
      <c r="W160" s="288">
        <f t="shared" si="16"/>
        <v>0</v>
      </c>
      <c r="X160" s="288">
        <f t="shared" si="16"/>
        <v>0</v>
      </c>
      <c r="Y160" s="288">
        <f t="shared" si="16"/>
        <v>0</v>
      </c>
      <c r="Z160" s="288">
        <f t="shared" si="16"/>
        <v>0</v>
      </c>
      <c r="AA160" s="288">
        <f t="shared" si="16"/>
        <v>0</v>
      </c>
      <c r="AB160" s="288">
        <f t="shared" si="16"/>
        <v>0</v>
      </c>
      <c r="AC160" s="288">
        <f t="shared" si="16"/>
        <v>0</v>
      </c>
      <c r="AD160" s="288">
        <f t="shared" si="16"/>
        <v>0</v>
      </c>
      <c r="AE160" s="288">
        <f t="shared" si="16"/>
        <v>0</v>
      </c>
      <c r="AF160" s="288">
        <f>AF161+AF162+AF163+AF167+AF166+AF164+AF165</f>
        <v>0</v>
      </c>
      <c r="AG160" s="288">
        <f>AG161+AG162+AG163+AG167+AG166+AG164+AG165</f>
        <v>0</v>
      </c>
      <c r="AH160" s="286">
        <f t="shared" ref="AH160:AH168" si="17">SUM(C160:AG160)</f>
        <v>0</v>
      </c>
    </row>
    <row r="161" spans="1:35" x14ac:dyDescent="0.2">
      <c r="A161" s="287" t="s">
        <v>8</v>
      </c>
      <c r="B161" s="266"/>
      <c r="C161" s="291"/>
      <c r="D161" s="291"/>
      <c r="E161" s="291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2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86">
        <f t="shared" si="17"/>
        <v>0</v>
      </c>
    </row>
    <row r="162" spans="1:35" x14ac:dyDescent="0.2">
      <c r="A162" s="287" t="s">
        <v>9</v>
      </c>
      <c r="B162" s="266"/>
      <c r="C162" s="291"/>
      <c r="D162" s="291"/>
      <c r="E162" s="291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2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86">
        <f t="shared" si="17"/>
        <v>0</v>
      </c>
    </row>
    <row r="163" spans="1:35" s="360" customFormat="1" x14ac:dyDescent="0.2">
      <c r="A163" s="662" t="s">
        <v>10</v>
      </c>
      <c r="B163" s="669"/>
      <c r="C163" s="664"/>
      <c r="D163" s="565"/>
      <c r="E163" s="565"/>
      <c r="F163" s="560"/>
      <c r="G163" s="811"/>
      <c r="H163" s="560"/>
      <c r="I163" s="560"/>
      <c r="J163" s="560"/>
      <c r="K163" s="560"/>
      <c r="L163" s="708"/>
      <c r="M163" s="560"/>
      <c r="N163" s="560"/>
      <c r="O163" s="560"/>
      <c r="P163" s="560"/>
      <c r="Q163" s="560"/>
      <c r="R163" s="560"/>
      <c r="S163" s="560"/>
      <c r="T163" s="811"/>
      <c r="U163" s="560"/>
      <c r="V163" s="560"/>
      <c r="W163" s="560"/>
      <c r="X163" s="560"/>
      <c r="Y163" s="560"/>
      <c r="Z163" s="560"/>
      <c r="AA163" s="708"/>
      <c r="AB163" s="560"/>
      <c r="AC163" s="560"/>
      <c r="AD163" s="560"/>
      <c r="AE163" s="803"/>
      <c r="AF163" s="560"/>
      <c r="AG163" s="560"/>
      <c r="AH163" s="379">
        <f t="shared" si="17"/>
        <v>0</v>
      </c>
    </row>
    <row r="164" spans="1:35" s="360" customFormat="1" x14ac:dyDescent="0.2">
      <c r="A164" s="662" t="s">
        <v>356</v>
      </c>
      <c r="B164" s="669"/>
      <c r="C164" s="565"/>
      <c r="D164" s="565"/>
      <c r="E164" s="565"/>
      <c r="F164" s="560"/>
      <c r="G164" s="560"/>
      <c r="H164" s="560">
        <v>133267</v>
      </c>
      <c r="I164" s="560"/>
      <c r="J164" s="560"/>
      <c r="K164" s="560"/>
      <c r="L164" s="560"/>
      <c r="M164" s="560"/>
      <c r="N164" s="560"/>
      <c r="O164" s="560"/>
      <c r="P164" s="560"/>
      <c r="Q164" s="560"/>
      <c r="R164" s="560"/>
      <c r="S164" s="560"/>
      <c r="T164" s="560"/>
      <c r="U164" s="560"/>
      <c r="V164" s="560"/>
      <c r="W164" s="560"/>
      <c r="X164" s="560"/>
      <c r="Y164" s="560"/>
      <c r="Z164" s="560"/>
      <c r="AA164" s="560"/>
      <c r="AB164" s="560"/>
      <c r="AC164" s="560"/>
      <c r="AD164" s="560"/>
      <c r="AE164" s="560"/>
      <c r="AF164" s="560"/>
      <c r="AG164" s="560"/>
      <c r="AH164" s="379">
        <f t="shared" si="17"/>
        <v>133267</v>
      </c>
    </row>
    <row r="165" spans="1:35" x14ac:dyDescent="0.2">
      <c r="A165" s="287" t="s">
        <v>357</v>
      </c>
      <c r="B165" s="266"/>
      <c r="C165" s="289"/>
      <c r="D165" s="291"/>
      <c r="E165" s="289"/>
      <c r="F165" s="290"/>
      <c r="G165" s="290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x14ac:dyDescent="0.2">
      <c r="A166" s="287" t="s">
        <v>41</v>
      </c>
      <c r="B166" s="266"/>
      <c r="C166" s="289"/>
      <c r="D166" s="291"/>
      <c r="E166" s="289"/>
      <c r="F166" s="290"/>
      <c r="G166" s="290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86">
        <f t="shared" si="17"/>
        <v>0</v>
      </c>
    </row>
    <row r="167" spans="1:35" x14ac:dyDescent="0.2">
      <c r="A167" s="287" t="s">
        <v>11</v>
      </c>
      <c r="B167" s="266"/>
      <c r="C167" s="291"/>
      <c r="D167" s="289"/>
      <c r="E167" s="289"/>
      <c r="F167" s="292"/>
      <c r="G167" s="292"/>
      <c r="H167" s="292">
        <v>-133267</v>
      </c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86">
        <f t="shared" si="17"/>
        <v>-133267</v>
      </c>
    </row>
    <row r="168" spans="1:35" ht="13.5" thickBot="1" x14ac:dyDescent="0.25">
      <c r="A168" s="296"/>
      <c r="B168" s="266"/>
      <c r="C168" s="291"/>
      <c r="D168" s="291"/>
      <c r="E168" s="291"/>
      <c r="F168" s="290"/>
      <c r="G168" s="290"/>
      <c r="H168" s="290"/>
      <c r="I168" s="290"/>
      <c r="J168" s="290"/>
      <c r="K168" s="290"/>
      <c r="L168" s="290"/>
      <c r="M168" s="290"/>
      <c r="N168" s="290"/>
      <c r="O168" s="290"/>
      <c r="P168" s="292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  <c r="AE168" s="290"/>
      <c r="AF168" s="290"/>
      <c r="AG168" s="290"/>
      <c r="AH168" s="286">
        <f t="shared" si="17"/>
        <v>0</v>
      </c>
    </row>
    <row r="169" spans="1:35" x14ac:dyDescent="0.2">
      <c r="A169" s="282"/>
      <c r="B169" s="266"/>
      <c r="C169" s="297"/>
      <c r="D169" s="298"/>
      <c r="E169" s="298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866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  <c r="AB169" s="299"/>
      <c r="AC169" s="299"/>
      <c r="AD169" s="299"/>
      <c r="AE169" s="299"/>
      <c r="AF169" s="299"/>
      <c r="AG169" s="299"/>
      <c r="AH169" s="215"/>
    </row>
    <row r="170" spans="1:35" ht="13.5" thickBot="1" x14ac:dyDescent="0.25">
      <c r="A170" s="287" t="s">
        <v>12</v>
      </c>
      <c r="B170" s="266"/>
      <c r="C170" s="288">
        <f t="shared" ref="C170:AG170" si="18">C171</f>
        <v>0</v>
      </c>
      <c r="D170" s="288">
        <f t="shared" si="18"/>
        <v>0</v>
      </c>
      <c r="E170" s="288">
        <f t="shared" si="18"/>
        <v>0</v>
      </c>
      <c r="F170" s="288">
        <f t="shared" si="18"/>
        <v>0</v>
      </c>
      <c r="G170" s="288">
        <f t="shared" si="18"/>
        <v>0</v>
      </c>
      <c r="H170" s="288">
        <f t="shared" si="18"/>
        <v>0</v>
      </c>
      <c r="I170" s="288">
        <f t="shared" si="18"/>
        <v>0</v>
      </c>
      <c r="J170" s="288">
        <f t="shared" si="18"/>
        <v>0</v>
      </c>
      <c r="K170" s="288">
        <f t="shared" si="18"/>
        <v>0</v>
      </c>
      <c r="L170" s="288">
        <f t="shared" si="18"/>
        <v>0</v>
      </c>
      <c r="M170" s="288">
        <f t="shared" si="18"/>
        <v>0</v>
      </c>
      <c r="N170" s="288">
        <f t="shared" si="18"/>
        <v>0</v>
      </c>
      <c r="O170" s="288">
        <f t="shared" si="18"/>
        <v>0</v>
      </c>
      <c r="P170" s="865">
        <f t="shared" si="18"/>
        <v>0</v>
      </c>
      <c r="Q170" s="288">
        <f t="shared" si="18"/>
        <v>0</v>
      </c>
      <c r="R170" s="288">
        <f t="shared" si="18"/>
        <v>0</v>
      </c>
      <c r="S170" s="288">
        <f t="shared" si="18"/>
        <v>0</v>
      </c>
      <c r="T170" s="288">
        <f t="shared" si="18"/>
        <v>0</v>
      </c>
      <c r="U170" s="288">
        <f t="shared" si="18"/>
        <v>0</v>
      </c>
      <c r="V170" s="288">
        <f t="shared" si="18"/>
        <v>0</v>
      </c>
      <c r="W170" s="288">
        <f t="shared" si="18"/>
        <v>0</v>
      </c>
      <c r="X170" s="288">
        <f t="shared" si="18"/>
        <v>0</v>
      </c>
      <c r="Y170" s="288">
        <f t="shared" si="18"/>
        <v>0</v>
      </c>
      <c r="Z170" s="288">
        <f t="shared" si="18"/>
        <v>0</v>
      </c>
      <c r="AA170" s="288">
        <f t="shared" si="18"/>
        <v>0</v>
      </c>
      <c r="AB170" s="288">
        <f t="shared" si="18"/>
        <v>0</v>
      </c>
      <c r="AC170" s="288">
        <f t="shared" si="18"/>
        <v>0</v>
      </c>
      <c r="AD170" s="288">
        <f t="shared" si="18"/>
        <v>0</v>
      </c>
      <c r="AE170" s="288">
        <f t="shared" si="18"/>
        <v>0</v>
      </c>
      <c r="AF170" s="288">
        <f t="shared" si="18"/>
        <v>0</v>
      </c>
      <c r="AG170" s="288">
        <f t="shared" si="18"/>
        <v>0</v>
      </c>
      <c r="AH170" s="215"/>
    </row>
    <row r="171" spans="1:35" x14ac:dyDescent="0.2">
      <c r="A171" s="287" t="s">
        <v>8</v>
      </c>
      <c r="B171" s="266"/>
      <c r="C171" s="291"/>
      <c r="D171" s="291"/>
      <c r="E171" s="291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2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15"/>
    </row>
    <row r="172" spans="1:35" x14ac:dyDescent="0.2">
      <c r="A172" s="287" t="s">
        <v>775</v>
      </c>
      <c r="B172" s="266"/>
      <c r="C172" s="291"/>
      <c r="D172" s="291"/>
      <c r="E172" s="291"/>
      <c r="F172" s="290"/>
      <c r="G172" s="290">
        <v>6243</v>
      </c>
      <c r="H172" s="292"/>
      <c r="I172" s="292"/>
      <c r="J172" s="292"/>
      <c r="K172" s="292"/>
      <c r="L172" s="292">
        <v>7082</v>
      </c>
      <c r="M172" s="292">
        <v>2599</v>
      </c>
      <c r="N172" s="292"/>
      <c r="O172" s="292">
        <v>450</v>
      </c>
      <c r="P172" s="292"/>
      <c r="Q172" s="292">
        <v>1710</v>
      </c>
      <c r="R172" s="292"/>
      <c r="S172" s="292"/>
      <c r="T172" s="292">
        <v>11219</v>
      </c>
      <c r="U172" s="292"/>
      <c r="V172" s="292">
        <v>7057</v>
      </c>
      <c r="W172" s="292"/>
      <c r="X172" s="292">
        <v>664</v>
      </c>
      <c r="Y172" s="292">
        <v>2523</v>
      </c>
      <c r="Z172" s="292">
        <v>2080</v>
      </c>
      <c r="AA172" s="292">
        <v>6564</v>
      </c>
      <c r="AB172" s="292"/>
      <c r="AC172" s="292">
        <v>10013</v>
      </c>
      <c r="AD172" s="292"/>
      <c r="AE172" s="292">
        <v>465</v>
      </c>
      <c r="AF172" s="290">
        <v>599</v>
      </c>
      <c r="AG172" s="290">
        <v>8092</v>
      </c>
      <c r="AH172" s="286">
        <f>SUM(C172:AG172)</f>
        <v>67360</v>
      </c>
    </row>
    <row r="173" spans="1:35" ht="13.5" thickBot="1" x14ac:dyDescent="0.25">
      <c r="A173" s="296"/>
      <c r="B173" s="266"/>
      <c r="C173" s="291"/>
      <c r="D173" s="291"/>
      <c r="E173" s="291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2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15"/>
    </row>
    <row r="174" spans="1:35" x14ac:dyDescent="0.2">
      <c r="A174" s="282"/>
      <c r="B174" s="266"/>
      <c r="C174" s="297"/>
      <c r="D174" s="298"/>
      <c r="E174" s="298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866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  <c r="AA174" s="299"/>
      <c r="AB174" s="299"/>
      <c r="AC174" s="299"/>
      <c r="AD174" s="299"/>
      <c r="AE174" s="299"/>
      <c r="AF174" s="299"/>
      <c r="AG174" s="299"/>
      <c r="AH174" s="215"/>
    </row>
    <row r="175" spans="1:35" x14ac:dyDescent="0.2">
      <c r="A175" s="287" t="s">
        <v>13</v>
      </c>
      <c r="B175" s="266"/>
      <c r="C175" s="300">
        <f t="shared" ref="C175:AE175" si="19">C170-C160</f>
        <v>0</v>
      </c>
      <c r="D175" s="300">
        <f t="shared" si="19"/>
        <v>0</v>
      </c>
      <c r="E175" s="300">
        <f t="shared" si="19"/>
        <v>0</v>
      </c>
      <c r="F175" s="300">
        <f t="shared" si="19"/>
        <v>0</v>
      </c>
      <c r="G175" s="300">
        <f t="shared" si="19"/>
        <v>0</v>
      </c>
      <c r="H175" s="300">
        <f t="shared" si="19"/>
        <v>0</v>
      </c>
      <c r="I175" s="300">
        <f t="shared" si="19"/>
        <v>0</v>
      </c>
      <c r="J175" s="300">
        <f t="shared" si="19"/>
        <v>0</v>
      </c>
      <c r="K175" s="300">
        <f t="shared" si="19"/>
        <v>0</v>
      </c>
      <c r="L175" s="300">
        <f t="shared" si="19"/>
        <v>0</v>
      </c>
      <c r="M175" s="300">
        <f t="shared" si="19"/>
        <v>0</v>
      </c>
      <c r="N175" s="300">
        <f t="shared" si="19"/>
        <v>0</v>
      </c>
      <c r="O175" s="300">
        <f t="shared" si="19"/>
        <v>0</v>
      </c>
      <c r="P175" s="867">
        <f t="shared" si="19"/>
        <v>0</v>
      </c>
      <c r="Q175" s="300">
        <f t="shared" si="19"/>
        <v>0</v>
      </c>
      <c r="R175" s="300">
        <f t="shared" si="19"/>
        <v>0</v>
      </c>
      <c r="S175" s="300">
        <f t="shared" si="19"/>
        <v>0</v>
      </c>
      <c r="T175" s="300">
        <f t="shared" si="19"/>
        <v>0</v>
      </c>
      <c r="U175" s="300">
        <f t="shared" si="19"/>
        <v>0</v>
      </c>
      <c r="V175" s="300">
        <f t="shared" si="19"/>
        <v>0</v>
      </c>
      <c r="W175" s="300">
        <f t="shared" si="19"/>
        <v>0</v>
      </c>
      <c r="X175" s="300">
        <f t="shared" si="19"/>
        <v>0</v>
      </c>
      <c r="Y175" s="300">
        <f t="shared" si="19"/>
        <v>0</v>
      </c>
      <c r="Z175" s="300">
        <f t="shared" si="19"/>
        <v>0</v>
      </c>
      <c r="AA175" s="300">
        <f t="shared" si="19"/>
        <v>0</v>
      </c>
      <c r="AB175" s="300">
        <f t="shared" si="19"/>
        <v>0</v>
      </c>
      <c r="AC175" s="300">
        <f t="shared" si="19"/>
        <v>0</v>
      </c>
      <c r="AD175" s="300">
        <f t="shared" si="19"/>
        <v>0</v>
      </c>
      <c r="AE175" s="300">
        <f t="shared" si="19"/>
        <v>0</v>
      </c>
      <c r="AF175" s="300">
        <f>AF170-AF160</f>
        <v>0</v>
      </c>
      <c r="AG175" s="300">
        <f>AG170-AG160</f>
        <v>0</v>
      </c>
      <c r="AH175" s="215"/>
    </row>
    <row r="176" spans="1:35" ht="13.5" thickBot="1" x14ac:dyDescent="0.25">
      <c r="A176" s="287"/>
      <c r="B176" s="266"/>
      <c r="C176" s="300"/>
      <c r="D176" s="291"/>
      <c r="E176" s="291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2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15"/>
      <c r="AI176" t="s">
        <v>813</v>
      </c>
    </row>
    <row r="177" spans="1:34" x14ac:dyDescent="0.2">
      <c r="A177" s="263"/>
      <c r="B177" s="264"/>
      <c r="C177" s="301"/>
      <c r="D177" s="298"/>
      <c r="E177" s="298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866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  <c r="AB177" s="299"/>
      <c r="AC177" s="299"/>
      <c r="AD177" s="299"/>
      <c r="AE177" s="299"/>
      <c r="AF177" s="299"/>
      <c r="AG177" s="299"/>
      <c r="AH177" s="215"/>
    </row>
    <row r="178" spans="1:34" x14ac:dyDescent="0.2">
      <c r="A178" s="265" t="s">
        <v>15</v>
      </c>
      <c r="B178" s="266"/>
      <c r="C178" s="291">
        <f>B157+C175</f>
        <v>-24642.054</v>
      </c>
      <c r="D178" s="291">
        <f t="shared" ref="D178:AE178" si="20">C185+D175</f>
        <v>-24642.054</v>
      </c>
      <c r="E178" s="291">
        <f t="shared" si="20"/>
        <v>-24642.054</v>
      </c>
      <c r="F178" s="291">
        <f t="shared" si="20"/>
        <v>-24642.054</v>
      </c>
      <c r="G178" s="291">
        <f t="shared" si="20"/>
        <v>-24642.054</v>
      </c>
      <c r="H178" s="291">
        <f t="shared" si="20"/>
        <v>-24642.054</v>
      </c>
      <c r="I178" s="291">
        <f t="shared" si="20"/>
        <v>-24642.054</v>
      </c>
      <c r="J178" s="291">
        <f t="shared" si="20"/>
        <v>-24642.054</v>
      </c>
      <c r="K178" s="291">
        <f t="shared" si="20"/>
        <v>-24642.054</v>
      </c>
      <c r="L178" s="291">
        <f t="shared" si="20"/>
        <v>-24642.054</v>
      </c>
      <c r="M178" s="291">
        <f t="shared" si="20"/>
        <v>-24642.054</v>
      </c>
      <c r="N178" s="291">
        <f t="shared" si="20"/>
        <v>-24642.054</v>
      </c>
      <c r="O178" s="291">
        <f t="shared" si="20"/>
        <v>-24642.054</v>
      </c>
      <c r="P178" s="289">
        <f t="shared" si="20"/>
        <v>-24642.054</v>
      </c>
      <c r="Q178" s="291">
        <f t="shared" si="20"/>
        <v>-24642.054</v>
      </c>
      <c r="R178" s="291">
        <f>Q185+R175</f>
        <v>-24642.054</v>
      </c>
      <c r="S178" s="291">
        <f>R185+S175</f>
        <v>-24642.054</v>
      </c>
      <c r="T178" s="291">
        <f>S185+T175</f>
        <v>-24642.054</v>
      </c>
      <c r="U178" s="291">
        <f>T185+U175</f>
        <v>-24642.054</v>
      </c>
      <c r="V178" s="291">
        <f>U185+V175</f>
        <v>-24642.054</v>
      </c>
      <c r="W178" s="291">
        <f t="shared" si="20"/>
        <v>-24642.054</v>
      </c>
      <c r="X178" s="291">
        <f t="shared" si="20"/>
        <v>-24642.054</v>
      </c>
      <c r="Y178" s="291">
        <f t="shared" si="20"/>
        <v>-24642.054</v>
      </c>
      <c r="Z178" s="291">
        <f t="shared" si="20"/>
        <v>-24642.054</v>
      </c>
      <c r="AA178" s="291">
        <f t="shared" si="20"/>
        <v>-24642.054</v>
      </c>
      <c r="AB178" s="291">
        <f t="shared" si="20"/>
        <v>-24642.054</v>
      </c>
      <c r="AC178" s="291">
        <f t="shared" si="20"/>
        <v>-24642.054</v>
      </c>
      <c r="AD178" s="291">
        <f t="shared" si="20"/>
        <v>-24642.054</v>
      </c>
      <c r="AE178" s="291">
        <f t="shared" si="20"/>
        <v>-24642.054</v>
      </c>
      <c r="AF178" s="291">
        <f>AE185+AF175</f>
        <v>-24642.054</v>
      </c>
      <c r="AG178" s="291">
        <f>AF185+AG175</f>
        <v>-24642.054</v>
      </c>
      <c r="AH178" s="215"/>
    </row>
    <row r="179" spans="1:34" ht="13.5" thickBot="1" x14ac:dyDescent="0.25">
      <c r="A179" s="275"/>
      <c r="B179" s="302"/>
      <c r="C179" s="303"/>
      <c r="D179" s="303"/>
      <c r="E179" s="303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868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215"/>
    </row>
    <row r="180" spans="1:34" x14ac:dyDescent="0.2">
      <c r="A180" s="263"/>
      <c r="B180" s="264"/>
      <c r="C180" s="298"/>
      <c r="D180" s="298"/>
      <c r="E180" s="298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866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  <c r="AB180" s="299"/>
      <c r="AC180" s="299"/>
      <c r="AD180" s="299"/>
      <c r="AE180" s="299"/>
      <c r="AF180" s="299"/>
      <c r="AG180" s="299"/>
      <c r="AH180" s="215"/>
    </row>
    <row r="181" spans="1:34" x14ac:dyDescent="0.2">
      <c r="A181" s="265" t="s">
        <v>82</v>
      </c>
      <c r="B181" s="266"/>
      <c r="C181" s="291">
        <f t="shared" ref="C181:AE182" si="21">C189</f>
        <v>0</v>
      </c>
      <c r="D181" s="291">
        <f t="shared" si="21"/>
        <v>0</v>
      </c>
      <c r="E181" s="291">
        <f t="shared" si="21"/>
        <v>0</v>
      </c>
      <c r="F181" s="291">
        <f t="shared" si="21"/>
        <v>0</v>
      </c>
      <c r="G181" s="291">
        <f t="shared" si="21"/>
        <v>0</v>
      </c>
      <c r="H181" s="291">
        <f t="shared" si="21"/>
        <v>0</v>
      </c>
      <c r="I181" s="291">
        <f t="shared" si="21"/>
        <v>0</v>
      </c>
      <c r="J181" s="291">
        <f t="shared" si="21"/>
        <v>0</v>
      </c>
      <c r="K181" s="291">
        <f t="shared" si="21"/>
        <v>0</v>
      </c>
      <c r="L181" s="291">
        <f t="shared" si="21"/>
        <v>0</v>
      </c>
      <c r="M181" s="291">
        <f t="shared" si="21"/>
        <v>0</v>
      </c>
      <c r="N181" s="291">
        <f t="shared" si="21"/>
        <v>0</v>
      </c>
      <c r="O181" s="291">
        <f t="shared" si="21"/>
        <v>0</v>
      </c>
      <c r="P181" s="289">
        <f t="shared" si="21"/>
        <v>0</v>
      </c>
      <c r="Q181" s="291">
        <f t="shared" si="21"/>
        <v>0</v>
      </c>
      <c r="R181" s="291">
        <f t="shared" si="21"/>
        <v>0</v>
      </c>
      <c r="S181" s="291">
        <f t="shared" si="21"/>
        <v>0</v>
      </c>
      <c r="T181" s="291">
        <f t="shared" si="21"/>
        <v>0</v>
      </c>
      <c r="U181" s="291">
        <f t="shared" si="21"/>
        <v>0</v>
      </c>
      <c r="V181" s="291">
        <f t="shared" si="21"/>
        <v>0</v>
      </c>
      <c r="W181" s="291">
        <f t="shared" si="21"/>
        <v>0</v>
      </c>
      <c r="X181" s="291">
        <f t="shared" si="21"/>
        <v>0</v>
      </c>
      <c r="Y181" s="291">
        <f t="shared" si="21"/>
        <v>0</v>
      </c>
      <c r="Z181" s="291">
        <f t="shared" si="21"/>
        <v>0</v>
      </c>
      <c r="AA181" s="291">
        <f t="shared" si="21"/>
        <v>0</v>
      </c>
      <c r="AB181" s="291">
        <f t="shared" si="21"/>
        <v>0</v>
      </c>
      <c r="AC181" s="291">
        <f t="shared" si="21"/>
        <v>0</v>
      </c>
      <c r="AD181" s="291">
        <f t="shared" si="21"/>
        <v>0</v>
      </c>
      <c r="AE181" s="291">
        <f t="shared" si="21"/>
        <v>0</v>
      </c>
      <c r="AF181" s="291">
        <f>AF189</f>
        <v>0</v>
      </c>
      <c r="AG181" s="291">
        <f>AG189</f>
        <v>0</v>
      </c>
      <c r="AH181" s="215"/>
    </row>
    <row r="182" spans="1:34" x14ac:dyDescent="0.2">
      <c r="A182" s="265" t="s">
        <v>83</v>
      </c>
      <c r="B182" s="266"/>
      <c r="C182" s="289">
        <f t="shared" si="21"/>
        <v>0</v>
      </c>
      <c r="D182" s="289">
        <f t="shared" si="21"/>
        <v>0</v>
      </c>
      <c r="E182" s="289">
        <f t="shared" si="21"/>
        <v>0</v>
      </c>
      <c r="F182" s="289">
        <f t="shared" si="21"/>
        <v>0</v>
      </c>
      <c r="G182" s="289">
        <f t="shared" si="21"/>
        <v>0</v>
      </c>
      <c r="H182" s="289">
        <f t="shared" si="21"/>
        <v>0</v>
      </c>
      <c r="I182" s="289">
        <f t="shared" si="21"/>
        <v>0</v>
      </c>
      <c r="J182" s="289">
        <f t="shared" si="21"/>
        <v>0</v>
      </c>
      <c r="K182" s="289">
        <f t="shared" si="21"/>
        <v>0</v>
      </c>
      <c r="L182" s="289">
        <f t="shared" si="21"/>
        <v>0</v>
      </c>
      <c r="M182" s="289">
        <f t="shared" si="21"/>
        <v>0</v>
      </c>
      <c r="N182" s="289">
        <f t="shared" si="21"/>
        <v>0</v>
      </c>
      <c r="O182" s="289">
        <f t="shared" si="21"/>
        <v>0</v>
      </c>
      <c r="P182" s="289">
        <f t="shared" si="21"/>
        <v>0</v>
      </c>
      <c r="Q182" s="289">
        <f t="shared" si="21"/>
        <v>0</v>
      </c>
      <c r="R182" s="289">
        <f t="shared" si="21"/>
        <v>0</v>
      </c>
      <c r="S182" s="289">
        <f t="shared" si="21"/>
        <v>0</v>
      </c>
      <c r="T182" s="289">
        <f t="shared" si="21"/>
        <v>0</v>
      </c>
      <c r="U182" s="289">
        <f t="shared" si="21"/>
        <v>0</v>
      </c>
      <c r="V182" s="289">
        <f t="shared" si="21"/>
        <v>0</v>
      </c>
      <c r="W182" s="289">
        <f t="shared" si="21"/>
        <v>0</v>
      </c>
      <c r="X182" s="289">
        <f t="shared" si="21"/>
        <v>0</v>
      </c>
      <c r="Y182" s="289">
        <f t="shared" si="21"/>
        <v>0</v>
      </c>
      <c r="Z182" s="289">
        <f t="shared" si="21"/>
        <v>0</v>
      </c>
      <c r="AA182" s="289">
        <f t="shared" si="21"/>
        <v>0</v>
      </c>
      <c r="AB182" s="289">
        <f t="shared" si="21"/>
        <v>0</v>
      </c>
      <c r="AC182" s="289">
        <f t="shared" si="21"/>
        <v>0</v>
      </c>
      <c r="AD182" s="289">
        <f t="shared" si="21"/>
        <v>0</v>
      </c>
      <c r="AE182" s="289">
        <f t="shared" si="21"/>
        <v>0</v>
      </c>
      <c r="AF182" s="289">
        <f>AF190</f>
        <v>0</v>
      </c>
      <c r="AG182" s="289">
        <f>AG190</f>
        <v>0</v>
      </c>
      <c r="AH182" s="215"/>
    </row>
    <row r="183" spans="1:34" ht="13.5" thickBot="1" x14ac:dyDescent="0.25">
      <c r="A183" s="275"/>
      <c r="B183" s="302"/>
      <c r="C183" s="303"/>
      <c r="D183" s="303"/>
      <c r="E183" s="303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868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215"/>
    </row>
    <row r="184" spans="1:34" x14ac:dyDescent="0.2">
      <c r="A184" s="265"/>
      <c r="B184" s="266"/>
      <c r="C184" s="291"/>
      <c r="D184" s="291"/>
      <c r="E184" s="291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2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309"/>
    </row>
    <row r="185" spans="1:34" x14ac:dyDescent="0.2">
      <c r="A185" s="265" t="s">
        <v>14</v>
      </c>
      <c r="B185" s="266"/>
      <c r="C185" s="291">
        <f t="shared" ref="C185:AE185" si="22">C178+C181+C182</f>
        <v>-24642.054</v>
      </c>
      <c r="D185" s="291">
        <f t="shared" si="22"/>
        <v>-24642.054</v>
      </c>
      <c r="E185" s="291">
        <f t="shared" si="22"/>
        <v>-24642.054</v>
      </c>
      <c r="F185" s="291">
        <f t="shared" si="22"/>
        <v>-24642.054</v>
      </c>
      <c r="G185" s="291">
        <f t="shared" si="22"/>
        <v>-24642.054</v>
      </c>
      <c r="H185" s="291">
        <f t="shared" si="22"/>
        <v>-24642.054</v>
      </c>
      <c r="I185" s="291">
        <f t="shared" si="22"/>
        <v>-24642.054</v>
      </c>
      <c r="J185" s="291">
        <f t="shared" si="22"/>
        <v>-24642.054</v>
      </c>
      <c r="K185" s="291">
        <f t="shared" si="22"/>
        <v>-24642.054</v>
      </c>
      <c r="L185" s="291">
        <f t="shared" si="22"/>
        <v>-24642.054</v>
      </c>
      <c r="M185" s="291">
        <f t="shared" si="22"/>
        <v>-24642.054</v>
      </c>
      <c r="N185" s="291">
        <f t="shared" si="22"/>
        <v>-24642.054</v>
      </c>
      <c r="O185" s="291">
        <f t="shared" si="22"/>
        <v>-24642.054</v>
      </c>
      <c r="P185" s="289">
        <f t="shared" si="22"/>
        <v>-24642.054</v>
      </c>
      <c r="Q185" s="291">
        <f t="shared" si="22"/>
        <v>-24642.054</v>
      </c>
      <c r="R185" s="291">
        <f t="shared" si="22"/>
        <v>-24642.054</v>
      </c>
      <c r="S185" s="291">
        <f t="shared" si="22"/>
        <v>-24642.054</v>
      </c>
      <c r="T185" s="291">
        <f t="shared" si="22"/>
        <v>-24642.054</v>
      </c>
      <c r="U185" s="291">
        <f t="shared" si="22"/>
        <v>-24642.054</v>
      </c>
      <c r="V185" s="291">
        <f t="shared" si="22"/>
        <v>-24642.054</v>
      </c>
      <c r="W185" s="291">
        <f t="shared" si="22"/>
        <v>-24642.054</v>
      </c>
      <c r="X185" s="291">
        <f t="shared" si="22"/>
        <v>-24642.054</v>
      </c>
      <c r="Y185" s="291">
        <f t="shared" si="22"/>
        <v>-24642.054</v>
      </c>
      <c r="Z185" s="291">
        <f t="shared" si="22"/>
        <v>-24642.054</v>
      </c>
      <c r="AA185" s="291">
        <f t="shared" si="22"/>
        <v>-24642.054</v>
      </c>
      <c r="AB185" s="291">
        <f t="shared" si="22"/>
        <v>-24642.054</v>
      </c>
      <c r="AC185" s="291">
        <f t="shared" si="22"/>
        <v>-24642.054</v>
      </c>
      <c r="AD185" s="291">
        <f t="shared" si="22"/>
        <v>-24642.054</v>
      </c>
      <c r="AE185" s="291">
        <f t="shared" si="22"/>
        <v>-24642.054</v>
      </c>
      <c r="AF185" s="291">
        <f>AF178+AF181+AF182</f>
        <v>-24642.054</v>
      </c>
      <c r="AG185" s="291">
        <f>AG178+AG181+AG182</f>
        <v>-24642.054</v>
      </c>
      <c r="AH185" s="308"/>
    </row>
    <row r="186" spans="1:34" x14ac:dyDescent="0.2">
      <c r="A186" s="265"/>
      <c r="B186" s="266"/>
      <c r="C186" s="291"/>
      <c r="D186" s="291"/>
      <c r="E186" s="291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2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309"/>
    </row>
    <row r="187" spans="1:34" ht="13.5" thickBot="1" x14ac:dyDescent="0.25">
      <c r="A187" s="275"/>
      <c r="B187" s="302"/>
      <c r="C187" s="306"/>
      <c r="D187" s="306"/>
      <c r="E187" s="306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869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9"/>
    </row>
    <row r="188" spans="1:34" x14ac:dyDescent="0.2">
      <c r="A188" s="310"/>
      <c r="B188" s="215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308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309"/>
    </row>
    <row r="189" spans="1:34" x14ac:dyDescent="0.2">
      <c r="A189" s="312"/>
      <c r="B189" s="475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629"/>
      <c r="P189" s="629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408"/>
      <c r="AB189" s="311"/>
      <c r="AC189" s="311"/>
      <c r="AD189" s="311"/>
      <c r="AE189" s="311"/>
      <c r="AF189" s="311"/>
      <c r="AG189" s="311"/>
      <c r="AH189" s="308"/>
    </row>
    <row r="190" spans="1:34" x14ac:dyDescent="0.2">
      <c r="A190" s="310"/>
      <c r="B190" s="215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  <c r="O190" s="311"/>
      <c r="P190" s="629"/>
      <c r="Q190" s="311"/>
      <c r="R190" s="311"/>
      <c r="S190" s="311"/>
      <c r="T190" s="311"/>
      <c r="U190" s="311"/>
      <c r="V190" s="311"/>
      <c r="W190" s="311"/>
      <c r="X190" s="311"/>
      <c r="Y190" s="311"/>
      <c r="Z190" s="311"/>
      <c r="AA190" s="311"/>
      <c r="AB190" s="311"/>
      <c r="AC190" s="311"/>
      <c r="AD190" s="311"/>
      <c r="AE190" s="311"/>
      <c r="AF190" s="311"/>
      <c r="AG190" s="311"/>
      <c r="AH190" s="308"/>
    </row>
    <row r="191" spans="1:34" x14ac:dyDescent="0.2">
      <c r="A191" s="358" t="s">
        <v>415</v>
      </c>
      <c r="B191" s="359">
        <f>SUM(B192:B195)</f>
        <v>375000</v>
      </c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215"/>
      <c r="T191" s="456"/>
      <c r="U191" s="262"/>
      <c r="V191" s="215"/>
      <c r="W191" s="215"/>
      <c r="X191" s="215"/>
      <c r="Y191" s="215"/>
      <c r="Z191" s="215"/>
      <c r="AA191" s="408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27" t="s">
        <v>414</v>
      </c>
      <c r="B192" s="311">
        <v>25000</v>
      </c>
      <c r="C192" s="215"/>
      <c r="D192" s="30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27" t="s">
        <v>287</v>
      </c>
      <c r="B193" s="311">
        <v>200000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309"/>
      <c r="Q193" s="215"/>
      <c r="R193" s="215"/>
      <c r="S193" s="311"/>
      <c r="T193" s="320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310" t="s">
        <v>413</v>
      </c>
      <c r="B194" s="329">
        <v>75000</v>
      </c>
      <c r="C194" s="215"/>
      <c r="D194" s="215"/>
      <c r="E194" s="215"/>
      <c r="F194" s="215"/>
      <c r="G194" s="215"/>
      <c r="H194" s="215"/>
      <c r="I194" s="215"/>
      <c r="J194" s="215"/>
      <c r="K194" s="215"/>
      <c r="L194" s="286"/>
      <c r="M194" s="215"/>
      <c r="N194" s="215"/>
      <c r="O194" s="215"/>
      <c r="P194" s="309"/>
      <c r="Q194" s="215"/>
      <c r="R194" s="215"/>
      <c r="S194" s="311"/>
      <c r="T194" s="320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x14ac:dyDescent="0.2">
      <c r="A195" s="310" t="s">
        <v>441</v>
      </c>
      <c r="B195" s="311">
        <v>75000</v>
      </c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309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</row>
    <row r="197" spans="1:34" ht="13.5" thickBot="1" x14ac:dyDescent="0.25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5"/>
      <c r="O197" s="215"/>
      <c r="P197" s="309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 s="215"/>
      <c r="AC197" s="215"/>
      <c r="AD197" s="215"/>
      <c r="AE197" s="215"/>
      <c r="AF197" s="215"/>
      <c r="AG197" s="215"/>
      <c r="AH197" s="215"/>
    </row>
    <row r="198" spans="1:34" x14ac:dyDescent="0.2">
      <c r="A198" s="263"/>
      <c r="B198" s="264"/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860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15"/>
    </row>
    <row r="199" spans="1:34" x14ac:dyDescent="0.2">
      <c r="A199" s="265"/>
      <c r="B199" s="266" t="s">
        <v>37</v>
      </c>
      <c r="C199" s="266"/>
      <c r="D199" s="266"/>
      <c r="E199" s="267" t="s">
        <v>824</v>
      </c>
      <c r="F199" s="268" t="s">
        <v>96</v>
      </c>
      <c r="G199" s="269"/>
      <c r="H199" s="268"/>
      <c r="I199" s="268"/>
      <c r="J199" s="268"/>
      <c r="K199" s="268"/>
      <c r="L199" s="268"/>
      <c r="M199" s="268"/>
      <c r="N199" s="268"/>
      <c r="O199" s="268"/>
      <c r="P199" s="861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15"/>
    </row>
    <row r="200" spans="1:34" x14ac:dyDescent="0.2">
      <c r="A200" s="265"/>
      <c r="B200" s="266"/>
      <c r="C200" s="266"/>
      <c r="D200" s="268"/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x14ac:dyDescent="0.2">
      <c r="A201" s="265"/>
      <c r="B201" s="266"/>
      <c r="C201" s="268"/>
      <c r="D201" s="268">
        <v>42221</v>
      </c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x14ac:dyDescent="0.2">
      <c r="A202" s="265"/>
      <c r="B202" s="266"/>
      <c r="C202" s="268"/>
      <c r="D202" s="268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79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15"/>
    </row>
    <row r="203" spans="1:34" ht="13.5" thickBot="1" x14ac:dyDescent="0.25">
      <c r="A203" s="265"/>
      <c r="B203" s="266"/>
      <c r="C203" s="266"/>
      <c r="D203" s="266"/>
      <c r="E203" s="266"/>
      <c r="F203" s="266"/>
      <c r="G203" s="266"/>
      <c r="H203" s="266"/>
      <c r="I203" s="266"/>
      <c r="J203" s="266"/>
      <c r="K203" s="266"/>
      <c r="L203" s="266"/>
      <c r="M203" s="266"/>
      <c r="N203" s="266"/>
      <c r="O203" s="266"/>
      <c r="P203" s="279"/>
      <c r="Q203" s="266"/>
      <c r="R203" s="266"/>
      <c r="S203" s="266"/>
      <c r="T203" s="266"/>
      <c r="U203" s="266"/>
      <c r="V203" s="266"/>
      <c r="W203" s="266"/>
      <c r="X203" s="266"/>
      <c r="Y203" s="266"/>
      <c r="Z203" s="266"/>
      <c r="AA203" s="266"/>
      <c r="AB203" s="266"/>
      <c r="AC203" s="266"/>
      <c r="AD203" s="266"/>
      <c r="AE203" s="266"/>
      <c r="AF203" s="266"/>
      <c r="AG203" s="266"/>
      <c r="AH203" s="215"/>
    </row>
    <row r="204" spans="1:34" ht="13.5" thickBot="1" x14ac:dyDescent="0.25">
      <c r="A204" s="265"/>
      <c r="B204" s="266"/>
      <c r="C204" s="270"/>
      <c r="D204" s="271" t="s">
        <v>16</v>
      </c>
      <c r="E204" s="271"/>
      <c r="F204" s="271"/>
      <c r="G204" s="271"/>
      <c r="H204" s="271"/>
      <c r="I204" s="271"/>
      <c r="J204" s="271"/>
      <c r="K204" s="271"/>
      <c r="L204" s="271"/>
      <c r="M204" s="271"/>
      <c r="N204" s="271"/>
      <c r="O204" s="271"/>
      <c r="P204" s="862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  <c r="AA204" s="271"/>
      <c r="AB204" s="271"/>
      <c r="AC204" s="271"/>
      <c r="AD204" s="271"/>
      <c r="AE204" s="271"/>
      <c r="AF204" s="271"/>
      <c r="AG204" s="271"/>
      <c r="AH204" s="215"/>
    </row>
    <row r="205" spans="1:34" ht="13.5" thickBot="1" x14ac:dyDescent="0.25">
      <c r="A205" s="265"/>
      <c r="B205" s="266"/>
      <c r="C205" s="272" t="s">
        <v>452</v>
      </c>
      <c r="D205" s="272" t="s">
        <v>453</v>
      </c>
      <c r="E205" s="272" t="s">
        <v>434</v>
      </c>
      <c r="F205" s="272" t="s">
        <v>390</v>
      </c>
      <c r="G205" s="272" t="s">
        <v>454</v>
      </c>
      <c r="H205" s="272" t="s">
        <v>455</v>
      </c>
      <c r="I205" s="272" t="s">
        <v>456</v>
      </c>
      <c r="J205" s="272" t="s">
        <v>457</v>
      </c>
      <c r="K205" s="272" t="s">
        <v>458</v>
      </c>
      <c r="L205" s="272" t="s">
        <v>216</v>
      </c>
      <c r="M205" s="272" t="s">
        <v>459</v>
      </c>
      <c r="N205" s="272" t="s">
        <v>297</v>
      </c>
      <c r="O205" s="272" t="s">
        <v>211</v>
      </c>
      <c r="P205" s="863" t="s">
        <v>270</v>
      </c>
      <c r="Q205" s="272"/>
      <c r="R205" s="272" t="s">
        <v>469</v>
      </c>
      <c r="S205" s="272" t="s">
        <v>461</v>
      </c>
      <c r="T205" s="272" t="s">
        <v>442</v>
      </c>
      <c r="U205" s="272" t="s">
        <v>462</v>
      </c>
      <c r="V205" s="272" t="s">
        <v>470</v>
      </c>
      <c r="W205" s="272" t="s">
        <v>471</v>
      </c>
      <c r="X205" s="272" t="s">
        <v>472</v>
      </c>
      <c r="Y205" s="272" t="s">
        <v>463</v>
      </c>
      <c r="Z205" s="272" t="s">
        <v>465</v>
      </c>
      <c r="AA205" s="272" t="s">
        <v>466</v>
      </c>
      <c r="AB205" s="272" t="s">
        <v>435</v>
      </c>
      <c r="AC205" s="272" t="s">
        <v>467</v>
      </c>
      <c r="AD205" s="272" t="s">
        <v>464</v>
      </c>
      <c r="AE205" s="272" t="s">
        <v>429</v>
      </c>
      <c r="AF205" s="272" t="s">
        <v>149</v>
      </c>
      <c r="AG205" s="272" t="s">
        <v>210</v>
      </c>
      <c r="AH205" s="215"/>
    </row>
    <row r="206" spans="1:34" x14ac:dyDescent="0.2">
      <c r="A206" s="263"/>
      <c r="B206" s="273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x14ac:dyDescent="0.2">
      <c r="A207" s="265" t="s">
        <v>0</v>
      </c>
      <c r="B207" s="274">
        <v>-21345.325000000001</v>
      </c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ht="13.5" thickBot="1" x14ac:dyDescent="0.25">
      <c r="A208" s="275"/>
      <c r="B208" s="27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3"/>
      <c r="B209" s="278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1</v>
      </c>
      <c r="B210" s="274">
        <f>B211+B212+B213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38</v>
      </c>
      <c r="B211" s="274">
        <f>C259</f>
        <v>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x14ac:dyDescent="0.2">
      <c r="A212" s="265" t="s">
        <v>39</v>
      </c>
      <c r="B212" s="274">
        <f>C281</f>
        <v>0</v>
      </c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x14ac:dyDescent="0.2">
      <c r="A213" s="265" t="s">
        <v>3</v>
      </c>
      <c r="B213" s="274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ht="13.5" thickBot="1" x14ac:dyDescent="0.25">
      <c r="A214" s="275"/>
      <c r="B214" s="27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x14ac:dyDescent="0.2">
      <c r="A215" s="263"/>
      <c r="B215" s="278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x14ac:dyDescent="0.2">
      <c r="A216" s="265" t="s">
        <v>4</v>
      </c>
      <c r="B216" s="274">
        <f>B207-B210</f>
        <v>-21345.325000000001</v>
      </c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ht="13.5" thickBot="1" x14ac:dyDescent="0.25">
      <c r="A217" s="275"/>
      <c r="B217" s="276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x14ac:dyDescent="0.2">
      <c r="A218" s="263"/>
      <c r="B218" s="278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x14ac:dyDescent="0.2">
      <c r="A219" s="265" t="s">
        <v>17</v>
      </c>
      <c r="B219" s="274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266"/>
      <c r="Y219" s="266"/>
      <c r="Z219" s="266"/>
      <c r="AA219" s="266"/>
      <c r="AB219" s="266"/>
      <c r="AC219" s="266"/>
      <c r="AD219" s="266"/>
      <c r="AE219" s="266"/>
      <c r="AF219" s="266"/>
      <c r="AG219" s="266"/>
      <c r="AH219" s="215"/>
    </row>
    <row r="220" spans="1:34" ht="13.5" thickBot="1" x14ac:dyDescent="0.25">
      <c r="A220" s="275"/>
      <c r="B220" s="276"/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  <c r="N220" s="266"/>
      <c r="O220" s="266"/>
      <c r="P220" s="279"/>
      <c r="Q220" s="266"/>
      <c r="R220" s="266"/>
      <c r="S220" s="266"/>
      <c r="T220" s="266"/>
      <c r="U220" s="266"/>
      <c r="V220" s="266"/>
      <c r="W220" s="266"/>
      <c r="X220" s="330"/>
      <c r="Y220" s="266"/>
      <c r="Z220" s="266"/>
      <c r="AA220" s="266"/>
      <c r="AB220" s="266"/>
      <c r="AC220" s="266"/>
      <c r="AD220" s="266"/>
      <c r="AE220" s="266"/>
      <c r="AF220" s="266"/>
      <c r="AG220" s="266"/>
      <c r="AH220" s="215"/>
    </row>
    <row r="221" spans="1:34" x14ac:dyDescent="0.2">
      <c r="A221" s="263"/>
      <c r="B221" s="278"/>
      <c r="C221" s="266"/>
      <c r="D221" s="269"/>
      <c r="E221" s="266"/>
      <c r="F221" s="266"/>
      <c r="G221" s="269"/>
      <c r="H221" s="269"/>
      <c r="I221" s="266"/>
      <c r="J221" s="269"/>
      <c r="K221" s="266"/>
      <c r="L221" s="266"/>
      <c r="M221" s="266"/>
      <c r="N221" s="266"/>
      <c r="O221" s="266"/>
      <c r="P221" s="279"/>
      <c r="R221" s="266"/>
      <c r="S221" s="266"/>
      <c r="T221" s="266"/>
      <c r="U221" s="266"/>
      <c r="V221" s="266"/>
      <c r="W221" s="266"/>
      <c r="X221" s="266"/>
      <c r="Y221" s="266"/>
      <c r="Z221" s="266"/>
      <c r="AA221" s="266"/>
      <c r="AB221" s="266"/>
      <c r="AC221" s="810"/>
      <c r="AD221" s="802"/>
      <c r="AE221" s="269"/>
      <c r="AF221" s="268"/>
      <c r="AG221" s="269"/>
      <c r="AH221" s="215"/>
    </row>
    <row r="222" spans="1:34" x14ac:dyDescent="0.2">
      <c r="A222" s="265" t="s">
        <v>5</v>
      </c>
      <c r="B222" s="274">
        <f>B216-B219</f>
        <v>-21345.325000000001</v>
      </c>
      <c r="C222" s="269"/>
      <c r="D222" s="269"/>
      <c r="E222" s="934"/>
      <c r="G222" s="269"/>
      <c r="H222" s="269"/>
      <c r="I222" s="269"/>
      <c r="J222" s="269"/>
      <c r="K222" s="281"/>
      <c r="L222" s="269"/>
      <c r="M222" s="269"/>
      <c r="N222" s="281"/>
      <c r="O222" s="269"/>
      <c r="P222" s="279"/>
      <c r="R222" s="266"/>
      <c r="S222" s="269"/>
      <c r="T222" s="269"/>
      <c r="U222" s="269"/>
      <c r="V222" s="269"/>
      <c r="W222" s="266"/>
      <c r="X222" s="710"/>
      <c r="Y222" s="269"/>
      <c r="Z222" s="266"/>
      <c r="AA222" s="269"/>
      <c r="AB222" s="269"/>
      <c r="AC222" s="810"/>
      <c r="AD222" s="802"/>
      <c r="AE222" s="269"/>
      <c r="AF222" s="269"/>
      <c r="AG222" s="269"/>
      <c r="AH222" s="215"/>
    </row>
    <row r="223" spans="1:34" ht="13.5" thickBot="1" x14ac:dyDescent="0.25">
      <c r="A223" s="275"/>
      <c r="B223" s="276"/>
      <c r="D223" s="266"/>
      <c r="E223" s="266"/>
      <c r="F223" s="266"/>
      <c r="G223" s="266"/>
      <c r="H223" s="266"/>
      <c r="I223" s="266"/>
      <c r="J223" s="269"/>
      <c r="K223" s="266"/>
      <c r="L223" s="266"/>
      <c r="M223" s="266"/>
      <c r="N223" s="266"/>
      <c r="O223" s="266"/>
      <c r="P223" s="279"/>
      <c r="Q223" s="266"/>
      <c r="R223" s="266"/>
      <c r="S223" s="266"/>
      <c r="T223" s="266"/>
      <c r="U223" s="269"/>
      <c r="V223" s="266"/>
      <c r="W223" s="266"/>
      <c r="X223" s="266"/>
      <c r="Y223" s="266"/>
      <c r="Z223" s="266"/>
      <c r="AA223" s="266"/>
      <c r="AB223" s="266"/>
      <c r="AC223" s="266"/>
      <c r="AD223" s="266"/>
      <c r="AE223" s="266"/>
      <c r="AF223" s="266"/>
      <c r="AG223" s="266"/>
      <c r="AH223" s="215"/>
    </row>
    <row r="224" spans="1:34" x14ac:dyDescent="0.2">
      <c r="A224" s="282"/>
      <c r="B224" s="266"/>
      <c r="C224" s="283"/>
      <c r="D224" s="285"/>
      <c r="E224" s="284"/>
      <c r="F224" s="284"/>
      <c r="G224" s="284"/>
      <c r="H224" s="284"/>
      <c r="I224" s="284"/>
      <c r="J224" s="284"/>
      <c r="K224" s="284"/>
      <c r="L224" s="284"/>
      <c r="M224" s="284"/>
      <c r="N224" s="284"/>
      <c r="O224" s="284"/>
      <c r="P224" s="86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15"/>
    </row>
    <row r="225" spans="1:34" ht="13.5" thickBot="1" x14ac:dyDescent="0.25">
      <c r="A225" s="287" t="s">
        <v>7</v>
      </c>
      <c r="B225" s="266"/>
      <c r="C225" s="288">
        <f>C226+C227+C228+C230+C229</f>
        <v>0</v>
      </c>
      <c r="D225" s="288">
        <f>D226+D227+D228+D230+D229</f>
        <v>0</v>
      </c>
      <c r="E225" s="288">
        <f>E226+E227+E228+E230+E229</f>
        <v>0</v>
      </c>
      <c r="F225" s="288">
        <f>F226+F227+F228+F230+F229</f>
        <v>0</v>
      </c>
      <c r="G225" s="288">
        <f>G226+G227+G228+G230+G229</f>
        <v>0</v>
      </c>
      <c r="H225" s="288">
        <f t="shared" ref="H225:AG225" si="23">H226+H227+H228+H230+H229</f>
        <v>0</v>
      </c>
      <c r="I225" s="288">
        <f t="shared" si="23"/>
        <v>0</v>
      </c>
      <c r="J225" s="288">
        <f t="shared" si="23"/>
        <v>0</v>
      </c>
      <c r="K225" s="288">
        <f t="shared" si="23"/>
        <v>0</v>
      </c>
      <c r="L225" s="288">
        <f t="shared" si="23"/>
        <v>0</v>
      </c>
      <c r="M225" s="288">
        <f t="shared" si="23"/>
        <v>0</v>
      </c>
      <c r="N225" s="288">
        <f t="shared" si="23"/>
        <v>0</v>
      </c>
      <c r="O225" s="288">
        <f t="shared" si="23"/>
        <v>0</v>
      </c>
      <c r="P225" s="865">
        <f t="shared" si="23"/>
        <v>0</v>
      </c>
      <c r="Q225" s="288">
        <f t="shared" si="23"/>
        <v>0</v>
      </c>
      <c r="R225" s="288">
        <f t="shared" si="23"/>
        <v>0</v>
      </c>
      <c r="S225" s="288">
        <f t="shared" si="23"/>
        <v>0</v>
      </c>
      <c r="T225" s="288">
        <f t="shared" si="23"/>
        <v>0</v>
      </c>
      <c r="U225" s="288">
        <f t="shared" si="23"/>
        <v>0</v>
      </c>
      <c r="V225" s="288">
        <f t="shared" si="23"/>
        <v>0</v>
      </c>
      <c r="W225" s="288">
        <f t="shared" si="23"/>
        <v>0</v>
      </c>
      <c r="X225" s="288">
        <f t="shared" si="23"/>
        <v>0</v>
      </c>
      <c r="Y225" s="288">
        <f t="shared" si="23"/>
        <v>0</v>
      </c>
      <c r="Z225" s="288">
        <f t="shared" si="23"/>
        <v>0</v>
      </c>
      <c r="AA225" s="288">
        <f t="shared" si="23"/>
        <v>0</v>
      </c>
      <c r="AB225" s="288">
        <f t="shared" si="23"/>
        <v>0</v>
      </c>
      <c r="AC225" s="288">
        <f t="shared" si="23"/>
        <v>0</v>
      </c>
      <c r="AD225" s="288">
        <f>AD226+AD227+AD228+AD230+AD229</f>
        <v>0</v>
      </c>
      <c r="AE225" s="288">
        <f t="shared" si="23"/>
        <v>0</v>
      </c>
      <c r="AF225" s="288">
        <f t="shared" si="23"/>
        <v>0</v>
      </c>
      <c r="AG225" s="288">
        <f t="shared" si="23"/>
        <v>0</v>
      </c>
      <c r="AH225" s="286">
        <f>SUM(C225:AG225)</f>
        <v>0</v>
      </c>
    </row>
    <row r="226" spans="1:34" x14ac:dyDescent="0.2">
      <c r="A226" s="287" t="s">
        <v>8</v>
      </c>
      <c r="B226" s="331"/>
      <c r="C226" s="291"/>
      <c r="D226" s="291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2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86">
        <f>SUM(C226:AG226)</f>
        <v>0</v>
      </c>
    </row>
    <row r="227" spans="1:34" x14ac:dyDescent="0.2">
      <c r="A227" s="287" t="s">
        <v>9</v>
      </c>
      <c r="B227" s="331"/>
      <c r="C227" s="291"/>
      <c r="D227" s="291"/>
      <c r="E227" s="290"/>
      <c r="F227" s="290"/>
      <c r="G227" s="290"/>
      <c r="H227" s="290"/>
      <c r="I227" s="290"/>
      <c r="J227" s="290"/>
      <c r="K227" s="290"/>
      <c r="L227" s="290"/>
      <c r="M227" s="295"/>
      <c r="N227" s="290"/>
      <c r="O227" s="290"/>
      <c r="P227" s="292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86">
        <f>SUM(C227:AG227)</f>
        <v>0</v>
      </c>
    </row>
    <row r="228" spans="1:34" s="360" customFormat="1" x14ac:dyDescent="0.2">
      <c r="A228" s="662" t="s">
        <v>10</v>
      </c>
      <c r="B228" s="669"/>
      <c r="C228" s="565"/>
      <c r="D228" s="565"/>
      <c r="E228" s="560"/>
      <c r="F228" s="560"/>
      <c r="G228" s="560"/>
      <c r="H228" s="560"/>
      <c r="I228" s="560"/>
      <c r="J228" s="560"/>
      <c r="K228" s="560"/>
      <c r="L228" s="380"/>
      <c r="M228" s="560"/>
      <c r="N228" s="560"/>
      <c r="O228" s="560"/>
      <c r="P228" s="560"/>
      <c r="Q228" s="560"/>
      <c r="R228" s="560"/>
      <c r="S228" s="560"/>
      <c r="T228" s="560"/>
      <c r="U228" s="560"/>
      <c r="V228" s="560"/>
      <c r="W228" s="560"/>
      <c r="X228" s="708"/>
      <c r="Y228" s="560"/>
      <c r="Z228" s="560"/>
      <c r="AA228" s="560"/>
      <c r="AB228" s="560"/>
      <c r="AC228" s="811"/>
      <c r="AD228" s="803"/>
      <c r="AE228" s="560"/>
      <c r="AF228" s="380"/>
      <c r="AG228" s="560"/>
      <c r="AH228" s="379">
        <f>SUM(C228:AG228)</f>
        <v>0</v>
      </c>
    </row>
    <row r="229" spans="1:34" s="360" customFormat="1" x14ac:dyDescent="0.2">
      <c r="A229" s="662" t="s">
        <v>356</v>
      </c>
      <c r="B229" s="669"/>
      <c r="C229" s="565"/>
      <c r="D229" s="565"/>
      <c r="E229" s="565"/>
      <c r="F229" s="560"/>
      <c r="G229" s="560"/>
      <c r="H229" s="560"/>
      <c r="I229" s="560"/>
      <c r="J229" s="560"/>
      <c r="K229" s="560"/>
      <c r="L229" s="560"/>
      <c r="M229" s="560"/>
      <c r="N229" s="560"/>
      <c r="O229" s="560"/>
      <c r="P229" s="560"/>
      <c r="Q229" s="560"/>
      <c r="R229" s="560"/>
      <c r="S229" s="560"/>
      <c r="T229" s="560"/>
      <c r="U229" s="560"/>
      <c r="V229" s="560"/>
      <c r="W229" s="560"/>
      <c r="X229" s="560"/>
      <c r="Y229" s="560"/>
      <c r="Z229" s="560"/>
      <c r="AA229" s="560"/>
      <c r="AB229" s="560"/>
      <c r="AC229" s="560"/>
      <c r="AD229" s="560"/>
      <c r="AE229" s="560"/>
      <c r="AF229" s="560"/>
      <c r="AG229" s="560"/>
      <c r="AH229" s="379">
        <f>SUM(C229:AG229)</f>
        <v>0</v>
      </c>
    </row>
    <row r="230" spans="1:34" x14ac:dyDescent="0.2">
      <c r="A230" s="287" t="s">
        <v>11</v>
      </c>
      <c r="B230" s="266"/>
      <c r="C230" s="291"/>
      <c r="D230" s="289"/>
      <c r="E230" s="289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15"/>
    </row>
    <row r="231" spans="1:34" ht="13.5" thickBot="1" x14ac:dyDescent="0.25">
      <c r="A231" s="296"/>
      <c r="B231" s="266"/>
      <c r="C231" s="291"/>
      <c r="D231" s="291"/>
      <c r="E231" s="291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2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15"/>
    </row>
    <row r="232" spans="1:34" x14ac:dyDescent="0.2">
      <c r="A232" s="282"/>
      <c r="B232" s="266"/>
      <c r="C232" s="297"/>
      <c r="D232" s="298"/>
      <c r="E232" s="298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866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  <c r="AA232" s="299"/>
      <c r="AB232" s="299"/>
      <c r="AC232" s="299"/>
      <c r="AD232" s="299"/>
      <c r="AE232" s="299"/>
      <c r="AF232" s="299"/>
      <c r="AG232" s="299"/>
      <c r="AH232" s="215"/>
    </row>
    <row r="233" spans="1:34" ht="13.5" thickBot="1" x14ac:dyDescent="0.25">
      <c r="A233" s="287" t="s">
        <v>12</v>
      </c>
      <c r="B233" s="266"/>
      <c r="C233" s="288">
        <f>C234</f>
        <v>0</v>
      </c>
      <c r="D233" s="288">
        <f t="shared" ref="D233:AG233" si="24">D234</f>
        <v>0</v>
      </c>
      <c r="E233" s="288">
        <f t="shared" si="24"/>
        <v>0</v>
      </c>
      <c r="F233" s="288">
        <f t="shared" si="24"/>
        <v>0</v>
      </c>
      <c r="G233" s="288">
        <f t="shared" si="24"/>
        <v>0</v>
      </c>
      <c r="H233" s="288">
        <f t="shared" si="24"/>
        <v>0</v>
      </c>
      <c r="I233" s="288">
        <f t="shared" si="24"/>
        <v>0</v>
      </c>
      <c r="J233" s="288">
        <f t="shared" si="24"/>
        <v>0</v>
      </c>
      <c r="K233" s="288">
        <f t="shared" si="24"/>
        <v>0</v>
      </c>
      <c r="L233" s="288">
        <f t="shared" si="24"/>
        <v>0</v>
      </c>
      <c r="M233" s="288">
        <f t="shared" si="24"/>
        <v>0</v>
      </c>
      <c r="N233" s="288">
        <f t="shared" si="24"/>
        <v>0</v>
      </c>
      <c r="O233" s="288">
        <f t="shared" si="24"/>
        <v>0</v>
      </c>
      <c r="P233" s="865">
        <f t="shared" si="24"/>
        <v>0</v>
      </c>
      <c r="Q233" s="288">
        <f t="shared" si="24"/>
        <v>0</v>
      </c>
      <c r="R233" s="288">
        <f t="shared" si="24"/>
        <v>0</v>
      </c>
      <c r="S233" s="288">
        <f t="shared" si="24"/>
        <v>0</v>
      </c>
      <c r="T233" s="288">
        <f t="shared" si="24"/>
        <v>0</v>
      </c>
      <c r="U233" s="288">
        <f t="shared" si="24"/>
        <v>0</v>
      </c>
      <c r="V233" s="288">
        <f t="shared" si="24"/>
        <v>0</v>
      </c>
      <c r="W233" s="288">
        <f t="shared" si="24"/>
        <v>0</v>
      </c>
      <c r="X233" s="288">
        <f t="shared" si="24"/>
        <v>0</v>
      </c>
      <c r="Y233" s="288">
        <f t="shared" si="24"/>
        <v>0</v>
      </c>
      <c r="Z233" s="288">
        <f t="shared" si="24"/>
        <v>0</v>
      </c>
      <c r="AA233" s="288">
        <f t="shared" si="24"/>
        <v>0</v>
      </c>
      <c r="AB233" s="288">
        <f t="shared" si="24"/>
        <v>0</v>
      </c>
      <c r="AC233" s="288">
        <f t="shared" si="24"/>
        <v>0</v>
      </c>
      <c r="AD233" s="288">
        <f t="shared" si="24"/>
        <v>0</v>
      </c>
      <c r="AE233" s="288">
        <f t="shared" si="24"/>
        <v>0</v>
      </c>
      <c r="AF233" s="288">
        <f t="shared" si="24"/>
        <v>0</v>
      </c>
      <c r="AG233" s="288">
        <f t="shared" si="24"/>
        <v>0</v>
      </c>
      <c r="AH233" s="215"/>
    </row>
    <row r="234" spans="1:34" x14ac:dyDescent="0.2">
      <c r="A234" s="287" t="s">
        <v>8</v>
      </c>
      <c r="B234" s="266"/>
      <c r="C234" s="291"/>
      <c r="D234" s="291"/>
      <c r="E234" s="291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2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15"/>
    </row>
    <row r="235" spans="1:34" x14ac:dyDescent="0.2">
      <c r="A235" s="287" t="s">
        <v>775</v>
      </c>
      <c r="B235" s="266"/>
      <c r="C235" s="291"/>
      <c r="D235" s="291"/>
      <c r="E235" s="291"/>
      <c r="F235" s="290"/>
      <c r="G235" s="290">
        <v>1054</v>
      </c>
      <c r="H235" s="290">
        <v>1447</v>
      </c>
      <c r="I235" s="290"/>
      <c r="J235" s="290">
        <v>2203</v>
      </c>
      <c r="K235" s="290"/>
      <c r="L235" s="290">
        <v>4340</v>
      </c>
      <c r="M235" s="290"/>
      <c r="N235" s="290"/>
      <c r="O235" s="290"/>
      <c r="P235" s="292"/>
      <c r="Q235" s="290">
        <v>2602</v>
      </c>
      <c r="R235" s="290"/>
      <c r="S235" s="290"/>
      <c r="T235" s="290"/>
      <c r="U235" s="290"/>
      <c r="V235" s="290">
        <v>4342</v>
      </c>
      <c r="W235" s="290"/>
      <c r="X235" s="290"/>
      <c r="Y235" s="290"/>
      <c r="Z235" s="290">
        <v>1080</v>
      </c>
      <c r="AA235" s="290"/>
      <c r="AB235" s="290"/>
      <c r="AC235" s="290"/>
      <c r="AD235" s="290">
        <v>1608</v>
      </c>
      <c r="AE235" s="290"/>
      <c r="AF235" s="290">
        <v>4453</v>
      </c>
      <c r="AG235" s="290">
        <v>29665</v>
      </c>
      <c r="AH235" s="286">
        <f>SUM(C235:AG235)</f>
        <v>52794</v>
      </c>
    </row>
    <row r="236" spans="1:34" ht="13.5" thickBot="1" x14ac:dyDescent="0.25">
      <c r="A236" s="296"/>
      <c r="B236" s="266"/>
      <c r="C236" s="291"/>
      <c r="D236" s="291"/>
      <c r="E236" s="291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2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15"/>
    </row>
    <row r="237" spans="1:34" x14ac:dyDescent="0.2">
      <c r="A237" s="282"/>
      <c r="B237" s="266"/>
      <c r="C237" s="297"/>
      <c r="D237" s="298"/>
      <c r="E237" s="298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866"/>
      <c r="Q237" s="299"/>
      <c r="R237" s="299"/>
      <c r="S237" s="299"/>
      <c r="T237" s="299"/>
      <c r="U237" s="299"/>
      <c r="V237" s="299"/>
      <c r="W237" s="299"/>
      <c r="X237" s="299"/>
      <c r="Y237" s="299"/>
      <c r="Z237" s="299"/>
      <c r="AA237" s="299"/>
      <c r="AB237" s="299"/>
      <c r="AC237" s="299"/>
      <c r="AD237" s="299"/>
      <c r="AE237" s="299"/>
      <c r="AF237" s="299"/>
      <c r="AG237" s="299"/>
      <c r="AH237" s="215"/>
    </row>
    <row r="238" spans="1:34" x14ac:dyDescent="0.2">
      <c r="A238" s="287" t="s">
        <v>13</v>
      </c>
      <c r="B238" s="266"/>
      <c r="C238" s="300">
        <f>C233-C225</f>
        <v>0</v>
      </c>
      <c r="D238" s="300">
        <f>D233-D225</f>
        <v>0</v>
      </c>
      <c r="E238" s="300">
        <f>E233-E225</f>
        <v>0</v>
      </c>
      <c r="F238" s="300">
        <f>F233-F225</f>
        <v>0</v>
      </c>
      <c r="G238" s="300">
        <f>G233-G225</f>
        <v>0</v>
      </c>
      <c r="H238" s="300">
        <f t="shared" ref="H238:AG238" si="25">H233-H225</f>
        <v>0</v>
      </c>
      <c r="I238" s="300">
        <f t="shared" si="25"/>
        <v>0</v>
      </c>
      <c r="J238" s="300">
        <f t="shared" si="25"/>
        <v>0</v>
      </c>
      <c r="K238" s="300">
        <f t="shared" si="25"/>
        <v>0</v>
      </c>
      <c r="L238" s="300">
        <f t="shared" si="25"/>
        <v>0</v>
      </c>
      <c r="M238" s="300">
        <f t="shared" si="25"/>
        <v>0</v>
      </c>
      <c r="N238" s="300">
        <f t="shared" si="25"/>
        <v>0</v>
      </c>
      <c r="O238" s="300">
        <f t="shared" si="25"/>
        <v>0</v>
      </c>
      <c r="P238" s="867">
        <f t="shared" si="25"/>
        <v>0</v>
      </c>
      <c r="Q238" s="300">
        <f t="shared" si="25"/>
        <v>0</v>
      </c>
      <c r="R238" s="300">
        <f t="shared" si="25"/>
        <v>0</v>
      </c>
      <c r="S238" s="300">
        <f t="shared" si="25"/>
        <v>0</v>
      </c>
      <c r="T238" s="300">
        <f t="shared" si="25"/>
        <v>0</v>
      </c>
      <c r="U238" s="300">
        <f t="shared" si="25"/>
        <v>0</v>
      </c>
      <c r="V238" s="300">
        <f t="shared" si="25"/>
        <v>0</v>
      </c>
      <c r="W238" s="300">
        <f t="shared" si="25"/>
        <v>0</v>
      </c>
      <c r="X238" s="300">
        <f t="shared" si="25"/>
        <v>0</v>
      </c>
      <c r="Y238" s="300">
        <f t="shared" si="25"/>
        <v>0</v>
      </c>
      <c r="Z238" s="300">
        <f t="shared" si="25"/>
        <v>0</v>
      </c>
      <c r="AA238" s="300">
        <f t="shared" si="25"/>
        <v>0</v>
      </c>
      <c r="AB238" s="300">
        <f t="shared" si="25"/>
        <v>0</v>
      </c>
      <c r="AC238" s="300">
        <f t="shared" si="25"/>
        <v>0</v>
      </c>
      <c r="AD238" s="300">
        <f t="shared" si="25"/>
        <v>0</v>
      </c>
      <c r="AE238" s="300">
        <f t="shared" si="25"/>
        <v>0</v>
      </c>
      <c r="AF238" s="300">
        <f t="shared" si="25"/>
        <v>0</v>
      </c>
      <c r="AG238" s="300">
        <f t="shared" si="25"/>
        <v>0</v>
      </c>
      <c r="AH238" s="215"/>
    </row>
    <row r="239" spans="1:34" ht="13.5" thickBot="1" x14ac:dyDescent="0.25">
      <c r="A239" s="287"/>
      <c r="B239" s="266"/>
      <c r="C239" s="300"/>
      <c r="D239" s="291"/>
      <c r="E239" s="291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2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15"/>
    </row>
    <row r="240" spans="1:34" x14ac:dyDescent="0.2">
      <c r="A240" s="263"/>
      <c r="B240" s="264"/>
      <c r="C240" s="301"/>
      <c r="D240" s="298"/>
      <c r="E240" s="298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866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  <c r="AH240" s="215"/>
    </row>
    <row r="241" spans="1:34" x14ac:dyDescent="0.2">
      <c r="A241" s="265" t="s">
        <v>15</v>
      </c>
      <c r="B241" s="266"/>
      <c r="C241" s="291">
        <f>B222+C238</f>
        <v>-21345.325000000001</v>
      </c>
      <c r="D241" s="291">
        <f t="shared" ref="D241:AG241" si="26">C248+D238</f>
        <v>-21345.325000000001</v>
      </c>
      <c r="E241" s="291">
        <f t="shared" si="26"/>
        <v>-21345.325000000001</v>
      </c>
      <c r="F241" s="291">
        <f t="shared" si="26"/>
        <v>-21345.325000000001</v>
      </c>
      <c r="G241" s="291">
        <f t="shared" si="26"/>
        <v>-21345.325000000001</v>
      </c>
      <c r="H241" s="291">
        <f t="shared" si="26"/>
        <v>-21345.325000000001</v>
      </c>
      <c r="I241" s="291">
        <f t="shared" si="26"/>
        <v>-21345.325000000001</v>
      </c>
      <c r="J241" s="291">
        <f t="shared" si="26"/>
        <v>-21345.325000000001</v>
      </c>
      <c r="K241" s="291">
        <f t="shared" si="26"/>
        <v>-21345.325000000001</v>
      </c>
      <c r="L241" s="291">
        <f t="shared" si="26"/>
        <v>-21345.325000000001</v>
      </c>
      <c r="M241" s="291">
        <f t="shared" si="26"/>
        <v>-21345.325000000001</v>
      </c>
      <c r="N241" s="291">
        <f t="shared" si="26"/>
        <v>-21345.325000000001</v>
      </c>
      <c r="O241" s="291">
        <f t="shared" si="26"/>
        <v>-21345.325000000001</v>
      </c>
      <c r="P241" s="289">
        <f t="shared" si="26"/>
        <v>-21345.325000000001</v>
      </c>
      <c r="Q241" s="291">
        <f t="shared" si="26"/>
        <v>-21345.325000000001</v>
      </c>
      <c r="R241" s="291">
        <f t="shared" si="26"/>
        <v>-21345.325000000001</v>
      </c>
      <c r="S241" s="291">
        <f t="shared" si="26"/>
        <v>-21345.325000000001</v>
      </c>
      <c r="T241" s="291">
        <f t="shared" si="26"/>
        <v>-21345.325000000001</v>
      </c>
      <c r="U241" s="291">
        <f t="shared" si="26"/>
        <v>-21345.325000000001</v>
      </c>
      <c r="V241" s="291">
        <f t="shared" si="26"/>
        <v>-21345.325000000001</v>
      </c>
      <c r="W241" s="291">
        <f t="shared" si="26"/>
        <v>-21345.325000000001</v>
      </c>
      <c r="X241" s="291">
        <f t="shared" si="26"/>
        <v>-21345.325000000001</v>
      </c>
      <c r="Y241" s="291">
        <f t="shared" si="26"/>
        <v>-21345.325000000001</v>
      </c>
      <c r="Z241" s="291">
        <f t="shared" si="26"/>
        <v>-21345.325000000001</v>
      </c>
      <c r="AA241" s="291">
        <f t="shared" si="26"/>
        <v>-21345.325000000001</v>
      </c>
      <c r="AB241" s="291">
        <f t="shared" si="26"/>
        <v>-21345.325000000001</v>
      </c>
      <c r="AC241" s="291">
        <f t="shared" si="26"/>
        <v>-21345.325000000001</v>
      </c>
      <c r="AD241" s="291">
        <f t="shared" si="26"/>
        <v>-21345.325000000001</v>
      </c>
      <c r="AE241" s="291">
        <f t="shared" si="26"/>
        <v>-21345.325000000001</v>
      </c>
      <c r="AF241" s="291">
        <f t="shared" si="26"/>
        <v>-21345.325000000001</v>
      </c>
      <c r="AG241" s="291">
        <f t="shared" si="26"/>
        <v>-21345.325000000001</v>
      </c>
      <c r="AH241" s="215"/>
    </row>
    <row r="242" spans="1:34" ht="13.5" thickBot="1" x14ac:dyDescent="0.25">
      <c r="A242" s="275"/>
      <c r="B242" s="302"/>
      <c r="C242" s="303"/>
      <c r="D242" s="303"/>
      <c r="E242" s="303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868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215"/>
    </row>
    <row r="243" spans="1:34" x14ac:dyDescent="0.2">
      <c r="A243" s="263"/>
      <c r="B243" s="264"/>
      <c r="C243" s="298"/>
      <c r="D243" s="298"/>
      <c r="E243" s="298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866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  <c r="AB243" s="299"/>
      <c r="AC243" s="299"/>
      <c r="AD243" s="299"/>
      <c r="AE243" s="299"/>
      <c r="AF243" s="299"/>
      <c r="AG243" s="299"/>
      <c r="AH243" s="215"/>
    </row>
    <row r="244" spans="1:34" x14ac:dyDescent="0.2">
      <c r="A244" s="265" t="s">
        <v>82</v>
      </c>
      <c r="B244" s="266"/>
      <c r="C244" s="291">
        <f t="shared" ref="C244:AG245" si="27">C252</f>
        <v>0</v>
      </c>
      <c r="D244" s="291">
        <f t="shared" si="27"/>
        <v>0</v>
      </c>
      <c r="E244" s="291">
        <f t="shared" si="27"/>
        <v>0</v>
      </c>
      <c r="F244" s="291">
        <f t="shared" si="27"/>
        <v>0</v>
      </c>
      <c r="G244" s="291">
        <f t="shared" si="27"/>
        <v>0</v>
      </c>
      <c r="H244" s="291">
        <f t="shared" si="27"/>
        <v>0</v>
      </c>
      <c r="I244" s="291">
        <f t="shared" si="27"/>
        <v>0</v>
      </c>
      <c r="J244" s="291">
        <f t="shared" si="27"/>
        <v>0</v>
      </c>
      <c r="K244" s="291">
        <f t="shared" si="27"/>
        <v>0</v>
      </c>
      <c r="L244" s="291">
        <f t="shared" si="27"/>
        <v>0</v>
      </c>
      <c r="M244" s="291">
        <f t="shared" si="27"/>
        <v>0</v>
      </c>
      <c r="N244" s="291">
        <f t="shared" si="27"/>
        <v>0</v>
      </c>
      <c r="O244" s="291">
        <f t="shared" si="27"/>
        <v>0</v>
      </c>
      <c r="P244" s="289">
        <f t="shared" si="27"/>
        <v>0</v>
      </c>
      <c r="Q244" s="291">
        <f t="shared" si="27"/>
        <v>0</v>
      </c>
      <c r="R244" s="291">
        <f t="shared" si="27"/>
        <v>0</v>
      </c>
      <c r="S244" s="291">
        <f t="shared" si="27"/>
        <v>0</v>
      </c>
      <c r="T244" s="291">
        <f t="shared" si="27"/>
        <v>0</v>
      </c>
      <c r="U244" s="291">
        <f t="shared" si="27"/>
        <v>0</v>
      </c>
      <c r="V244" s="291">
        <f t="shared" si="27"/>
        <v>0</v>
      </c>
      <c r="W244" s="291">
        <f t="shared" si="27"/>
        <v>0</v>
      </c>
      <c r="X244" s="291">
        <f t="shared" si="27"/>
        <v>0</v>
      </c>
      <c r="Y244" s="291">
        <f t="shared" si="27"/>
        <v>0</v>
      </c>
      <c r="Z244" s="291">
        <f t="shared" si="27"/>
        <v>0</v>
      </c>
      <c r="AA244" s="291">
        <f t="shared" si="27"/>
        <v>0</v>
      </c>
      <c r="AB244" s="291">
        <f t="shared" si="27"/>
        <v>0</v>
      </c>
      <c r="AC244" s="291">
        <f t="shared" si="27"/>
        <v>0</v>
      </c>
      <c r="AD244" s="291">
        <f t="shared" si="27"/>
        <v>0</v>
      </c>
      <c r="AE244" s="291">
        <f t="shared" si="27"/>
        <v>0</v>
      </c>
      <c r="AF244" s="291">
        <f t="shared" si="27"/>
        <v>0</v>
      </c>
      <c r="AG244" s="291">
        <f t="shared" si="27"/>
        <v>0</v>
      </c>
      <c r="AH244" s="215"/>
    </row>
    <row r="245" spans="1:34" x14ac:dyDescent="0.2">
      <c r="A245" s="265" t="s">
        <v>83</v>
      </c>
      <c r="B245" s="266"/>
      <c r="C245" s="289">
        <f t="shared" si="27"/>
        <v>0</v>
      </c>
      <c r="D245" s="289">
        <f t="shared" si="27"/>
        <v>0</v>
      </c>
      <c r="E245" s="289">
        <f t="shared" si="27"/>
        <v>0</v>
      </c>
      <c r="F245" s="289">
        <f t="shared" si="27"/>
        <v>0</v>
      </c>
      <c r="G245" s="289">
        <f t="shared" si="27"/>
        <v>0</v>
      </c>
      <c r="H245" s="289">
        <f t="shared" si="27"/>
        <v>0</v>
      </c>
      <c r="I245" s="289">
        <f t="shared" si="27"/>
        <v>0</v>
      </c>
      <c r="J245" s="289">
        <f t="shared" si="27"/>
        <v>0</v>
      </c>
      <c r="K245" s="289">
        <f t="shared" si="27"/>
        <v>0</v>
      </c>
      <c r="L245" s="289">
        <f t="shared" si="27"/>
        <v>0</v>
      </c>
      <c r="M245" s="289">
        <f t="shared" si="27"/>
        <v>0</v>
      </c>
      <c r="N245" s="289">
        <f t="shared" si="27"/>
        <v>0</v>
      </c>
      <c r="O245" s="289">
        <f t="shared" si="27"/>
        <v>0</v>
      </c>
      <c r="P245" s="289">
        <f t="shared" si="27"/>
        <v>0</v>
      </c>
      <c r="Q245" s="289">
        <f t="shared" si="27"/>
        <v>0</v>
      </c>
      <c r="R245" s="289">
        <f t="shared" si="27"/>
        <v>0</v>
      </c>
      <c r="S245" s="289">
        <f t="shared" si="27"/>
        <v>0</v>
      </c>
      <c r="T245" s="289">
        <f t="shared" si="27"/>
        <v>0</v>
      </c>
      <c r="U245" s="289">
        <f t="shared" si="27"/>
        <v>0</v>
      </c>
      <c r="V245" s="289">
        <f t="shared" si="27"/>
        <v>0</v>
      </c>
      <c r="W245" s="289">
        <f t="shared" si="27"/>
        <v>0</v>
      </c>
      <c r="X245" s="289">
        <f t="shared" si="27"/>
        <v>0</v>
      </c>
      <c r="Y245" s="289">
        <f t="shared" si="27"/>
        <v>0</v>
      </c>
      <c r="Z245" s="289">
        <f t="shared" si="27"/>
        <v>0</v>
      </c>
      <c r="AA245" s="289">
        <f t="shared" si="27"/>
        <v>0</v>
      </c>
      <c r="AB245" s="289">
        <f t="shared" si="27"/>
        <v>0</v>
      </c>
      <c r="AC245" s="289">
        <f t="shared" si="27"/>
        <v>0</v>
      </c>
      <c r="AD245" s="289">
        <f t="shared" si="27"/>
        <v>0</v>
      </c>
      <c r="AE245" s="289">
        <f t="shared" si="27"/>
        <v>0</v>
      </c>
      <c r="AF245" s="289">
        <f t="shared" si="27"/>
        <v>0</v>
      </c>
      <c r="AG245" s="289">
        <f t="shared" si="27"/>
        <v>0</v>
      </c>
      <c r="AH245" s="215"/>
    </row>
    <row r="246" spans="1:34" ht="13.5" thickBot="1" x14ac:dyDescent="0.25">
      <c r="A246" s="275"/>
      <c r="B246" s="302"/>
      <c r="C246" s="303"/>
      <c r="D246" s="303"/>
      <c r="E246" s="303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868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04"/>
      <c r="AF246" s="304"/>
      <c r="AG246" s="304"/>
      <c r="AH246" s="215"/>
    </row>
    <row r="247" spans="1:34" x14ac:dyDescent="0.2">
      <c r="A247" s="265"/>
      <c r="B247" s="266"/>
      <c r="C247" s="291"/>
      <c r="D247" s="291"/>
      <c r="E247" s="291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2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15"/>
    </row>
    <row r="248" spans="1:34" x14ac:dyDescent="0.2">
      <c r="A248" s="265" t="s">
        <v>14</v>
      </c>
      <c r="B248" s="266"/>
      <c r="C248" s="291">
        <f>C241+C244+C245</f>
        <v>-21345.325000000001</v>
      </c>
      <c r="D248" s="291">
        <f>D241+D244+D245</f>
        <v>-21345.325000000001</v>
      </c>
      <c r="E248" s="291">
        <f>E241+E244+E245</f>
        <v>-21345.325000000001</v>
      </c>
      <c r="F248" s="291">
        <f>F241+F244+F245</f>
        <v>-21345.325000000001</v>
      </c>
      <c r="G248" s="291">
        <f>G241+G244+G245</f>
        <v>-21345.325000000001</v>
      </c>
      <c r="H248" s="291">
        <f t="shared" ref="H248:AG248" si="28">H241+H244+H245</f>
        <v>-21345.325000000001</v>
      </c>
      <c r="I248" s="291">
        <f t="shared" si="28"/>
        <v>-21345.325000000001</v>
      </c>
      <c r="J248" s="291">
        <f t="shared" si="28"/>
        <v>-21345.325000000001</v>
      </c>
      <c r="K248" s="291">
        <f t="shared" si="28"/>
        <v>-21345.325000000001</v>
      </c>
      <c r="L248" s="291">
        <f t="shared" si="28"/>
        <v>-21345.325000000001</v>
      </c>
      <c r="M248" s="291">
        <f t="shared" si="28"/>
        <v>-21345.325000000001</v>
      </c>
      <c r="N248" s="291">
        <f t="shared" si="28"/>
        <v>-21345.325000000001</v>
      </c>
      <c r="O248" s="291">
        <f t="shared" si="28"/>
        <v>-21345.325000000001</v>
      </c>
      <c r="P248" s="289">
        <f t="shared" si="28"/>
        <v>-21345.325000000001</v>
      </c>
      <c r="Q248" s="291">
        <f t="shared" si="28"/>
        <v>-21345.325000000001</v>
      </c>
      <c r="R248" s="291">
        <f t="shared" si="28"/>
        <v>-21345.325000000001</v>
      </c>
      <c r="S248" s="291">
        <f t="shared" si="28"/>
        <v>-21345.325000000001</v>
      </c>
      <c r="T248" s="291">
        <f t="shared" si="28"/>
        <v>-21345.325000000001</v>
      </c>
      <c r="U248" s="291">
        <f t="shared" si="28"/>
        <v>-21345.325000000001</v>
      </c>
      <c r="V248" s="291">
        <f t="shared" si="28"/>
        <v>-21345.325000000001</v>
      </c>
      <c r="W248" s="291">
        <f t="shared" si="28"/>
        <v>-21345.325000000001</v>
      </c>
      <c r="X248" s="291">
        <f t="shared" si="28"/>
        <v>-21345.325000000001</v>
      </c>
      <c r="Y248" s="291">
        <f t="shared" si="28"/>
        <v>-21345.325000000001</v>
      </c>
      <c r="Z248" s="291">
        <f t="shared" si="28"/>
        <v>-21345.325000000001</v>
      </c>
      <c r="AA248" s="291">
        <f t="shared" si="28"/>
        <v>-21345.325000000001</v>
      </c>
      <c r="AB248" s="291">
        <f t="shared" si="28"/>
        <v>-21345.325000000001</v>
      </c>
      <c r="AC248" s="291">
        <f t="shared" si="28"/>
        <v>-21345.325000000001</v>
      </c>
      <c r="AD248" s="291">
        <f t="shared" si="28"/>
        <v>-21345.325000000001</v>
      </c>
      <c r="AE248" s="291">
        <f t="shared" si="28"/>
        <v>-21345.325000000001</v>
      </c>
      <c r="AF248" s="291">
        <f t="shared" si="28"/>
        <v>-21345.325000000001</v>
      </c>
      <c r="AG248" s="291">
        <f t="shared" si="28"/>
        <v>-21345.325000000001</v>
      </c>
      <c r="AH248" s="215"/>
    </row>
    <row r="249" spans="1:34" x14ac:dyDescent="0.2">
      <c r="A249" s="265"/>
      <c r="B249" s="266"/>
      <c r="C249" s="291"/>
      <c r="D249" s="291"/>
      <c r="E249" s="291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2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  <c r="AE249" s="290"/>
      <c r="AF249" s="290"/>
      <c r="AG249" s="290"/>
      <c r="AH249" s="215"/>
    </row>
    <row r="250" spans="1:34" ht="13.5" thickBot="1" x14ac:dyDescent="0.25">
      <c r="A250" s="275"/>
      <c r="B250" s="302"/>
      <c r="C250" s="306"/>
      <c r="D250" s="306"/>
      <c r="E250" s="306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869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C250" s="307"/>
      <c r="AD250" s="307"/>
      <c r="AE250" s="307"/>
      <c r="AF250" s="307"/>
      <c r="AG250" s="307"/>
      <c r="AH250" s="215"/>
    </row>
    <row r="251" spans="1:34" x14ac:dyDescent="0.2">
      <c r="A251" s="310"/>
      <c r="B251" s="215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308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>
        <f>SUM(C251:AG251)</f>
        <v>0</v>
      </c>
    </row>
    <row r="252" spans="1:34" x14ac:dyDescent="0.2">
      <c r="A252" s="310"/>
      <c r="B252" s="215"/>
      <c r="C252" s="311"/>
      <c r="D252" s="311"/>
      <c r="E252" s="311"/>
      <c r="F252" s="311"/>
      <c r="G252" s="314"/>
      <c r="H252" s="311"/>
      <c r="I252" s="311"/>
      <c r="J252" s="311"/>
      <c r="K252" s="311"/>
      <c r="L252" s="314"/>
      <c r="M252" s="314"/>
      <c r="N252" s="629"/>
      <c r="O252" s="314"/>
      <c r="P252" s="629"/>
      <c r="Q252" s="311"/>
      <c r="R252" s="311"/>
      <c r="S252" s="311"/>
      <c r="T252" s="311"/>
      <c r="U252" s="311"/>
      <c r="V252" s="629"/>
      <c r="W252" s="311"/>
      <c r="X252" s="311"/>
      <c r="Y252" s="311"/>
      <c r="Z252" s="311"/>
      <c r="AA252" s="408"/>
      <c r="AB252" s="311"/>
      <c r="AC252" s="311"/>
      <c r="AD252" s="314"/>
      <c r="AE252" s="311"/>
      <c r="AF252" s="629"/>
      <c r="AG252" s="311"/>
      <c r="AH252" s="262"/>
    </row>
    <row r="253" spans="1:34" x14ac:dyDescent="0.2">
      <c r="A253" s="215"/>
      <c r="B253" s="215"/>
      <c r="C253" s="215"/>
      <c r="D253" s="311"/>
      <c r="E253" s="317"/>
      <c r="F253" s="215"/>
      <c r="G253" s="215"/>
      <c r="H253" s="215"/>
      <c r="I253" s="215"/>
      <c r="J253" s="215"/>
      <c r="K253" s="215"/>
      <c r="L253" s="215"/>
      <c r="M253" s="215"/>
      <c r="N253" s="215"/>
      <c r="O253" s="215"/>
      <c r="P253" s="309"/>
      <c r="Q253" s="286"/>
      <c r="R253" s="215"/>
      <c r="S253" s="262"/>
      <c r="T253" s="215"/>
      <c r="U253" s="215"/>
      <c r="V253" s="215"/>
      <c r="W253" s="215"/>
      <c r="X253" s="215"/>
      <c r="Y253" s="262"/>
      <c r="Z253" s="262"/>
      <c r="AA253" s="262"/>
      <c r="AB253" s="262"/>
      <c r="AC253" s="262"/>
      <c r="AD253" s="262"/>
      <c r="AE253" s="262"/>
      <c r="AF253" s="262"/>
      <c r="AG253" s="262"/>
      <c r="AH253" s="286">
        <f>SUM(C253:AG253)</f>
        <v>0</v>
      </c>
    </row>
    <row r="254" spans="1:34" x14ac:dyDescent="0.2">
      <c r="A254" s="358" t="s">
        <v>415</v>
      </c>
      <c r="B254" s="359">
        <f>B255+B256+B258</f>
        <v>425000</v>
      </c>
      <c r="C254" s="215"/>
      <c r="D254" s="215"/>
      <c r="E254" s="215"/>
      <c r="F254" s="215"/>
      <c r="G254" s="215"/>
      <c r="H254" s="215"/>
      <c r="I254" s="215"/>
      <c r="J254" s="215"/>
      <c r="K254" s="409"/>
      <c r="L254" s="215"/>
      <c r="M254" s="215"/>
      <c r="N254" s="215"/>
      <c r="O254" s="215"/>
      <c r="P254" s="309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408"/>
      <c r="AB254" s="215"/>
      <c r="AC254" s="215"/>
      <c r="AD254" s="215"/>
      <c r="AE254" s="215"/>
      <c r="AF254" s="215"/>
      <c r="AG254" s="215"/>
      <c r="AH254" s="215"/>
    </row>
    <row r="255" spans="1:34" x14ac:dyDescent="0.2">
      <c r="A255" s="327" t="s">
        <v>414</v>
      </c>
      <c r="B255" s="311">
        <v>25000</v>
      </c>
      <c r="C255" s="215"/>
      <c r="D255" s="215"/>
      <c r="E255" s="286"/>
      <c r="F255" s="286"/>
      <c r="G255" s="286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86"/>
      <c r="V255" s="215"/>
      <c r="W255" s="215"/>
      <c r="X255" s="215"/>
      <c r="Y255" s="215"/>
      <c r="Z255" s="215"/>
      <c r="AA255" s="323"/>
      <c r="AB255" s="215"/>
      <c r="AC255" s="215"/>
      <c r="AD255" s="215"/>
      <c r="AE255" s="215"/>
      <c r="AF255" s="215"/>
      <c r="AG255" s="286"/>
      <c r="AH255" s="215"/>
    </row>
    <row r="256" spans="1:34" x14ac:dyDescent="0.2">
      <c r="A256" s="327" t="s">
        <v>287</v>
      </c>
      <c r="B256" s="311">
        <v>300000</v>
      </c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86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409"/>
      <c r="AG256" s="215"/>
      <c r="AH256" s="215"/>
    </row>
    <row r="257" spans="1:34" x14ac:dyDescent="0.2">
      <c r="A257" s="310" t="s">
        <v>413</v>
      </c>
      <c r="B257" s="311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310" t="s">
        <v>441</v>
      </c>
      <c r="B258" s="311">
        <v>100000</v>
      </c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309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</row>
    <row r="261" spans="1:34" ht="13.5" thickBot="1" x14ac:dyDescent="0.25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309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 s="215"/>
      <c r="AC261" s="215"/>
      <c r="AD261" s="215"/>
      <c r="AE261" s="215"/>
      <c r="AF261" s="215"/>
      <c r="AG261" s="215"/>
      <c r="AH261" s="215"/>
    </row>
    <row r="262" spans="1:34" x14ac:dyDescent="0.2">
      <c r="A262" s="263"/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860"/>
      <c r="Q262" s="264"/>
      <c r="R262" s="264"/>
      <c r="S262" s="264"/>
      <c r="T262" s="264"/>
      <c r="U262" s="264"/>
      <c r="V262" s="264"/>
      <c r="W262" s="264"/>
      <c r="X262" s="264"/>
      <c r="Y262" s="264"/>
      <c r="Z262" s="264"/>
      <c r="AA262" s="264"/>
      <c r="AB262" s="264"/>
      <c r="AC262" s="264"/>
      <c r="AD262" s="264"/>
      <c r="AE262" s="264"/>
      <c r="AF262" s="264"/>
      <c r="AG262" s="264"/>
      <c r="AH262" s="215"/>
    </row>
    <row r="263" spans="1:34" x14ac:dyDescent="0.2">
      <c r="A263" s="265"/>
      <c r="B263" s="266" t="s">
        <v>37</v>
      </c>
      <c r="C263" s="266"/>
      <c r="D263" s="266"/>
      <c r="E263" s="267" t="s">
        <v>824</v>
      </c>
      <c r="F263" s="268" t="s">
        <v>340</v>
      </c>
      <c r="G263" s="269"/>
      <c r="H263" s="268"/>
      <c r="I263" s="268"/>
      <c r="J263" s="268"/>
      <c r="K263" s="268"/>
      <c r="L263" s="268"/>
      <c r="M263" s="268"/>
      <c r="N263" s="268"/>
      <c r="O263" s="268"/>
      <c r="P263" s="861"/>
      <c r="Q263" s="268"/>
      <c r="R263" s="268"/>
      <c r="S263" s="268"/>
      <c r="T263" s="268"/>
      <c r="U263" s="268"/>
      <c r="V263" s="268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15"/>
    </row>
    <row r="264" spans="1:34" x14ac:dyDescent="0.2">
      <c r="A264" s="265"/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x14ac:dyDescent="0.2">
      <c r="A265" s="265"/>
      <c r="B265" s="266"/>
      <c r="C265" s="268"/>
      <c r="D265" s="268">
        <v>42216</v>
      </c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x14ac:dyDescent="0.2">
      <c r="A266" s="265"/>
      <c r="B266" s="266"/>
      <c r="C266" s="268"/>
      <c r="D266" s="268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79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  <c r="AH266" s="215"/>
    </row>
    <row r="267" spans="1:34" ht="13.5" thickBot="1" x14ac:dyDescent="0.25">
      <c r="A267" s="265"/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  <c r="O267" s="266"/>
      <c r="P267" s="279"/>
      <c r="Q267" s="266"/>
      <c r="R267" s="266"/>
      <c r="S267" s="266"/>
      <c r="T267" s="266"/>
      <c r="U267" s="266"/>
      <c r="V267" s="266"/>
      <c r="W267" s="266"/>
      <c r="X267" s="266"/>
      <c r="Y267" s="266"/>
      <c r="Z267" s="266"/>
      <c r="AA267" s="266"/>
      <c r="AB267" s="266"/>
      <c r="AC267" s="266"/>
      <c r="AD267" s="266"/>
      <c r="AE267" s="266"/>
      <c r="AF267" s="266"/>
      <c r="AG267" s="266"/>
      <c r="AH267" s="215"/>
    </row>
    <row r="268" spans="1:34" ht="13.5" thickBot="1" x14ac:dyDescent="0.25">
      <c r="A268" s="265"/>
      <c r="B268" s="266"/>
      <c r="C268" s="270"/>
      <c r="D268" s="271" t="s">
        <v>16</v>
      </c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271"/>
      <c r="P268" s="862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  <c r="AA268" s="271"/>
      <c r="AB268" s="271"/>
      <c r="AC268" s="271"/>
      <c r="AD268" s="271"/>
      <c r="AE268" s="271"/>
      <c r="AF268" s="271"/>
      <c r="AG268" s="271"/>
      <c r="AH268" s="215"/>
    </row>
    <row r="269" spans="1:34" ht="13.5" thickBot="1" x14ac:dyDescent="0.25">
      <c r="A269" s="265"/>
      <c r="B269" s="266"/>
      <c r="C269" s="272" t="s">
        <v>452</v>
      </c>
      <c r="D269" s="272" t="s">
        <v>453</v>
      </c>
      <c r="E269" s="272" t="s">
        <v>434</v>
      </c>
      <c r="F269" s="272" t="s">
        <v>390</v>
      </c>
      <c r="G269" s="272" t="s">
        <v>454</v>
      </c>
      <c r="H269" s="272" t="s">
        <v>455</v>
      </c>
      <c r="I269" s="272" t="s">
        <v>456</v>
      </c>
      <c r="J269" s="272" t="s">
        <v>457</v>
      </c>
      <c r="K269" s="272" t="s">
        <v>458</v>
      </c>
      <c r="L269" s="272" t="s">
        <v>216</v>
      </c>
      <c r="M269" s="272" t="s">
        <v>459</v>
      </c>
      <c r="N269" s="272" t="s">
        <v>297</v>
      </c>
      <c r="O269" s="272" t="s">
        <v>211</v>
      </c>
      <c r="P269" s="863" t="s">
        <v>270</v>
      </c>
      <c r="Q269" s="272">
        <v>15</v>
      </c>
      <c r="R269" s="272">
        <v>16</v>
      </c>
      <c r="S269" s="272" t="s">
        <v>461</v>
      </c>
      <c r="T269" s="272" t="s">
        <v>442</v>
      </c>
      <c r="U269" s="272" t="s">
        <v>462</v>
      </c>
      <c r="V269" s="272" t="s">
        <v>470</v>
      </c>
      <c r="W269" s="272" t="s">
        <v>471</v>
      </c>
      <c r="X269" s="272" t="s">
        <v>472</v>
      </c>
      <c r="Y269" s="272" t="s">
        <v>463</v>
      </c>
      <c r="Z269" s="272" t="s">
        <v>465</v>
      </c>
      <c r="AA269" s="272" t="s">
        <v>466</v>
      </c>
      <c r="AB269" s="272" t="s">
        <v>435</v>
      </c>
      <c r="AC269" s="272" t="s">
        <v>467</v>
      </c>
      <c r="AD269" s="272" t="s">
        <v>464</v>
      </c>
      <c r="AE269" s="272" t="s">
        <v>429</v>
      </c>
      <c r="AF269" s="272" t="s">
        <v>149</v>
      </c>
      <c r="AG269" s="272" t="s">
        <v>210</v>
      </c>
      <c r="AH269" s="215"/>
    </row>
    <row r="270" spans="1:34" x14ac:dyDescent="0.2">
      <c r="A270" s="263"/>
      <c r="B270" s="273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x14ac:dyDescent="0.2">
      <c r="A271" s="265" t="s">
        <v>0</v>
      </c>
      <c r="B271" s="274">
        <v>-75595.293999999994</v>
      </c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ht="13.5" thickBot="1" x14ac:dyDescent="0.25">
      <c r="A272" s="275"/>
      <c r="B272" s="276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3"/>
      <c r="B273" s="278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1</v>
      </c>
      <c r="B274" s="274">
        <f>B275+B276+B277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38</v>
      </c>
      <c r="B275" s="274">
        <f>C323</f>
        <v>0</v>
      </c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x14ac:dyDescent="0.2">
      <c r="A276" s="265" t="s">
        <v>39</v>
      </c>
      <c r="B276" s="274">
        <f>C346</f>
        <v>0</v>
      </c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x14ac:dyDescent="0.2">
      <c r="A277" s="265" t="s">
        <v>3</v>
      </c>
      <c r="B277" s="274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ht="13.5" thickBot="1" x14ac:dyDescent="0.25">
      <c r="A278" s="275"/>
      <c r="B278" s="276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x14ac:dyDescent="0.2">
      <c r="A279" s="263"/>
      <c r="B279" s="278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x14ac:dyDescent="0.2">
      <c r="A280" s="265" t="s">
        <v>4</v>
      </c>
      <c r="B280" s="274">
        <f>B271-B274</f>
        <v>-75595.293999999994</v>
      </c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ht="13.5" thickBot="1" x14ac:dyDescent="0.25">
      <c r="A281" s="275"/>
      <c r="B281" s="276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x14ac:dyDescent="0.2">
      <c r="A282" s="263"/>
      <c r="B282" s="278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x14ac:dyDescent="0.2">
      <c r="A283" s="265" t="s">
        <v>17</v>
      </c>
      <c r="B283" s="274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266"/>
      <c r="Y283" s="266"/>
      <c r="Z283" s="266"/>
      <c r="AA283" s="266"/>
      <c r="AB283" s="266"/>
      <c r="AC283" s="266"/>
      <c r="AD283" s="266"/>
      <c r="AE283" s="266"/>
      <c r="AF283" s="266"/>
      <c r="AG283" s="266"/>
      <c r="AH283" s="215"/>
    </row>
    <row r="284" spans="1:34" ht="13.5" thickBot="1" x14ac:dyDescent="0.25">
      <c r="A284" s="275"/>
      <c r="B284" s="276"/>
      <c r="C284" s="266"/>
      <c r="D284" s="266"/>
      <c r="E284" s="266"/>
      <c r="F284" s="266"/>
      <c r="G284" s="266"/>
      <c r="H284" s="266"/>
      <c r="I284" s="266"/>
      <c r="J284" s="266"/>
      <c r="K284" s="266"/>
      <c r="L284" s="266"/>
      <c r="M284" s="266"/>
      <c r="N284" s="266"/>
      <c r="O284" s="266"/>
      <c r="P284" s="279"/>
      <c r="Q284" s="266"/>
      <c r="R284" s="266"/>
      <c r="S284" s="266"/>
      <c r="T284" s="266"/>
      <c r="U284" s="266"/>
      <c r="V284" s="266"/>
      <c r="W284" s="266"/>
      <c r="X284" s="330"/>
      <c r="Y284" s="266"/>
      <c r="Z284" s="266"/>
      <c r="AA284" s="266"/>
      <c r="AB284" s="266"/>
      <c r="AC284" s="266"/>
      <c r="AD284" s="266"/>
      <c r="AE284" s="266"/>
      <c r="AF284" s="266"/>
      <c r="AG284" s="266"/>
      <c r="AH284" s="215"/>
    </row>
    <row r="285" spans="1:34" x14ac:dyDescent="0.2">
      <c r="A285" s="263"/>
      <c r="B285" s="278"/>
      <c r="D285" s="266"/>
      <c r="E285" s="269"/>
      <c r="F285" s="266"/>
      <c r="G285" s="266"/>
      <c r="H285" s="266"/>
      <c r="I285" s="266"/>
      <c r="J285" s="266"/>
      <c r="K285" s="330"/>
      <c r="L285" s="266"/>
      <c r="M285" s="266"/>
      <c r="N285" s="266"/>
      <c r="O285" s="266"/>
      <c r="P285" s="279"/>
      <c r="R285" s="266"/>
      <c r="S285" s="266"/>
      <c r="T285" s="266"/>
      <c r="U285" s="266"/>
      <c r="V285" s="266"/>
      <c r="W285" s="266"/>
      <c r="X285" s="269"/>
      <c r="Y285" s="269"/>
      <c r="Z285" s="269"/>
      <c r="AA285" s="266"/>
      <c r="AB285" s="266"/>
      <c r="AC285" s="266"/>
      <c r="AD285" s="266"/>
      <c r="AE285" s="266"/>
      <c r="AF285" s="266"/>
      <c r="AG285" s="266"/>
      <c r="AH285" s="215"/>
    </row>
    <row r="286" spans="1:34" x14ac:dyDescent="0.2">
      <c r="A286" s="265" t="s">
        <v>5</v>
      </c>
      <c r="B286" s="274">
        <f>B280-B283</f>
        <v>-75595.293999999994</v>
      </c>
      <c r="C286" s="409"/>
      <c r="D286" s="269"/>
      <c r="E286" s="794"/>
      <c r="F286" s="269"/>
      <c r="G286" s="269"/>
      <c r="H286" s="269"/>
      <c r="I286" s="269"/>
      <c r="J286" s="269"/>
      <c r="K286" s="768"/>
      <c r="L286" s="269"/>
      <c r="M286" s="269"/>
      <c r="N286" s="269"/>
      <c r="O286" s="269"/>
      <c r="P286" s="281"/>
      <c r="R286" s="269"/>
      <c r="S286" s="281"/>
      <c r="T286" s="269"/>
      <c r="U286" s="266"/>
      <c r="V286" s="269"/>
      <c r="W286" s="266"/>
      <c r="X286" s="269"/>
      <c r="Y286" s="269"/>
      <c r="Z286" s="281"/>
      <c r="AA286" s="281"/>
      <c r="AB286" s="281"/>
      <c r="AC286" s="796"/>
      <c r="AD286" s="796"/>
      <c r="AE286" s="269"/>
      <c r="AF286" s="269"/>
      <c r="AG286" s="692"/>
      <c r="AH286" s="215"/>
    </row>
    <row r="287" spans="1:34" ht="13.5" thickBot="1" x14ac:dyDescent="0.25">
      <c r="A287" s="275"/>
      <c r="B287" s="276"/>
      <c r="C287" s="266"/>
      <c r="D287" s="266"/>
      <c r="E287" s="266"/>
      <c r="F287" s="266"/>
      <c r="G287" s="266"/>
      <c r="H287" s="266"/>
      <c r="I287" s="266"/>
      <c r="J287" s="266"/>
      <c r="K287" s="266"/>
      <c r="L287" s="266"/>
      <c r="M287" s="269"/>
      <c r="N287" s="266"/>
      <c r="O287" s="266"/>
      <c r="P287" s="279"/>
      <c r="Q287" s="266"/>
      <c r="R287" s="266"/>
      <c r="S287" s="266"/>
      <c r="T287" s="266"/>
      <c r="U287" s="266"/>
      <c r="V287" s="266"/>
      <c r="W287" s="266"/>
      <c r="X287" s="266"/>
      <c r="Y287" s="266"/>
      <c r="Z287" s="266"/>
      <c r="AA287" s="266"/>
      <c r="AB287" s="266"/>
      <c r="AC287" s="266"/>
      <c r="AD287" s="266"/>
      <c r="AE287" s="266"/>
      <c r="AF287" s="266"/>
      <c r="AG287" s="266"/>
      <c r="AH287" s="215"/>
    </row>
    <row r="288" spans="1:34" x14ac:dyDescent="0.2">
      <c r="A288" s="282"/>
      <c r="B288" s="266"/>
      <c r="C288" s="283"/>
      <c r="D288" s="285"/>
      <c r="E288" s="285"/>
      <c r="F288" s="284"/>
      <c r="G288" s="284"/>
      <c r="H288" s="284"/>
      <c r="I288" s="284"/>
      <c r="J288" s="284"/>
      <c r="K288" s="284"/>
      <c r="L288" s="284"/>
      <c r="M288" s="284"/>
      <c r="N288" s="284"/>
      <c r="O288" s="284"/>
      <c r="P288" s="864"/>
      <c r="Q288" s="284"/>
      <c r="R288" s="284"/>
      <c r="S288" s="284"/>
      <c r="T288" s="284"/>
      <c r="U288" s="284"/>
      <c r="V288" s="284"/>
      <c r="W288" s="284"/>
      <c r="X288" s="284"/>
      <c r="Y288" s="284"/>
      <c r="Z288" s="284"/>
      <c r="AA288" s="284"/>
      <c r="AB288" s="284"/>
      <c r="AC288" s="284"/>
      <c r="AD288" s="284"/>
      <c r="AE288" s="284"/>
      <c r="AF288" s="284"/>
      <c r="AG288" s="284"/>
      <c r="AH288" s="215"/>
    </row>
    <row r="289" spans="1:34" ht="13.5" thickBot="1" x14ac:dyDescent="0.25">
      <c r="A289" s="287" t="s">
        <v>7</v>
      </c>
      <c r="B289" s="266"/>
      <c r="C289" s="288">
        <f>C290+C291+C292+C294+C293</f>
        <v>0</v>
      </c>
      <c r="D289" s="288">
        <f>D290+D291+D292+D294+D293</f>
        <v>0</v>
      </c>
      <c r="E289" s="288">
        <f>E290+E291+E292+E294+E293</f>
        <v>0</v>
      </c>
      <c r="F289" s="288">
        <f>F290+F291+F292+F294+F293</f>
        <v>0</v>
      </c>
      <c r="G289" s="288">
        <f>G290+G291+G292+G294+G293</f>
        <v>0</v>
      </c>
      <c r="H289" s="288">
        <f t="shared" ref="H289:AF289" si="29">H290+H291+H292+H294+H293</f>
        <v>0</v>
      </c>
      <c r="I289" s="288">
        <f t="shared" si="29"/>
        <v>0</v>
      </c>
      <c r="J289" s="288">
        <f t="shared" si="29"/>
        <v>0</v>
      </c>
      <c r="K289" s="288">
        <f t="shared" si="29"/>
        <v>0</v>
      </c>
      <c r="L289" s="288">
        <f t="shared" si="29"/>
        <v>0</v>
      </c>
      <c r="M289" s="288">
        <f t="shared" si="29"/>
        <v>0</v>
      </c>
      <c r="N289" s="288">
        <f t="shared" si="29"/>
        <v>0</v>
      </c>
      <c r="O289" s="288">
        <f t="shared" si="29"/>
        <v>0</v>
      </c>
      <c r="P289" s="865">
        <f t="shared" si="29"/>
        <v>0</v>
      </c>
      <c r="Q289" s="288">
        <f t="shared" si="29"/>
        <v>0</v>
      </c>
      <c r="R289" s="288">
        <f t="shared" si="29"/>
        <v>0</v>
      </c>
      <c r="S289" s="288">
        <f t="shared" si="29"/>
        <v>0</v>
      </c>
      <c r="T289" s="288">
        <f t="shared" si="29"/>
        <v>0</v>
      </c>
      <c r="U289" s="288">
        <f t="shared" si="29"/>
        <v>0</v>
      </c>
      <c r="V289" s="288">
        <f t="shared" si="29"/>
        <v>0</v>
      </c>
      <c r="W289" s="288">
        <f t="shared" si="29"/>
        <v>0</v>
      </c>
      <c r="X289" s="288">
        <f t="shared" si="29"/>
        <v>0</v>
      </c>
      <c r="Y289" s="288">
        <f t="shared" si="29"/>
        <v>0</v>
      </c>
      <c r="Z289" s="288">
        <f t="shared" si="29"/>
        <v>0</v>
      </c>
      <c r="AA289" s="288">
        <f t="shared" si="29"/>
        <v>0</v>
      </c>
      <c r="AB289" s="288">
        <f t="shared" si="29"/>
        <v>0</v>
      </c>
      <c r="AC289" s="288">
        <f t="shared" si="29"/>
        <v>0</v>
      </c>
      <c r="AD289" s="288">
        <f t="shared" si="29"/>
        <v>0</v>
      </c>
      <c r="AE289" s="288">
        <f t="shared" si="29"/>
        <v>0</v>
      </c>
      <c r="AF289" s="288">
        <f t="shared" si="29"/>
        <v>0</v>
      </c>
      <c r="AG289" s="288">
        <f>AG290+AG291+AG292+AG294+AG293</f>
        <v>0</v>
      </c>
      <c r="AH289" s="286">
        <f>SUM(C289:AG289)</f>
        <v>0</v>
      </c>
    </row>
    <row r="290" spans="1:34" x14ac:dyDescent="0.2">
      <c r="A290" s="287" t="s">
        <v>8</v>
      </c>
      <c r="B290" s="331"/>
      <c r="C290" s="291"/>
      <c r="D290" s="291"/>
      <c r="E290" s="362"/>
      <c r="F290" s="290"/>
      <c r="G290" s="290"/>
      <c r="H290" s="290"/>
      <c r="I290" s="295"/>
      <c r="J290" s="290"/>
      <c r="K290" s="290"/>
      <c r="L290" s="290"/>
      <c r="M290" s="290"/>
      <c r="N290" s="290"/>
      <c r="O290" s="290"/>
      <c r="P290" s="292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  <c r="AB290" s="290"/>
      <c r="AC290" s="290"/>
      <c r="AD290" s="290"/>
      <c r="AE290" s="290"/>
      <c r="AF290" s="290"/>
      <c r="AG290" s="290"/>
      <c r="AH290" s="286">
        <f>SUM(C290:AG290)</f>
        <v>0</v>
      </c>
    </row>
    <row r="291" spans="1:34" x14ac:dyDescent="0.2">
      <c r="A291" s="287" t="s">
        <v>9</v>
      </c>
      <c r="B291" s="331"/>
      <c r="C291" s="291"/>
      <c r="D291" s="291"/>
      <c r="E291" s="362"/>
      <c r="F291" s="290"/>
      <c r="G291" s="290"/>
      <c r="H291" s="290"/>
      <c r="I291" s="290"/>
      <c r="J291" s="290"/>
      <c r="K291" s="290"/>
      <c r="L291" s="290"/>
      <c r="M291" s="290"/>
      <c r="N291" s="290"/>
      <c r="O291" s="295"/>
      <c r="P291" s="292"/>
      <c r="Q291" s="290"/>
      <c r="R291" s="290"/>
      <c r="S291" s="290"/>
      <c r="T291" s="290"/>
      <c r="U291" s="290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0"/>
      <c r="AF291" s="290"/>
      <c r="AG291" s="290"/>
      <c r="AH291" s="286">
        <f>SUM(C291:AG291)</f>
        <v>0</v>
      </c>
    </row>
    <row r="292" spans="1:34" s="360" customFormat="1" x14ac:dyDescent="0.2">
      <c r="A292" s="662" t="s">
        <v>10</v>
      </c>
      <c r="B292" s="669"/>
      <c r="C292" s="795"/>
      <c r="D292" s="565"/>
      <c r="E292" s="565"/>
      <c r="F292" s="560"/>
      <c r="G292" s="560"/>
      <c r="H292" s="560"/>
      <c r="I292" s="560"/>
      <c r="J292" s="560"/>
      <c r="K292" s="380"/>
      <c r="L292" s="560"/>
      <c r="M292" s="560"/>
      <c r="N292" s="560"/>
      <c r="O292" s="560"/>
      <c r="P292" s="560"/>
      <c r="Q292" s="560"/>
      <c r="R292" s="560"/>
      <c r="S292" s="560"/>
      <c r="T292" s="560"/>
      <c r="U292" s="560"/>
      <c r="V292" s="560"/>
      <c r="W292" s="560"/>
      <c r="X292" s="560"/>
      <c r="Y292" s="560"/>
      <c r="Z292" s="665"/>
      <c r="AA292" s="560"/>
      <c r="AB292" s="560"/>
      <c r="AC292" s="560"/>
      <c r="AD292" s="708"/>
      <c r="AE292" s="560"/>
      <c r="AF292" s="560"/>
      <c r="AG292" s="380"/>
      <c r="AH292" s="379">
        <f>SUM(C292:AG292)</f>
        <v>0</v>
      </c>
    </row>
    <row r="293" spans="1:34" s="360" customFormat="1" x14ac:dyDescent="0.2">
      <c r="A293" s="662" t="s">
        <v>356</v>
      </c>
      <c r="B293" s="669"/>
      <c r="C293" s="565"/>
      <c r="D293" s="565"/>
      <c r="E293" s="565"/>
      <c r="F293" s="560"/>
      <c r="G293" s="380"/>
      <c r="H293" s="560"/>
      <c r="I293" s="380"/>
      <c r="J293" s="560"/>
      <c r="K293" s="560"/>
      <c r="L293" s="560"/>
      <c r="M293" s="560"/>
      <c r="N293" s="380"/>
      <c r="O293" s="560"/>
      <c r="P293" s="560"/>
      <c r="Q293" s="560"/>
      <c r="R293" s="560"/>
      <c r="S293" s="560"/>
      <c r="T293" s="560"/>
      <c r="U293" s="560"/>
      <c r="V293" s="560"/>
      <c r="W293" s="560"/>
      <c r="X293" s="560"/>
      <c r="Y293" s="560"/>
      <c r="Z293" s="560"/>
      <c r="AA293" s="560"/>
      <c r="AB293" s="380"/>
      <c r="AC293" s="560"/>
      <c r="AD293" s="560"/>
      <c r="AE293" s="560"/>
      <c r="AF293" s="560"/>
      <c r="AG293" s="560"/>
      <c r="AH293" s="379">
        <f>SUM(C293:AG293)</f>
        <v>0</v>
      </c>
    </row>
    <row r="294" spans="1:34" x14ac:dyDescent="0.2">
      <c r="A294" s="287" t="s">
        <v>11</v>
      </c>
      <c r="B294" s="266"/>
      <c r="C294" s="291"/>
      <c r="D294" s="289"/>
      <c r="E294" s="294"/>
      <c r="F294" s="292"/>
      <c r="G294" s="292"/>
      <c r="H294" s="292"/>
      <c r="I294" s="292"/>
      <c r="J294" s="295"/>
      <c r="K294" s="292"/>
      <c r="L294" s="292"/>
      <c r="M294" s="292"/>
      <c r="N294" s="292"/>
      <c r="O294" s="292"/>
      <c r="P294" s="455"/>
      <c r="Q294" s="292"/>
      <c r="R294" s="292"/>
      <c r="S294" s="292"/>
      <c r="T294" s="292"/>
      <c r="U294" s="292"/>
      <c r="V294" s="295"/>
      <c r="W294" s="295"/>
      <c r="X294" s="295"/>
      <c r="Y294" s="455"/>
      <c r="Z294" s="295"/>
      <c r="AA294" s="295"/>
      <c r="AB294" s="295"/>
      <c r="AC294" s="292"/>
      <c r="AD294" s="295"/>
      <c r="AE294" s="292"/>
      <c r="AF294" s="292"/>
      <c r="AG294" s="292"/>
      <c r="AH294" s="215"/>
    </row>
    <row r="295" spans="1:34" ht="13.5" thickBot="1" x14ac:dyDescent="0.25">
      <c r="A295" s="296"/>
      <c r="B295" s="266"/>
      <c r="C295" s="291"/>
      <c r="D295" s="291"/>
      <c r="E295" s="291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2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  <c r="AE295" s="290"/>
      <c r="AF295" s="290"/>
      <c r="AG295" s="290"/>
      <c r="AH295" s="215"/>
    </row>
    <row r="296" spans="1:34" x14ac:dyDescent="0.2">
      <c r="A296" s="282"/>
      <c r="B296" s="266"/>
      <c r="C296" s="297"/>
      <c r="D296" s="298"/>
      <c r="E296" s="298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866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F296" s="299"/>
      <c r="AG296" s="299"/>
      <c r="AH296" s="215"/>
    </row>
    <row r="297" spans="1:34" ht="13.5" thickBot="1" x14ac:dyDescent="0.25">
      <c r="A297" s="287" t="s">
        <v>12</v>
      </c>
      <c r="B297" s="266"/>
      <c r="C297" s="288">
        <f t="shared" ref="C297:AG297" si="30">C298</f>
        <v>0</v>
      </c>
      <c r="D297" s="288">
        <f t="shared" si="30"/>
        <v>0</v>
      </c>
      <c r="E297" s="288">
        <f t="shared" si="30"/>
        <v>0</v>
      </c>
      <c r="F297" s="288">
        <f t="shared" si="30"/>
        <v>0</v>
      </c>
      <c r="G297" s="288">
        <f t="shared" si="30"/>
        <v>0</v>
      </c>
      <c r="H297" s="288">
        <f t="shared" si="30"/>
        <v>0</v>
      </c>
      <c r="I297" s="288">
        <f t="shared" si="30"/>
        <v>0</v>
      </c>
      <c r="J297" s="288">
        <f t="shared" si="30"/>
        <v>0</v>
      </c>
      <c r="K297" s="288">
        <f t="shared" si="30"/>
        <v>0</v>
      </c>
      <c r="L297" s="288">
        <f t="shared" si="30"/>
        <v>0</v>
      </c>
      <c r="M297" s="288">
        <f t="shared" si="30"/>
        <v>0</v>
      </c>
      <c r="N297" s="288">
        <f t="shared" si="30"/>
        <v>0</v>
      </c>
      <c r="O297" s="288">
        <f t="shared" si="30"/>
        <v>0</v>
      </c>
      <c r="P297" s="865">
        <f t="shared" si="30"/>
        <v>0</v>
      </c>
      <c r="Q297" s="288">
        <f t="shared" si="30"/>
        <v>0</v>
      </c>
      <c r="R297" s="288">
        <f t="shared" si="30"/>
        <v>0</v>
      </c>
      <c r="S297" s="288">
        <f t="shared" si="30"/>
        <v>0</v>
      </c>
      <c r="T297" s="288">
        <f t="shared" si="30"/>
        <v>0</v>
      </c>
      <c r="U297" s="288">
        <f t="shared" si="30"/>
        <v>0</v>
      </c>
      <c r="V297" s="288">
        <f t="shared" si="30"/>
        <v>0</v>
      </c>
      <c r="W297" s="288">
        <f t="shared" si="30"/>
        <v>0</v>
      </c>
      <c r="X297" s="288">
        <f t="shared" si="30"/>
        <v>0</v>
      </c>
      <c r="Y297" s="288">
        <f t="shared" si="30"/>
        <v>0</v>
      </c>
      <c r="Z297" s="288">
        <f t="shared" si="30"/>
        <v>0</v>
      </c>
      <c r="AA297" s="288">
        <f t="shared" si="30"/>
        <v>0</v>
      </c>
      <c r="AB297" s="288">
        <f t="shared" si="30"/>
        <v>0</v>
      </c>
      <c r="AC297" s="288">
        <f t="shared" si="30"/>
        <v>0</v>
      </c>
      <c r="AD297" s="288">
        <f t="shared" si="30"/>
        <v>0</v>
      </c>
      <c r="AE297" s="288">
        <f t="shared" si="30"/>
        <v>0</v>
      </c>
      <c r="AF297" s="288">
        <f t="shared" si="30"/>
        <v>0</v>
      </c>
      <c r="AG297" s="288">
        <f t="shared" si="30"/>
        <v>0</v>
      </c>
      <c r="AH297" s="215"/>
    </row>
    <row r="298" spans="1:34" x14ac:dyDescent="0.2">
      <c r="A298" s="287" t="s">
        <v>8</v>
      </c>
      <c r="B298" s="266"/>
      <c r="C298" s="291"/>
      <c r="D298" s="291"/>
      <c r="E298" s="291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2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15"/>
    </row>
    <row r="299" spans="1:34" x14ac:dyDescent="0.2">
      <c r="A299" s="287" t="s">
        <v>775</v>
      </c>
      <c r="B299" s="266"/>
      <c r="C299" s="291">
        <v>4931</v>
      </c>
      <c r="D299" s="291"/>
      <c r="E299" s="291">
        <v>624</v>
      </c>
      <c r="F299" s="290">
        <v>2599</v>
      </c>
      <c r="G299" s="290"/>
      <c r="H299" s="290">
        <v>1224</v>
      </c>
      <c r="I299" s="290">
        <v>580</v>
      </c>
      <c r="J299" s="290">
        <v>5948</v>
      </c>
      <c r="K299" s="290"/>
      <c r="L299" s="290">
        <v>22826</v>
      </c>
      <c r="M299" s="290">
        <v>2667</v>
      </c>
      <c r="N299" s="290"/>
      <c r="O299" s="290">
        <v>7643</v>
      </c>
      <c r="P299" s="292">
        <v>2648</v>
      </c>
      <c r="Q299" s="290">
        <v>18479</v>
      </c>
      <c r="R299" s="290"/>
      <c r="S299" s="290">
        <v>1250</v>
      </c>
      <c r="T299" s="290">
        <v>1017</v>
      </c>
      <c r="U299" s="290"/>
      <c r="V299" s="290">
        <v>17335</v>
      </c>
      <c r="W299" s="290">
        <v>563</v>
      </c>
      <c r="X299" s="290">
        <v>1250</v>
      </c>
      <c r="Y299" s="290"/>
      <c r="Z299" s="290">
        <v>4134</v>
      </c>
      <c r="AA299" s="290"/>
      <c r="AB299" s="290"/>
      <c r="AC299" s="290">
        <v>1080</v>
      </c>
      <c r="AD299" s="290">
        <v>3354</v>
      </c>
      <c r="AE299" s="290"/>
      <c r="AF299" s="290">
        <v>23099</v>
      </c>
      <c r="AG299" s="290">
        <v>19504</v>
      </c>
      <c r="AH299" s="286">
        <f>SUM(C299:AG299)</f>
        <v>142755</v>
      </c>
    </row>
    <row r="300" spans="1:34" ht="13.5" thickBot="1" x14ac:dyDescent="0.25">
      <c r="A300" s="296"/>
      <c r="B300" s="266"/>
      <c r="C300" s="291"/>
      <c r="D300" s="291"/>
      <c r="E300" s="291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2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  <c r="AE300" s="290"/>
      <c r="AF300" s="290"/>
      <c r="AG300" s="290"/>
      <c r="AH300" s="215"/>
    </row>
    <row r="301" spans="1:34" x14ac:dyDescent="0.2">
      <c r="A301" s="282"/>
      <c r="B301" s="266"/>
      <c r="C301" s="297"/>
      <c r="D301" s="298"/>
      <c r="E301" s="298"/>
      <c r="F301" s="299"/>
      <c r="G301" s="299"/>
      <c r="H301" s="299"/>
      <c r="I301" s="299"/>
      <c r="J301" s="299"/>
      <c r="K301" s="299"/>
      <c r="L301" s="299"/>
      <c r="M301" s="299"/>
      <c r="N301" s="299"/>
      <c r="O301" s="299"/>
      <c r="P301" s="866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  <c r="AB301" s="299"/>
      <c r="AC301" s="299"/>
      <c r="AD301" s="299"/>
      <c r="AE301" s="299"/>
      <c r="AF301" s="299"/>
      <c r="AG301" s="299"/>
      <c r="AH301" s="215"/>
    </row>
    <row r="302" spans="1:34" x14ac:dyDescent="0.2">
      <c r="A302" s="287" t="s">
        <v>13</v>
      </c>
      <c r="B302" s="266"/>
      <c r="C302" s="300">
        <f>C297-C289</f>
        <v>0</v>
      </c>
      <c r="D302" s="300">
        <f>D297-D289</f>
        <v>0</v>
      </c>
      <c r="E302" s="300">
        <f>E297-E289</f>
        <v>0</v>
      </c>
      <c r="F302" s="300">
        <f>F297-F289</f>
        <v>0</v>
      </c>
      <c r="G302" s="300">
        <f>G297-G289</f>
        <v>0</v>
      </c>
      <c r="H302" s="300">
        <f t="shared" ref="H302:AG302" si="31">H297-H289</f>
        <v>0</v>
      </c>
      <c r="I302" s="300">
        <f t="shared" si="31"/>
        <v>0</v>
      </c>
      <c r="J302" s="300">
        <f t="shared" si="31"/>
        <v>0</v>
      </c>
      <c r="K302" s="300">
        <f t="shared" si="31"/>
        <v>0</v>
      </c>
      <c r="L302" s="300">
        <f t="shared" si="31"/>
        <v>0</v>
      </c>
      <c r="M302" s="300">
        <f t="shared" si="31"/>
        <v>0</v>
      </c>
      <c r="N302" s="300">
        <f t="shared" si="31"/>
        <v>0</v>
      </c>
      <c r="O302" s="300">
        <f t="shared" si="31"/>
        <v>0</v>
      </c>
      <c r="P302" s="867">
        <f t="shared" si="31"/>
        <v>0</v>
      </c>
      <c r="Q302" s="300">
        <f t="shared" si="31"/>
        <v>0</v>
      </c>
      <c r="R302" s="300">
        <f t="shared" si="31"/>
        <v>0</v>
      </c>
      <c r="S302" s="300">
        <f t="shared" si="31"/>
        <v>0</v>
      </c>
      <c r="T302" s="300">
        <f t="shared" si="31"/>
        <v>0</v>
      </c>
      <c r="U302" s="300">
        <f t="shared" si="31"/>
        <v>0</v>
      </c>
      <c r="V302" s="300">
        <f t="shared" si="31"/>
        <v>0</v>
      </c>
      <c r="W302" s="300">
        <f t="shared" si="31"/>
        <v>0</v>
      </c>
      <c r="X302" s="300">
        <f t="shared" si="31"/>
        <v>0</v>
      </c>
      <c r="Y302" s="300">
        <f t="shared" si="31"/>
        <v>0</v>
      </c>
      <c r="Z302" s="300">
        <f t="shared" si="31"/>
        <v>0</v>
      </c>
      <c r="AA302" s="300">
        <f t="shared" si="31"/>
        <v>0</v>
      </c>
      <c r="AB302" s="300">
        <f t="shared" si="31"/>
        <v>0</v>
      </c>
      <c r="AC302" s="300">
        <f t="shared" si="31"/>
        <v>0</v>
      </c>
      <c r="AD302" s="300">
        <f t="shared" si="31"/>
        <v>0</v>
      </c>
      <c r="AE302" s="300">
        <f t="shared" si="31"/>
        <v>0</v>
      </c>
      <c r="AF302" s="300">
        <f t="shared" si="31"/>
        <v>0</v>
      </c>
      <c r="AG302" s="300">
        <f t="shared" si="31"/>
        <v>0</v>
      </c>
      <c r="AH302" s="215"/>
    </row>
    <row r="303" spans="1:34" ht="13.5" thickBot="1" x14ac:dyDescent="0.25">
      <c r="A303" s="287"/>
      <c r="B303" s="266"/>
      <c r="C303" s="300"/>
      <c r="D303" s="291"/>
      <c r="E303" s="291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2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15"/>
    </row>
    <row r="304" spans="1:34" x14ac:dyDescent="0.2">
      <c r="A304" s="263"/>
      <c r="B304" s="264"/>
      <c r="C304" s="301"/>
      <c r="D304" s="298"/>
      <c r="E304" s="298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866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  <c r="AB304" s="299"/>
      <c r="AC304" s="299"/>
      <c r="AD304" s="299"/>
      <c r="AE304" s="299"/>
      <c r="AF304" s="299"/>
      <c r="AG304" s="299"/>
      <c r="AH304" s="215"/>
    </row>
    <row r="305" spans="1:34" x14ac:dyDescent="0.2">
      <c r="A305" s="265" t="s">
        <v>15</v>
      </c>
      <c r="B305" s="266"/>
      <c r="C305" s="291">
        <f>B286+C302</f>
        <v>-75595.293999999994</v>
      </c>
      <c r="D305" s="291">
        <f t="shared" ref="D305:AG305" si="32">C312+D302</f>
        <v>-75595.293999999994</v>
      </c>
      <c r="E305" s="291">
        <f t="shared" si="32"/>
        <v>-75595.293999999994</v>
      </c>
      <c r="F305" s="291">
        <f t="shared" si="32"/>
        <v>-75595.293999999994</v>
      </c>
      <c r="G305" s="291">
        <f t="shared" si="32"/>
        <v>-75595.293999999994</v>
      </c>
      <c r="H305" s="291">
        <f t="shared" si="32"/>
        <v>-75595.293999999994</v>
      </c>
      <c r="I305" s="291">
        <f t="shared" si="32"/>
        <v>-75595.293999999994</v>
      </c>
      <c r="J305" s="291">
        <f t="shared" si="32"/>
        <v>-75595.293999999994</v>
      </c>
      <c r="K305" s="291">
        <f t="shared" si="32"/>
        <v>-75595.293999999994</v>
      </c>
      <c r="L305" s="291">
        <f t="shared" si="32"/>
        <v>-75595.293999999994</v>
      </c>
      <c r="M305" s="291">
        <f t="shared" si="32"/>
        <v>-75595.293999999994</v>
      </c>
      <c r="N305" s="291">
        <f t="shared" si="32"/>
        <v>-75595.293999999994</v>
      </c>
      <c r="O305" s="291">
        <f t="shared" si="32"/>
        <v>-75595.293999999994</v>
      </c>
      <c r="P305" s="289">
        <f t="shared" si="32"/>
        <v>-75595.293999999994</v>
      </c>
      <c r="Q305" s="291">
        <f t="shared" si="32"/>
        <v>-75595.293999999994</v>
      </c>
      <c r="R305" s="291">
        <f t="shared" si="32"/>
        <v>-75595.293999999994</v>
      </c>
      <c r="S305" s="291">
        <f t="shared" si="32"/>
        <v>-75595.293999999994</v>
      </c>
      <c r="T305" s="291">
        <f t="shared" si="32"/>
        <v>-75595.293999999994</v>
      </c>
      <c r="U305" s="291">
        <f t="shared" si="32"/>
        <v>-75595.293999999994</v>
      </c>
      <c r="V305" s="291">
        <f t="shared" si="32"/>
        <v>-75595.293999999994</v>
      </c>
      <c r="W305" s="291">
        <f t="shared" si="32"/>
        <v>-75595.293999999994</v>
      </c>
      <c r="X305" s="291">
        <f t="shared" si="32"/>
        <v>-75595.293999999994</v>
      </c>
      <c r="Y305" s="291">
        <f t="shared" si="32"/>
        <v>-75595.293999999994</v>
      </c>
      <c r="Z305" s="291">
        <f t="shared" si="32"/>
        <v>-75595.293999999994</v>
      </c>
      <c r="AA305" s="291">
        <f t="shared" si="32"/>
        <v>-75595.293999999994</v>
      </c>
      <c r="AB305" s="291">
        <f t="shared" si="32"/>
        <v>-75595.293999999994</v>
      </c>
      <c r="AC305" s="291">
        <f t="shared" si="32"/>
        <v>-75595.293999999994</v>
      </c>
      <c r="AD305" s="291">
        <f t="shared" si="32"/>
        <v>-75595.293999999994</v>
      </c>
      <c r="AE305" s="291">
        <f t="shared" si="32"/>
        <v>-75595.293999999994</v>
      </c>
      <c r="AF305" s="291">
        <f t="shared" si="32"/>
        <v>-75595.293999999994</v>
      </c>
      <c r="AG305" s="291">
        <f t="shared" si="32"/>
        <v>-75595.293999999994</v>
      </c>
      <c r="AH305" s="215"/>
    </row>
    <row r="306" spans="1:34" ht="13.5" thickBot="1" x14ac:dyDescent="0.25">
      <c r="A306" s="275"/>
      <c r="B306" s="302"/>
      <c r="C306" s="303"/>
      <c r="D306" s="303"/>
      <c r="E306" s="303"/>
      <c r="F306" s="304"/>
      <c r="G306" s="304"/>
      <c r="H306" s="304"/>
      <c r="I306" s="304"/>
      <c r="J306" s="304"/>
      <c r="K306" s="304"/>
      <c r="L306" s="304"/>
      <c r="M306" s="304"/>
      <c r="N306" s="304"/>
      <c r="O306" s="304"/>
      <c r="P306" s="868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4"/>
      <c r="AG306" s="304"/>
      <c r="AH306" s="215"/>
    </row>
    <row r="307" spans="1:34" x14ac:dyDescent="0.2">
      <c r="A307" s="263"/>
      <c r="B307" s="264"/>
      <c r="C307" s="298"/>
      <c r="D307" s="298"/>
      <c r="E307" s="298"/>
      <c r="F307" s="299"/>
      <c r="G307" s="299"/>
      <c r="H307" s="299"/>
      <c r="I307" s="299"/>
      <c r="J307" s="299"/>
      <c r="K307" s="299"/>
      <c r="L307" s="299"/>
      <c r="M307" s="299"/>
      <c r="N307" s="299"/>
      <c r="O307" s="299"/>
      <c r="P307" s="866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  <c r="AB307" s="299"/>
      <c r="AC307" s="299"/>
      <c r="AD307" s="299"/>
      <c r="AE307" s="299"/>
      <c r="AF307" s="299"/>
      <c r="AG307" s="299"/>
      <c r="AH307" s="215"/>
    </row>
    <row r="308" spans="1:34" x14ac:dyDescent="0.2">
      <c r="A308" s="265" t="s">
        <v>82</v>
      </c>
      <c r="B308" s="266"/>
      <c r="C308" s="291">
        <f t="shared" ref="C308:AG309" si="33">C316</f>
        <v>0</v>
      </c>
      <c r="D308" s="291">
        <f t="shared" si="33"/>
        <v>0</v>
      </c>
      <c r="E308" s="291">
        <f t="shared" si="33"/>
        <v>0</v>
      </c>
      <c r="F308" s="291">
        <f t="shared" si="33"/>
        <v>0</v>
      </c>
      <c r="G308" s="291">
        <f t="shared" si="33"/>
        <v>0</v>
      </c>
      <c r="H308" s="291">
        <f t="shared" si="33"/>
        <v>0</v>
      </c>
      <c r="I308" s="291">
        <f t="shared" si="33"/>
        <v>0</v>
      </c>
      <c r="J308" s="291">
        <f t="shared" si="33"/>
        <v>0</v>
      </c>
      <c r="K308" s="291">
        <f t="shared" si="33"/>
        <v>0</v>
      </c>
      <c r="L308" s="291">
        <f t="shared" si="33"/>
        <v>0</v>
      </c>
      <c r="M308" s="291">
        <f t="shared" si="33"/>
        <v>0</v>
      </c>
      <c r="N308" s="291">
        <f t="shared" si="33"/>
        <v>0</v>
      </c>
      <c r="O308" s="291">
        <f t="shared" si="33"/>
        <v>0</v>
      </c>
      <c r="P308" s="289">
        <f t="shared" si="33"/>
        <v>0</v>
      </c>
      <c r="Q308" s="291">
        <f t="shared" si="33"/>
        <v>0</v>
      </c>
      <c r="R308" s="291">
        <f t="shared" si="33"/>
        <v>0</v>
      </c>
      <c r="S308" s="291">
        <f t="shared" si="33"/>
        <v>0</v>
      </c>
      <c r="T308" s="291">
        <f t="shared" si="33"/>
        <v>0</v>
      </c>
      <c r="U308" s="291">
        <f t="shared" si="33"/>
        <v>0</v>
      </c>
      <c r="V308" s="291">
        <f t="shared" si="33"/>
        <v>0</v>
      </c>
      <c r="W308" s="291">
        <f t="shared" si="33"/>
        <v>0</v>
      </c>
      <c r="X308" s="291">
        <f t="shared" si="33"/>
        <v>0</v>
      </c>
      <c r="Y308" s="291">
        <f t="shared" si="33"/>
        <v>0</v>
      </c>
      <c r="Z308" s="291">
        <f t="shared" si="33"/>
        <v>0</v>
      </c>
      <c r="AA308" s="291">
        <f>AA316</f>
        <v>0</v>
      </c>
      <c r="AB308" s="291">
        <f t="shared" si="33"/>
        <v>0</v>
      </c>
      <c r="AC308" s="291">
        <f t="shared" si="33"/>
        <v>0</v>
      </c>
      <c r="AD308" s="291">
        <f t="shared" si="33"/>
        <v>0</v>
      </c>
      <c r="AE308" s="291">
        <f t="shared" si="33"/>
        <v>0</v>
      </c>
      <c r="AF308" s="291">
        <f t="shared" si="33"/>
        <v>0</v>
      </c>
      <c r="AG308" s="291">
        <f t="shared" si="33"/>
        <v>0</v>
      </c>
      <c r="AH308" s="215"/>
    </row>
    <row r="309" spans="1:34" x14ac:dyDescent="0.2">
      <c r="A309" s="265" t="s">
        <v>83</v>
      </c>
      <c r="B309" s="266"/>
      <c r="C309" s="289">
        <f t="shared" si="33"/>
        <v>0</v>
      </c>
      <c r="D309" s="289">
        <f t="shared" si="33"/>
        <v>0</v>
      </c>
      <c r="E309" s="289">
        <f t="shared" si="33"/>
        <v>0</v>
      </c>
      <c r="F309" s="289">
        <f t="shared" si="33"/>
        <v>0</v>
      </c>
      <c r="G309" s="289">
        <f t="shared" si="33"/>
        <v>0</v>
      </c>
      <c r="H309" s="289">
        <f t="shared" si="33"/>
        <v>0</v>
      </c>
      <c r="I309" s="289">
        <f t="shared" si="33"/>
        <v>0</v>
      </c>
      <c r="J309" s="289">
        <f t="shared" si="33"/>
        <v>0</v>
      </c>
      <c r="K309" s="289">
        <f t="shared" si="33"/>
        <v>0</v>
      </c>
      <c r="L309" s="289">
        <f t="shared" si="33"/>
        <v>0</v>
      </c>
      <c r="M309" s="289">
        <f t="shared" si="33"/>
        <v>0</v>
      </c>
      <c r="N309" s="289">
        <f t="shared" si="33"/>
        <v>0</v>
      </c>
      <c r="O309" s="289">
        <f t="shared" si="33"/>
        <v>0</v>
      </c>
      <c r="P309" s="289">
        <f t="shared" si="33"/>
        <v>0</v>
      </c>
      <c r="Q309" s="289">
        <f t="shared" si="33"/>
        <v>0</v>
      </c>
      <c r="R309" s="289">
        <f t="shared" si="33"/>
        <v>0</v>
      </c>
      <c r="S309" s="289">
        <f t="shared" si="33"/>
        <v>0</v>
      </c>
      <c r="T309" s="289">
        <f t="shared" si="33"/>
        <v>0</v>
      </c>
      <c r="U309" s="289">
        <f t="shared" si="33"/>
        <v>0</v>
      </c>
      <c r="V309" s="289">
        <f t="shared" si="33"/>
        <v>0</v>
      </c>
      <c r="W309" s="289">
        <f t="shared" si="33"/>
        <v>0</v>
      </c>
      <c r="X309" s="289">
        <f t="shared" si="33"/>
        <v>0</v>
      </c>
      <c r="Y309" s="289">
        <f t="shared" si="33"/>
        <v>0</v>
      </c>
      <c r="Z309" s="289">
        <f t="shared" si="33"/>
        <v>0</v>
      </c>
      <c r="AA309" s="289">
        <f t="shared" si="33"/>
        <v>0</v>
      </c>
      <c r="AB309" s="289">
        <f t="shared" si="33"/>
        <v>0</v>
      </c>
      <c r="AC309" s="289">
        <f t="shared" si="33"/>
        <v>0</v>
      </c>
      <c r="AD309" s="289">
        <f t="shared" si="33"/>
        <v>0</v>
      </c>
      <c r="AE309" s="289">
        <f t="shared" si="33"/>
        <v>0</v>
      </c>
      <c r="AF309" s="289">
        <f t="shared" si="33"/>
        <v>0</v>
      </c>
      <c r="AG309" s="289">
        <f t="shared" si="33"/>
        <v>0</v>
      </c>
      <c r="AH309" s="215"/>
    </row>
    <row r="310" spans="1:34" ht="13.5" thickBot="1" x14ac:dyDescent="0.25">
      <c r="A310" s="275"/>
      <c r="B310" s="302"/>
      <c r="C310" s="303"/>
      <c r="D310" s="303"/>
      <c r="E310" s="303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868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215"/>
    </row>
    <row r="311" spans="1:34" x14ac:dyDescent="0.2">
      <c r="A311" s="265"/>
      <c r="B311" s="266"/>
      <c r="C311" s="291"/>
      <c r="D311" s="291"/>
      <c r="E311" s="291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2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  <c r="AE311" s="290"/>
      <c r="AF311" s="290"/>
      <c r="AG311" s="290"/>
      <c r="AH311" s="215"/>
    </row>
    <row r="312" spans="1:34" x14ac:dyDescent="0.2">
      <c r="A312" s="265" t="s">
        <v>14</v>
      </c>
      <c r="B312" s="266"/>
      <c r="C312" s="291">
        <f>C305+C308+C309</f>
        <v>-75595.293999999994</v>
      </c>
      <c r="D312" s="291">
        <f>D305+D308+D309</f>
        <v>-75595.293999999994</v>
      </c>
      <c r="E312" s="291">
        <f>E305+E308+E309</f>
        <v>-75595.293999999994</v>
      </c>
      <c r="F312" s="291">
        <f>F305+F308+F309</f>
        <v>-75595.293999999994</v>
      </c>
      <c r="G312" s="291">
        <f>G305+G308+G309</f>
        <v>-75595.293999999994</v>
      </c>
      <c r="H312" s="291">
        <f t="shared" ref="H312:AG312" si="34">H305+H308+H309</f>
        <v>-75595.293999999994</v>
      </c>
      <c r="I312" s="291">
        <f t="shared" si="34"/>
        <v>-75595.293999999994</v>
      </c>
      <c r="J312" s="291">
        <f t="shared" si="34"/>
        <v>-75595.293999999994</v>
      </c>
      <c r="K312" s="291">
        <f t="shared" si="34"/>
        <v>-75595.293999999994</v>
      </c>
      <c r="L312" s="291">
        <f t="shared" si="34"/>
        <v>-75595.293999999994</v>
      </c>
      <c r="M312" s="291">
        <f t="shared" si="34"/>
        <v>-75595.293999999994</v>
      </c>
      <c r="N312" s="291">
        <f t="shared" si="34"/>
        <v>-75595.293999999994</v>
      </c>
      <c r="O312" s="291">
        <f t="shared" si="34"/>
        <v>-75595.293999999994</v>
      </c>
      <c r="P312" s="289">
        <f t="shared" si="34"/>
        <v>-75595.293999999994</v>
      </c>
      <c r="Q312" s="291">
        <f t="shared" si="34"/>
        <v>-75595.293999999994</v>
      </c>
      <c r="R312" s="291">
        <f t="shared" si="34"/>
        <v>-75595.293999999994</v>
      </c>
      <c r="S312" s="291">
        <f t="shared" si="34"/>
        <v>-75595.293999999994</v>
      </c>
      <c r="T312" s="291">
        <f t="shared" si="34"/>
        <v>-75595.293999999994</v>
      </c>
      <c r="U312" s="291">
        <f t="shared" si="34"/>
        <v>-75595.293999999994</v>
      </c>
      <c r="V312" s="291">
        <f t="shared" si="34"/>
        <v>-75595.293999999994</v>
      </c>
      <c r="W312" s="291">
        <f t="shared" si="34"/>
        <v>-75595.293999999994</v>
      </c>
      <c r="X312" s="291">
        <f t="shared" si="34"/>
        <v>-75595.293999999994</v>
      </c>
      <c r="Y312" s="291">
        <f t="shared" si="34"/>
        <v>-75595.293999999994</v>
      </c>
      <c r="Z312" s="291">
        <f t="shared" si="34"/>
        <v>-75595.293999999994</v>
      </c>
      <c r="AA312" s="291">
        <f t="shared" si="34"/>
        <v>-75595.293999999994</v>
      </c>
      <c r="AB312" s="291">
        <f t="shared" si="34"/>
        <v>-75595.293999999994</v>
      </c>
      <c r="AC312" s="291">
        <f t="shared" si="34"/>
        <v>-75595.293999999994</v>
      </c>
      <c r="AD312" s="291">
        <f t="shared" si="34"/>
        <v>-75595.293999999994</v>
      </c>
      <c r="AE312" s="291">
        <f t="shared" si="34"/>
        <v>-75595.293999999994</v>
      </c>
      <c r="AF312" s="291">
        <f t="shared" si="34"/>
        <v>-75595.293999999994</v>
      </c>
      <c r="AG312" s="291">
        <f t="shared" si="34"/>
        <v>-75595.293999999994</v>
      </c>
      <c r="AH312" s="215"/>
    </row>
    <row r="313" spans="1:34" x14ac:dyDescent="0.2">
      <c r="A313" s="265"/>
      <c r="B313" s="266"/>
      <c r="C313" s="291"/>
      <c r="D313" s="291"/>
      <c r="E313" s="291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2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  <c r="AA313" s="290"/>
      <c r="AB313" s="290"/>
      <c r="AC313" s="290"/>
      <c r="AD313" s="290"/>
      <c r="AE313" s="290"/>
      <c r="AF313" s="290"/>
      <c r="AG313" s="290"/>
      <c r="AH313" s="215"/>
    </row>
    <row r="314" spans="1:34" ht="13.5" thickBot="1" x14ac:dyDescent="0.25">
      <c r="A314" s="275"/>
      <c r="B314" s="302"/>
      <c r="C314" s="306"/>
      <c r="D314" s="306"/>
      <c r="E314" s="306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869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C314" s="307"/>
      <c r="AD314" s="307"/>
      <c r="AE314" s="307"/>
      <c r="AF314" s="307"/>
      <c r="AG314" s="307"/>
      <c r="AH314" s="215"/>
    </row>
    <row r="315" spans="1:34" x14ac:dyDescent="0.2">
      <c r="A315" s="310"/>
      <c r="B315" s="215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308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>
        <f>SUM(C315:AG315)</f>
        <v>0</v>
      </c>
    </row>
    <row r="316" spans="1:34" x14ac:dyDescent="0.2">
      <c r="A316" s="312"/>
      <c r="B316" s="475"/>
      <c r="C316" s="311"/>
      <c r="D316" s="629"/>
      <c r="E316" s="371"/>
      <c r="F316" s="311"/>
      <c r="G316" s="311"/>
      <c r="H316" s="314"/>
      <c r="I316" s="311"/>
      <c r="J316" s="311"/>
      <c r="K316" s="311"/>
      <c r="L316" s="311"/>
      <c r="M316" s="314"/>
      <c r="N316" s="314"/>
      <c r="O316" s="314"/>
      <c r="P316" s="629"/>
      <c r="Q316" s="311"/>
      <c r="R316" s="311"/>
      <c r="S316" s="311"/>
      <c r="T316" s="311"/>
      <c r="U316" s="311"/>
      <c r="V316" s="311"/>
      <c r="W316" s="314"/>
      <c r="X316" s="314"/>
      <c r="Y316" s="314"/>
      <c r="Z316" s="314"/>
      <c r="AA316" s="314"/>
      <c r="AB316" s="314"/>
      <c r="AC316" s="314"/>
      <c r="AD316" s="629"/>
      <c r="AE316" s="311"/>
      <c r="AF316" s="311"/>
      <c r="AG316" s="311"/>
      <c r="AH316" s="286"/>
    </row>
    <row r="317" spans="1:34" x14ac:dyDescent="0.2">
      <c r="A317" s="215"/>
      <c r="B317" s="215"/>
      <c r="C317" s="215"/>
      <c r="D317" s="215"/>
      <c r="E317" s="317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/>
      <c r="AF317" s="215"/>
      <c r="AG317" s="215"/>
      <c r="AH317" s="286"/>
    </row>
    <row r="318" spans="1:34" x14ac:dyDescent="0.2">
      <c r="A318" s="358" t="s">
        <v>415</v>
      </c>
      <c r="B318" s="359">
        <f>B319+B320+B322+B321</f>
        <v>1020000</v>
      </c>
      <c r="C318" s="316"/>
      <c r="D318" s="215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309"/>
      <c r="Q318" s="215"/>
      <c r="R318" s="215"/>
      <c r="S318" s="215"/>
      <c r="T318" s="215"/>
      <c r="U318" s="457"/>
      <c r="V318" s="314"/>
      <c r="W318" s="286"/>
      <c r="X318" s="215"/>
      <c r="Y318" s="215"/>
      <c r="Z318" s="215"/>
      <c r="AA318" s="408"/>
      <c r="AB318" s="215"/>
      <c r="AC318" s="215"/>
      <c r="AD318" s="215"/>
      <c r="AE318" s="215"/>
      <c r="AF318" s="215"/>
      <c r="AG318" s="215"/>
      <c r="AH318" s="215"/>
    </row>
    <row r="319" spans="1:34" x14ac:dyDescent="0.2">
      <c r="A319" s="327" t="s">
        <v>414</v>
      </c>
      <c r="B319" s="311">
        <v>20000</v>
      </c>
      <c r="C319" s="215"/>
      <c r="D319" s="215"/>
      <c r="E319" s="286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309"/>
      <c r="Q319" s="215"/>
      <c r="R319" s="215"/>
      <c r="S319" s="215"/>
      <c r="T319" s="215"/>
      <c r="U319" s="313"/>
      <c r="V319" s="313"/>
      <c r="W319" s="215"/>
      <c r="X319" s="215"/>
      <c r="Y319" s="215"/>
      <c r="Z319" s="215"/>
      <c r="AA319" s="215"/>
      <c r="AB319" s="215"/>
      <c r="AC319" s="286"/>
      <c r="AD319" s="286"/>
      <c r="AE319" s="215"/>
      <c r="AF319" s="215"/>
      <c r="AG319" s="215"/>
      <c r="AH319" s="215"/>
    </row>
    <row r="320" spans="1:34" x14ac:dyDescent="0.2">
      <c r="A320" s="327" t="s">
        <v>287</v>
      </c>
      <c r="B320" s="311">
        <v>600000</v>
      </c>
      <c r="C320" s="215"/>
      <c r="D320" s="215"/>
      <c r="E320" s="215"/>
      <c r="F320" s="215"/>
      <c r="G320" s="215"/>
      <c r="H320" s="215"/>
      <c r="I320" s="215"/>
      <c r="J320" s="215"/>
      <c r="K320" s="286"/>
      <c r="L320" s="215"/>
      <c r="M320" s="215"/>
      <c r="N320" s="215"/>
      <c r="O320" s="215"/>
      <c r="P320" s="309"/>
      <c r="Q320" s="215"/>
      <c r="R320" s="215"/>
      <c r="S320" s="215"/>
      <c r="T320" s="215"/>
      <c r="U320" s="458"/>
      <c r="V320" s="313"/>
      <c r="W320" s="215"/>
      <c r="X320" s="286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310" t="s">
        <v>413</v>
      </c>
      <c r="B321" s="311">
        <v>200000</v>
      </c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310" t="s">
        <v>441</v>
      </c>
      <c r="B322" s="311">
        <v>200000</v>
      </c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309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</row>
    <row r="323" spans="1:33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309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5"/>
      <c r="AG323" s="215"/>
    </row>
    <row r="324" spans="1:33" x14ac:dyDescent="0.2">
      <c r="A324" s="183" t="s">
        <v>449</v>
      </c>
      <c r="B324" s="25"/>
      <c r="L324" s="42"/>
    </row>
    <row r="325" spans="1:33" x14ac:dyDescent="0.2">
      <c r="AB325" s="42"/>
      <c r="AC325" s="42"/>
      <c r="AD325" s="42"/>
      <c r="AE325" s="42"/>
    </row>
    <row r="332" spans="1:33" ht="15" x14ac:dyDescent="0.2">
      <c r="A332" s="401"/>
      <c r="B332" s="791"/>
    </row>
    <row r="333" spans="1:33" ht="15" x14ac:dyDescent="0.2">
      <c r="A333" s="401"/>
      <c r="B333" s="791"/>
    </row>
    <row r="334" spans="1:33" ht="15" x14ac:dyDescent="0.2">
      <c r="A334" s="401"/>
      <c r="B334" s="791"/>
    </row>
    <row r="339" spans="1:2" ht="18" x14ac:dyDescent="0.25">
      <c r="A339" s="1757"/>
      <c r="B339" s="1757"/>
    </row>
    <row r="340" spans="1:2" x14ac:dyDescent="0.2">
      <c r="A340" s="54"/>
      <c r="B340" s="54"/>
    </row>
    <row r="342" spans="1:2" x14ac:dyDescent="0.2">
      <c r="A342" s="483"/>
      <c r="B342" s="25"/>
    </row>
    <row r="343" spans="1:2" x14ac:dyDescent="0.2">
      <c r="A343" s="483"/>
      <c r="B343" s="25"/>
    </row>
    <row r="344" spans="1:2" x14ac:dyDescent="0.2">
      <c r="A344" s="483"/>
      <c r="B344" s="25"/>
    </row>
    <row r="345" spans="1:2" x14ac:dyDescent="0.2">
      <c r="A345" s="483"/>
      <c r="B345" s="25"/>
    </row>
    <row r="346" spans="1:2" x14ac:dyDescent="0.2">
      <c r="A346" s="483"/>
      <c r="B346" s="25"/>
    </row>
    <row r="347" spans="1:2" x14ac:dyDescent="0.2">
      <c r="A347" s="483"/>
      <c r="B347" s="25"/>
    </row>
    <row r="348" spans="1:2" x14ac:dyDescent="0.2">
      <c r="A348" s="483"/>
      <c r="B348" s="25"/>
    </row>
    <row r="349" spans="1:2" x14ac:dyDescent="0.2">
      <c r="A349" s="483"/>
      <c r="B349" s="25"/>
    </row>
    <row r="350" spans="1:2" x14ac:dyDescent="0.2">
      <c r="A350" s="483"/>
      <c r="B350" s="25"/>
    </row>
    <row r="351" spans="1:2" x14ac:dyDescent="0.2">
      <c r="A351" s="483"/>
      <c r="B351" s="25"/>
    </row>
    <row r="352" spans="1:2" x14ac:dyDescent="0.2">
      <c r="A352" s="483"/>
      <c r="B352" s="25"/>
    </row>
    <row r="355" spans="2:2" x14ac:dyDescent="0.2">
      <c r="B355" s="25"/>
    </row>
    <row r="356" spans="2:2" x14ac:dyDescent="0.2">
      <c r="B356" s="25"/>
    </row>
    <row r="357" spans="2:2" x14ac:dyDescent="0.2">
      <c r="B357" s="25"/>
    </row>
    <row r="359" spans="2:2" x14ac:dyDescent="0.2">
      <c r="B359" s="889"/>
    </row>
  </sheetData>
  <mergeCells count="1">
    <mergeCell ref="A339:B339"/>
  </mergeCells>
  <pageMargins left="0.78740157480314965" right="0.78740157480314965" top="0.98425196850393704" bottom="0.98425196850393704" header="0.51181102362204722" footer="0.51181102362204722"/>
  <pageSetup paperSize="9" fitToHeight="2" orientation="landscape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O95"/>
  <sheetViews>
    <sheetView topLeftCell="A13" workbookViewId="0">
      <selection activeCell="I31" sqref="I31"/>
    </sheetView>
  </sheetViews>
  <sheetFormatPr defaultColWidth="11.42578125" defaultRowHeight="12.75" x14ac:dyDescent="0.2"/>
  <cols>
    <col min="1" max="1" width="40.5703125" customWidth="1"/>
    <col min="2" max="6" width="16.140625" customWidth="1"/>
    <col min="7" max="7" width="17.42578125" customWidth="1"/>
    <col min="8" max="9" width="15.7109375" customWidth="1"/>
    <col min="10" max="10" width="12.85546875" bestFit="1" customWidth="1"/>
    <col min="11" max="11" width="14.7109375" bestFit="1" customWidth="1"/>
    <col min="12" max="15" width="11.85546875" bestFit="1" customWidth="1"/>
  </cols>
  <sheetData>
    <row r="3" spans="1:15" ht="13.5" thickBot="1" x14ac:dyDescent="0.25"/>
    <row r="4" spans="1:15" x14ac:dyDescent="0.2">
      <c r="A4" s="2"/>
      <c r="B4" s="3"/>
      <c r="C4" s="3"/>
      <c r="D4" s="3"/>
      <c r="E4" s="3"/>
      <c r="F4" s="3"/>
      <c r="G4" s="3"/>
      <c r="H4" s="119">
        <v>42269</v>
      </c>
      <c r="I4" s="60"/>
    </row>
    <row r="5" spans="1:15" x14ac:dyDescent="0.2">
      <c r="A5" s="5"/>
      <c r="B5" s="6"/>
      <c r="C5" s="6"/>
      <c r="D5" s="6"/>
      <c r="E5" s="6"/>
      <c r="F5" s="6"/>
      <c r="G5" s="6"/>
      <c r="H5" s="7"/>
      <c r="I5" s="6"/>
    </row>
    <row r="6" spans="1:15" ht="23.25" x14ac:dyDescent="0.35">
      <c r="A6" s="5"/>
      <c r="B6" s="1733" t="s">
        <v>1092</v>
      </c>
      <c r="C6" s="1733"/>
      <c r="D6" s="1733"/>
      <c r="E6" s="1733"/>
      <c r="F6" s="1733"/>
      <c r="G6" s="1088" t="s">
        <v>1094</v>
      </c>
      <c r="H6" s="7"/>
      <c r="I6" s="6"/>
    </row>
    <row r="7" spans="1:15" x14ac:dyDescent="0.2">
      <c r="A7" s="5"/>
      <c r="B7" s="6"/>
      <c r="C7" s="6"/>
      <c r="D7" s="6"/>
      <c r="E7" s="6"/>
      <c r="F7" s="6"/>
      <c r="G7" s="6"/>
      <c r="H7" s="7"/>
      <c r="I7" s="6"/>
      <c r="K7" s="1084"/>
    </row>
    <row r="8" spans="1:15" ht="23.25" x14ac:dyDescent="0.35">
      <c r="A8" s="5"/>
      <c r="B8" s="6"/>
      <c r="C8" s="6"/>
      <c r="D8" s="1087" t="s">
        <v>1093</v>
      </c>
      <c r="E8" s="1087"/>
      <c r="F8" s="1087"/>
      <c r="G8" s="1087"/>
      <c r="H8" s="1087"/>
      <c r="I8" s="6"/>
    </row>
    <row r="9" spans="1:15" x14ac:dyDescent="0.2">
      <c r="A9" s="5"/>
      <c r="B9" s="6"/>
      <c r="C9" s="482"/>
      <c r="D9" s="482"/>
      <c r="E9" s="6"/>
      <c r="F9" s="6"/>
      <c r="G9" s="6"/>
      <c r="H9" s="7"/>
      <c r="I9" s="6"/>
    </row>
    <row r="10" spans="1:15" x14ac:dyDescent="0.2">
      <c r="A10" s="5"/>
      <c r="B10" s="6"/>
      <c r="C10" s="6"/>
      <c r="D10" s="6"/>
      <c r="E10" s="6"/>
      <c r="F10" s="6"/>
      <c r="G10" s="6"/>
      <c r="H10" s="7"/>
      <c r="I10" s="6"/>
    </row>
    <row r="11" spans="1:15" ht="13.5" thickBot="1" x14ac:dyDescent="0.25">
      <c r="A11" s="11"/>
      <c r="B11" s="12"/>
      <c r="C11" s="12"/>
      <c r="D11" s="12"/>
      <c r="E11" s="12"/>
      <c r="F11" s="12"/>
      <c r="G11" s="12"/>
      <c r="H11" s="130"/>
      <c r="I11" s="6"/>
    </row>
    <row r="12" spans="1:15" x14ac:dyDescent="0.2">
      <c r="A12" s="5"/>
      <c r="B12" s="205"/>
      <c r="C12" s="205" t="s">
        <v>113</v>
      </c>
      <c r="D12" s="205" t="s">
        <v>70</v>
      </c>
      <c r="E12" s="205" t="s">
        <v>72</v>
      </c>
      <c r="F12" s="205" t="s">
        <v>330</v>
      </c>
      <c r="G12" s="205" t="s">
        <v>888</v>
      </c>
      <c r="H12" s="561" t="s">
        <v>1095</v>
      </c>
      <c r="I12" s="96"/>
    </row>
    <row r="13" spans="1:15" ht="13.5" thickBot="1" x14ac:dyDescent="0.25">
      <c r="A13" s="5"/>
      <c r="B13" s="27"/>
      <c r="C13" s="27"/>
      <c r="D13" s="27"/>
      <c r="E13" s="27"/>
      <c r="F13" s="27"/>
      <c r="G13" s="27"/>
      <c r="H13" s="27"/>
      <c r="I13" s="93"/>
    </row>
    <row r="14" spans="1:15" x14ac:dyDescent="0.2">
      <c r="A14" s="5"/>
      <c r="B14" s="33"/>
      <c r="C14" s="33"/>
      <c r="D14" s="33"/>
      <c r="E14" s="33"/>
      <c r="F14" s="33"/>
      <c r="G14" s="33"/>
      <c r="H14" s="33"/>
      <c r="I14" s="29"/>
    </row>
    <row r="15" spans="1:15" ht="15.75" x14ac:dyDescent="0.25">
      <c r="A15" s="43" t="s">
        <v>25</v>
      </c>
      <c r="B15" s="45"/>
      <c r="C15" s="45"/>
      <c r="D15" s="45"/>
      <c r="E15" s="45"/>
      <c r="F15" s="45"/>
      <c r="G15" s="45"/>
      <c r="H15" s="45"/>
      <c r="I15" s="42"/>
      <c r="J15" s="42"/>
      <c r="K15" s="42"/>
      <c r="L15" s="42"/>
      <c r="M15" s="42"/>
      <c r="N15" s="42"/>
      <c r="O15" s="42"/>
    </row>
    <row r="16" spans="1:15" ht="15.75" x14ac:dyDescent="0.25">
      <c r="A16" s="43"/>
      <c r="B16" s="45"/>
      <c r="C16" s="45"/>
      <c r="D16" s="45"/>
      <c r="E16" s="45"/>
      <c r="F16" s="45"/>
      <c r="G16" s="45"/>
      <c r="H16" s="45"/>
      <c r="I16" s="1082"/>
      <c r="J16" s="1082"/>
      <c r="K16" s="1082"/>
      <c r="L16" s="1082"/>
      <c r="M16" s="1082"/>
      <c r="N16" s="1082"/>
    </row>
    <row r="17" spans="1:15" x14ac:dyDescent="0.2">
      <c r="A17" s="10" t="s">
        <v>133</v>
      </c>
      <c r="B17" s="120">
        <v>720823</v>
      </c>
      <c r="C17" s="120">
        <v>720823</v>
      </c>
      <c r="D17" s="120">
        <v>0</v>
      </c>
      <c r="E17" s="120">
        <v>0</v>
      </c>
      <c r="F17" s="120">
        <v>0</v>
      </c>
      <c r="G17" s="120">
        <f>C17+D17+E17+F17</f>
        <v>720823</v>
      </c>
      <c r="H17" s="120">
        <f>+B17-G17</f>
        <v>0</v>
      </c>
      <c r="I17" s="1085"/>
    </row>
    <row r="18" spans="1:15" x14ac:dyDescent="0.2">
      <c r="A18" s="491" t="s">
        <v>804</v>
      </c>
      <c r="B18" s="120">
        <f>676+1349+1398</f>
        <v>3423</v>
      </c>
      <c r="C18" s="120">
        <v>0</v>
      </c>
      <c r="D18" s="120">
        <v>0</v>
      </c>
      <c r="E18" s="120">
        <v>0</v>
      </c>
      <c r="F18" s="120">
        <v>3423</v>
      </c>
      <c r="G18" s="120">
        <f t="shared" ref="G18:G26" si="0">C18+D18+E18+F18</f>
        <v>3423</v>
      </c>
      <c r="H18" s="120">
        <f t="shared" ref="H18:H26" si="1">+B18-G18</f>
        <v>0</v>
      </c>
      <c r="I18" s="42"/>
      <c r="J18" s="42"/>
      <c r="K18" s="42"/>
      <c r="L18" s="42"/>
      <c r="M18" s="42"/>
      <c r="N18" s="42"/>
      <c r="O18" s="42"/>
    </row>
    <row r="19" spans="1:15" x14ac:dyDescent="0.2">
      <c r="A19" s="491" t="s">
        <v>805</v>
      </c>
      <c r="B19" s="120">
        <v>24442</v>
      </c>
      <c r="C19" s="120">
        <v>24442</v>
      </c>
      <c r="D19" s="120">
        <v>0</v>
      </c>
      <c r="E19" s="120">
        <v>0</v>
      </c>
      <c r="F19" s="120">
        <v>0</v>
      </c>
      <c r="G19" s="120">
        <f t="shared" si="0"/>
        <v>24442</v>
      </c>
      <c r="H19" s="120">
        <f t="shared" si="1"/>
        <v>0</v>
      </c>
      <c r="I19" s="1082"/>
      <c r="J19" s="1082"/>
      <c r="K19" s="1082"/>
      <c r="L19" s="1082"/>
      <c r="M19" s="1082"/>
      <c r="N19" s="1082"/>
    </row>
    <row r="20" spans="1:15" x14ac:dyDescent="0.2">
      <c r="A20" s="10" t="s">
        <v>134</v>
      </c>
      <c r="B20" s="120">
        <f>0+29239+11286</f>
        <v>40525</v>
      </c>
      <c r="C20" s="120">
        <v>0</v>
      </c>
      <c r="D20" s="729">
        <v>0</v>
      </c>
      <c r="E20" s="120">
        <v>0</v>
      </c>
      <c r="F20" s="120">
        <v>40525</v>
      </c>
      <c r="G20" s="120">
        <f t="shared" si="0"/>
        <v>40525</v>
      </c>
      <c r="H20" s="120">
        <f t="shared" si="1"/>
        <v>0</v>
      </c>
      <c r="I20" s="1085"/>
      <c r="N20" s="42"/>
    </row>
    <row r="21" spans="1:15" s="58" customFormat="1" x14ac:dyDescent="0.2">
      <c r="A21" s="727" t="s">
        <v>359</v>
      </c>
      <c r="B21" s="728">
        <f>164119+88240</f>
        <v>252359</v>
      </c>
      <c r="C21" s="728">
        <v>164119</v>
      </c>
      <c r="D21" s="728">
        <v>0</v>
      </c>
      <c r="E21" s="728">
        <v>0</v>
      </c>
      <c r="F21" s="728">
        <v>88240</v>
      </c>
      <c r="G21" s="120">
        <f t="shared" si="0"/>
        <v>252359</v>
      </c>
      <c r="H21" s="120">
        <f t="shared" si="1"/>
        <v>0</v>
      </c>
      <c r="I21" s="1086"/>
    </row>
    <row r="22" spans="1:15" x14ac:dyDescent="0.2">
      <c r="A22" s="10" t="s">
        <v>292</v>
      </c>
      <c r="B22" s="120">
        <v>35000</v>
      </c>
      <c r="C22" s="120">
        <v>0</v>
      </c>
      <c r="D22" s="120">
        <v>0</v>
      </c>
      <c r="E22" s="120">
        <v>0</v>
      </c>
      <c r="F22" s="120">
        <v>0</v>
      </c>
      <c r="G22" s="120">
        <f t="shared" si="0"/>
        <v>0</v>
      </c>
      <c r="H22" s="120">
        <f t="shared" si="1"/>
        <v>35000</v>
      </c>
      <c r="I22" s="1085"/>
    </row>
    <row r="23" spans="1:15" x14ac:dyDescent="0.2">
      <c r="A23" s="10" t="s">
        <v>358</v>
      </c>
      <c r="B23" s="120">
        <v>0</v>
      </c>
      <c r="C23" s="120">
        <v>0</v>
      </c>
      <c r="D23" s="120">
        <v>0</v>
      </c>
      <c r="E23" s="120">
        <v>0</v>
      </c>
      <c r="F23" s="120">
        <v>0</v>
      </c>
      <c r="G23" s="120">
        <f t="shared" si="0"/>
        <v>0</v>
      </c>
      <c r="H23" s="120">
        <f t="shared" si="1"/>
        <v>0</v>
      </c>
      <c r="I23" s="1085"/>
    </row>
    <row r="24" spans="1:15" x14ac:dyDescent="0.2">
      <c r="A24" s="491" t="s">
        <v>806</v>
      </c>
      <c r="B24" s="120">
        <f>4770+6014</f>
        <v>10784</v>
      </c>
      <c r="C24" s="120">
        <v>0</v>
      </c>
      <c r="D24" s="120">
        <v>0</v>
      </c>
      <c r="E24" s="120">
        <v>4770</v>
      </c>
      <c r="F24" s="120">
        <v>6014</v>
      </c>
      <c r="G24" s="120">
        <f t="shared" si="0"/>
        <v>10784</v>
      </c>
      <c r="H24" s="120">
        <f t="shared" si="1"/>
        <v>0</v>
      </c>
      <c r="I24" s="1085"/>
    </row>
    <row r="25" spans="1:15" x14ac:dyDescent="0.2">
      <c r="A25" s="491" t="s">
        <v>1069</v>
      </c>
      <c r="B25" s="120">
        <v>20000</v>
      </c>
      <c r="C25" s="120">
        <v>20000</v>
      </c>
      <c r="D25" s="120">
        <v>0</v>
      </c>
      <c r="E25" s="120">
        <v>0</v>
      </c>
      <c r="F25" s="120">
        <v>0</v>
      </c>
      <c r="G25" s="120">
        <f t="shared" si="0"/>
        <v>20000</v>
      </c>
      <c r="H25" s="120">
        <f t="shared" si="1"/>
        <v>0</v>
      </c>
      <c r="I25" s="1085"/>
    </row>
    <row r="26" spans="1:15" x14ac:dyDescent="0.2">
      <c r="A26" s="10" t="s">
        <v>135</v>
      </c>
      <c r="B26" s="120">
        <f>50000+40000+10000</f>
        <v>100000</v>
      </c>
      <c r="C26" s="120">
        <v>0</v>
      </c>
      <c r="D26" s="120">
        <v>0</v>
      </c>
      <c r="E26" s="120">
        <v>10000</v>
      </c>
      <c r="F26" s="120">
        <v>100000</v>
      </c>
      <c r="G26" s="120">
        <f t="shared" si="0"/>
        <v>110000</v>
      </c>
      <c r="H26" s="120">
        <f t="shared" si="1"/>
        <v>-10000</v>
      </c>
      <c r="I26" s="1085"/>
    </row>
    <row r="27" spans="1:15" ht="13.5" thickBot="1" x14ac:dyDescent="0.25">
      <c r="A27" s="10"/>
      <c r="B27" s="120"/>
      <c r="C27" s="120"/>
      <c r="D27" s="120"/>
      <c r="E27" s="120"/>
      <c r="F27" s="120"/>
      <c r="G27" s="120"/>
      <c r="H27" s="120"/>
      <c r="I27" s="1085"/>
    </row>
    <row r="28" spans="1:15" ht="33" customHeight="1" thickBot="1" x14ac:dyDescent="0.3">
      <c r="A28" s="1089" t="s">
        <v>1096</v>
      </c>
      <c r="B28" s="1090">
        <f>B17+B20+B26+B22+B21+B23+B27+B18+B19+B24+B25</f>
        <v>1207356</v>
      </c>
      <c r="C28" s="1090">
        <f t="shared" ref="C28:H28" si="2">C17+C20+C26+C22+C21+C23+C27+C18+C19+C24+C25</f>
        <v>929384</v>
      </c>
      <c r="D28" s="1090">
        <f t="shared" si="2"/>
        <v>0</v>
      </c>
      <c r="E28" s="1090">
        <f t="shared" si="2"/>
        <v>14770</v>
      </c>
      <c r="F28" s="1090">
        <f t="shared" si="2"/>
        <v>238202</v>
      </c>
      <c r="G28" s="1090">
        <f t="shared" si="2"/>
        <v>1182356</v>
      </c>
      <c r="H28" s="1090">
        <f t="shared" si="2"/>
        <v>25000</v>
      </c>
      <c r="I28" s="29"/>
    </row>
    <row r="29" spans="1:15" ht="33" customHeight="1" thickBot="1" x14ac:dyDescent="0.3">
      <c r="A29" s="1093" t="s">
        <v>1097</v>
      </c>
      <c r="B29" s="1091">
        <f>B28-G28</f>
        <v>25000</v>
      </c>
      <c r="C29" s="1092"/>
      <c r="D29" s="1092"/>
      <c r="E29" s="1092"/>
      <c r="F29" s="1092"/>
      <c r="G29" s="1092"/>
      <c r="H29" s="1092"/>
      <c r="I29" s="29"/>
    </row>
    <row r="30" spans="1:15" x14ac:dyDescent="0.2">
      <c r="A30" s="5"/>
      <c r="B30" s="33"/>
      <c r="C30" s="21"/>
      <c r="D30" s="21"/>
      <c r="E30" s="21"/>
      <c r="F30" s="21"/>
      <c r="G30" s="21"/>
      <c r="H30" s="21"/>
      <c r="I30" s="29"/>
    </row>
    <row r="31" spans="1:15" ht="15.75" x14ac:dyDescent="0.25">
      <c r="A31" s="43" t="s">
        <v>136</v>
      </c>
      <c r="B31" s="45">
        <f t="shared" ref="B31:G31" si="3">B34+B35+B36</f>
        <v>880325</v>
      </c>
      <c r="C31" s="45">
        <f t="shared" si="3"/>
        <v>133000</v>
      </c>
      <c r="D31" s="45">
        <f t="shared" si="3"/>
        <v>0</v>
      </c>
      <c r="E31" s="45">
        <f t="shared" si="3"/>
        <v>0</v>
      </c>
      <c r="F31" s="45">
        <f t="shared" si="3"/>
        <v>0</v>
      </c>
      <c r="G31" s="45">
        <f t="shared" si="3"/>
        <v>133000</v>
      </c>
      <c r="H31" s="45">
        <f>B31-G31</f>
        <v>747325</v>
      </c>
      <c r="I31" s="122"/>
      <c r="J31" s="1081"/>
      <c r="K31" s="722"/>
      <c r="L31" s="42"/>
    </row>
    <row r="32" spans="1:15" ht="10.5" customHeight="1" thickBot="1" x14ac:dyDescent="0.3">
      <c r="A32" s="43"/>
      <c r="B32" s="45"/>
      <c r="C32" s="46"/>
      <c r="D32" s="46"/>
      <c r="E32" s="46"/>
      <c r="F32" s="46"/>
      <c r="G32" s="46"/>
      <c r="H32" s="46"/>
      <c r="I32" s="122"/>
    </row>
    <row r="33" spans="1:10" x14ac:dyDescent="0.2">
      <c r="A33" s="14"/>
      <c r="B33" s="172"/>
      <c r="C33" s="504"/>
      <c r="D33" s="172"/>
      <c r="E33" s="504"/>
      <c r="F33" s="172"/>
      <c r="G33" s="504"/>
      <c r="H33" s="172"/>
      <c r="I33" s="123"/>
    </row>
    <row r="34" spans="1:10" x14ac:dyDescent="0.2">
      <c r="A34" s="15" t="s">
        <v>8</v>
      </c>
      <c r="B34" s="34">
        <v>480325</v>
      </c>
      <c r="C34" s="29">
        <v>0</v>
      </c>
      <c r="D34" s="34">
        <v>0</v>
      </c>
      <c r="E34" s="29">
        <v>0</v>
      </c>
      <c r="F34" s="34">
        <v>0</v>
      </c>
      <c r="G34" s="29">
        <f>C34+D34+E34+F34</f>
        <v>0</v>
      </c>
      <c r="H34" s="34">
        <f>B34-G34</f>
        <v>480325</v>
      </c>
      <c r="I34" s="29"/>
    </row>
    <row r="35" spans="1:10" x14ac:dyDescent="0.2">
      <c r="A35" s="15" t="s">
        <v>26</v>
      </c>
      <c r="B35" s="34">
        <v>160000</v>
      </c>
      <c r="C35" s="29">
        <v>0</v>
      </c>
      <c r="D35" s="34">
        <v>0</v>
      </c>
      <c r="E35" s="29">
        <v>0</v>
      </c>
      <c r="F35" s="34">
        <v>0</v>
      </c>
      <c r="G35" s="29">
        <f>C35+D35+E35+F35</f>
        <v>0</v>
      </c>
      <c r="H35" s="34">
        <f>B35-G35</f>
        <v>160000</v>
      </c>
      <c r="I35" s="29"/>
      <c r="J35" s="495"/>
    </row>
    <row r="36" spans="1:10" x14ac:dyDescent="0.2">
      <c r="A36" s="1094" t="s">
        <v>1098</v>
      </c>
      <c r="B36" s="1095">
        <v>240000</v>
      </c>
      <c r="C36" s="1096">
        <v>133000</v>
      </c>
      <c r="D36" s="173">
        <v>0</v>
      </c>
      <c r="E36" s="123">
        <v>0</v>
      </c>
      <c r="F36" s="173">
        <v>0</v>
      </c>
      <c r="G36" s="29">
        <f>C36+D36+E36+F36</f>
        <v>133000</v>
      </c>
      <c r="H36" s="34">
        <f>B36-G36</f>
        <v>107000</v>
      </c>
      <c r="I36" s="123"/>
    </row>
    <row r="37" spans="1:10" ht="13.5" thickBot="1" x14ac:dyDescent="0.25">
      <c r="A37" s="1094"/>
      <c r="B37" s="173"/>
      <c r="C37" s="123"/>
      <c r="D37" s="173"/>
      <c r="E37" s="123"/>
      <c r="F37" s="173"/>
      <c r="G37" s="29"/>
      <c r="H37" s="34"/>
      <c r="I37" s="123"/>
    </row>
    <row r="38" spans="1:10" ht="33" customHeight="1" thickBot="1" x14ac:dyDescent="0.3">
      <c r="A38" s="1089" t="s">
        <v>1096</v>
      </c>
      <c r="B38" s="1090">
        <f>B31</f>
        <v>880325</v>
      </c>
      <c r="C38" s="1090"/>
      <c r="D38" s="1090">
        <f>D31</f>
        <v>0</v>
      </c>
      <c r="E38" s="1090">
        <f>E31</f>
        <v>0</v>
      </c>
      <c r="F38" s="1090">
        <f>F31</f>
        <v>0</v>
      </c>
      <c r="G38" s="1090">
        <f>G31</f>
        <v>133000</v>
      </c>
      <c r="H38" s="1090">
        <f>H31</f>
        <v>747325</v>
      </c>
      <c r="I38" s="29"/>
    </row>
    <row r="39" spans="1:10" x14ac:dyDescent="0.2">
      <c r="A39" s="2"/>
      <c r="B39" s="21"/>
      <c r="C39" s="21"/>
      <c r="D39" s="21"/>
      <c r="E39" s="21"/>
      <c r="F39" s="21"/>
      <c r="G39" s="21"/>
      <c r="H39" s="21"/>
      <c r="I39" s="29"/>
    </row>
    <row r="40" spans="1:10" ht="18" x14ac:dyDescent="0.2">
      <c r="A40" s="1097" t="s">
        <v>1097</v>
      </c>
      <c r="B40" s="173">
        <f>B38-G38</f>
        <v>747325</v>
      </c>
      <c r="C40" s="34"/>
      <c r="D40" s="34"/>
      <c r="E40" s="34"/>
      <c r="F40" s="34"/>
      <c r="G40" s="34"/>
      <c r="H40" s="34"/>
      <c r="I40" s="29"/>
    </row>
    <row r="41" spans="1:10" x14ac:dyDescent="0.2">
      <c r="A41" s="5"/>
      <c r="B41" s="19"/>
      <c r="C41" s="19"/>
      <c r="D41" s="19"/>
      <c r="E41" s="19"/>
      <c r="F41" s="19"/>
      <c r="G41" s="19"/>
      <c r="H41" s="19"/>
      <c r="I41" s="29"/>
    </row>
    <row r="42" spans="1:10" ht="13.5" thickBot="1" x14ac:dyDescent="0.25">
      <c r="A42" s="36"/>
      <c r="B42" s="35"/>
      <c r="C42" s="35"/>
      <c r="D42" s="35"/>
      <c r="E42" s="35"/>
      <c r="F42" s="35"/>
      <c r="G42" s="35"/>
      <c r="H42" s="35"/>
      <c r="I42" s="29"/>
    </row>
    <row r="44" spans="1:10" x14ac:dyDescent="0.2">
      <c r="A44" s="62"/>
    </row>
    <row r="45" spans="1:10" x14ac:dyDescent="0.2">
      <c r="A45" s="577"/>
    </row>
    <row r="46" spans="1:10" x14ac:dyDescent="0.2">
      <c r="A46" s="577"/>
    </row>
    <row r="47" spans="1:10" x14ac:dyDescent="0.2">
      <c r="A47" s="577"/>
    </row>
    <row r="48" spans="1:10" x14ac:dyDescent="0.2">
      <c r="A48" s="577"/>
    </row>
    <row r="49" spans="1:1" x14ac:dyDescent="0.2">
      <c r="A49" s="577"/>
    </row>
    <row r="50" spans="1:1" x14ac:dyDescent="0.2">
      <c r="A50" s="577"/>
    </row>
    <row r="52" spans="1:1" x14ac:dyDescent="0.2">
      <c r="A52" s="1071"/>
    </row>
    <row r="53" spans="1:1" x14ac:dyDescent="0.2">
      <c r="A53" s="577"/>
    </row>
    <row r="54" spans="1:1" x14ac:dyDescent="0.2">
      <c r="A54" s="577"/>
    </row>
    <row r="55" spans="1:1" x14ac:dyDescent="0.2">
      <c r="A55" s="577"/>
    </row>
    <row r="57" spans="1:1" x14ac:dyDescent="0.2">
      <c r="A57" s="1071"/>
    </row>
    <row r="58" spans="1:1" x14ac:dyDescent="0.2">
      <c r="A58" s="577"/>
    </row>
    <row r="59" spans="1:1" x14ac:dyDescent="0.2">
      <c r="A59" s="577"/>
    </row>
    <row r="60" spans="1:1" x14ac:dyDescent="0.2">
      <c r="A60" s="577"/>
    </row>
    <row r="61" spans="1:1" x14ac:dyDescent="0.2">
      <c r="A61" s="577"/>
    </row>
    <row r="62" spans="1:1" x14ac:dyDescent="0.2">
      <c r="A62" s="577"/>
    </row>
    <row r="63" spans="1:1" x14ac:dyDescent="0.2">
      <c r="A63" s="577"/>
    </row>
    <row r="65" spans="1:3" x14ac:dyDescent="0.2">
      <c r="A65" s="577"/>
    </row>
    <row r="66" spans="1:3" x14ac:dyDescent="0.2">
      <c r="A66" s="577"/>
    </row>
    <row r="67" spans="1:3" x14ac:dyDescent="0.2">
      <c r="A67" s="577"/>
    </row>
    <row r="68" spans="1:3" x14ac:dyDescent="0.2">
      <c r="A68" s="577"/>
    </row>
    <row r="69" spans="1:3" x14ac:dyDescent="0.2">
      <c r="A69" s="577"/>
    </row>
    <row r="73" spans="1:3" x14ac:dyDescent="0.2">
      <c r="A73" s="62"/>
    </row>
    <row r="74" spans="1:3" x14ac:dyDescent="0.2">
      <c r="B74" s="568"/>
      <c r="C74" s="568"/>
    </row>
    <row r="75" spans="1:3" x14ac:dyDescent="0.2">
      <c r="A75" s="483"/>
      <c r="B75" s="25"/>
      <c r="C75" s="25"/>
    </row>
    <row r="76" spans="1:3" x14ac:dyDescent="0.2">
      <c r="A76" s="483"/>
      <c r="B76" s="25"/>
      <c r="C76" s="25"/>
    </row>
    <row r="77" spans="1:3" x14ac:dyDescent="0.2">
      <c r="A77" s="483"/>
      <c r="B77" s="25"/>
      <c r="C77" s="25"/>
    </row>
    <row r="78" spans="1:3" x14ac:dyDescent="0.2">
      <c r="A78" s="483"/>
      <c r="B78" s="25"/>
      <c r="C78" s="25"/>
    </row>
    <row r="79" spans="1:3" x14ac:dyDescent="0.2">
      <c r="A79" s="483"/>
      <c r="B79" s="25"/>
      <c r="C79" s="25"/>
    </row>
    <row r="80" spans="1:3" x14ac:dyDescent="0.2">
      <c r="A80" s="483"/>
      <c r="B80" s="25"/>
      <c r="C80" s="25"/>
    </row>
    <row r="81" spans="1:4" x14ac:dyDescent="0.2">
      <c r="A81" s="483"/>
      <c r="B81" s="25"/>
      <c r="C81" s="25"/>
    </row>
    <row r="82" spans="1:4" x14ac:dyDescent="0.2">
      <c r="A82" s="483"/>
      <c r="B82" s="25"/>
      <c r="C82" s="25"/>
    </row>
    <row r="83" spans="1:4" x14ac:dyDescent="0.2">
      <c r="A83" s="483"/>
      <c r="B83" s="1083"/>
      <c r="C83" s="25"/>
    </row>
    <row r="84" spans="1:4" x14ac:dyDescent="0.2">
      <c r="A84" s="483"/>
      <c r="B84" s="25"/>
      <c r="C84" s="25"/>
    </row>
    <row r="85" spans="1:4" x14ac:dyDescent="0.2">
      <c r="A85" s="483"/>
      <c r="B85" s="25"/>
      <c r="C85" s="25"/>
    </row>
    <row r="86" spans="1:4" x14ac:dyDescent="0.2">
      <c r="A86" s="483"/>
      <c r="B86" s="25"/>
      <c r="C86" s="25"/>
    </row>
    <row r="87" spans="1:4" x14ac:dyDescent="0.2">
      <c r="A87" s="483"/>
      <c r="B87" s="25"/>
      <c r="C87" s="25"/>
    </row>
    <row r="88" spans="1:4" x14ac:dyDescent="0.2">
      <c r="A88" s="483"/>
      <c r="B88" s="25"/>
      <c r="C88" s="25"/>
    </row>
    <row r="89" spans="1:4" x14ac:dyDescent="0.2">
      <c r="A89" s="483"/>
      <c r="B89" s="25"/>
      <c r="C89" s="25"/>
    </row>
    <row r="91" spans="1:4" x14ac:dyDescent="0.2">
      <c r="A91" s="483"/>
      <c r="B91" s="495"/>
      <c r="C91" s="495"/>
      <c r="D91" s="495"/>
    </row>
    <row r="92" spans="1:4" x14ac:dyDescent="0.2">
      <c r="B92" s="194"/>
      <c r="C92" s="495"/>
      <c r="D92" s="495"/>
    </row>
    <row r="93" spans="1:4" x14ac:dyDescent="0.2">
      <c r="B93" s="194"/>
      <c r="C93" s="194"/>
    </row>
    <row r="95" spans="1:4" x14ac:dyDescent="0.2">
      <c r="B95" s="194"/>
      <c r="C95" s="25"/>
    </row>
  </sheetData>
  <mergeCells count="1">
    <mergeCell ref="B6:F6"/>
  </mergeCells>
  <pageMargins left="1.9685039370078741" right="0.39370078740157483" top="0.19685039370078741" bottom="0.78740157480314965" header="0.51181102362204722" footer="0"/>
  <pageSetup paperSize="9" orientation="landscape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>
    <pageSetUpPr fitToPage="1"/>
  </sheetPr>
  <dimension ref="A1:AQ359"/>
  <sheetViews>
    <sheetView topLeftCell="A18" workbookViewId="0">
      <pane ySplit="1995" activePane="bottomLeft"/>
      <selection activeCell="H20" sqref="H20"/>
      <selection pane="bottomLeft" activeCell="F28" sqref="F28"/>
    </sheetView>
  </sheetViews>
  <sheetFormatPr defaultColWidth="11.42578125" defaultRowHeight="12.75" x14ac:dyDescent="0.2"/>
  <cols>
    <col min="1" max="1" width="37.42578125" customWidth="1"/>
    <col min="2" max="2" width="13.7109375" customWidth="1"/>
    <col min="3" max="3" width="14" customWidth="1"/>
    <col min="4" max="4" width="14.28515625" customWidth="1"/>
    <col min="5" max="5" width="14.42578125" bestFit="1" customWidth="1"/>
    <col min="6" max="6" width="12.7109375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1.85546875" bestFit="1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6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6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6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6" x14ac:dyDescent="0.2">
      <c r="A4" s="215"/>
      <c r="B4" s="215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81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15"/>
    </row>
    <row r="5" spans="1:36" x14ac:dyDescent="0.2">
      <c r="A5" s="1" t="s">
        <v>689</v>
      </c>
      <c r="B5" s="451" t="s">
        <v>132</v>
      </c>
      <c r="C5" s="359">
        <f>C6+C7+C8+C9</f>
        <v>-440918.62099999998</v>
      </c>
      <c r="D5" s="359">
        <f t="shared" ref="D5:AG5" si="0">D6+D7+D8+D9</f>
        <v>-440918.62099999998</v>
      </c>
      <c r="E5" s="359">
        <f t="shared" si="0"/>
        <v>-482718.62099999998</v>
      </c>
      <c r="F5" s="359">
        <f t="shared" si="0"/>
        <v>-482718.62099999998</v>
      </c>
      <c r="G5" s="359">
        <f t="shared" si="0"/>
        <v>-482718.62099999998</v>
      </c>
      <c r="H5" s="359">
        <f t="shared" si="0"/>
        <v>-482718.62099999998</v>
      </c>
      <c r="I5" s="359">
        <f t="shared" si="0"/>
        <v>-482718.62099999998</v>
      </c>
      <c r="J5" s="453">
        <f t="shared" si="0"/>
        <v>-482718.62099999998</v>
      </c>
      <c r="K5" s="453">
        <f t="shared" si="0"/>
        <v>-482718.62099999998</v>
      </c>
      <c r="L5" s="359">
        <f t="shared" si="0"/>
        <v>-493468.62099999998</v>
      </c>
      <c r="M5" s="359">
        <f t="shared" si="0"/>
        <v>-493468.62099999998</v>
      </c>
      <c r="N5" s="359">
        <f t="shared" si="0"/>
        <v>-493468.62099999998</v>
      </c>
      <c r="O5" s="359">
        <f t="shared" si="0"/>
        <v>-493468.62099999998</v>
      </c>
      <c r="P5" s="858">
        <f t="shared" si="0"/>
        <v>-493468.62099999998</v>
      </c>
      <c r="Q5" s="359">
        <f t="shared" si="0"/>
        <v>-493468.62099999998</v>
      </c>
      <c r="R5" s="359">
        <f t="shared" si="0"/>
        <v>-493468.62099999998</v>
      </c>
      <c r="S5" s="359">
        <f t="shared" si="0"/>
        <v>-493468.62099999998</v>
      </c>
      <c r="T5" s="359">
        <f t="shared" si="0"/>
        <v>-493468.62099999998</v>
      </c>
      <c r="U5" s="359">
        <f t="shared" si="0"/>
        <v>-493468.62099999998</v>
      </c>
      <c r="V5" s="359">
        <f t="shared" si="0"/>
        <v>-493468.62099999998</v>
      </c>
      <c r="W5" s="359">
        <f t="shared" si="0"/>
        <v>-493468.62099999998</v>
      </c>
      <c r="X5" s="359">
        <f t="shared" si="0"/>
        <v>-493468.62099999998</v>
      </c>
      <c r="Y5" s="359">
        <f t="shared" si="0"/>
        <v>-493468.62099999998</v>
      </c>
      <c r="Z5" s="359">
        <f t="shared" si="0"/>
        <v>-493468.62099999998</v>
      </c>
      <c r="AA5" s="359">
        <f t="shared" si="0"/>
        <v>-495163.73499999999</v>
      </c>
      <c r="AB5" s="359">
        <f t="shared" si="0"/>
        <v>-495163.73499999999</v>
      </c>
      <c r="AC5" s="359">
        <f t="shared" si="0"/>
        <v>-495163.73499999999</v>
      </c>
      <c r="AD5" s="359">
        <f t="shared" si="0"/>
        <v>-500570.95199999999</v>
      </c>
      <c r="AE5" s="359">
        <f t="shared" si="0"/>
        <v>-500570.95199999999</v>
      </c>
      <c r="AF5" s="359">
        <f t="shared" si="0"/>
        <v>-500570.95199999999</v>
      </c>
      <c r="AG5" s="359">
        <f t="shared" si="0"/>
        <v>-500570.95199999999</v>
      </c>
      <c r="AH5" s="215"/>
    </row>
    <row r="6" spans="1:36" x14ac:dyDescent="0.2">
      <c r="A6" s="56">
        <v>100000</v>
      </c>
      <c r="B6" s="215" t="s">
        <v>690</v>
      </c>
      <c r="C6" s="311">
        <f>C70</f>
        <v>-358153.25900000002</v>
      </c>
      <c r="D6" s="311">
        <f t="shared" ref="D6:AG6" si="1">D70</f>
        <v>-358153.25900000002</v>
      </c>
      <c r="E6" s="311">
        <f t="shared" si="1"/>
        <v>-399953.25900000002</v>
      </c>
      <c r="F6" s="311">
        <f t="shared" si="1"/>
        <v>-399953.25900000002</v>
      </c>
      <c r="G6" s="311">
        <f t="shared" si="1"/>
        <v>-399953.25900000002</v>
      </c>
      <c r="H6" s="311">
        <f t="shared" si="1"/>
        <v>-399953.25900000002</v>
      </c>
      <c r="I6" s="311">
        <f t="shared" si="1"/>
        <v>-399953.25900000002</v>
      </c>
      <c r="J6" s="314">
        <f t="shared" si="1"/>
        <v>-399953.25900000002</v>
      </c>
      <c r="K6" s="314">
        <f t="shared" si="1"/>
        <v>-399953.25900000002</v>
      </c>
      <c r="L6" s="311">
        <f t="shared" si="1"/>
        <v>-410703.25900000002</v>
      </c>
      <c r="M6" s="311">
        <f t="shared" si="1"/>
        <v>-410703.25900000002</v>
      </c>
      <c r="N6" s="311">
        <f t="shared" si="1"/>
        <v>-410703.25900000002</v>
      </c>
      <c r="O6" s="311">
        <f t="shared" si="1"/>
        <v>-410703.25900000002</v>
      </c>
      <c r="P6" s="629">
        <f t="shared" si="1"/>
        <v>-410703.25900000002</v>
      </c>
      <c r="Q6" s="311">
        <f t="shared" si="1"/>
        <v>-410703.25900000002</v>
      </c>
      <c r="R6" s="311">
        <f t="shared" si="1"/>
        <v>-410703.25900000002</v>
      </c>
      <c r="S6" s="311">
        <f t="shared" si="1"/>
        <v>-410703.25900000002</v>
      </c>
      <c r="T6" s="311">
        <f t="shared" si="1"/>
        <v>-410703.25900000002</v>
      </c>
      <c r="U6" s="311">
        <f t="shared" si="1"/>
        <v>-410703.25900000002</v>
      </c>
      <c r="V6" s="311">
        <f t="shared" si="1"/>
        <v>-410703.25900000002</v>
      </c>
      <c r="W6" s="311">
        <f t="shared" si="1"/>
        <v>-410703.25900000002</v>
      </c>
      <c r="X6" s="311">
        <f t="shared" si="1"/>
        <v>-410703.25900000002</v>
      </c>
      <c r="Y6" s="311">
        <f t="shared" si="1"/>
        <v>-410703.25900000002</v>
      </c>
      <c r="Z6" s="311">
        <f t="shared" si="1"/>
        <v>-410703.25900000002</v>
      </c>
      <c r="AA6" s="311">
        <f t="shared" si="1"/>
        <v>-412398.37300000002</v>
      </c>
      <c r="AB6" s="311">
        <f t="shared" si="1"/>
        <v>-412398.37300000002</v>
      </c>
      <c r="AC6" s="311">
        <f t="shared" si="1"/>
        <v>-412398.37300000002</v>
      </c>
      <c r="AD6" s="311">
        <f t="shared" si="1"/>
        <v>-413035.59</v>
      </c>
      <c r="AE6" s="311">
        <f t="shared" si="1"/>
        <v>-413035.59</v>
      </c>
      <c r="AF6" s="311">
        <f t="shared" si="1"/>
        <v>-413035.59</v>
      </c>
      <c r="AG6" s="311">
        <f t="shared" si="1"/>
        <v>-413035.59</v>
      </c>
      <c r="AH6" s="215"/>
    </row>
    <row r="7" spans="1:36" x14ac:dyDescent="0.2">
      <c r="A7" s="56">
        <v>25000</v>
      </c>
      <c r="B7" s="215" t="s">
        <v>468</v>
      </c>
      <c r="C7" s="311">
        <f>C185</f>
        <v>-29238.511999999999</v>
      </c>
      <c r="D7" s="311">
        <f t="shared" ref="D7:AG7" si="2">D185</f>
        <v>-29238.511999999999</v>
      </c>
      <c r="E7" s="311">
        <f t="shared" si="2"/>
        <v>-29238.511999999999</v>
      </c>
      <c r="F7" s="311">
        <f t="shared" si="2"/>
        <v>-29238.511999999999</v>
      </c>
      <c r="G7" s="311">
        <f t="shared" si="2"/>
        <v>-29238.511999999999</v>
      </c>
      <c r="H7" s="311">
        <f t="shared" si="2"/>
        <v>-29238.511999999999</v>
      </c>
      <c r="I7" s="311">
        <f t="shared" si="2"/>
        <v>-29238.511999999999</v>
      </c>
      <c r="J7" s="314">
        <f t="shared" si="2"/>
        <v>-29238.511999999999</v>
      </c>
      <c r="K7" s="314">
        <f t="shared" si="2"/>
        <v>-29238.511999999999</v>
      </c>
      <c r="L7" s="311">
        <f t="shared" si="2"/>
        <v>-29238.511999999999</v>
      </c>
      <c r="M7" s="311">
        <f t="shared" si="2"/>
        <v>-29238.511999999999</v>
      </c>
      <c r="N7" s="311">
        <f t="shared" si="2"/>
        <v>-29238.511999999999</v>
      </c>
      <c r="O7" s="311">
        <f t="shared" si="2"/>
        <v>-29238.511999999999</v>
      </c>
      <c r="P7" s="629">
        <f>P185</f>
        <v>-29238.511999999999</v>
      </c>
      <c r="Q7" s="311">
        <f t="shared" si="2"/>
        <v>-29238.511999999999</v>
      </c>
      <c r="R7" s="311">
        <f t="shared" si="2"/>
        <v>-29238.511999999999</v>
      </c>
      <c r="S7" s="784">
        <f t="shared" si="2"/>
        <v>-29238.511999999999</v>
      </c>
      <c r="T7" s="311">
        <f t="shared" si="2"/>
        <v>-29238.511999999999</v>
      </c>
      <c r="U7" s="311">
        <f t="shared" si="2"/>
        <v>-29238.511999999999</v>
      </c>
      <c r="V7" s="311">
        <f t="shared" si="2"/>
        <v>-29238.511999999999</v>
      </c>
      <c r="W7" s="311">
        <f t="shared" si="2"/>
        <v>-29238.511999999999</v>
      </c>
      <c r="X7" s="311">
        <f t="shared" si="2"/>
        <v>-29238.511999999999</v>
      </c>
      <c r="Y7" s="311">
        <f t="shared" si="2"/>
        <v>-29238.511999999999</v>
      </c>
      <c r="Z7" s="311">
        <f t="shared" si="2"/>
        <v>-29238.511999999999</v>
      </c>
      <c r="AA7" s="311">
        <f t="shared" si="2"/>
        <v>-29238.511999999999</v>
      </c>
      <c r="AB7" s="311">
        <f t="shared" si="2"/>
        <v>-29238.511999999999</v>
      </c>
      <c r="AC7" s="311">
        <f t="shared" si="2"/>
        <v>-29238.511999999999</v>
      </c>
      <c r="AD7" s="311">
        <f t="shared" si="2"/>
        <v>-29238.511999999999</v>
      </c>
      <c r="AE7" s="311">
        <f t="shared" si="2"/>
        <v>-29238.511999999999</v>
      </c>
      <c r="AF7" s="311">
        <f t="shared" si="2"/>
        <v>-29238.511999999999</v>
      </c>
      <c r="AG7" s="311">
        <f t="shared" si="2"/>
        <v>-29238.511999999999</v>
      </c>
      <c r="AH7" s="215"/>
    </row>
    <row r="8" spans="1:36" x14ac:dyDescent="0.2">
      <c r="A8" s="56">
        <v>25000</v>
      </c>
      <c r="B8" s="215" t="s">
        <v>1023</v>
      </c>
      <c r="C8" s="311">
        <f>C248</f>
        <v>-23241.821</v>
      </c>
      <c r="D8" s="311">
        <f t="shared" ref="D8:AG8" si="3">D248</f>
        <v>-23241.821</v>
      </c>
      <c r="E8" s="311">
        <f t="shared" si="3"/>
        <v>-23241.821</v>
      </c>
      <c r="F8" s="311">
        <f t="shared" si="3"/>
        <v>-23241.821</v>
      </c>
      <c r="G8" s="311">
        <f t="shared" si="3"/>
        <v>-23241.821</v>
      </c>
      <c r="H8" s="311">
        <f t="shared" si="3"/>
        <v>-23241.821</v>
      </c>
      <c r="I8" s="784">
        <f t="shared" si="3"/>
        <v>-23241.821</v>
      </c>
      <c r="J8" s="314">
        <f t="shared" si="3"/>
        <v>-23241.821</v>
      </c>
      <c r="K8" s="314">
        <f t="shared" si="3"/>
        <v>-23241.821</v>
      </c>
      <c r="L8" s="311">
        <f t="shared" si="3"/>
        <v>-23241.821</v>
      </c>
      <c r="M8" s="311">
        <f t="shared" si="3"/>
        <v>-23241.821</v>
      </c>
      <c r="N8" s="311">
        <f t="shared" si="3"/>
        <v>-23241.821</v>
      </c>
      <c r="O8" s="311">
        <f t="shared" si="3"/>
        <v>-23241.821</v>
      </c>
      <c r="P8" s="629">
        <f t="shared" si="3"/>
        <v>-23241.821</v>
      </c>
      <c r="Q8" s="311">
        <f t="shared" si="3"/>
        <v>-23241.821</v>
      </c>
      <c r="R8" s="311">
        <f t="shared" si="3"/>
        <v>-23241.821</v>
      </c>
      <c r="S8" s="311">
        <f t="shared" si="3"/>
        <v>-23241.821</v>
      </c>
      <c r="T8" s="311">
        <f t="shared" si="3"/>
        <v>-23241.821</v>
      </c>
      <c r="U8" s="311">
        <f t="shared" si="3"/>
        <v>-23241.821</v>
      </c>
      <c r="V8" s="311">
        <f t="shared" si="3"/>
        <v>-23241.821</v>
      </c>
      <c r="W8" s="311">
        <f t="shared" si="3"/>
        <v>-23241.821</v>
      </c>
      <c r="X8" s="311">
        <f t="shared" si="3"/>
        <v>-23241.821</v>
      </c>
      <c r="Y8" s="311">
        <f t="shared" si="3"/>
        <v>-23241.821</v>
      </c>
      <c r="Z8" s="311">
        <f t="shared" si="3"/>
        <v>-23241.821</v>
      </c>
      <c r="AA8" s="311">
        <f t="shared" si="3"/>
        <v>-23241.821</v>
      </c>
      <c r="AB8" s="311">
        <f t="shared" si="3"/>
        <v>-23241.821</v>
      </c>
      <c r="AC8" s="311">
        <f t="shared" si="3"/>
        <v>-23241.821</v>
      </c>
      <c r="AD8" s="311">
        <f t="shared" si="3"/>
        <v>-28011.821</v>
      </c>
      <c r="AE8" s="311">
        <f t="shared" si="3"/>
        <v>-28011.821</v>
      </c>
      <c r="AF8" s="311">
        <f t="shared" si="3"/>
        <v>-28011.821</v>
      </c>
      <c r="AG8" s="311">
        <f t="shared" si="3"/>
        <v>-28011.821</v>
      </c>
      <c r="AH8" s="215"/>
      <c r="AJ8" s="483"/>
    </row>
    <row r="9" spans="1:36" x14ac:dyDescent="0.2">
      <c r="A9" s="56">
        <v>20000</v>
      </c>
      <c r="B9" s="215" t="s">
        <v>691</v>
      </c>
      <c r="C9" s="311">
        <f>C312</f>
        <v>-30285.028999999999</v>
      </c>
      <c r="D9" s="311">
        <f t="shared" ref="D9:AG9" si="4">D312</f>
        <v>-30285.028999999999</v>
      </c>
      <c r="E9" s="311">
        <f t="shared" si="4"/>
        <v>-30285.028999999999</v>
      </c>
      <c r="F9" s="311">
        <f t="shared" si="4"/>
        <v>-30285.028999999999</v>
      </c>
      <c r="G9" s="784">
        <f t="shared" si="4"/>
        <v>-30285.028999999999</v>
      </c>
      <c r="H9" s="311">
        <f t="shared" si="4"/>
        <v>-30285.028999999999</v>
      </c>
      <c r="I9" s="311">
        <f t="shared" si="4"/>
        <v>-30285.028999999999</v>
      </c>
      <c r="J9" s="314">
        <f t="shared" si="4"/>
        <v>-30285.028999999999</v>
      </c>
      <c r="K9" s="314">
        <f t="shared" si="4"/>
        <v>-30285.028999999999</v>
      </c>
      <c r="L9" s="311">
        <f t="shared" si="4"/>
        <v>-30285.028999999999</v>
      </c>
      <c r="M9" s="311">
        <f t="shared" si="4"/>
        <v>-30285.028999999999</v>
      </c>
      <c r="N9" s="311">
        <f t="shared" si="4"/>
        <v>-30285.028999999999</v>
      </c>
      <c r="O9" s="311">
        <f t="shared" si="4"/>
        <v>-30285.028999999999</v>
      </c>
      <c r="P9" s="629">
        <f t="shared" si="4"/>
        <v>-30285.028999999999</v>
      </c>
      <c r="Q9" s="311">
        <f t="shared" si="4"/>
        <v>-30285.028999999999</v>
      </c>
      <c r="R9" s="311">
        <f t="shared" si="4"/>
        <v>-30285.028999999999</v>
      </c>
      <c r="S9" s="311">
        <f t="shared" si="4"/>
        <v>-30285.028999999999</v>
      </c>
      <c r="T9" s="311">
        <f t="shared" si="4"/>
        <v>-30285.028999999999</v>
      </c>
      <c r="U9" s="311">
        <f t="shared" si="4"/>
        <v>-30285.028999999999</v>
      </c>
      <c r="V9" s="311">
        <f t="shared" si="4"/>
        <v>-30285.028999999999</v>
      </c>
      <c r="W9" s="311">
        <f t="shared" si="4"/>
        <v>-30285.028999999999</v>
      </c>
      <c r="X9" s="311">
        <f t="shared" si="4"/>
        <v>-30285.028999999999</v>
      </c>
      <c r="Y9" s="311">
        <f t="shared" si="4"/>
        <v>-30285.028999999999</v>
      </c>
      <c r="Z9" s="311">
        <f t="shared" si="4"/>
        <v>-30285.028999999999</v>
      </c>
      <c r="AA9" s="311">
        <f t="shared" si="4"/>
        <v>-30285.028999999999</v>
      </c>
      <c r="AB9" s="311">
        <f t="shared" si="4"/>
        <v>-30285.028999999999</v>
      </c>
      <c r="AC9" s="311">
        <f t="shared" si="4"/>
        <v>-30285.028999999999</v>
      </c>
      <c r="AD9" s="311">
        <f t="shared" si="4"/>
        <v>-30285.028999999999</v>
      </c>
      <c r="AE9" s="311">
        <f t="shared" si="4"/>
        <v>-30285.028999999999</v>
      </c>
      <c r="AF9" s="311">
        <f t="shared" si="4"/>
        <v>-30285.028999999999</v>
      </c>
      <c r="AG9" s="311">
        <f t="shared" si="4"/>
        <v>-30285.028999999999</v>
      </c>
      <c r="AH9" s="215"/>
    </row>
    <row r="10" spans="1:36" x14ac:dyDescent="0.2">
      <c r="A10" s="1" t="s">
        <v>692</v>
      </c>
      <c r="B10" s="451" t="s">
        <v>132</v>
      </c>
      <c r="C10" s="452">
        <f>C11+C12+C13</f>
        <v>4594</v>
      </c>
      <c r="D10" s="452">
        <f t="shared" ref="D10:AF10" si="5">D11+D12+D13</f>
        <v>2540</v>
      </c>
      <c r="E10" s="452">
        <f t="shared" si="5"/>
        <v>6289</v>
      </c>
      <c r="F10" s="452">
        <f t="shared" si="5"/>
        <v>1080</v>
      </c>
      <c r="G10" s="452">
        <f t="shared" si="5"/>
        <v>11836</v>
      </c>
      <c r="H10" s="452">
        <f t="shared" si="5"/>
        <v>2823</v>
      </c>
      <c r="I10" s="452">
        <f t="shared" si="5"/>
        <v>0</v>
      </c>
      <c r="J10" s="454">
        <f t="shared" si="5"/>
        <v>6066</v>
      </c>
      <c r="K10" s="454">
        <f t="shared" si="5"/>
        <v>6378</v>
      </c>
      <c r="L10" s="452">
        <f t="shared" si="5"/>
        <v>21799</v>
      </c>
      <c r="M10" s="452">
        <f t="shared" si="5"/>
        <v>2793</v>
      </c>
      <c r="N10" s="452">
        <f t="shared" si="5"/>
        <v>15688</v>
      </c>
      <c r="O10" s="452">
        <f t="shared" si="5"/>
        <v>0</v>
      </c>
      <c r="P10" s="859">
        <f t="shared" si="5"/>
        <v>3516</v>
      </c>
      <c r="Q10" s="452">
        <f t="shared" si="5"/>
        <v>26534</v>
      </c>
      <c r="R10" s="452">
        <f t="shared" si="5"/>
        <v>14563</v>
      </c>
      <c r="S10" s="452">
        <f t="shared" si="5"/>
        <v>2050</v>
      </c>
      <c r="T10" s="452">
        <f t="shared" si="5"/>
        <v>4818</v>
      </c>
      <c r="U10" s="452">
        <f t="shared" si="5"/>
        <v>2050</v>
      </c>
      <c r="V10" s="452">
        <f t="shared" si="5"/>
        <v>29880</v>
      </c>
      <c r="W10" s="452">
        <f t="shared" si="5"/>
        <v>1364</v>
      </c>
      <c r="X10" s="452">
        <f t="shared" si="5"/>
        <v>5730</v>
      </c>
      <c r="Y10" s="452">
        <f t="shared" si="5"/>
        <v>2203</v>
      </c>
      <c r="Z10" s="452">
        <f t="shared" si="5"/>
        <v>2750</v>
      </c>
      <c r="AA10" s="452">
        <f t="shared" si="5"/>
        <v>19177</v>
      </c>
      <c r="AB10" s="452">
        <f t="shared" si="5"/>
        <v>12188</v>
      </c>
      <c r="AC10" s="452">
        <f t="shared" si="5"/>
        <v>1549</v>
      </c>
      <c r="AD10" s="452">
        <f t="shared" si="5"/>
        <v>3056</v>
      </c>
      <c r="AE10" s="452">
        <f t="shared" si="5"/>
        <v>5981</v>
      </c>
      <c r="AF10" s="452">
        <f t="shared" si="5"/>
        <v>71420</v>
      </c>
      <c r="AG10" s="452">
        <f>AG11+AG12+AG13</f>
        <v>0</v>
      </c>
      <c r="AH10" s="286">
        <f>SUM(C10:AG10)</f>
        <v>290715</v>
      </c>
    </row>
    <row r="11" spans="1:36" x14ac:dyDescent="0.2">
      <c r="A11" s="1"/>
      <c r="B11" s="215" t="s">
        <v>468</v>
      </c>
      <c r="C11" s="286">
        <f>C172</f>
        <v>4594</v>
      </c>
      <c r="D11" s="286">
        <f t="shared" ref="D11:AG11" si="6">D172</f>
        <v>540</v>
      </c>
      <c r="E11" s="286">
        <f t="shared" si="6"/>
        <v>2845</v>
      </c>
      <c r="F11" s="286">
        <f t="shared" si="6"/>
        <v>540</v>
      </c>
      <c r="G11" s="286">
        <f t="shared" si="6"/>
        <v>0</v>
      </c>
      <c r="H11" s="286">
        <f t="shared" si="6"/>
        <v>0</v>
      </c>
      <c r="I11" s="286">
        <f t="shared" si="6"/>
        <v>0</v>
      </c>
      <c r="J11" s="315">
        <f t="shared" si="6"/>
        <v>1217</v>
      </c>
      <c r="K11" s="315">
        <f t="shared" si="6"/>
        <v>532</v>
      </c>
      <c r="L11" s="286">
        <f t="shared" si="6"/>
        <v>6538</v>
      </c>
      <c r="M11" s="286">
        <f t="shared" si="6"/>
        <v>1000</v>
      </c>
      <c r="N11" s="286">
        <f t="shared" si="6"/>
        <v>0</v>
      </c>
      <c r="O11" s="286">
        <f t="shared" si="6"/>
        <v>0</v>
      </c>
      <c r="P11" s="308">
        <f t="shared" si="6"/>
        <v>1551</v>
      </c>
      <c r="Q11" s="286">
        <f t="shared" si="6"/>
        <v>11919</v>
      </c>
      <c r="R11" s="286">
        <f t="shared" si="6"/>
        <v>570</v>
      </c>
      <c r="S11" s="286">
        <f t="shared" si="6"/>
        <v>0</v>
      </c>
      <c r="T11" s="286">
        <f t="shared" si="6"/>
        <v>2524</v>
      </c>
      <c r="U11" s="286">
        <f t="shared" si="6"/>
        <v>0</v>
      </c>
      <c r="V11" s="286">
        <f t="shared" si="6"/>
        <v>19357</v>
      </c>
      <c r="W11" s="286">
        <f t="shared" si="6"/>
        <v>1364</v>
      </c>
      <c r="X11" s="286">
        <f t="shared" si="6"/>
        <v>1057</v>
      </c>
      <c r="Y11" s="286">
        <f t="shared" si="6"/>
        <v>1528</v>
      </c>
      <c r="Z11" s="286">
        <f t="shared" si="6"/>
        <v>0</v>
      </c>
      <c r="AA11" s="286">
        <f t="shared" si="6"/>
        <v>2800</v>
      </c>
      <c r="AB11" s="286">
        <f t="shared" si="6"/>
        <v>10558</v>
      </c>
      <c r="AC11" s="286">
        <f t="shared" si="6"/>
        <v>873</v>
      </c>
      <c r="AD11" s="286">
        <f t="shared" si="6"/>
        <v>2500</v>
      </c>
      <c r="AE11" s="286">
        <f t="shared" si="6"/>
        <v>4351</v>
      </c>
      <c r="AF11" s="286">
        <f t="shared" si="6"/>
        <v>30366</v>
      </c>
      <c r="AG11" s="286">
        <f t="shared" si="6"/>
        <v>0</v>
      </c>
      <c r="AH11" s="215"/>
    </row>
    <row r="12" spans="1:36" x14ac:dyDescent="0.2">
      <c r="A12" s="1"/>
      <c r="B12" s="215" t="s">
        <v>1023</v>
      </c>
      <c r="C12" s="286">
        <f>C235</f>
        <v>0</v>
      </c>
      <c r="D12" s="286">
        <f t="shared" ref="D12:AG12" si="7">D235</f>
        <v>2000</v>
      </c>
      <c r="E12" s="286">
        <f t="shared" si="7"/>
        <v>1446</v>
      </c>
      <c r="F12" s="286">
        <f t="shared" si="7"/>
        <v>540</v>
      </c>
      <c r="G12" s="286">
        <f t="shared" si="7"/>
        <v>2992</v>
      </c>
      <c r="H12" s="286">
        <f t="shared" si="7"/>
        <v>1500</v>
      </c>
      <c r="I12" s="286">
        <f t="shared" si="7"/>
        <v>0</v>
      </c>
      <c r="J12" s="315">
        <f t="shared" si="7"/>
        <v>1769</v>
      </c>
      <c r="K12" s="315">
        <f t="shared" si="7"/>
        <v>0</v>
      </c>
      <c r="L12" s="286">
        <f t="shared" si="7"/>
        <v>6309</v>
      </c>
      <c r="M12" s="286">
        <f t="shared" si="7"/>
        <v>1793</v>
      </c>
      <c r="N12" s="286">
        <f t="shared" si="7"/>
        <v>5554</v>
      </c>
      <c r="O12" s="286">
        <f t="shared" si="7"/>
        <v>0</v>
      </c>
      <c r="P12" s="308">
        <f t="shared" si="7"/>
        <v>1965</v>
      </c>
      <c r="Q12" s="286">
        <f t="shared" si="7"/>
        <v>3368</v>
      </c>
      <c r="R12" s="286">
        <f t="shared" si="7"/>
        <v>5284</v>
      </c>
      <c r="S12" s="286">
        <f t="shared" si="7"/>
        <v>0</v>
      </c>
      <c r="T12" s="286">
        <f t="shared" si="7"/>
        <v>1814</v>
      </c>
      <c r="U12" s="286">
        <f t="shared" si="7"/>
        <v>0</v>
      </c>
      <c r="V12" s="286">
        <f t="shared" si="7"/>
        <v>4579</v>
      </c>
      <c r="W12" s="286">
        <f t="shared" si="7"/>
        <v>0</v>
      </c>
      <c r="X12" s="286">
        <f t="shared" si="7"/>
        <v>1250</v>
      </c>
      <c r="Y12" s="286">
        <f t="shared" si="7"/>
        <v>0</v>
      </c>
      <c r="Z12" s="286">
        <f t="shared" si="7"/>
        <v>2750</v>
      </c>
      <c r="AA12" s="286">
        <f t="shared" si="7"/>
        <v>5732</v>
      </c>
      <c r="AB12" s="286">
        <f t="shared" si="7"/>
        <v>0</v>
      </c>
      <c r="AC12" s="286">
        <f t="shared" si="7"/>
        <v>0</v>
      </c>
      <c r="AD12" s="286">
        <f t="shared" si="7"/>
        <v>556</v>
      </c>
      <c r="AE12" s="286">
        <f t="shared" si="7"/>
        <v>0</v>
      </c>
      <c r="AF12" s="286">
        <f t="shared" si="7"/>
        <v>9332</v>
      </c>
      <c r="AG12" s="286">
        <f t="shared" si="7"/>
        <v>0</v>
      </c>
      <c r="AH12" s="215"/>
    </row>
    <row r="13" spans="1:36" x14ac:dyDescent="0.2">
      <c r="A13" s="1"/>
      <c r="B13" s="215" t="s">
        <v>691</v>
      </c>
      <c r="C13" s="286">
        <f>C299</f>
        <v>0</v>
      </c>
      <c r="D13" s="286">
        <f t="shared" ref="D13:AG13" si="8">D299</f>
        <v>0</v>
      </c>
      <c r="E13" s="286">
        <f t="shared" si="8"/>
        <v>1998</v>
      </c>
      <c r="F13" s="286">
        <f t="shared" si="8"/>
        <v>0</v>
      </c>
      <c r="G13" s="286">
        <f t="shared" si="8"/>
        <v>8844</v>
      </c>
      <c r="H13" s="286">
        <f t="shared" si="8"/>
        <v>1323</v>
      </c>
      <c r="I13" s="286">
        <f t="shared" si="8"/>
        <v>0</v>
      </c>
      <c r="J13" s="315">
        <f t="shared" si="8"/>
        <v>3080</v>
      </c>
      <c r="K13" s="315">
        <f t="shared" si="8"/>
        <v>5846</v>
      </c>
      <c r="L13" s="286">
        <f t="shared" si="8"/>
        <v>8952</v>
      </c>
      <c r="M13" s="286">
        <f t="shared" si="8"/>
        <v>0</v>
      </c>
      <c r="N13" s="286">
        <f t="shared" si="8"/>
        <v>10134</v>
      </c>
      <c r="O13" s="286">
        <f t="shared" si="8"/>
        <v>0</v>
      </c>
      <c r="P13" s="308">
        <f t="shared" si="8"/>
        <v>0</v>
      </c>
      <c r="Q13" s="286">
        <f t="shared" si="8"/>
        <v>11247</v>
      </c>
      <c r="R13" s="286">
        <f t="shared" si="8"/>
        <v>8709</v>
      </c>
      <c r="S13" s="286">
        <f t="shared" si="8"/>
        <v>2050</v>
      </c>
      <c r="T13" s="286">
        <f t="shared" si="8"/>
        <v>480</v>
      </c>
      <c r="U13" s="286">
        <f t="shared" si="8"/>
        <v>2050</v>
      </c>
      <c r="V13" s="286">
        <f t="shared" si="8"/>
        <v>5944</v>
      </c>
      <c r="W13" s="286">
        <f t="shared" si="8"/>
        <v>0</v>
      </c>
      <c r="X13" s="286">
        <f t="shared" si="8"/>
        <v>3423</v>
      </c>
      <c r="Y13" s="286">
        <f t="shared" si="8"/>
        <v>675</v>
      </c>
      <c r="Z13" s="286">
        <f t="shared" si="8"/>
        <v>0</v>
      </c>
      <c r="AA13" s="286">
        <f t="shared" si="8"/>
        <v>10645</v>
      </c>
      <c r="AB13" s="286">
        <f t="shared" si="8"/>
        <v>1630</v>
      </c>
      <c r="AC13" s="286">
        <f t="shared" si="8"/>
        <v>676</v>
      </c>
      <c r="AD13" s="286">
        <f t="shared" si="8"/>
        <v>0</v>
      </c>
      <c r="AE13" s="286">
        <f t="shared" si="8"/>
        <v>1630</v>
      </c>
      <c r="AF13" s="286">
        <f t="shared" si="8"/>
        <v>31722</v>
      </c>
      <c r="AG13" s="286">
        <f t="shared" si="8"/>
        <v>0</v>
      </c>
      <c r="AH13" s="215"/>
    </row>
    <row r="14" spans="1:36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-209855.95199999999</v>
      </c>
    </row>
    <row r="15" spans="1:36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902"/>
      <c r="AI15" s="483"/>
    </row>
    <row r="16" spans="1:36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902"/>
      <c r="AI16" s="483"/>
    </row>
    <row r="17" spans="1:35" x14ac:dyDescent="0.2">
      <c r="A17" s="265"/>
      <c r="B17" s="266" t="s">
        <v>37</v>
      </c>
      <c r="C17" s="266"/>
      <c r="D17" s="266"/>
      <c r="E17" s="267" t="s">
        <v>486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902"/>
      <c r="AI17" s="483"/>
    </row>
    <row r="18" spans="1:35" x14ac:dyDescent="0.2">
      <c r="A18" s="265"/>
      <c r="B18" s="266"/>
      <c r="C18" s="266"/>
      <c r="D18" s="268">
        <v>42200</v>
      </c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308"/>
    </row>
    <row r="19" spans="1:35" x14ac:dyDescent="0.2">
      <c r="A19" s="769"/>
      <c r="B19" s="268"/>
      <c r="C19" s="268"/>
      <c r="D19" s="267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5" x14ac:dyDescent="0.2">
      <c r="A20" s="769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5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5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5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5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5" x14ac:dyDescent="0.2">
      <c r="A25" s="265" t="s">
        <v>0</v>
      </c>
      <c r="B25" s="274">
        <v>-358153.25900000002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5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5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5" x14ac:dyDescent="0.2">
      <c r="A28" s="265" t="s">
        <v>1</v>
      </c>
      <c r="B28" s="274">
        <f>B29+B30+B31</f>
        <v>0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5" x14ac:dyDescent="0.2">
      <c r="A29" s="265" t="s">
        <v>38</v>
      </c>
      <c r="B29" s="274">
        <f>C82</f>
        <v>0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5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5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5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x14ac:dyDescent="0.2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x14ac:dyDescent="0.2">
      <c r="A34" s="265" t="s">
        <v>4</v>
      </c>
      <c r="B34" s="274">
        <f>B25+B28</f>
        <v>-358153.25900000002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3.5" thickBot="1" x14ac:dyDescent="0.25">
      <c r="A35" s="275"/>
      <c r="B35" s="27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15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15"/>
    </row>
    <row r="37" spans="1:40" x14ac:dyDescent="0.2">
      <c r="A37" s="265" t="s">
        <v>913</v>
      </c>
      <c r="B37" s="274">
        <f>C121</f>
        <v>0</v>
      </c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15"/>
    </row>
    <row r="38" spans="1:40" ht="13.5" thickBot="1" x14ac:dyDescent="0.25">
      <c r="A38" s="275"/>
      <c r="B38" s="276"/>
      <c r="C38" s="266"/>
      <c r="D38" s="266"/>
      <c r="E38" s="269"/>
      <c r="F38" s="266"/>
      <c r="G38" s="266"/>
      <c r="H38" s="266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15"/>
    </row>
    <row r="39" spans="1:40" x14ac:dyDescent="0.2">
      <c r="A39" s="263"/>
      <c r="B39" s="278"/>
      <c r="C39" s="266"/>
      <c r="D39" s="269"/>
      <c r="E39" s="269"/>
      <c r="F39" s="934"/>
      <c r="G39" s="267"/>
      <c r="H39" s="266"/>
      <c r="I39" s="266"/>
      <c r="J39" s="266"/>
      <c r="K39" s="266"/>
      <c r="L39" s="568"/>
      <c r="M39" s="266"/>
      <c r="N39" s="266"/>
      <c r="O39" s="330"/>
      <c r="P39" s="281"/>
      <c r="Q39" s="707"/>
      <c r="R39" s="266"/>
      <c r="S39" s="269"/>
      <c r="T39" s="269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15"/>
    </row>
    <row r="40" spans="1:40" x14ac:dyDescent="0.2">
      <c r="A40" s="265" t="s">
        <v>5</v>
      </c>
      <c r="B40" s="274">
        <f>B34-B37</f>
        <v>-358153.25900000002</v>
      </c>
      <c r="C40" s="406"/>
      <c r="D40" s="269"/>
      <c r="E40" s="269" t="s">
        <v>826</v>
      </c>
      <c r="F40" s="269"/>
      <c r="G40" s="269"/>
      <c r="H40" s="269"/>
      <c r="I40" s="269"/>
      <c r="J40" s="269"/>
      <c r="K40" s="269"/>
      <c r="L40" s="568" t="s">
        <v>1027</v>
      </c>
      <c r="M40" s="281"/>
      <c r="N40" s="281"/>
      <c r="O40" s="269"/>
      <c r="P40" s="281"/>
      <c r="Q40" s="707"/>
      <c r="R40" s="269"/>
      <c r="S40" s="281"/>
      <c r="T40" s="281"/>
      <c r="U40" s="281"/>
      <c r="V40" s="269"/>
      <c r="W40" s="942"/>
      <c r="X40" s="269"/>
      <c r="Y40" s="281"/>
      <c r="Z40" s="281"/>
      <c r="AA40" s="281" t="s">
        <v>1040</v>
      </c>
      <c r="AB40" s="281"/>
      <c r="AC40" s="709"/>
      <c r="AD40" s="407" t="s">
        <v>1041</v>
      </c>
      <c r="AE40" s="407"/>
      <c r="AF40" s="281"/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</f>
        <v>0</v>
      </c>
      <c r="D43" s="288">
        <f t="shared" ref="D43:AG43" si="10">D44+D45+D48+D52+D51+D49+D50+D46+D47</f>
        <v>0</v>
      </c>
      <c r="E43" s="288">
        <f t="shared" si="10"/>
        <v>41800</v>
      </c>
      <c r="F43" s="288">
        <f t="shared" si="10"/>
        <v>0</v>
      </c>
      <c r="G43" s="288">
        <f t="shared" si="10"/>
        <v>0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10750</v>
      </c>
      <c r="M43" s="288">
        <f t="shared" si="10"/>
        <v>0</v>
      </c>
      <c r="N43" s="288">
        <f t="shared" si="10"/>
        <v>0</v>
      </c>
      <c r="O43" s="288">
        <f t="shared" si="10"/>
        <v>0</v>
      </c>
      <c r="P43" s="865">
        <f>P44+P45+P48+P52+P51+P49+P50+P46+P47</f>
        <v>0</v>
      </c>
      <c r="Q43" s="288">
        <f t="shared" si="10"/>
        <v>0</v>
      </c>
      <c r="R43" s="288">
        <f t="shared" si="10"/>
        <v>0</v>
      </c>
      <c r="S43" s="288">
        <f t="shared" si="10"/>
        <v>0</v>
      </c>
      <c r="T43" s="288">
        <f t="shared" si="10"/>
        <v>0</v>
      </c>
      <c r="U43" s="288">
        <f t="shared" si="10"/>
        <v>0</v>
      </c>
      <c r="V43" s="288">
        <f t="shared" si="10"/>
        <v>0</v>
      </c>
      <c r="W43" s="288">
        <f t="shared" si="10"/>
        <v>0</v>
      </c>
      <c r="X43" s="288">
        <f t="shared" si="10"/>
        <v>0</v>
      </c>
      <c r="Y43" s="288">
        <f t="shared" si="10"/>
        <v>0</v>
      </c>
      <c r="Z43" s="288">
        <f t="shared" si="10"/>
        <v>0</v>
      </c>
      <c r="AA43" s="288">
        <f t="shared" si="10"/>
        <v>1695.1140000000028</v>
      </c>
      <c r="AB43" s="288">
        <f t="shared" si="10"/>
        <v>0</v>
      </c>
      <c r="AC43" s="288">
        <f t="shared" si="10"/>
        <v>0</v>
      </c>
      <c r="AD43" s="288">
        <f t="shared" si="10"/>
        <v>637.2170000000001</v>
      </c>
      <c r="AE43" s="288">
        <f t="shared" si="10"/>
        <v>0</v>
      </c>
      <c r="AF43" s="288">
        <f t="shared" si="10"/>
        <v>0</v>
      </c>
      <c r="AG43" s="288">
        <f t="shared" si="10"/>
        <v>0</v>
      </c>
      <c r="AH43" s="286">
        <f t="shared" si="9"/>
        <v>54882.330999999998</v>
      </c>
    </row>
    <row r="44" spans="1:40" x14ac:dyDescent="0.2">
      <c r="A44" s="287" t="s">
        <v>8</v>
      </c>
      <c r="B44" s="266"/>
      <c r="C44" s="289"/>
      <c r="D44" s="290"/>
      <c r="E44" s="291"/>
      <c r="F44" s="290"/>
      <c r="G44" s="295"/>
      <c r="H44" s="290"/>
      <c r="I44" s="290"/>
      <c r="J44" s="290"/>
      <c r="K44" s="290"/>
      <c r="L44" s="295">
        <f>27400-8800-7850</f>
        <v>10750</v>
      </c>
      <c r="M44" s="292"/>
      <c r="N44" s="292"/>
      <c r="O44" s="295"/>
      <c r="P44" s="292"/>
      <c r="Q44" s="295"/>
      <c r="R44" s="295"/>
      <c r="S44" s="295"/>
      <c r="T44" s="295"/>
      <c r="U44" s="581"/>
      <c r="V44" s="295"/>
      <c r="W44" s="295"/>
      <c r="X44" s="295"/>
      <c r="Y44" s="581"/>
      <c r="Z44" s="295"/>
      <c r="AA44" s="295"/>
      <c r="AB44" s="295"/>
      <c r="AC44" s="581"/>
      <c r="AD44" s="295"/>
      <c r="AE44" s="295"/>
      <c r="AF44" s="295"/>
      <c r="AG44" s="295"/>
      <c r="AH44" s="286">
        <f t="shared" si="9"/>
        <v>10750</v>
      </c>
      <c r="AN44" s="25">
        <v>9918.1650000000009</v>
      </c>
    </row>
    <row r="45" spans="1:40" x14ac:dyDescent="0.2">
      <c r="A45" s="287" t="s">
        <v>703</v>
      </c>
      <c r="B45" s="266"/>
      <c r="C45" s="291"/>
      <c r="D45" s="290"/>
      <c r="E45" s="291"/>
      <c r="F45" s="290"/>
      <c r="G45" s="290"/>
      <c r="H45" s="290"/>
      <c r="I45" s="290"/>
      <c r="J45" s="290"/>
      <c r="K45" s="290"/>
      <c r="L45" s="295"/>
      <c r="M45" s="290"/>
      <c r="N45" s="290"/>
      <c r="O45" s="295"/>
      <c r="P45" s="292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>
        <f>57162-3993.71-5650-6200-6000-7648.501-1759.455-8400-11500-4142.513-172.707</f>
        <v>1695.1140000000028</v>
      </c>
      <c r="AB45" s="295"/>
      <c r="AC45" s="295"/>
      <c r="AD45" s="295">
        <f>4387-892.98-2856.803</f>
        <v>637.2170000000001</v>
      </c>
      <c r="AE45" s="295"/>
      <c r="AF45" s="295"/>
      <c r="AG45" s="295"/>
      <c r="AH45" s="286">
        <f t="shared" si="9"/>
        <v>2332.3310000000029</v>
      </c>
      <c r="AI45" s="42">
        <f>+AH45+AH44</f>
        <v>13082.331000000002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291"/>
      <c r="F46" s="290"/>
      <c r="G46" s="290"/>
      <c r="H46" s="290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86">
        <f t="shared" si="9"/>
        <v>0</v>
      </c>
      <c r="AN46" s="25"/>
    </row>
    <row r="47" spans="1:40" x14ac:dyDescent="0.2">
      <c r="A47" s="287" t="s">
        <v>705</v>
      </c>
      <c r="B47" s="266"/>
      <c r="C47" s="291"/>
      <c r="D47" s="290"/>
      <c r="E47" s="291"/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2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86">
        <f t="shared" si="9"/>
        <v>0</v>
      </c>
      <c r="AN47" s="25"/>
    </row>
    <row r="48" spans="1:40" s="360" customFormat="1" x14ac:dyDescent="0.2">
      <c r="A48" s="662" t="s">
        <v>10</v>
      </c>
      <c r="B48" s="663"/>
      <c r="C48" s="664"/>
      <c r="D48" s="380"/>
      <c r="E48" s="664">
        <v>41800</v>
      </c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560"/>
      <c r="Q48" s="380"/>
      <c r="R48" s="380"/>
      <c r="S48" s="380"/>
      <c r="T48" s="380"/>
      <c r="U48" s="380"/>
      <c r="V48" s="665"/>
      <c r="W48" s="811"/>
      <c r="X48" s="380"/>
      <c r="Y48" s="380"/>
      <c r="Z48" s="380"/>
      <c r="AA48" s="380"/>
      <c r="AB48" s="380"/>
      <c r="AC48" s="708"/>
      <c r="AD48" s="811"/>
      <c r="AE48" s="380"/>
      <c r="AF48" s="380"/>
      <c r="AG48" s="380"/>
      <c r="AH48" s="379">
        <f t="shared" si="9"/>
        <v>41800</v>
      </c>
      <c r="AI48" s="666"/>
      <c r="AN48" s="667">
        <v>6347.85</v>
      </c>
    </row>
    <row r="49" spans="1:40" s="360" customFormat="1" x14ac:dyDescent="0.2">
      <c r="A49" s="662" t="s">
        <v>356</v>
      </c>
      <c r="B49" s="668"/>
      <c r="C49" s="565"/>
      <c r="D49" s="380"/>
      <c r="E49" s="565"/>
      <c r="F49" s="560"/>
      <c r="G49" s="560"/>
      <c r="H49" s="560"/>
      <c r="I49" s="560"/>
      <c r="J49" s="560"/>
      <c r="K49" s="560"/>
      <c r="L49" s="560"/>
      <c r="M49" s="560"/>
      <c r="N49" s="38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379">
        <f t="shared" si="9"/>
        <v>0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0"/>
      <c r="AG50" s="290"/>
      <c r="AH50" s="286">
        <f t="shared" si="9"/>
        <v>0</v>
      </c>
      <c r="AN50" s="25">
        <v>2246.556</v>
      </c>
    </row>
    <row r="51" spans="1:40" x14ac:dyDescent="0.2">
      <c r="A51" s="287" t="s">
        <v>41</v>
      </c>
      <c r="B51" s="266"/>
      <c r="C51" s="289"/>
      <c r="D51" s="291"/>
      <c r="E51" s="362"/>
      <c r="F51" s="290"/>
      <c r="G51" s="295"/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/>
      <c r="AG51" s="290"/>
      <c r="AH51" s="286">
        <f t="shared" si="9"/>
        <v>0</v>
      </c>
      <c r="AN51" s="25"/>
    </row>
    <row r="52" spans="1:40" x14ac:dyDescent="0.2">
      <c r="A52" s="287" t="s">
        <v>11</v>
      </c>
      <c r="B52" s="266"/>
      <c r="C52" s="289"/>
      <c r="D52" s="289"/>
      <c r="E52" s="289"/>
      <c r="F52" s="754"/>
      <c r="G52" s="292"/>
      <c r="H52" s="292"/>
      <c r="I52" s="292"/>
      <c r="J52" s="754"/>
      <c r="K52" s="292"/>
      <c r="L52" s="292"/>
      <c r="M52" s="292"/>
      <c r="N52" s="754"/>
      <c r="O52" s="292"/>
      <c r="P52" s="292"/>
      <c r="Q52" s="292"/>
      <c r="R52" s="292"/>
      <c r="S52" s="292"/>
      <c r="T52" s="292"/>
      <c r="U52" s="292"/>
      <c r="V52" s="455"/>
      <c r="W52" s="292"/>
      <c r="X52" s="292"/>
      <c r="Y52" s="292"/>
      <c r="Z52" s="292"/>
      <c r="AA52" s="295"/>
      <c r="AB52" s="295"/>
      <c r="AC52" s="295"/>
      <c r="AD52" s="295"/>
      <c r="AE52" s="292"/>
      <c r="AF52" s="292"/>
      <c r="AG52" s="292"/>
      <c r="AH52" s="286">
        <f t="shared" si="9"/>
        <v>0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2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5"/>
      <c r="AC53" s="295"/>
      <c r="AD53" s="290"/>
      <c r="AE53" s="290"/>
      <c r="AF53" s="290"/>
      <c r="AG53" s="290"/>
      <c r="AH53" s="286">
        <f t="shared" si="9"/>
        <v>0</v>
      </c>
      <c r="AI53" s="42"/>
      <c r="AJ53" s="360"/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/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288"/>
      <c r="N55" s="288"/>
      <c r="O55" s="288"/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 t="shared" si="11"/>
        <v>0</v>
      </c>
      <c r="T55" s="288">
        <f t="shared" si="11"/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N56" s="25">
        <v>673.17700000000002</v>
      </c>
    </row>
    <row r="57" spans="1:40" x14ac:dyDescent="0.2">
      <c r="A57" s="287" t="s">
        <v>215</v>
      </c>
      <c r="B57" s="266"/>
      <c r="C57" s="289">
        <v>2000</v>
      </c>
      <c r="D57" s="291">
        <v>2259</v>
      </c>
      <c r="E57" s="362">
        <v>650</v>
      </c>
      <c r="F57" s="290">
        <v>6115</v>
      </c>
      <c r="G57" s="295">
        <v>8587</v>
      </c>
      <c r="H57" s="292"/>
      <c r="I57" s="290">
        <v>1350</v>
      </c>
      <c r="J57" s="290">
        <v>7183</v>
      </c>
      <c r="K57" s="290">
        <v>2000</v>
      </c>
      <c r="L57" s="290">
        <v>28487</v>
      </c>
      <c r="M57" s="290">
        <v>2029</v>
      </c>
      <c r="N57" s="290">
        <v>3500</v>
      </c>
      <c r="O57" s="290">
        <v>2000</v>
      </c>
      <c r="P57" s="292">
        <v>1459</v>
      </c>
      <c r="Q57" s="290">
        <v>32621</v>
      </c>
      <c r="R57" s="290">
        <v>165</v>
      </c>
      <c r="S57" s="290">
        <v>3459</v>
      </c>
      <c r="T57" s="290">
        <v>14024</v>
      </c>
      <c r="U57" s="290">
        <v>650</v>
      </c>
      <c r="V57" s="290">
        <v>11859</v>
      </c>
      <c r="W57" s="290"/>
      <c r="X57" s="290">
        <v>4681</v>
      </c>
      <c r="Y57" s="290">
        <v>4859</v>
      </c>
      <c r="Z57" s="290">
        <v>3050</v>
      </c>
      <c r="AA57" s="292">
        <v>6959</v>
      </c>
      <c r="AB57" s="290">
        <v>2732</v>
      </c>
      <c r="AC57" s="290"/>
      <c r="AD57" s="290"/>
      <c r="AE57" s="290">
        <v>2910</v>
      </c>
      <c r="AF57" s="290">
        <v>79473</v>
      </c>
      <c r="AG57" s="290"/>
      <c r="AH57" s="286">
        <f t="shared" si="9"/>
        <v>235061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N59" s="25">
        <v>1850.7819999999999</v>
      </c>
    </row>
    <row r="60" spans="1:40" x14ac:dyDescent="0.2">
      <c r="A60" s="287" t="s">
        <v>915</v>
      </c>
      <c r="B60" s="266"/>
      <c r="C60" s="300">
        <f t="shared" ref="C60:AG60" si="12">C55-C43</f>
        <v>0</v>
      </c>
      <c r="D60" s="300">
        <f t="shared" si="12"/>
        <v>0</v>
      </c>
      <c r="E60" s="300">
        <f t="shared" si="12"/>
        <v>-41800</v>
      </c>
      <c r="F60" s="300">
        <f t="shared" si="12"/>
        <v>0</v>
      </c>
      <c r="G60" s="300">
        <f t="shared" si="12"/>
        <v>0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-10750</v>
      </c>
      <c r="M60" s="300">
        <f t="shared" si="12"/>
        <v>0</v>
      </c>
      <c r="N60" s="300">
        <f t="shared" si="12"/>
        <v>0</v>
      </c>
      <c r="O60" s="300">
        <f t="shared" si="12"/>
        <v>0</v>
      </c>
      <c r="P60" s="867">
        <f t="shared" si="12"/>
        <v>0</v>
      </c>
      <c r="Q60" s="300">
        <f t="shared" si="12"/>
        <v>0</v>
      </c>
      <c r="R60" s="300">
        <f t="shared" si="12"/>
        <v>0</v>
      </c>
      <c r="S60" s="300">
        <f t="shared" si="12"/>
        <v>0</v>
      </c>
      <c r="T60" s="300">
        <f t="shared" si="12"/>
        <v>0</v>
      </c>
      <c r="U60" s="300">
        <f t="shared" si="12"/>
        <v>0</v>
      </c>
      <c r="V60" s="300">
        <f t="shared" si="12"/>
        <v>0</v>
      </c>
      <c r="W60" s="300">
        <f t="shared" si="12"/>
        <v>0</v>
      </c>
      <c r="X60" s="300">
        <f t="shared" si="12"/>
        <v>0</v>
      </c>
      <c r="Y60" s="300">
        <f t="shared" si="12"/>
        <v>0</v>
      </c>
      <c r="Z60" s="300">
        <f t="shared" si="12"/>
        <v>0</v>
      </c>
      <c r="AA60" s="300">
        <f t="shared" si="12"/>
        <v>-1695.1140000000028</v>
      </c>
      <c r="AB60" s="300">
        <f t="shared" si="12"/>
        <v>0</v>
      </c>
      <c r="AC60" s="300">
        <f t="shared" si="12"/>
        <v>0</v>
      </c>
      <c r="AD60" s="300">
        <f t="shared" si="12"/>
        <v>-637.2170000000001</v>
      </c>
      <c r="AE60" s="300">
        <f t="shared" si="12"/>
        <v>0</v>
      </c>
      <c r="AF60" s="300">
        <f t="shared" si="12"/>
        <v>0</v>
      </c>
      <c r="AG60" s="300">
        <f t="shared" si="12"/>
        <v>0</v>
      </c>
      <c r="AH60" s="215"/>
      <c r="AL60" s="42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-358153.25900000002</v>
      </c>
      <c r="D63" s="291">
        <f>C70+D60</f>
        <v>-358153.25900000002</v>
      </c>
      <c r="E63" s="291">
        <f t="shared" ref="E63:AG63" si="13">D70+E60</f>
        <v>-399953.25900000002</v>
      </c>
      <c r="F63" s="291">
        <f t="shared" si="13"/>
        <v>-399953.25900000002</v>
      </c>
      <c r="G63" s="291">
        <f t="shared" si="13"/>
        <v>-399953.25900000002</v>
      </c>
      <c r="H63" s="291">
        <f t="shared" si="13"/>
        <v>-399953.25900000002</v>
      </c>
      <c r="I63" s="291">
        <f t="shared" si="13"/>
        <v>-399953.25900000002</v>
      </c>
      <c r="J63" s="291">
        <f t="shared" si="13"/>
        <v>-399953.25900000002</v>
      </c>
      <c r="K63" s="291">
        <f t="shared" si="13"/>
        <v>-399953.25900000002</v>
      </c>
      <c r="L63" s="291">
        <f t="shared" si="13"/>
        <v>-410703.25900000002</v>
      </c>
      <c r="M63" s="291">
        <f t="shared" si="13"/>
        <v>-410703.25900000002</v>
      </c>
      <c r="N63" s="291">
        <f t="shared" si="13"/>
        <v>-410703.25900000002</v>
      </c>
      <c r="O63" s="291">
        <f t="shared" si="13"/>
        <v>-410703.25900000002</v>
      </c>
      <c r="P63" s="289">
        <f>O70+P60</f>
        <v>-410703.25900000002</v>
      </c>
      <c r="Q63" s="291">
        <f t="shared" si="13"/>
        <v>-410703.25900000002</v>
      </c>
      <c r="R63" s="291">
        <f t="shared" si="13"/>
        <v>-410703.25900000002</v>
      </c>
      <c r="S63" s="291">
        <f t="shared" si="13"/>
        <v>-410703.25900000002</v>
      </c>
      <c r="T63" s="291">
        <f t="shared" si="13"/>
        <v>-410703.25900000002</v>
      </c>
      <c r="U63" s="291">
        <f t="shared" si="13"/>
        <v>-410703.25900000002</v>
      </c>
      <c r="V63" s="291">
        <f t="shared" si="13"/>
        <v>-410703.25900000002</v>
      </c>
      <c r="W63" s="291">
        <f t="shared" si="13"/>
        <v>-410703.25900000002</v>
      </c>
      <c r="X63" s="291">
        <f t="shared" si="13"/>
        <v>-410703.25900000002</v>
      </c>
      <c r="Y63" s="291">
        <f t="shared" si="13"/>
        <v>-410703.25900000002</v>
      </c>
      <c r="Z63" s="291">
        <f t="shared" si="13"/>
        <v>-410703.25900000002</v>
      </c>
      <c r="AA63" s="291">
        <f t="shared" si="13"/>
        <v>-412398.37300000002</v>
      </c>
      <c r="AB63" s="291">
        <f t="shared" si="13"/>
        <v>-412398.37300000002</v>
      </c>
      <c r="AC63" s="291">
        <f t="shared" si="13"/>
        <v>-412398.37300000002</v>
      </c>
      <c r="AD63" s="291">
        <f t="shared" si="13"/>
        <v>-413035.59</v>
      </c>
      <c r="AE63" s="291">
        <f t="shared" si="13"/>
        <v>-413035.59</v>
      </c>
      <c r="AF63" s="291">
        <f t="shared" si="13"/>
        <v>-413035.59</v>
      </c>
      <c r="AG63" s="291">
        <f t="shared" si="13"/>
        <v>-413035.59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-358153.25900000002</v>
      </c>
      <c r="D70" s="291">
        <f t="shared" ref="D70:AG70" si="15">D63+D66+D67</f>
        <v>-358153.25900000002</v>
      </c>
      <c r="E70" s="291">
        <f t="shared" si="15"/>
        <v>-399953.25900000002</v>
      </c>
      <c r="F70" s="291">
        <f t="shared" si="15"/>
        <v>-399953.25900000002</v>
      </c>
      <c r="G70" s="291">
        <f t="shared" si="15"/>
        <v>-399953.25900000002</v>
      </c>
      <c r="H70" s="291">
        <f t="shared" si="15"/>
        <v>-399953.25900000002</v>
      </c>
      <c r="I70" s="291">
        <f t="shared" si="15"/>
        <v>-399953.25900000002</v>
      </c>
      <c r="J70" s="291">
        <f t="shared" si="15"/>
        <v>-399953.25900000002</v>
      </c>
      <c r="K70" s="291">
        <f t="shared" si="15"/>
        <v>-399953.25900000002</v>
      </c>
      <c r="L70" s="291">
        <f t="shared" si="15"/>
        <v>-410703.25900000002</v>
      </c>
      <c r="M70" s="291">
        <f t="shared" si="15"/>
        <v>-410703.25900000002</v>
      </c>
      <c r="N70" s="291">
        <f t="shared" si="15"/>
        <v>-410703.25900000002</v>
      </c>
      <c r="O70" s="291">
        <f t="shared" si="15"/>
        <v>-410703.25900000002</v>
      </c>
      <c r="P70" s="289">
        <f>P63+P66+P67</f>
        <v>-410703.25900000002</v>
      </c>
      <c r="Q70" s="291">
        <f t="shared" si="15"/>
        <v>-410703.25900000002</v>
      </c>
      <c r="R70" s="291">
        <f t="shared" si="15"/>
        <v>-410703.25900000002</v>
      </c>
      <c r="S70" s="291">
        <f t="shared" si="15"/>
        <v>-410703.25900000002</v>
      </c>
      <c r="T70" s="291">
        <f t="shared" si="15"/>
        <v>-410703.25900000002</v>
      </c>
      <c r="U70" s="291">
        <f t="shared" si="15"/>
        <v>-410703.25900000002</v>
      </c>
      <c r="V70" s="291">
        <f t="shared" si="15"/>
        <v>-410703.25900000002</v>
      </c>
      <c r="W70" s="291">
        <f t="shared" si="15"/>
        <v>-410703.25900000002</v>
      </c>
      <c r="X70" s="291">
        <f t="shared" si="15"/>
        <v>-410703.25900000002</v>
      </c>
      <c r="Y70" s="291">
        <f t="shared" si="15"/>
        <v>-410703.25900000002</v>
      </c>
      <c r="Z70" s="291">
        <f t="shared" si="15"/>
        <v>-410703.25900000002</v>
      </c>
      <c r="AA70" s="291">
        <f t="shared" si="15"/>
        <v>-412398.37300000002</v>
      </c>
      <c r="AB70" s="291">
        <f t="shared" si="15"/>
        <v>-412398.37300000002</v>
      </c>
      <c r="AC70" s="291">
        <f t="shared" si="15"/>
        <v>-412398.37300000002</v>
      </c>
      <c r="AD70" s="291">
        <f t="shared" si="15"/>
        <v>-413035.59</v>
      </c>
      <c r="AE70" s="291">
        <f t="shared" si="15"/>
        <v>-413035.59</v>
      </c>
      <c r="AF70" s="291">
        <f t="shared" si="15"/>
        <v>-413035.59</v>
      </c>
      <c r="AG70" s="291">
        <f t="shared" si="15"/>
        <v>-413035.59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5"/>
      <c r="E74" s="290"/>
      <c r="F74" s="295"/>
      <c r="G74" s="295"/>
      <c r="H74" s="295"/>
      <c r="I74" s="295"/>
      <c r="J74" s="295"/>
      <c r="K74" s="295"/>
      <c r="L74" s="295"/>
      <c r="M74" s="295"/>
      <c r="N74" s="295">
        <f>J51</f>
        <v>0</v>
      </c>
      <c r="O74" s="295">
        <f>K51</f>
        <v>0</v>
      </c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>
        <f>AC57</f>
        <v>0</v>
      </c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SUM(C84:C122)</f>
        <v>0</v>
      </c>
      <c r="D82" s="286"/>
      <c r="E82" s="470"/>
      <c r="F82" s="286"/>
      <c r="G82" s="317"/>
      <c r="H82" s="315"/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/>
      <c r="G83" s="319"/>
      <c r="H83" s="215"/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/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41673</v>
      </c>
      <c r="C85" s="318"/>
      <c r="D85" s="309"/>
      <c r="E85" s="215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41673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41673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42191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42185</v>
      </c>
      <c r="C89" s="501"/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42179</v>
      </c>
      <c r="C90" s="325"/>
      <c r="D90" s="323"/>
      <c r="E90" s="353"/>
      <c r="F90" s="215"/>
      <c r="G90" s="326"/>
      <c r="H90" s="215"/>
      <c r="I90" s="215"/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42164</v>
      </c>
      <c r="C91" s="325"/>
      <c r="D91" s="323"/>
      <c r="E91" s="323"/>
      <c r="F91" s="215"/>
      <c r="G91" s="326"/>
      <c r="H91" s="215"/>
      <c r="I91" s="215"/>
      <c r="J91" s="215"/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42101</v>
      </c>
      <c r="C92" s="323"/>
      <c r="D92" s="323"/>
      <c r="E92" s="323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42102</v>
      </c>
      <c r="C93" s="325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42016</v>
      </c>
      <c r="C94" s="840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42016</v>
      </c>
      <c r="C95" s="840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42069</v>
      </c>
      <c r="C96" s="808"/>
      <c r="D96" s="323"/>
      <c r="E96" s="323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>
        <v>42176</v>
      </c>
      <c r="C97" s="324"/>
      <c r="D97" s="323"/>
      <c r="E97" s="323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42177</v>
      </c>
      <c r="C98" s="324"/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42178</v>
      </c>
      <c r="C99" s="324"/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42179</v>
      </c>
      <c r="C100" s="324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42180</v>
      </c>
      <c r="C101" s="324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42181</v>
      </c>
      <c r="C102" s="324"/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42182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42183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42184</v>
      </c>
      <c r="C105" s="324"/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42185</v>
      </c>
      <c r="C106" s="324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320">
        <v>42172</v>
      </c>
      <c r="C107" s="324"/>
      <c r="D107" s="323"/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/>
      <c r="B108" s="320">
        <v>42173</v>
      </c>
      <c r="C108" s="324"/>
      <c r="D108" s="323"/>
      <c r="E108" s="323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  <c r="AP108" s="194"/>
    </row>
    <row r="109" spans="1:42" x14ac:dyDescent="0.2">
      <c r="A109" s="215" t="s">
        <v>436</v>
      </c>
      <c r="B109" s="320"/>
      <c r="C109" s="1019"/>
      <c r="D109" s="323"/>
      <c r="E109" s="215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/>
    </row>
    <row r="110" spans="1:42" x14ac:dyDescent="0.2">
      <c r="A110" s="327" t="s">
        <v>32</v>
      </c>
      <c r="B110" s="320">
        <v>42191</v>
      </c>
      <c r="C110" s="318"/>
      <c r="D110" s="323"/>
      <c r="E110" s="215"/>
      <c r="F110" s="215"/>
      <c r="G110" s="470"/>
      <c r="H110" s="323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  <c r="AN110" s="25">
        <v>222914.55799999999</v>
      </c>
    </row>
    <row r="111" spans="1:42" x14ac:dyDescent="0.2">
      <c r="A111" s="327" t="s">
        <v>32</v>
      </c>
      <c r="B111" s="320">
        <v>42180</v>
      </c>
      <c r="C111" s="318"/>
      <c r="D111" s="323"/>
      <c r="E111" s="318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</row>
    <row r="112" spans="1:42" x14ac:dyDescent="0.2">
      <c r="A112" s="327" t="s">
        <v>33</v>
      </c>
      <c r="B112" s="320">
        <v>42180</v>
      </c>
      <c r="C112" s="318"/>
      <c r="D112" s="215"/>
      <c r="E112" s="320"/>
      <c r="F112" s="311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  <c r="AN112" s="194">
        <f>AN110-AN93</f>
        <v>55537.753999999957</v>
      </c>
    </row>
    <row r="113" spans="1:34" x14ac:dyDescent="0.2">
      <c r="A113" s="327" t="s">
        <v>33</v>
      </c>
      <c r="B113" s="320">
        <v>42082</v>
      </c>
      <c r="C113" s="318"/>
      <c r="D113" s="215"/>
      <c r="E113" s="320"/>
      <c r="F113" s="311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33</v>
      </c>
      <c r="B114" s="320">
        <v>42080</v>
      </c>
      <c r="C114" s="318"/>
      <c r="D114" s="215"/>
      <c r="E114" s="215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33</v>
      </c>
      <c r="B115" s="320">
        <v>42024</v>
      </c>
      <c r="C115" s="318"/>
      <c r="D115" s="215"/>
      <c r="E115" s="323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32</v>
      </c>
      <c r="B116" s="320">
        <v>41918</v>
      </c>
      <c r="C116" s="318"/>
      <c r="D116" s="323"/>
      <c r="E116" s="323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32</v>
      </c>
      <c r="B117" s="320">
        <v>41673</v>
      </c>
      <c r="C117" s="318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32</v>
      </c>
      <c r="B118" s="320">
        <v>41673</v>
      </c>
      <c r="C118" s="318"/>
      <c r="D118" s="215"/>
      <c r="E118" s="323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32</v>
      </c>
      <c r="B119" s="320">
        <v>41673</v>
      </c>
      <c r="C119" s="318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327" t="s">
        <v>33</v>
      </c>
      <c r="B120" s="320">
        <v>41673</v>
      </c>
      <c r="C120" s="318"/>
      <c r="D120" s="215"/>
      <c r="E120" s="500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327" t="s">
        <v>33</v>
      </c>
      <c r="B121" s="320">
        <v>41673</v>
      </c>
      <c r="C121" s="316"/>
      <c r="D121" s="215"/>
      <c r="E121" s="323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215"/>
      <c r="B122" s="321"/>
      <c r="C122" s="318"/>
      <c r="D122" s="215"/>
      <c r="E122" s="215"/>
      <c r="F122" s="215"/>
      <c r="G122" s="323"/>
      <c r="H122" s="323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62"/>
      <c r="D123" s="215"/>
      <c r="E123" s="215"/>
      <c r="F123" s="215"/>
      <c r="G123" s="323"/>
      <c r="H123" s="215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215"/>
      <c r="B124" s="320"/>
      <c r="C124" s="215"/>
      <c r="D124" s="215"/>
      <c r="E124" s="215"/>
      <c r="F124" s="215"/>
      <c r="G124" s="215"/>
      <c r="H124" s="316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215"/>
      <c r="B125" s="320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310"/>
      <c r="B126" s="320"/>
      <c r="C126" s="262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310"/>
      <c r="B127" s="320"/>
      <c r="C127" s="262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309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</row>
    <row r="132" spans="1:34" ht="13.5" thickBot="1" x14ac:dyDescent="0.25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309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</row>
    <row r="133" spans="1:34" x14ac:dyDescent="0.2">
      <c r="A133" s="263"/>
      <c r="B133" s="264"/>
      <c r="C133" s="264"/>
      <c r="D133" s="264"/>
      <c r="E133" s="264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860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15"/>
    </row>
    <row r="134" spans="1:34" x14ac:dyDescent="0.2">
      <c r="A134" s="265"/>
      <c r="B134" s="266" t="s">
        <v>37</v>
      </c>
      <c r="C134" s="266"/>
      <c r="D134" s="266"/>
      <c r="E134" s="267" t="s">
        <v>486</v>
      </c>
      <c r="F134" s="268" t="s">
        <v>95</v>
      </c>
      <c r="G134" s="269" t="s">
        <v>6</v>
      </c>
      <c r="H134" s="268"/>
      <c r="I134" s="268"/>
      <c r="J134" s="268"/>
      <c r="K134" s="268"/>
      <c r="L134" s="268"/>
      <c r="M134" s="268"/>
      <c r="N134" s="268"/>
      <c r="O134" s="268"/>
      <c r="P134" s="861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15"/>
    </row>
    <row r="135" spans="1:34" x14ac:dyDescent="0.2">
      <c r="A135" s="265"/>
      <c r="B135" s="266"/>
      <c r="C135" s="266"/>
      <c r="D135" s="268">
        <v>42193</v>
      </c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x14ac:dyDescent="0.2">
      <c r="A136" s="328"/>
      <c r="B136" s="266"/>
      <c r="C136" s="268"/>
      <c r="D136" s="268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x14ac:dyDescent="0.2">
      <c r="A137" s="265"/>
      <c r="B137" s="266"/>
      <c r="C137" s="268"/>
      <c r="D137" s="268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79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15"/>
    </row>
    <row r="138" spans="1:34" ht="13.5" thickBot="1" x14ac:dyDescent="0.25">
      <c r="A138" s="265"/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79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  <c r="AH138" s="215"/>
    </row>
    <row r="139" spans="1:34" ht="13.5" thickBot="1" x14ac:dyDescent="0.25">
      <c r="A139" s="265"/>
      <c r="B139" s="266"/>
      <c r="C139" s="270"/>
      <c r="D139" s="271" t="s">
        <v>16</v>
      </c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  <c r="O139" s="271"/>
      <c r="P139" s="862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15"/>
    </row>
    <row r="140" spans="1:34" ht="13.5" thickBot="1" x14ac:dyDescent="0.25">
      <c r="A140" s="265"/>
      <c r="B140" s="266"/>
      <c r="C140" s="272" t="s">
        <v>452</v>
      </c>
      <c r="D140" s="272" t="s">
        <v>453</v>
      </c>
      <c r="E140" s="272" t="s">
        <v>434</v>
      </c>
      <c r="F140" s="272" t="s">
        <v>390</v>
      </c>
      <c r="G140" s="272" t="s">
        <v>454</v>
      </c>
      <c r="H140" s="272" t="s">
        <v>455</v>
      </c>
      <c r="I140" s="272" t="s">
        <v>456</v>
      </c>
      <c r="J140" s="272" t="s">
        <v>457</v>
      </c>
      <c r="K140" s="272" t="s">
        <v>458</v>
      </c>
      <c r="L140" s="272" t="s">
        <v>216</v>
      </c>
      <c r="M140" s="272" t="s">
        <v>459</v>
      </c>
      <c r="N140" s="272" t="s">
        <v>297</v>
      </c>
      <c r="O140" s="272" t="s">
        <v>211</v>
      </c>
      <c r="P140" s="863" t="s">
        <v>270</v>
      </c>
      <c r="Q140" s="272">
        <v>15</v>
      </c>
      <c r="R140" s="272">
        <v>16</v>
      </c>
      <c r="S140" s="272" t="s">
        <v>461</v>
      </c>
      <c r="T140" s="272" t="s">
        <v>442</v>
      </c>
      <c r="U140" s="272" t="s">
        <v>462</v>
      </c>
      <c r="V140" s="272" t="s">
        <v>470</v>
      </c>
      <c r="W140" s="272" t="s">
        <v>471</v>
      </c>
      <c r="X140" s="272" t="s">
        <v>472</v>
      </c>
      <c r="Y140" s="272" t="s">
        <v>463</v>
      </c>
      <c r="Z140" s="272" t="s">
        <v>465</v>
      </c>
      <c r="AA140" s="272" t="s">
        <v>466</v>
      </c>
      <c r="AB140" s="272" t="s">
        <v>435</v>
      </c>
      <c r="AC140" s="272" t="s">
        <v>467</v>
      </c>
      <c r="AD140" s="272" t="s">
        <v>464</v>
      </c>
      <c r="AE140" s="272" t="s">
        <v>429</v>
      </c>
      <c r="AF140" s="272" t="s">
        <v>149</v>
      </c>
      <c r="AG140" s="272" t="s">
        <v>210</v>
      </c>
      <c r="AH140" s="215"/>
    </row>
    <row r="141" spans="1:34" x14ac:dyDescent="0.2">
      <c r="A141" s="263"/>
      <c r="B141" s="273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x14ac:dyDescent="0.2">
      <c r="A142" s="265" t="s">
        <v>0</v>
      </c>
      <c r="B142" s="274">
        <v>-29238.511999999999</v>
      </c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ht="13.5" thickBot="1" x14ac:dyDescent="0.25">
      <c r="A143" s="275"/>
      <c r="B143" s="27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3"/>
      <c r="B144" s="278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1</v>
      </c>
      <c r="B145" s="274">
        <f>B146+B147+B148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38</v>
      </c>
      <c r="B146" s="274">
        <f>C196</f>
        <v>0</v>
      </c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x14ac:dyDescent="0.2">
      <c r="A147" s="265" t="s">
        <v>39</v>
      </c>
      <c r="B147" s="274">
        <f>C216</f>
        <v>0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x14ac:dyDescent="0.2">
      <c r="A148" s="265" t="s">
        <v>3</v>
      </c>
      <c r="B148" s="274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ht="13.5" thickBot="1" x14ac:dyDescent="0.25">
      <c r="A149" s="275"/>
      <c r="B149" s="27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x14ac:dyDescent="0.2">
      <c r="A150" s="263"/>
      <c r="B150" s="278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x14ac:dyDescent="0.2">
      <c r="A151" s="265" t="s">
        <v>4</v>
      </c>
      <c r="B151" s="274">
        <f>B142+B145</f>
        <v>-29238.511999999999</v>
      </c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ht="13.5" thickBot="1" x14ac:dyDescent="0.25">
      <c r="A152" s="275"/>
      <c r="B152" s="276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x14ac:dyDescent="0.2">
      <c r="A153" s="263"/>
      <c r="B153" s="278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79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x14ac:dyDescent="0.2">
      <c r="A154" s="265" t="s">
        <v>17</v>
      </c>
      <c r="B154" s="274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15"/>
    </row>
    <row r="155" spans="1:34" ht="13.5" thickBot="1" x14ac:dyDescent="0.25">
      <c r="A155" s="275"/>
      <c r="B155" s="27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79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  <c r="AA155" s="266"/>
      <c r="AB155" s="266"/>
      <c r="AC155" s="266"/>
      <c r="AD155" s="266"/>
      <c r="AE155" s="266"/>
      <c r="AF155" s="266"/>
      <c r="AG155" s="266"/>
      <c r="AH155" s="215"/>
    </row>
    <row r="156" spans="1:34" x14ac:dyDescent="0.2">
      <c r="A156" s="263"/>
      <c r="B156" s="278"/>
      <c r="C156" s="266"/>
      <c r="D156" s="802"/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79"/>
      <c r="Q156" s="266"/>
      <c r="R156" s="266"/>
      <c r="S156" s="266"/>
      <c r="T156" s="266"/>
      <c r="U156" s="266"/>
      <c r="V156" s="266"/>
      <c r="W156" s="266"/>
      <c r="X156" s="266"/>
      <c r="Y156" s="266"/>
      <c r="Z156" s="266"/>
      <c r="AA156" s="266"/>
      <c r="AB156" s="266"/>
      <c r="AC156" s="802"/>
      <c r="AD156" s="266"/>
      <c r="AF156" s="266"/>
      <c r="AG156" s="266"/>
      <c r="AH156" s="215"/>
    </row>
    <row r="157" spans="1:34" x14ac:dyDescent="0.2">
      <c r="A157" s="265" t="s">
        <v>5</v>
      </c>
      <c r="B157" s="274">
        <f>B151-B154</f>
        <v>-29238.511999999999</v>
      </c>
      <c r="C157" s="269"/>
      <c r="D157" s="802"/>
      <c r="E157" s="269"/>
      <c r="F157" s="266"/>
      <c r="G157" s="269"/>
      <c r="H157" s="269"/>
      <c r="I157" s="269"/>
      <c r="J157" s="266"/>
      <c r="K157" s="266"/>
      <c r="L157" s="707"/>
      <c r="M157" s="266"/>
      <c r="N157" s="266"/>
      <c r="O157" s="269"/>
      <c r="P157" s="281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707"/>
      <c r="AB157" s="269"/>
      <c r="AC157" s="802"/>
      <c r="AD157" s="269"/>
      <c r="AF157" s="810"/>
      <c r="AG157" s="269"/>
      <c r="AH157" s="215"/>
    </row>
    <row r="158" spans="1:34" ht="13.5" thickBot="1" x14ac:dyDescent="0.25">
      <c r="A158" s="275"/>
      <c r="B158" s="27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81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15"/>
    </row>
    <row r="159" spans="1:34" x14ac:dyDescent="0.2">
      <c r="A159" s="282"/>
      <c r="B159" s="266"/>
      <c r="C159" s="283"/>
      <c r="D159" s="285"/>
      <c r="E159" s="285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86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  <c r="AA159" s="284"/>
      <c r="AB159" s="284"/>
      <c r="AC159" s="284"/>
      <c r="AD159" s="284"/>
      <c r="AE159" s="284"/>
      <c r="AF159" s="284"/>
      <c r="AG159" s="284"/>
      <c r="AH159" s="215"/>
    </row>
    <row r="160" spans="1:34" ht="13.5" thickBot="1" x14ac:dyDescent="0.25">
      <c r="A160" s="287" t="s">
        <v>7</v>
      </c>
      <c r="B160" s="266"/>
      <c r="C160" s="288">
        <f>C161+C162+C163+C167+C166+C164+C165</f>
        <v>0</v>
      </c>
      <c r="D160" s="288">
        <f t="shared" ref="D160:AE160" si="16">D161+D162+D163+D167+D166+D164+D165</f>
        <v>0</v>
      </c>
      <c r="E160" s="288">
        <f t="shared" si="16"/>
        <v>0</v>
      </c>
      <c r="F160" s="288">
        <f t="shared" si="16"/>
        <v>0</v>
      </c>
      <c r="G160" s="288">
        <f t="shared" si="16"/>
        <v>0</v>
      </c>
      <c r="H160" s="288">
        <f t="shared" si="16"/>
        <v>0</v>
      </c>
      <c r="I160" s="288">
        <f t="shared" si="16"/>
        <v>0</v>
      </c>
      <c r="J160" s="288">
        <f t="shared" si="16"/>
        <v>0</v>
      </c>
      <c r="K160" s="288">
        <f t="shared" si="16"/>
        <v>0</v>
      </c>
      <c r="L160" s="288">
        <f t="shared" si="16"/>
        <v>0</v>
      </c>
      <c r="M160" s="288">
        <f t="shared" si="16"/>
        <v>0</v>
      </c>
      <c r="N160" s="288">
        <f t="shared" si="16"/>
        <v>0</v>
      </c>
      <c r="O160" s="288">
        <f t="shared" si="16"/>
        <v>0</v>
      </c>
      <c r="P160" s="865">
        <f t="shared" si="16"/>
        <v>0</v>
      </c>
      <c r="Q160" s="288">
        <f t="shared" si="16"/>
        <v>0</v>
      </c>
      <c r="R160" s="288">
        <f t="shared" si="16"/>
        <v>0</v>
      </c>
      <c r="S160" s="288">
        <f t="shared" si="16"/>
        <v>0</v>
      </c>
      <c r="T160" s="288">
        <f t="shared" si="16"/>
        <v>0</v>
      </c>
      <c r="U160" s="288">
        <f t="shared" si="16"/>
        <v>0</v>
      </c>
      <c r="V160" s="288">
        <f t="shared" si="16"/>
        <v>0</v>
      </c>
      <c r="W160" s="288">
        <f t="shared" si="16"/>
        <v>0</v>
      </c>
      <c r="X160" s="288">
        <f t="shared" si="16"/>
        <v>0</v>
      </c>
      <c r="Y160" s="288">
        <f t="shared" si="16"/>
        <v>0</v>
      </c>
      <c r="Z160" s="288">
        <f t="shared" si="16"/>
        <v>0</v>
      </c>
      <c r="AA160" s="288">
        <f t="shared" si="16"/>
        <v>0</v>
      </c>
      <c r="AB160" s="288">
        <f t="shared" si="16"/>
        <v>0</v>
      </c>
      <c r="AC160" s="288">
        <f t="shared" si="16"/>
        <v>0</v>
      </c>
      <c r="AD160" s="288">
        <f t="shared" si="16"/>
        <v>0</v>
      </c>
      <c r="AE160" s="288">
        <f t="shared" si="16"/>
        <v>0</v>
      </c>
      <c r="AF160" s="288">
        <f>AF161+AF162+AF163+AF167+AF166+AF164+AF165</f>
        <v>0</v>
      </c>
      <c r="AG160" s="288">
        <f>AG161+AG162+AG163+AG167+AG166+AG164+AG165</f>
        <v>0</v>
      </c>
      <c r="AH160" s="286">
        <f t="shared" ref="AH160:AH168" si="17">SUM(C160:AG160)</f>
        <v>0</v>
      </c>
    </row>
    <row r="161" spans="1:35" x14ac:dyDescent="0.2">
      <c r="A161" s="287" t="s">
        <v>8</v>
      </c>
      <c r="B161" s="266"/>
      <c r="C161" s="291"/>
      <c r="D161" s="291"/>
      <c r="E161" s="291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2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86">
        <f t="shared" si="17"/>
        <v>0</v>
      </c>
    </row>
    <row r="162" spans="1:35" x14ac:dyDescent="0.2">
      <c r="A162" s="287" t="s">
        <v>9</v>
      </c>
      <c r="B162" s="266"/>
      <c r="C162" s="291"/>
      <c r="D162" s="291"/>
      <c r="E162" s="291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2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86">
        <f t="shared" si="17"/>
        <v>0</v>
      </c>
    </row>
    <row r="163" spans="1:35" s="360" customFormat="1" x14ac:dyDescent="0.2">
      <c r="A163" s="662" t="s">
        <v>10</v>
      </c>
      <c r="B163" s="669"/>
      <c r="C163" s="664"/>
      <c r="D163" s="565"/>
      <c r="E163" s="565"/>
      <c r="F163" s="560"/>
      <c r="G163" s="560"/>
      <c r="H163" s="560"/>
      <c r="I163" s="560"/>
      <c r="J163" s="560"/>
      <c r="K163" s="560"/>
      <c r="L163" s="708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708"/>
      <c r="AB163" s="560"/>
      <c r="AC163" s="560"/>
      <c r="AD163" s="560"/>
      <c r="AE163" s="803"/>
      <c r="AF163" s="811"/>
      <c r="AG163" s="560"/>
      <c r="AH163" s="379">
        <f t="shared" si="17"/>
        <v>0</v>
      </c>
    </row>
    <row r="164" spans="1:35" s="360" customFormat="1" x14ac:dyDescent="0.2">
      <c r="A164" s="662" t="s">
        <v>356</v>
      </c>
      <c r="B164" s="669"/>
      <c r="C164" s="565"/>
      <c r="D164" s="565"/>
      <c r="E164" s="565"/>
      <c r="F164" s="560"/>
      <c r="G164" s="560"/>
      <c r="H164" s="560"/>
      <c r="I164" s="560"/>
      <c r="J164" s="560"/>
      <c r="K164" s="560"/>
      <c r="L164" s="560"/>
      <c r="M164" s="560"/>
      <c r="N164" s="560"/>
      <c r="O164" s="560"/>
      <c r="P164" s="560"/>
      <c r="Q164" s="560"/>
      <c r="R164" s="560"/>
      <c r="S164" s="560"/>
      <c r="T164" s="560"/>
      <c r="U164" s="560"/>
      <c r="V164" s="560"/>
      <c r="W164" s="560"/>
      <c r="X164" s="560"/>
      <c r="Y164" s="560"/>
      <c r="Z164" s="560"/>
      <c r="AA164" s="560"/>
      <c r="AB164" s="560"/>
      <c r="AC164" s="560"/>
      <c r="AD164" s="560"/>
      <c r="AE164" s="560"/>
      <c r="AF164" s="560"/>
      <c r="AG164" s="560"/>
      <c r="AH164" s="379">
        <f t="shared" si="17"/>
        <v>0</v>
      </c>
    </row>
    <row r="165" spans="1:35" x14ac:dyDescent="0.2">
      <c r="A165" s="287" t="s">
        <v>357</v>
      </c>
      <c r="B165" s="266"/>
      <c r="C165" s="289"/>
      <c r="D165" s="291"/>
      <c r="E165" s="289"/>
      <c r="F165" s="290"/>
      <c r="G165" s="290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x14ac:dyDescent="0.2">
      <c r="A166" s="287" t="s">
        <v>41</v>
      </c>
      <c r="B166" s="266"/>
      <c r="C166" s="289"/>
      <c r="D166" s="291"/>
      <c r="E166" s="289"/>
      <c r="F166" s="290"/>
      <c r="G166" s="290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86">
        <f t="shared" si="17"/>
        <v>0</v>
      </c>
    </row>
    <row r="167" spans="1:35" x14ac:dyDescent="0.2">
      <c r="A167" s="287" t="s">
        <v>11</v>
      </c>
      <c r="B167" s="266"/>
      <c r="C167" s="291"/>
      <c r="D167" s="289"/>
      <c r="E167" s="289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86">
        <f t="shared" si="17"/>
        <v>0</v>
      </c>
    </row>
    <row r="168" spans="1:35" ht="13.5" thickBot="1" x14ac:dyDescent="0.25">
      <c r="A168" s="296"/>
      <c r="B168" s="266"/>
      <c r="C168" s="291"/>
      <c r="D168" s="291"/>
      <c r="E168" s="291"/>
      <c r="F168" s="290"/>
      <c r="G168" s="290"/>
      <c r="H168" s="290"/>
      <c r="I168" s="290"/>
      <c r="J168" s="290"/>
      <c r="K168" s="290"/>
      <c r="L168" s="290"/>
      <c r="M168" s="290"/>
      <c r="N168" s="290"/>
      <c r="O168" s="290"/>
      <c r="P168" s="292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  <c r="AE168" s="290"/>
      <c r="AF168" s="290"/>
      <c r="AG168" s="290"/>
      <c r="AH168" s="286">
        <f t="shared" si="17"/>
        <v>0</v>
      </c>
    </row>
    <row r="169" spans="1:35" x14ac:dyDescent="0.2">
      <c r="A169" s="282"/>
      <c r="B169" s="266"/>
      <c r="C169" s="297"/>
      <c r="D169" s="298"/>
      <c r="E169" s="298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866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  <c r="AB169" s="299"/>
      <c r="AC169" s="299"/>
      <c r="AD169" s="299"/>
      <c r="AE169" s="299"/>
      <c r="AF169" s="299"/>
      <c r="AG169" s="299"/>
      <c r="AH169" s="215"/>
    </row>
    <row r="170" spans="1:35" ht="13.5" thickBot="1" x14ac:dyDescent="0.25">
      <c r="A170" s="287" t="s">
        <v>12</v>
      </c>
      <c r="B170" s="266"/>
      <c r="C170" s="288">
        <f t="shared" ref="C170:AG170" si="18">C171</f>
        <v>0</v>
      </c>
      <c r="D170" s="288">
        <f t="shared" si="18"/>
        <v>0</v>
      </c>
      <c r="E170" s="288">
        <f t="shared" si="18"/>
        <v>0</v>
      </c>
      <c r="F170" s="288">
        <f t="shared" si="18"/>
        <v>0</v>
      </c>
      <c r="G170" s="288">
        <f t="shared" si="18"/>
        <v>0</v>
      </c>
      <c r="H170" s="288">
        <f t="shared" si="18"/>
        <v>0</v>
      </c>
      <c r="I170" s="288">
        <f t="shared" si="18"/>
        <v>0</v>
      </c>
      <c r="J170" s="288">
        <f t="shared" si="18"/>
        <v>0</v>
      </c>
      <c r="K170" s="288">
        <f t="shared" si="18"/>
        <v>0</v>
      </c>
      <c r="L170" s="288">
        <f t="shared" si="18"/>
        <v>0</v>
      </c>
      <c r="M170" s="288">
        <f t="shared" si="18"/>
        <v>0</v>
      </c>
      <c r="N170" s="288">
        <f t="shared" si="18"/>
        <v>0</v>
      </c>
      <c r="O170" s="288">
        <f t="shared" si="18"/>
        <v>0</v>
      </c>
      <c r="P170" s="865">
        <f t="shared" si="18"/>
        <v>0</v>
      </c>
      <c r="Q170" s="288">
        <f t="shared" si="18"/>
        <v>0</v>
      </c>
      <c r="R170" s="288">
        <f t="shared" si="18"/>
        <v>0</v>
      </c>
      <c r="S170" s="288">
        <f t="shared" si="18"/>
        <v>0</v>
      </c>
      <c r="T170" s="288">
        <f t="shared" si="18"/>
        <v>0</v>
      </c>
      <c r="U170" s="288">
        <f t="shared" si="18"/>
        <v>0</v>
      </c>
      <c r="V170" s="288">
        <f t="shared" si="18"/>
        <v>0</v>
      </c>
      <c r="W170" s="288">
        <f t="shared" si="18"/>
        <v>0</v>
      </c>
      <c r="X170" s="288">
        <f t="shared" si="18"/>
        <v>0</v>
      </c>
      <c r="Y170" s="288">
        <f t="shared" si="18"/>
        <v>0</v>
      </c>
      <c r="Z170" s="288">
        <f t="shared" si="18"/>
        <v>0</v>
      </c>
      <c r="AA170" s="288">
        <f t="shared" si="18"/>
        <v>0</v>
      </c>
      <c r="AB170" s="288">
        <f t="shared" si="18"/>
        <v>0</v>
      </c>
      <c r="AC170" s="288">
        <f t="shared" si="18"/>
        <v>0</v>
      </c>
      <c r="AD170" s="288">
        <f t="shared" si="18"/>
        <v>0</v>
      </c>
      <c r="AE170" s="288">
        <f t="shared" si="18"/>
        <v>0</v>
      </c>
      <c r="AF170" s="288">
        <f t="shared" si="18"/>
        <v>0</v>
      </c>
      <c r="AG170" s="288">
        <f t="shared" si="18"/>
        <v>0</v>
      </c>
      <c r="AH170" s="215"/>
    </row>
    <row r="171" spans="1:35" x14ac:dyDescent="0.2">
      <c r="A171" s="287" t="s">
        <v>8</v>
      </c>
      <c r="B171" s="266"/>
      <c r="C171" s="291"/>
      <c r="D171" s="291"/>
      <c r="E171" s="291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2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15"/>
    </row>
    <row r="172" spans="1:35" x14ac:dyDescent="0.2">
      <c r="A172" s="287" t="s">
        <v>775</v>
      </c>
      <c r="B172" s="266"/>
      <c r="C172" s="291">
        <v>4594</v>
      </c>
      <c r="D172" s="291">
        <v>540</v>
      </c>
      <c r="E172" s="291">
        <v>2845</v>
      </c>
      <c r="F172" s="290">
        <v>540</v>
      </c>
      <c r="G172" s="290"/>
      <c r="H172" s="292"/>
      <c r="I172" s="292"/>
      <c r="J172" s="292">
        <v>1217</v>
      </c>
      <c r="K172" s="292">
        <v>532</v>
      </c>
      <c r="L172" s="292">
        <v>6538</v>
      </c>
      <c r="M172" s="292">
        <v>1000</v>
      </c>
      <c r="N172" s="292"/>
      <c r="O172" s="292"/>
      <c r="P172" s="292">
        <v>1551</v>
      </c>
      <c r="Q172" s="292">
        <v>11919</v>
      </c>
      <c r="R172" s="292">
        <v>570</v>
      </c>
      <c r="S172" s="292"/>
      <c r="T172" s="292">
        <v>2524</v>
      </c>
      <c r="U172" s="292"/>
      <c r="V172" s="292">
        <v>19357</v>
      </c>
      <c r="W172" s="292">
        <v>1364</v>
      </c>
      <c r="X172" s="292">
        <v>1057</v>
      </c>
      <c r="Y172" s="292">
        <v>1528</v>
      </c>
      <c r="Z172" s="292"/>
      <c r="AA172" s="292">
        <v>2800</v>
      </c>
      <c r="AB172" s="292">
        <v>10558</v>
      </c>
      <c r="AC172" s="292">
        <v>873</v>
      </c>
      <c r="AD172" s="292">
        <v>2500</v>
      </c>
      <c r="AE172" s="292">
        <v>4351</v>
      </c>
      <c r="AF172" s="290">
        <v>30366</v>
      </c>
      <c r="AG172" s="290"/>
      <c r="AH172" s="286">
        <f>SUM(C172:AG172)</f>
        <v>109124</v>
      </c>
    </row>
    <row r="173" spans="1:35" ht="13.5" thickBot="1" x14ac:dyDescent="0.25">
      <c r="A173" s="296"/>
      <c r="B173" s="266"/>
      <c r="C173" s="291"/>
      <c r="D173" s="291"/>
      <c r="E173" s="291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2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15"/>
    </row>
    <row r="174" spans="1:35" x14ac:dyDescent="0.2">
      <c r="A174" s="282"/>
      <c r="B174" s="266"/>
      <c r="C174" s="297"/>
      <c r="D174" s="298"/>
      <c r="E174" s="298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866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  <c r="AA174" s="299"/>
      <c r="AB174" s="299"/>
      <c r="AC174" s="299"/>
      <c r="AD174" s="299"/>
      <c r="AE174" s="299"/>
      <c r="AF174" s="299"/>
      <c r="AG174" s="299"/>
      <c r="AH174" s="215"/>
    </row>
    <row r="175" spans="1:35" x14ac:dyDescent="0.2">
      <c r="A175" s="287" t="s">
        <v>13</v>
      </c>
      <c r="B175" s="266"/>
      <c r="C175" s="300">
        <f t="shared" ref="C175:AE175" si="19">C170-C160</f>
        <v>0</v>
      </c>
      <c r="D175" s="300">
        <f t="shared" si="19"/>
        <v>0</v>
      </c>
      <c r="E175" s="300">
        <f t="shared" si="19"/>
        <v>0</v>
      </c>
      <c r="F175" s="300">
        <f t="shared" si="19"/>
        <v>0</v>
      </c>
      <c r="G175" s="300">
        <f t="shared" si="19"/>
        <v>0</v>
      </c>
      <c r="H175" s="300">
        <f t="shared" si="19"/>
        <v>0</v>
      </c>
      <c r="I175" s="300">
        <f t="shared" si="19"/>
        <v>0</v>
      </c>
      <c r="J175" s="300">
        <f t="shared" si="19"/>
        <v>0</v>
      </c>
      <c r="K175" s="300">
        <f t="shared" si="19"/>
        <v>0</v>
      </c>
      <c r="L175" s="300">
        <f t="shared" si="19"/>
        <v>0</v>
      </c>
      <c r="M175" s="300">
        <f t="shared" si="19"/>
        <v>0</v>
      </c>
      <c r="N175" s="300">
        <f t="shared" si="19"/>
        <v>0</v>
      </c>
      <c r="O175" s="300">
        <f t="shared" si="19"/>
        <v>0</v>
      </c>
      <c r="P175" s="867">
        <f t="shared" si="19"/>
        <v>0</v>
      </c>
      <c r="Q175" s="300">
        <f t="shared" si="19"/>
        <v>0</v>
      </c>
      <c r="R175" s="300">
        <f t="shared" si="19"/>
        <v>0</v>
      </c>
      <c r="S175" s="300">
        <f t="shared" si="19"/>
        <v>0</v>
      </c>
      <c r="T175" s="300">
        <f t="shared" si="19"/>
        <v>0</v>
      </c>
      <c r="U175" s="300">
        <f t="shared" si="19"/>
        <v>0</v>
      </c>
      <c r="V175" s="300">
        <f t="shared" si="19"/>
        <v>0</v>
      </c>
      <c r="W175" s="300">
        <f t="shared" si="19"/>
        <v>0</v>
      </c>
      <c r="X175" s="300">
        <f t="shared" si="19"/>
        <v>0</v>
      </c>
      <c r="Y175" s="300">
        <f t="shared" si="19"/>
        <v>0</v>
      </c>
      <c r="Z175" s="300">
        <f t="shared" si="19"/>
        <v>0</v>
      </c>
      <c r="AA175" s="300">
        <f t="shared" si="19"/>
        <v>0</v>
      </c>
      <c r="AB175" s="300">
        <f t="shared" si="19"/>
        <v>0</v>
      </c>
      <c r="AC175" s="300">
        <f t="shared" si="19"/>
        <v>0</v>
      </c>
      <c r="AD175" s="300">
        <f t="shared" si="19"/>
        <v>0</v>
      </c>
      <c r="AE175" s="300">
        <f t="shared" si="19"/>
        <v>0</v>
      </c>
      <c r="AF175" s="300">
        <f>AF170-AF160</f>
        <v>0</v>
      </c>
      <c r="AG175" s="300">
        <f>AG170-AG160</f>
        <v>0</v>
      </c>
      <c r="AH175" s="215"/>
    </row>
    <row r="176" spans="1:35" ht="13.5" thickBot="1" x14ac:dyDescent="0.25">
      <c r="A176" s="287"/>
      <c r="B176" s="266"/>
      <c r="C176" s="300"/>
      <c r="D176" s="291"/>
      <c r="E176" s="291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2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15"/>
      <c r="AI176" t="s">
        <v>813</v>
      </c>
    </row>
    <row r="177" spans="1:34" x14ac:dyDescent="0.2">
      <c r="A177" s="263"/>
      <c r="B177" s="264"/>
      <c r="C177" s="301"/>
      <c r="D177" s="298"/>
      <c r="E177" s="298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866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  <c r="AB177" s="299"/>
      <c r="AC177" s="299"/>
      <c r="AD177" s="299"/>
      <c r="AE177" s="299"/>
      <c r="AF177" s="299"/>
      <c r="AG177" s="299"/>
      <c r="AH177" s="215"/>
    </row>
    <row r="178" spans="1:34" x14ac:dyDescent="0.2">
      <c r="A178" s="265" t="s">
        <v>15</v>
      </c>
      <c r="B178" s="266"/>
      <c r="C178" s="291">
        <f>B157+C175</f>
        <v>-29238.511999999999</v>
      </c>
      <c r="D178" s="291">
        <f t="shared" ref="D178:AE178" si="20">C185+D175</f>
        <v>-29238.511999999999</v>
      </c>
      <c r="E178" s="291">
        <f t="shared" si="20"/>
        <v>-29238.511999999999</v>
      </c>
      <c r="F178" s="291">
        <f t="shared" si="20"/>
        <v>-29238.511999999999</v>
      </c>
      <c r="G178" s="291">
        <f t="shared" si="20"/>
        <v>-29238.511999999999</v>
      </c>
      <c r="H178" s="291">
        <f t="shared" si="20"/>
        <v>-29238.511999999999</v>
      </c>
      <c r="I178" s="291">
        <f t="shared" si="20"/>
        <v>-29238.511999999999</v>
      </c>
      <c r="J178" s="291">
        <f t="shared" si="20"/>
        <v>-29238.511999999999</v>
      </c>
      <c r="K178" s="291">
        <f t="shared" si="20"/>
        <v>-29238.511999999999</v>
      </c>
      <c r="L178" s="291">
        <f t="shared" si="20"/>
        <v>-29238.511999999999</v>
      </c>
      <c r="M178" s="291">
        <f t="shared" si="20"/>
        <v>-29238.511999999999</v>
      </c>
      <c r="N178" s="291">
        <f t="shared" si="20"/>
        <v>-29238.511999999999</v>
      </c>
      <c r="O178" s="291">
        <f t="shared" si="20"/>
        <v>-29238.511999999999</v>
      </c>
      <c r="P178" s="289">
        <f t="shared" si="20"/>
        <v>-29238.511999999999</v>
      </c>
      <c r="Q178" s="291">
        <f t="shared" si="20"/>
        <v>-29238.511999999999</v>
      </c>
      <c r="R178" s="291">
        <f>Q185+R175</f>
        <v>-29238.511999999999</v>
      </c>
      <c r="S178" s="291">
        <f>R185+S175</f>
        <v>-29238.511999999999</v>
      </c>
      <c r="T178" s="291">
        <f>S185+T175</f>
        <v>-29238.511999999999</v>
      </c>
      <c r="U178" s="291">
        <f>T185+U175</f>
        <v>-29238.511999999999</v>
      </c>
      <c r="V178" s="291">
        <f>U185+V175</f>
        <v>-29238.511999999999</v>
      </c>
      <c r="W178" s="291">
        <f t="shared" si="20"/>
        <v>-29238.511999999999</v>
      </c>
      <c r="X178" s="291">
        <f t="shared" si="20"/>
        <v>-29238.511999999999</v>
      </c>
      <c r="Y178" s="291">
        <f t="shared" si="20"/>
        <v>-29238.511999999999</v>
      </c>
      <c r="Z178" s="291">
        <f t="shared" si="20"/>
        <v>-29238.511999999999</v>
      </c>
      <c r="AA178" s="291">
        <f t="shared" si="20"/>
        <v>-29238.511999999999</v>
      </c>
      <c r="AB178" s="291">
        <f t="shared" si="20"/>
        <v>-29238.511999999999</v>
      </c>
      <c r="AC178" s="291">
        <f t="shared" si="20"/>
        <v>-29238.511999999999</v>
      </c>
      <c r="AD178" s="291">
        <f t="shared" si="20"/>
        <v>-29238.511999999999</v>
      </c>
      <c r="AE178" s="291">
        <f t="shared" si="20"/>
        <v>-29238.511999999999</v>
      </c>
      <c r="AF178" s="291">
        <f>AE185+AF175</f>
        <v>-29238.511999999999</v>
      </c>
      <c r="AG178" s="291">
        <f>AF185+AG175</f>
        <v>-29238.511999999999</v>
      </c>
      <c r="AH178" s="215"/>
    </row>
    <row r="179" spans="1:34" ht="13.5" thickBot="1" x14ac:dyDescent="0.25">
      <c r="A179" s="275"/>
      <c r="B179" s="302"/>
      <c r="C179" s="303"/>
      <c r="D179" s="303"/>
      <c r="E179" s="303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868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215"/>
    </row>
    <row r="180" spans="1:34" x14ac:dyDescent="0.2">
      <c r="A180" s="263"/>
      <c r="B180" s="264"/>
      <c r="C180" s="298"/>
      <c r="D180" s="298"/>
      <c r="E180" s="298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866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  <c r="AB180" s="299"/>
      <c r="AC180" s="299"/>
      <c r="AD180" s="299"/>
      <c r="AE180" s="299"/>
      <c r="AF180" s="299"/>
      <c r="AG180" s="299"/>
      <c r="AH180" s="215"/>
    </row>
    <row r="181" spans="1:34" x14ac:dyDescent="0.2">
      <c r="A181" s="265" t="s">
        <v>82</v>
      </c>
      <c r="B181" s="266"/>
      <c r="C181" s="291">
        <f t="shared" ref="C181:AE182" si="21">C189</f>
        <v>0</v>
      </c>
      <c r="D181" s="291">
        <f t="shared" si="21"/>
        <v>0</v>
      </c>
      <c r="E181" s="291">
        <f t="shared" si="21"/>
        <v>0</v>
      </c>
      <c r="F181" s="291">
        <f t="shared" si="21"/>
        <v>0</v>
      </c>
      <c r="G181" s="291">
        <f t="shared" si="21"/>
        <v>0</v>
      </c>
      <c r="H181" s="291">
        <f t="shared" si="21"/>
        <v>0</v>
      </c>
      <c r="I181" s="291">
        <f t="shared" si="21"/>
        <v>0</v>
      </c>
      <c r="J181" s="291">
        <f t="shared" si="21"/>
        <v>0</v>
      </c>
      <c r="K181" s="291">
        <f t="shared" si="21"/>
        <v>0</v>
      </c>
      <c r="L181" s="291">
        <f t="shared" si="21"/>
        <v>0</v>
      </c>
      <c r="M181" s="291">
        <f t="shared" si="21"/>
        <v>0</v>
      </c>
      <c r="N181" s="291">
        <f t="shared" si="21"/>
        <v>0</v>
      </c>
      <c r="O181" s="291">
        <f t="shared" si="21"/>
        <v>0</v>
      </c>
      <c r="P181" s="289">
        <f t="shared" si="21"/>
        <v>0</v>
      </c>
      <c r="Q181" s="291">
        <f t="shared" si="21"/>
        <v>0</v>
      </c>
      <c r="R181" s="291">
        <f t="shared" si="21"/>
        <v>0</v>
      </c>
      <c r="S181" s="291">
        <f t="shared" si="21"/>
        <v>0</v>
      </c>
      <c r="T181" s="291">
        <f t="shared" si="21"/>
        <v>0</v>
      </c>
      <c r="U181" s="291">
        <f t="shared" si="21"/>
        <v>0</v>
      </c>
      <c r="V181" s="291">
        <f t="shared" si="21"/>
        <v>0</v>
      </c>
      <c r="W181" s="291">
        <f t="shared" si="21"/>
        <v>0</v>
      </c>
      <c r="X181" s="291">
        <f t="shared" si="21"/>
        <v>0</v>
      </c>
      <c r="Y181" s="291">
        <f t="shared" si="21"/>
        <v>0</v>
      </c>
      <c r="Z181" s="291">
        <f t="shared" si="21"/>
        <v>0</v>
      </c>
      <c r="AA181" s="291">
        <f t="shared" si="21"/>
        <v>0</v>
      </c>
      <c r="AB181" s="291">
        <f t="shared" si="21"/>
        <v>0</v>
      </c>
      <c r="AC181" s="291">
        <f t="shared" si="21"/>
        <v>0</v>
      </c>
      <c r="AD181" s="291">
        <f t="shared" si="21"/>
        <v>0</v>
      </c>
      <c r="AE181" s="291">
        <f t="shared" si="21"/>
        <v>0</v>
      </c>
      <c r="AF181" s="291">
        <f>AF189</f>
        <v>0</v>
      </c>
      <c r="AG181" s="291">
        <f>AG189</f>
        <v>0</v>
      </c>
      <c r="AH181" s="215"/>
    </row>
    <row r="182" spans="1:34" x14ac:dyDescent="0.2">
      <c r="A182" s="265" t="s">
        <v>83</v>
      </c>
      <c r="B182" s="266"/>
      <c r="C182" s="289">
        <f t="shared" si="21"/>
        <v>0</v>
      </c>
      <c r="D182" s="289">
        <f t="shared" si="21"/>
        <v>0</v>
      </c>
      <c r="E182" s="289">
        <f t="shared" si="21"/>
        <v>0</v>
      </c>
      <c r="F182" s="289">
        <f t="shared" si="21"/>
        <v>0</v>
      </c>
      <c r="G182" s="289">
        <f t="shared" si="21"/>
        <v>0</v>
      </c>
      <c r="H182" s="289">
        <f t="shared" si="21"/>
        <v>0</v>
      </c>
      <c r="I182" s="289">
        <f t="shared" si="21"/>
        <v>0</v>
      </c>
      <c r="J182" s="289">
        <f t="shared" si="21"/>
        <v>0</v>
      </c>
      <c r="K182" s="289">
        <f t="shared" si="21"/>
        <v>0</v>
      </c>
      <c r="L182" s="289">
        <f t="shared" si="21"/>
        <v>0</v>
      </c>
      <c r="M182" s="289">
        <f t="shared" si="21"/>
        <v>0</v>
      </c>
      <c r="N182" s="289">
        <f t="shared" si="21"/>
        <v>0</v>
      </c>
      <c r="O182" s="289">
        <f t="shared" si="21"/>
        <v>0</v>
      </c>
      <c r="P182" s="289">
        <f t="shared" si="21"/>
        <v>0</v>
      </c>
      <c r="Q182" s="289">
        <f t="shared" si="21"/>
        <v>0</v>
      </c>
      <c r="R182" s="289">
        <f t="shared" si="21"/>
        <v>0</v>
      </c>
      <c r="S182" s="289">
        <f t="shared" si="21"/>
        <v>0</v>
      </c>
      <c r="T182" s="289">
        <f t="shared" si="21"/>
        <v>0</v>
      </c>
      <c r="U182" s="289">
        <f t="shared" si="21"/>
        <v>0</v>
      </c>
      <c r="V182" s="289">
        <f t="shared" si="21"/>
        <v>0</v>
      </c>
      <c r="W182" s="289">
        <f t="shared" si="21"/>
        <v>0</v>
      </c>
      <c r="X182" s="289">
        <f t="shared" si="21"/>
        <v>0</v>
      </c>
      <c r="Y182" s="289">
        <f t="shared" si="21"/>
        <v>0</v>
      </c>
      <c r="Z182" s="289">
        <f t="shared" si="21"/>
        <v>0</v>
      </c>
      <c r="AA182" s="289">
        <f t="shared" si="21"/>
        <v>0</v>
      </c>
      <c r="AB182" s="289">
        <f t="shared" si="21"/>
        <v>0</v>
      </c>
      <c r="AC182" s="289">
        <f t="shared" si="21"/>
        <v>0</v>
      </c>
      <c r="AD182" s="289">
        <f t="shared" si="21"/>
        <v>0</v>
      </c>
      <c r="AE182" s="289">
        <f t="shared" si="21"/>
        <v>0</v>
      </c>
      <c r="AF182" s="289">
        <f>AF190</f>
        <v>0</v>
      </c>
      <c r="AG182" s="289">
        <f>AG190</f>
        <v>0</v>
      </c>
      <c r="AH182" s="215"/>
    </row>
    <row r="183" spans="1:34" ht="13.5" thickBot="1" x14ac:dyDescent="0.25">
      <c r="A183" s="275"/>
      <c r="B183" s="302"/>
      <c r="C183" s="303"/>
      <c r="D183" s="303"/>
      <c r="E183" s="303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868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215"/>
    </row>
    <row r="184" spans="1:34" x14ac:dyDescent="0.2">
      <c r="A184" s="265"/>
      <c r="B184" s="266"/>
      <c r="C184" s="291"/>
      <c r="D184" s="291"/>
      <c r="E184" s="291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2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309"/>
    </row>
    <row r="185" spans="1:34" x14ac:dyDescent="0.2">
      <c r="A185" s="265" t="s">
        <v>14</v>
      </c>
      <c r="B185" s="266"/>
      <c r="C185" s="291">
        <f t="shared" ref="C185:AE185" si="22">C178+C181+C182</f>
        <v>-29238.511999999999</v>
      </c>
      <c r="D185" s="291">
        <f t="shared" si="22"/>
        <v>-29238.511999999999</v>
      </c>
      <c r="E185" s="291">
        <f t="shared" si="22"/>
        <v>-29238.511999999999</v>
      </c>
      <c r="F185" s="291">
        <f t="shared" si="22"/>
        <v>-29238.511999999999</v>
      </c>
      <c r="G185" s="291">
        <f t="shared" si="22"/>
        <v>-29238.511999999999</v>
      </c>
      <c r="H185" s="291">
        <f t="shared" si="22"/>
        <v>-29238.511999999999</v>
      </c>
      <c r="I185" s="291">
        <f t="shared" si="22"/>
        <v>-29238.511999999999</v>
      </c>
      <c r="J185" s="291">
        <f t="shared" si="22"/>
        <v>-29238.511999999999</v>
      </c>
      <c r="K185" s="291">
        <f t="shared" si="22"/>
        <v>-29238.511999999999</v>
      </c>
      <c r="L185" s="291">
        <f t="shared" si="22"/>
        <v>-29238.511999999999</v>
      </c>
      <c r="M185" s="291">
        <f t="shared" si="22"/>
        <v>-29238.511999999999</v>
      </c>
      <c r="N185" s="291">
        <f t="shared" si="22"/>
        <v>-29238.511999999999</v>
      </c>
      <c r="O185" s="291">
        <f t="shared" si="22"/>
        <v>-29238.511999999999</v>
      </c>
      <c r="P185" s="289">
        <f t="shared" si="22"/>
        <v>-29238.511999999999</v>
      </c>
      <c r="Q185" s="291">
        <f t="shared" si="22"/>
        <v>-29238.511999999999</v>
      </c>
      <c r="R185" s="291">
        <f t="shared" si="22"/>
        <v>-29238.511999999999</v>
      </c>
      <c r="S185" s="291">
        <f t="shared" si="22"/>
        <v>-29238.511999999999</v>
      </c>
      <c r="T185" s="291">
        <f t="shared" si="22"/>
        <v>-29238.511999999999</v>
      </c>
      <c r="U185" s="291">
        <f t="shared" si="22"/>
        <v>-29238.511999999999</v>
      </c>
      <c r="V185" s="291">
        <f t="shared" si="22"/>
        <v>-29238.511999999999</v>
      </c>
      <c r="W185" s="291">
        <f t="shared" si="22"/>
        <v>-29238.511999999999</v>
      </c>
      <c r="X185" s="291">
        <f t="shared" si="22"/>
        <v>-29238.511999999999</v>
      </c>
      <c r="Y185" s="291">
        <f t="shared" si="22"/>
        <v>-29238.511999999999</v>
      </c>
      <c r="Z185" s="291">
        <f t="shared" si="22"/>
        <v>-29238.511999999999</v>
      </c>
      <c r="AA185" s="291">
        <f t="shared" si="22"/>
        <v>-29238.511999999999</v>
      </c>
      <c r="AB185" s="291">
        <f t="shared" si="22"/>
        <v>-29238.511999999999</v>
      </c>
      <c r="AC185" s="291">
        <f t="shared" si="22"/>
        <v>-29238.511999999999</v>
      </c>
      <c r="AD185" s="291">
        <f t="shared" si="22"/>
        <v>-29238.511999999999</v>
      </c>
      <c r="AE185" s="291">
        <f t="shared" si="22"/>
        <v>-29238.511999999999</v>
      </c>
      <c r="AF185" s="291">
        <f>AF178+AF181+AF182</f>
        <v>-29238.511999999999</v>
      </c>
      <c r="AG185" s="291">
        <f>AG178+AG181+AG182</f>
        <v>-29238.511999999999</v>
      </c>
      <c r="AH185" s="308"/>
    </row>
    <row r="186" spans="1:34" x14ac:dyDescent="0.2">
      <c r="A186" s="265"/>
      <c r="B186" s="266"/>
      <c r="C186" s="291"/>
      <c r="D186" s="291"/>
      <c r="E186" s="291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2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309"/>
    </row>
    <row r="187" spans="1:34" ht="13.5" thickBot="1" x14ac:dyDescent="0.25">
      <c r="A187" s="275"/>
      <c r="B187" s="302"/>
      <c r="C187" s="306"/>
      <c r="D187" s="306"/>
      <c r="E187" s="306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869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9"/>
    </row>
    <row r="188" spans="1:34" x14ac:dyDescent="0.2">
      <c r="A188" s="310"/>
      <c r="B188" s="215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308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309"/>
    </row>
    <row r="189" spans="1:34" x14ac:dyDescent="0.2">
      <c r="A189" s="312"/>
      <c r="B189" s="475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629"/>
      <c r="P189" s="629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408"/>
      <c r="AB189" s="311"/>
      <c r="AC189" s="311"/>
      <c r="AD189" s="311"/>
      <c r="AE189" s="311"/>
      <c r="AF189" s="311"/>
      <c r="AG189" s="311"/>
      <c r="AH189" s="308"/>
    </row>
    <row r="190" spans="1:34" x14ac:dyDescent="0.2">
      <c r="A190" s="310"/>
      <c r="B190" s="215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  <c r="O190" s="311"/>
      <c r="P190" s="629"/>
      <c r="Q190" s="311"/>
      <c r="R190" s="311"/>
      <c r="S190" s="311"/>
      <c r="T190" s="311"/>
      <c r="U190" s="311"/>
      <c r="V190" s="311"/>
      <c r="W190" s="311"/>
      <c r="X190" s="311"/>
      <c r="Y190" s="311"/>
      <c r="Z190" s="311"/>
      <c r="AA190" s="311"/>
      <c r="AB190" s="311"/>
      <c r="AC190" s="311"/>
      <c r="AD190" s="311"/>
      <c r="AE190" s="311"/>
      <c r="AF190" s="311"/>
      <c r="AG190" s="311"/>
      <c r="AH190" s="308"/>
    </row>
    <row r="191" spans="1:34" x14ac:dyDescent="0.2">
      <c r="A191" s="358" t="s">
        <v>415</v>
      </c>
      <c r="B191" s="359">
        <f>SUM(B192:B195)</f>
        <v>375000</v>
      </c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215"/>
      <c r="T191" s="456"/>
      <c r="U191" s="262"/>
      <c r="V191" s="215"/>
      <c r="W191" s="215"/>
      <c r="X191" s="215"/>
      <c r="Y191" s="215"/>
      <c r="Z191" s="215"/>
      <c r="AA191" s="408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27" t="s">
        <v>414</v>
      </c>
      <c r="B192" s="311">
        <v>25000</v>
      </c>
      <c r="C192" s="215"/>
      <c r="D192" s="30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27" t="s">
        <v>287</v>
      </c>
      <c r="B193" s="311">
        <v>200000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309"/>
      <c r="Q193" s="215"/>
      <c r="R193" s="215"/>
      <c r="S193" s="311"/>
      <c r="T193" s="320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310" t="s">
        <v>413</v>
      </c>
      <c r="B194" s="329">
        <v>75000</v>
      </c>
      <c r="C194" s="215"/>
      <c r="D194" s="215"/>
      <c r="E194" s="215"/>
      <c r="F194" s="215"/>
      <c r="G194" s="215"/>
      <c r="H194" s="215"/>
      <c r="I194" s="215"/>
      <c r="J194" s="215"/>
      <c r="K194" s="215"/>
      <c r="L194" s="286"/>
      <c r="M194" s="215"/>
      <c r="N194" s="215"/>
      <c r="O194" s="215"/>
      <c r="P194" s="309"/>
      <c r="Q194" s="215"/>
      <c r="R194" s="215"/>
      <c r="S194" s="311"/>
      <c r="T194" s="320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x14ac:dyDescent="0.2">
      <c r="A195" s="310" t="s">
        <v>441</v>
      </c>
      <c r="B195" s="311">
        <v>75000</v>
      </c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309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</row>
    <row r="197" spans="1:34" ht="13.5" thickBot="1" x14ac:dyDescent="0.25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5"/>
      <c r="O197" s="215"/>
      <c r="P197" s="309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 s="215"/>
      <c r="AC197" s="215"/>
      <c r="AD197" s="215"/>
      <c r="AE197" s="215"/>
      <c r="AF197" s="215"/>
      <c r="AG197" s="215"/>
      <c r="AH197" s="215"/>
    </row>
    <row r="198" spans="1:34" x14ac:dyDescent="0.2">
      <c r="A198" s="263"/>
      <c r="B198" s="264"/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860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15"/>
    </row>
    <row r="199" spans="1:34" x14ac:dyDescent="0.2">
      <c r="A199" s="265"/>
      <c r="B199" s="266" t="s">
        <v>37</v>
      </c>
      <c r="C199" s="266"/>
      <c r="D199" s="266"/>
      <c r="E199" s="267" t="s">
        <v>486</v>
      </c>
      <c r="F199" s="268" t="s">
        <v>96</v>
      </c>
      <c r="G199" s="269"/>
      <c r="H199" s="268"/>
      <c r="I199" s="268"/>
      <c r="J199" s="268"/>
      <c r="K199" s="268"/>
      <c r="L199" s="268"/>
      <c r="M199" s="268"/>
      <c r="N199" s="268"/>
      <c r="O199" s="268"/>
      <c r="P199" s="861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15"/>
    </row>
    <row r="200" spans="1:34" x14ac:dyDescent="0.2">
      <c r="A200" s="265"/>
      <c r="B200" s="266"/>
      <c r="C200" s="266"/>
      <c r="D200" s="268"/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x14ac:dyDescent="0.2">
      <c r="A201" s="265"/>
      <c r="B201" s="266"/>
      <c r="C201" s="268"/>
      <c r="D201" s="268">
        <v>42193</v>
      </c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x14ac:dyDescent="0.2">
      <c r="A202" s="265"/>
      <c r="B202" s="266"/>
      <c r="C202" s="268"/>
      <c r="D202" s="268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79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15"/>
    </row>
    <row r="203" spans="1:34" ht="13.5" thickBot="1" x14ac:dyDescent="0.25">
      <c r="A203" s="265"/>
      <c r="B203" s="266"/>
      <c r="C203" s="266"/>
      <c r="D203" s="266"/>
      <c r="E203" s="266"/>
      <c r="F203" s="266"/>
      <c r="G203" s="266"/>
      <c r="H203" s="266"/>
      <c r="I203" s="266"/>
      <c r="J203" s="266"/>
      <c r="K203" s="266"/>
      <c r="L203" s="266"/>
      <c r="M203" s="266"/>
      <c r="N203" s="266"/>
      <c r="O203" s="266"/>
      <c r="P203" s="279"/>
      <c r="Q203" s="266"/>
      <c r="R203" s="266"/>
      <c r="S203" s="266"/>
      <c r="T203" s="266"/>
      <c r="U203" s="266"/>
      <c r="V203" s="266"/>
      <c r="W203" s="266"/>
      <c r="X203" s="266"/>
      <c r="Y203" s="266"/>
      <c r="Z203" s="266"/>
      <c r="AA203" s="266"/>
      <c r="AB203" s="266"/>
      <c r="AC203" s="266"/>
      <c r="AD203" s="266"/>
      <c r="AE203" s="266"/>
      <c r="AF203" s="266"/>
      <c r="AG203" s="266"/>
      <c r="AH203" s="215"/>
    </row>
    <row r="204" spans="1:34" ht="13.5" thickBot="1" x14ac:dyDescent="0.25">
      <c r="A204" s="265"/>
      <c r="B204" s="266"/>
      <c r="C204" s="270"/>
      <c r="D204" s="271" t="s">
        <v>16</v>
      </c>
      <c r="E204" s="271"/>
      <c r="F204" s="271"/>
      <c r="G204" s="271"/>
      <c r="H204" s="271"/>
      <c r="I204" s="271"/>
      <c r="J204" s="271"/>
      <c r="K204" s="271"/>
      <c r="L204" s="271"/>
      <c r="M204" s="271"/>
      <c r="N204" s="271"/>
      <c r="O204" s="271"/>
      <c r="P204" s="862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  <c r="AA204" s="271"/>
      <c r="AB204" s="271"/>
      <c r="AC204" s="271"/>
      <c r="AD204" s="271"/>
      <c r="AE204" s="271"/>
      <c r="AF204" s="271"/>
      <c r="AG204" s="271"/>
      <c r="AH204" s="215"/>
    </row>
    <row r="205" spans="1:34" ht="13.5" thickBot="1" x14ac:dyDescent="0.25">
      <c r="A205" s="265"/>
      <c r="B205" s="266"/>
      <c r="C205" s="272" t="s">
        <v>452</v>
      </c>
      <c r="D205" s="272" t="s">
        <v>453</v>
      </c>
      <c r="E205" s="272" t="s">
        <v>434</v>
      </c>
      <c r="F205" s="272" t="s">
        <v>390</v>
      </c>
      <c r="G205" s="272" t="s">
        <v>454</v>
      </c>
      <c r="H205" s="272" t="s">
        <v>455</v>
      </c>
      <c r="I205" s="272" t="s">
        <v>456</v>
      </c>
      <c r="J205" s="272" t="s">
        <v>457</v>
      </c>
      <c r="K205" s="272" t="s">
        <v>458</v>
      </c>
      <c r="L205" s="272" t="s">
        <v>216</v>
      </c>
      <c r="M205" s="272" t="s">
        <v>459</v>
      </c>
      <c r="N205" s="272" t="s">
        <v>297</v>
      </c>
      <c r="O205" s="272" t="s">
        <v>211</v>
      </c>
      <c r="P205" s="863" t="s">
        <v>270</v>
      </c>
      <c r="Q205" s="272"/>
      <c r="R205" s="272" t="s">
        <v>469</v>
      </c>
      <c r="S205" s="272" t="s">
        <v>461</v>
      </c>
      <c r="T205" s="272" t="s">
        <v>442</v>
      </c>
      <c r="U205" s="272" t="s">
        <v>462</v>
      </c>
      <c r="V205" s="272" t="s">
        <v>470</v>
      </c>
      <c r="W205" s="272" t="s">
        <v>471</v>
      </c>
      <c r="X205" s="272" t="s">
        <v>472</v>
      </c>
      <c r="Y205" s="272" t="s">
        <v>463</v>
      </c>
      <c r="Z205" s="272" t="s">
        <v>465</v>
      </c>
      <c r="AA205" s="272" t="s">
        <v>466</v>
      </c>
      <c r="AB205" s="272" t="s">
        <v>435</v>
      </c>
      <c r="AC205" s="272" t="s">
        <v>467</v>
      </c>
      <c r="AD205" s="272" t="s">
        <v>464</v>
      </c>
      <c r="AE205" s="272" t="s">
        <v>429</v>
      </c>
      <c r="AF205" s="272" t="s">
        <v>149</v>
      </c>
      <c r="AG205" s="272" t="s">
        <v>210</v>
      </c>
      <c r="AH205" s="215"/>
    </row>
    <row r="206" spans="1:34" x14ac:dyDescent="0.2">
      <c r="A206" s="263"/>
      <c r="B206" s="273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x14ac:dyDescent="0.2">
      <c r="A207" s="265" t="s">
        <v>0</v>
      </c>
      <c r="B207" s="274">
        <v>-23241.821</v>
      </c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ht="13.5" thickBot="1" x14ac:dyDescent="0.25">
      <c r="A208" s="275"/>
      <c r="B208" s="27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3"/>
      <c r="B209" s="278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1</v>
      </c>
      <c r="B210" s="274">
        <f>B211+B212+B213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38</v>
      </c>
      <c r="B211" s="274">
        <f>C259</f>
        <v>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x14ac:dyDescent="0.2">
      <c r="A212" s="265" t="s">
        <v>39</v>
      </c>
      <c r="B212" s="274">
        <f>C281</f>
        <v>0</v>
      </c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x14ac:dyDescent="0.2">
      <c r="A213" s="265" t="s">
        <v>3</v>
      </c>
      <c r="B213" s="274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ht="13.5" thickBot="1" x14ac:dyDescent="0.25">
      <c r="A214" s="275"/>
      <c r="B214" s="27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x14ac:dyDescent="0.2">
      <c r="A215" s="263"/>
      <c r="B215" s="278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x14ac:dyDescent="0.2">
      <c r="A216" s="265" t="s">
        <v>4</v>
      </c>
      <c r="B216" s="274">
        <f>B207-B210</f>
        <v>-23241.821</v>
      </c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ht="13.5" thickBot="1" x14ac:dyDescent="0.25">
      <c r="A217" s="275"/>
      <c r="B217" s="276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x14ac:dyDescent="0.2">
      <c r="A218" s="263"/>
      <c r="B218" s="278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x14ac:dyDescent="0.2">
      <c r="A219" s="265" t="s">
        <v>17</v>
      </c>
      <c r="B219" s="274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266"/>
      <c r="Y219" s="266"/>
      <c r="Z219" s="266"/>
      <c r="AA219" s="266"/>
      <c r="AB219" s="266"/>
      <c r="AC219" s="266"/>
      <c r="AD219" s="266"/>
      <c r="AE219" s="266"/>
      <c r="AF219" s="266"/>
      <c r="AG219" s="266"/>
      <c r="AH219" s="215"/>
    </row>
    <row r="220" spans="1:34" ht="13.5" thickBot="1" x14ac:dyDescent="0.25">
      <c r="A220" s="275"/>
      <c r="B220" s="276"/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  <c r="N220" s="266"/>
      <c r="O220" s="266"/>
      <c r="P220" s="279"/>
      <c r="Q220" s="266"/>
      <c r="R220" s="266"/>
      <c r="S220" s="266"/>
      <c r="T220" s="266"/>
      <c r="U220" s="266"/>
      <c r="V220" s="266"/>
      <c r="W220" s="266"/>
      <c r="X220" s="330"/>
      <c r="Y220" s="266"/>
      <c r="Z220" s="266"/>
      <c r="AA220" s="266"/>
      <c r="AB220" s="266"/>
      <c r="AC220" s="266"/>
      <c r="AD220" s="266"/>
      <c r="AE220" s="266"/>
      <c r="AF220" s="266"/>
      <c r="AG220" s="266"/>
      <c r="AH220" s="215"/>
    </row>
    <row r="221" spans="1:34" x14ac:dyDescent="0.2">
      <c r="A221" s="263"/>
      <c r="B221" s="278"/>
      <c r="C221" s="266"/>
      <c r="D221" s="269"/>
      <c r="E221" s="266"/>
      <c r="F221" s="266"/>
      <c r="G221" s="266"/>
      <c r="H221" s="266"/>
      <c r="I221" s="266"/>
      <c r="J221" s="269"/>
      <c r="K221" s="266"/>
      <c r="L221" s="266"/>
      <c r="M221" s="269"/>
      <c r="N221" s="266"/>
      <c r="O221" s="266"/>
      <c r="Q221" s="266"/>
      <c r="R221" s="266"/>
      <c r="S221" s="266"/>
      <c r="T221" s="266"/>
      <c r="U221" s="266"/>
      <c r="V221" s="266"/>
      <c r="W221" s="266"/>
      <c r="X221" s="266"/>
      <c r="Y221" s="266"/>
      <c r="Z221" s="266"/>
      <c r="AA221" s="266"/>
      <c r="AB221" s="269"/>
      <c r="AC221" s="810"/>
      <c r="AD221" s="802"/>
      <c r="AE221" s="269"/>
      <c r="AG221" s="269"/>
      <c r="AH221" s="215"/>
    </row>
    <row r="222" spans="1:34" x14ac:dyDescent="0.2">
      <c r="A222" s="265" t="s">
        <v>5</v>
      </c>
      <c r="B222" s="274">
        <f>B216-B219</f>
        <v>-23241.821</v>
      </c>
      <c r="D222" s="269"/>
      <c r="E222" s="810"/>
      <c r="G222" s="269"/>
      <c r="H222" s="269"/>
      <c r="I222" s="269"/>
      <c r="J222" s="269"/>
      <c r="K222" s="281"/>
      <c r="L222" s="269"/>
      <c r="M222" s="269"/>
      <c r="N222" s="281"/>
      <c r="O222" s="269"/>
      <c r="Q222" s="281"/>
      <c r="R222" s="266"/>
      <c r="S222" s="269"/>
      <c r="T222" s="269"/>
      <c r="U222" s="269"/>
      <c r="V222" s="269"/>
      <c r="W222" s="266"/>
      <c r="X222" s="710"/>
      <c r="Y222" s="269"/>
      <c r="Z222" s="266"/>
      <c r="AA222" s="269"/>
      <c r="AB222" s="269" t="s">
        <v>172</v>
      </c>
      <c r="AC222" s="810"/>
      <c r="AD222" s="802"/>
      <c r="AE222" s="269"/>
      <c r="AG222" s="269"/>
      <c r="AH222" s="215"/>
    </row>
    <row r="223" spans="1:34" ht="13.5" thickBot="1" x14ac:dyDescent="0.25">
      <c r="A223" s="275"/>
      <c r="B223" s="276"/>
      <c r="D223" s="266"/>
      <c r="E223" s="266"/>
      <c r="F223" s="266"/>
      <c r="G223" s="266"/>
      <c r="H223" s="266"/>
      <c r="I223" s="266"/>
      <c r="J223" s="269"/>
      <c r="K223" s="266"/>
      <c r="L223" s="266"/>
      <c r="M223" s="266"/>
      <c r="N223" s="266"/>
      <c r="O223" s="266"/>
      <c r="P223" s="279"/>
      <c r="Q223" s="266"/>
      <c r="R223" s="266"/>
      <c r="S223" s="266"/>
      <c r="T223" s="266"/>
      <c r="U223" s="269"/>
      <c r="V223" s="266"/>
      <c r="W223" s="266"/>
      <c r="X223" s="266"/>
      <c r="Y223" s="266"/>
      <c r="Z223" s="266"/>
      <c r="AA223" s="266"/>
      <c r="AB223" s="266"/>
      <c r="AC223" s="266"/>
      <c r="AD223" s="266"/>
      <c r="AE223" s="266"/>
      <c r="AF223" s="266"/>
      <c r="AG223" s="266"/>
      <c r="AH223" s="215"/>
    </row>
    <row r="224" spans="1:34" x14ac:dyDescent="0.2">
      <c r="A224" s="282"/>
      <c r="B224" s="266"/>
      <c r="C224" s="283"/>
      <c r="D224" s="285"/>
      <c r="E224" s="284"/>
      <c r="F224" s="284"/>
      <c r="G224" s="284"/>
      <c r="H224" s="284"/>
      <c r="I224" s="284"/>
      <c r="J224" s="284"/>
      <c r="K224" s="284"/>
      <c r="L224" s="284"/>
      <c r="M224" s="284"/>
      <c r="N224" s="284"/>
      <c r="O224" s="284"/>
      <c r="P224" s="86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15"/>
    </row>
    <row r="225" spans="1:34" ht="13.5" thickBot="1" x14ac:dyDescent="0.25">
      <c r="A225" s="287" t="s">
        <v>7</v>
      </c>
      <c r="B225" s="266"/>
      <c r="C225" s="288">
        <f>C226+C227+C228+C230+C229</f>
        <v>0</v>
      </c>
      <c r="D225" s="288">
        <f>D226+D227+D228+D230+D229</f>
        <v>0</v>
      </c>
      <c r="E225" s="288">
        <f>E226+E227+E228+E230+E229</f>
        <v>0</v>
      </c>
      <c r="F225" s="288">
        <f>F226+F227+F228+F230+F229</f>
        <v>0</v>
      </c>
      <c r="G225" s="288">
        <f>G226+G227+G228+G230+G229</f>
        <v>0</v>
      </c>
      <c r="H225" s="288">
        <f t="shared" ref="H225:AG225" si="23">H226+H227+H228+H230+H229</f>
        <v>0</v>
      </c>
      <c r="I225" s="288">
        <f t="shared" si="23"/>
        <v>0</v>
      </c>
      <c r="J225" s="288">
        <f t="shared" si="23"/>
        <v>0</v>
      </c>
      <c r="K225" s="288">
        <f t="shared" si="23"/>
        <v>0</v>
      </c>
      <c r="L225" s="288">
        <f t="shared" si="23"/>
        <v>0</v>
      </c>
      <c r="M225" s="288">
        <f t="shared" si="23"/>
        <v>0</v>
      </c>
      <c r="N225" s="288">
        <f t="shared" si="23"/>
        <v>0</v>
      </c>
      <c r="O225" s="288">
        <f t="shared" si="23"/>
        <v>0</v>
      </c>
      <c r="P225" s="865">
        <f t="shared" si="23"/>
        <v>0</v>
      </c>
      <c r="Q225" s="288">
        <f t="shared" si="23"/>
        <v>0</v>
      </c>
      <c r="R225" s="288">
        <f t="shared" si="23"/>
        <v>0</v>
      </c>
      <c r="S225" s="288">
        <f t="shared" si="23"/>
        <v>0</v>
      </c>
      <c r="T225" s="288">
        <f t="shared" si="23"/>
        <v>0</v>
      </c>
      <c r="U225" s="288">
        <f t="shared" si="23"/>
        <v>0</v>
      </c>
      <c r="V225" s="288">
        <f t="shared" si="23"/>
        <v>0</v>
      </c>
      <c r="W225" s="288">
        <f t="shared" si="23"/>
        <v>0</v>
      </c>
      <c r="X225" s="288">
        <f t="shared" si="23"/>
        <v>0</v>
      </c>
      <c r="Y225" s="288">
        <f t="shared" si="23"/>
        <v>0</v>
      </c>
      <c r="Z225" s="288">
        <f t="shared" si="23"/>
        <v>0</v>
      </c>
      <c r="AA225" s="288">
        <f t="shared" si="23"/>
        <v>0</v>
      </c>
      <c r="AB225" s="288">
        <f t="shared" si="23"/>
        <v>0</v>
      </c>
      <c r="AC225" s="288">
        <f t="shared" si="23"/>
        <v>0</v>
      </c>
      <c r="AD225" s="288">
        <f>AD226+AD227+AD228+AD230+AD229</f>
        <v>4770</v>
      </c>
      <c r="AE225" s="288">
        <f t="shared" si="23"/>
        <v>0</v>
      </c>
      <c r="AF225" s="288">
        <f t="shared" si="23"/>
        <v>0</v>
      </c>
      <c r="AG225" s="288">
        <f t="shared" si="23"/>
        <v>0</v>
      </c>
      <c r="AH225" s="286">
        <f>SUM(C225:AG225)</f>
        <v>4770</v>
      </c>
    </row>
    <row r="226" spans="1:34" x14ac:dyDescent="0.2">
      <c r="A226" s="287" t="s">
        <v>8</v>
      </c>
      <c r="B226" s="331"/>
      <c r="C226" s="291"/>
      <c r="D226" s="291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2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86">
        <f>SUM(C226:AG226)</f>
        <v>0</v>
      </c>
    </row>
    <row r="227" spans="1:34" x14ac:dyDescent="0.2">
      <c r="A227" s="287" t="s">
        <v>9</v>
      </c>
      <c r="B227" s="331"/>
      <c r="C227" s="291"/>
      <c r="D227" s="291"/>
      <c r="E227" s="290"/>
      <c r="F227" s="290"/>
      <c r="G227" s="290"/>
      <c r="H227" s="290"/>
      <c r="I227" s="290"/>
      <c r="J227" s="290"/>
      <c r="K227" s="290"/>
      <c r="L227" s="290"/>
      <c r="M227" s="295"/>
      <c r="N227" s="290"/>
      <c r="O227" s="290"/>
      <c r="P227" s="292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86">
        <f>SUM(C227:AG227)</f>
        <v>0</v>
      </c>
    </row>
    <row r="228" spans="1:34" s="360" customFormat="1" x14ac:dyDescent="0.2">
      <c r="A228" s="662" t="s">
        <v>10</v>
      </c>
      <c r="B228" s="669"/>
      <c r="C228" s="565"/>
      <c r="D228" s="565"/>
      <c r="E228" s="811"/>
      <c r="F228" s="560"/>
      <c r="G228" s="560"/>
      <c r="H228" s="560"/>
      <c r="I228" s="560"/>
      <c r="J228" s="560"/>
      <c r="K228" s="560"/>
      <c r="L228" s="380"/>
      <c r="M228" s="560"/>
      <c r="N228" s="560"/>
      <c r="O228" s="560"/>
      <c r="P228" s="560"/>
      <c r="Q228" s="560"/>
      <c r="R228" s="560"/>
      <c r="S228" s="560"/>
      <c r="T228" s="560"/>
      <c r="U228" s="560"/>
      <c r="V228" s="560"/>
      <c r="W228" s="560"/>
      <c r="X228" s="708"/>
      <c r="Y228" s="560"/>
      <c r="Z228" s="560"/>
      <c r="AA228" s="560"/>
      <c r="AB228" s="560"/>
      <c r="AC228" s="811"/>
      <c r="AD228" s="803">
        <v>4770</v>
      </c>
      <c r="AE228" s="560"/>
      <c r="AF228" s="811">
        <v>18920</v>
      </c>
      <c r="AG228" s="560"/>
      <c r="AH228" s="379">
        <f>SUM(C228:AG228)</f>
        <v>23690</v>
      </c>
    </row>
    <row r="229" spans="1:34" s="360" customFormat="1" x14ac:dyDescent="0.2">
      <c r="A229" s="662" t="s">
        <v>356</v>
      </c>
      <c r="B229" s="669"/>
      <c r="C229" s="565"/>
      <c r="D229" s="565"/>
      <c r="E229" s="565"/>
      <c r="F229" s="560"/>
      <c r="G229" s="560"/>
      <c r="H229" s="560"/>
      <c r="I229" s="560"/>
      <c r="J229" s="560"/>
      <c r="K229" s="560"/>
      <c r="L229" s="560"/>
      <c r="M229" s="560"/>
      <c r="N229" s="560"/>
      <c r="O229" s="560"/>
      <c r="P229" s="560"/>
      <c r="Q229" s="560"/>
      <c r="R229" s="560"/>
      <c r="S229" s="560"/>
      <c r="T229" s="560"/>
      <c r="U229" s="560"/>
      <c r="V229" s="560"/>
      <c r="W229" s="560"/>
      <c r="X229" s="560"/>
      <c r="Y229" s="560"/>
      <c r="Z229" s="560"/>
      <c r="AA229" s="560"/>
      <c r="AB229" s="560"/>
      <c r="AC229" s="560"/>
      <c r="AD229" s="560"/>
      <c r="AE229" s="560"/>
      <c r="AF229" s="560"/>
      <c r="AG229" s="560"/>
      <c r="AH229" s="379">
        <f>SUM(C229:AG229)</f>
        <v>0</v>
      </c>
    </row>
    <row r="230" spans="1:34" x14ac:dyDescent="0.2">
      <c r="A230" s="287" t="s">
        <v>11</v>
      </c>
      <c r="B230" s="266"/>
      <c r="C230" s="291"/>
      <c r="D230" s="289"/>
      <c r="E230" s="289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>
        <v>-18920</v>
      </c>
      <c r="AG230" s="292"/>
      <c r="AH230" s="215"/>
    </row>
    <row r="231" spans="1:34" ht="13.5" thickBot="1" x14ac:dyDescent="0.25">
      <c r="A231" s="296"/>
      <c r="B231" s="266"/>
      <c r="C231" s="291"/>
      <c r="D231" s="291"/>
      <c r="E231" s="291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2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15"/>
    </row>
    <row r="232" spans="1:34" x14ac:dyDescent="0.2">
      <c r="A232" s="282"/>
      <c r="B232" s="266"/>
      <c r="C232" s="297"/>
      <c r="D232" s="298"/>
      <c r="E232" s="298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866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  <c r="AA232" s="299"/>
      <c r="AB232" s="299"/>
      <c r="AC232" s="299"/>
      <c r="AD232" s="299"/>
      <c r="AE232" s="299"/>
      <c r="AF232" s="299"/>
      <c r="AG232" s="299"/>
      <c r="AH232" s="215"/>
    </row>
    <row r="233" spans="1:34" ht="13.5" thickBot="1" x14ac:dyDescent="0.25">
      <c r="A233" s="287" t="s">
        <v>12</v>
      </c>
      <c r="B233" s="266"/>
      <c r="C233" s="288">
        <f>C234</f>
        <v>0</v>
      </c>
      <c r="D233" s="288">
        <f t="shared" ref="D233:AG233" si="24">D234</f>
        <v>0</v>
      </c>
      <c r="E233" s="288">
        <f t="shared" si="24"/>
        <v>0</v>
      </c>
      <c r="F233" s="288">
        <f t="shared" si="24"/>
        <v>0</v>
      </c>
      <c r="G233" s="288">
        <f t="shared" si="24"/>
        <v>0</v>
      </c>
      <c r="H233" s="288">
        <f t="shared" si="24"/>
        <v>0</v>
      </c>
      <c r="I233" s="288">
        <f t="shared" si="24"/>
        <v>0</v>
      </c>
      <c r="J233" s="288">
        <f t="shared" si="24"/>
        <v>0</v>
      </c>
      <c r="K233" s="288">
        <f t="shared" si="24"/>
        <v>0</v>
      </c>
      <c r="L233" s="288">
        <f t="shared" si="24"/>
        <v>0</v>
      </c>
      <c r="M233" s="288">
        <f t="shared" si="24"/>
        <v>0</v>
      </c>
      <c r="N233" s="288">
        <f t="shared" si="24"/>
        <v>0</v>
      </c>
      <c r="O233" s="288">
        <f t="shared" si="24"/>
        <v>0</v>
      </c>
      <c r="P233" s="865">
        <f t="shared" si="24"/>
        <v>0</v>
      </c>
      <c r="Q233" s="288">
        <f t="shared" si="24"/>
        <v>0</v>
      </c>
      <c r="R233" s="288">
        <f t="shared" si="24"/>
        <v>0</v>
      </c>
      <c r="S233" s="288">
        <f t="shared" si="24"/>
        <v>0</v>
      </c>
      <c r="T233" s="288">
        <f t="shared" si="24"/>
        <v>0</v>
      </c>
      <c r="U233" s="288">
        <f t="shared" si="24"/>
        <v>0</v>
      </c>
      <c r="V233" s="288">
        <f t="shared" si="24"/>
        <v>0</v>
      </c>
      <c r="W233" s="288">
        <f t="shared" si="24"/>
        <v>0</v>
      </c>
      <c r="X233" s="288">
        <f t="shared" si="24"/>
        <v>0</v>
      </c>
      <c r="Y233" s="288">
        <f t="shared" si="24"/>
        <v>0</v>
      </c>
      <c r="Z233" s="288">
        <f t="shared" si="24"/>
        <v>0</v>
      </c>
      <c r="AA233" s="288">
        <f t="shared" si="24"/>
        <v>0</v>
      </c>
      <c r="AB233" s="288">
        <f t="shared" si="24"/>
        <v>0</v>
      </c>
      <c r="AC233" s="288">
        <f t="shared" si="24"/>
        <v>0</v>
      </c>
      <c r="AD233" s="288">
        <f t="shared" si="24"/>
        <v>0</v>
      </c>
      <c r="AE233" s="288">
        <f t="shared" si="24"/>
        <v>0</v>
      </c>
      <c r="AF233" s="288">
        <f t="shared" si="24"/>
        <v>0</v>
      </c>
      <c r="AG233" s="288">
        <f t="shared" si="24"/>
        <v>0</v>
      </c>
      <c r="AH233" s="215"/>
    </row>
    <row r="234" spans="1:34" x14ac:dyDescent="0.2">
      <c r="A234" s="287" t="s">
        <v>8</v>
      </c>
      <c r="B234" s="266"/>
      <c r="C234" s="291"/>
      <c r="D234" s="291"/>
      <c r="E234" s="291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2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15"/>
    </row>
    <row r="235" spans="1:34" x14ac:dyDescent="0.2">
      <c r="A235" s="287" t="s">
        <v>775</v>
      </c>
      <c r="B235" s="266"/>
      <c r="C235" s="291"/>
      <c r="D235" s="291">
        <v>2000</v>
      </c>
      <c r="E235" s="291">
        <v>1446</v>
      </c>
      <c r="F235" s="290">
        <v>540</v>
      </c>
      <c r="G235" s="290">
        <v>2992</v>
      </c>
      <c r="H235" s="290">
        <v>1500</v>
      </c>
      <c r="I235" s="290"/>
      <c r="J235" s="290">
        <v>1769</v>
      </c>
      <c r="K235" s="290"/>
      <c r="L235" s="290">
        <v>6309</v>
      </c>
      <c r="M235" s="290">
        <v>1793</v>
      </c>
      <c r="N235" s="290">
        <v>5554</v>
      </c>
      <c r="O235" s="290"/>
      <c r="P235" s="292">
        <v>1965</v>
      </c>
      <c r="Q235" s="290">
        <v>3368</v>
      </c>
      <c r="R235" s="290">
        <v>5284</v>
      </c>
      <c r="S235" s="290"/>
      <c r="T235" s="290">
        <v>1814</v>
      </c>
      <c r="U235" s="290"/>
      <c r="V235" s="290">
        <v>4579</v>
      </c>
      <c r="W235" s="290"/>
      <c r="X235" s="290">
        <v>1250</v>
      </c>
      <c r="Y235" s="290"/>
      <c r="Z235" s="290">
        <v>2750</v>
      </c>
      <c r="AA235" s="290">
        <v>5732</v>
      </c>
      <c r="AB235" s="290"/>
      <c r="AC235" s="290"/>
      <c r="AD235" s="290">
        <v>556</v>
      </c>
      <c r="AE235" s="290"/>
      <c r="AF235" s="290">
        <v>9332</v>
      </c>
      <c r="AG235" s="290"/>
      <c r="AH235" s="286">
        <f>SUM(C235:AG235)</f>
        <v>60533</v>
      </c>
    </row>
    <row r="236" spans="1:34" ht="13.5" thickBot="1" x14ac:dyDescent="0.25">
      <c r="A236" s="296"/>
      <c r="B236" s="266"/>
      <c r="C236" s="291"/>
      <c r="D236" s="291"/>
      <c r="E236" s="291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2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15"/>
    </row>
    <row r="237" spans="1:34" x14ac:dyDescent="0.2">
      <c r="A237" s="282"/>
      <c r="B237" s="266"/>
      <c r="C237" s="297"/>
      <c r="D237" s="298"/>
      <c r="E237" s="298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866"/>
      <c r="Q237" s="299"/>
      <c r="R237" s="299"/>
      <c r="S237" s="299"/>
      <c r="T237" s="299"/>
      <c r="U237" s="299"/>
      <c r="V237" s="299"/>
      <c r="W237" s="299"/>
      <c r="X237" s="299"/>
      <c r="Y237" s="299"/>
      <c r="Z237" s="299"/>
      <c r="AA237" s="299"/>
      <c r="AB237" s="299"/>
      <c r="AC237" s="299"/>
      <c r="AD237" s="299"/>
      <c r="AE237" s="299"/>
      <c r="AF237" s="299"/>
      <c r="AG237" s="299"/>
      <c r="AH237" s="215"/>
    </row>
    <row r="238" spans="1:34" x14ac:dyDescent="0.2">
      <c r="A238" s="287" t="s">
        <v>13</v>
      </c>
      <c r="B238" s="266"/>
      <c r="C238" s="300">
        <f>C233-C225</f>
        <v>0</v>
      </c>
      <c r="D238" s="300">
        <f>D233-D225</f>
        <v>0</v>
      </c>
      <c r="E238" s="300">
        <f>E233-E225</f>
        <v>0</v>
      </c>
      <c r="F238" s="300">
        <f>F233-F225</f>
        <v>0</v>
      </c>
      <c r="G238" s="300">
        <f>G233-G225</f>
        <v>0</v>
      </c>
      <c r="H238" s="300">
        <f t="shared" ref="H238:AG238" si="25">H233-H225</f>
        <v>0</v>
      </c>
      <c r="I238" s="300">
        <f t="shared" si="25"/>
        <v>0</v>
      </c>
      <c r="J238" s="300">
        <f t="shared" si="25"/>
        <v>0</v>
      </c>
      <c r="K238" s="300">
        <f t="shared" si="25"/>
        <v>0</v>
      </c>
      <c r="L238" s="300">
        <f t="shared" si="25"/>
        <v>0</v>
      </c>
      <c r="M238" s="300">
        <f t="shared" si="25"/>
        <v>0</v>
      </c>
      <c r="N238" s="300">
        <f t="shared" si="25"/>
        <v>0</v>
      </c>
      <c r="O238" s="300">
        <f t="shared" si="25"/>
        <v>0</v>
      </c>
      <c r="P238" s="867">
        <f t="shared" si="25"/>
        <v>0</v>
      </c>
      <c r="Q238" s="300">
        <f t="shared" si="25"/>
        <v>0</v>
      </c>
      <c r="R238" s="300">
        <f t="shared" si="25"/>
        <v>0</v>
      </c>
      <c r="S238" s="300">
        <f t="shared" si="25"/>
        <v>0</v>
      </c>
      <c r="T238" s="300">
        <f t="shared" si="25"/>
        <v>0</v>
      </c>
      <c r="U238" s="300">
        <f t="shared" si="25"/>
        <v>0</v>
      </c>
      <c r="V238" s="300">
        <f t="shared" si="25"/>
        <v>0</v>
      </c>
      <c r="W238" s="300">
        <f t="shared" si="25"/>
        <v>0</v>
      </c>
      <c r="X238" s="300">
        <f t="shared" si="25"/>
        <v>0</v>
      </c>
      <c r="Y238" s="300">
        <f t="shared" si="25"/>
        <v>0</v>
      </c>
      <c r="Z238" s="300">
        <f t="shared" si="25"/>
        <v>0</v>
      </c>
      <c r="AA238" s="300">
        <f t="shared" si="25"/>
        <v>0</v>
      </c>
      <c r="AB238" s="300">
        <f t="shared" si="25"/>
        <v>0</v>
      </c>
      <c r="AC238" s="300">
        <f t="shared" si="25"/>
        <v>0</v>
      </c>
      <c r="AD238" s="300">
        <f t="shared" si="25"/>
        <v>-4770</v>
      </c>
      <c r="AE238" s="300">
        <f t="shared" si="25"/>
        <v>0</v>
      </c>
      <c r="AF238" s="300">
        <f t="shared" si="25"/>
        <v>0</v>
      </c>
      <c r="AG238" s="300">
        <f t="shared" si="25"/>
        <v>0</v>
      </c>
      <c r="AH238" s="215"/>
    </row>
    <row r="239" spans="1:34" ht="13.5" thickBot="1" x14ac:dyDescent="0.25">
      <c r="A239" s="287"/>
      <c r="B239" s="266"/>
      <c r="C239" s="300"/>
      <c r="D239" s="291"/>
      <c r="E239" s="291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2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15"/>
    </row>
    <row r="240" spans="1:34" x14ac:dyDescent="0.2">
      <c r="A240" s="263"/>
      <c r="B240" s="264"/>
      <c r="C240" s="301"/>
      <c r="D240" s="298"/>
      <c r="E240" s="298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866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  <c r="AH240" s="215"/>
    </row>
    <row r="241" spans="1:34" x14ac:dyDescent="0.2">
      <c r="A241" s="265" t="s">
        <v>15</v>
      </c>
      <c r="B241" s="266"/>
      <c r="C241" s="291">
        <f>B222+C238</f>
        <v>-23241.821</v>
      </c>
      <c r="D241" s="291">
        <f t="shared" ref="D241:AG241" si="26">C248+D238</f>
        <v>-23241.821</v>
      </c>
      <c r="E241" s="291">
        <f t="shared" si="26"/>
        <v>-23241.821</v>
      </c>
      <c r="F241" s="291">
        <f t="shared" si="26"/>
        <v>-23241.821</v>
      </c>
      <c r="G241" s="291">
        <f t="shared" si="26"/>
        <v>-23241.821</v>
      </c>
      <c r="H241" s="291">
        <f t="shared" si="26"/>
        <v>-23241.821</v>
      </c>
      <c r="I241" s="291">
        <f t="shared" si="26"/>
        <v>-23241.821</v>
      </c>
      <c r="J241" s="291">
        <f t="shared" si="26"/>
        <v>-23241.821</v>
      </c>
      <c r="K241" s="291">
        <f t="shared" si="26"/>
        <v>-23241.821</v>
      </c>
      <c r="L241" s="291">
        <f t="shared" si="26"/>
        <v>-23241.821</v>
      </c>
      <c r="M241" s="291">
        <f t="shared" si="26"/>
        <v>-23241.821</v>
      </c>
      <c r="N241" s="291">
        <f t="shared" si="26"/>
        <v>-23241.821</v>
      </c>
      <c r="O241" s="291">
        <f t="shared" si="26"/>
        <v>-23241.821</v>
      </c>
      <c r="P241" s="289">
        <f t="shared" si="26"/>
        <v>-23241.821</v>
      </c>
      <c r="Q241" s="291">
        <f t="shared" si="26"/>
        <v>-23241.821</v>
      </c>
      <c r="R241" s="291">
        <f t="shared" si="26"/>
        <v>-23241.821</v>
      </c>
      <c r="S241" s="291">
        <f t="shared" si="26"/>
        <v>-23241.821</v>
      </c>
      <c r="T241" s="291">
        <f t="shared" si="26"/>
        <v>-23241.821</v>
      </c>
      <c r="U241" s="291">
        <f t="shared" si="26"/>
        <v>-23241.821</v>
      </c>
      <c r="V241" s="291">
        <f t="shared" si="26"/>
        <v>-23241.821</v>
      </c>
      <c r="W241" s="291">
        <f t="shared" si="26"/>
        <v>-23241.821</v>
      </c>
      <c r="X241" s="291">
        <f t="shared" si="26"/>
        <v>-23241.821</v>
      </c>
      <c r="Y241" s="291">
        <f t="shared" si="26"/>
        <v>-23241.821</v>
      </c>
      <c r="Z241" s="291">
        <f t="shared" si="26"/>
        <v>-23241.821</v>
      </c>
      <c r="AA241" s="291">
        <f t="shared" si="26"/>
        <v>-23241.821</v>
      </c>
      <c r="AB241" s="291">
        <f t="shared" si="26"/>
        <v>-23241.821</v>
      </c>
      <c r="AC241" s="291">
        <f t="shared" si="26"/>
        <v>-23241.821</v>
      </c>
      <c r="AD241" s="291">
        <f t="shared" si="26"/>
        <v>-28011.821</v>
      </c>
      <c r="AE241" s="291">
        <f t="shared" si="26"/>
        <v>-28011.821</v>
      </c>
      <c r="AF241" s="291">
        <f t="shared" si="26"/>
        <v>-28011.821</v>
      </c>
      <c r="AG241" s="291">
        <f t="shared" si="26"/>
        <v>-28011.821</v>
      </c>
      <c r="AH241" s="215"/>
    </row>
    <row r="242" spans="1:34" ht="13.5" thickBot="1" x14ac:dyDescent="0.25">
      <c r="A242" s="275"/>
      <c r="B242" s="302"/>
      <c r="C242" s="303"/>
      <c r="D242" s="303"/>
      <c r="E242" s="303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868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215"/>
    </row>
    <row r="243" spans="1:34" x14ac:dyDescent="0.2">
      <c r="A243" s="263"/>
      <c r="B243" s="264"/>
      <c r="C243" s="298"/>
      <c r="D243" s="298"/>
      <c r="E243" s="298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866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  <c r="AB243" s="299"/>
      <c r="AC243" s="299"/>
      <c r="AD243" s="299"/>
      <c r="AE243" s="299"/>
      <c r="AF243" s="299"/>
      <c r="AG243" s="299"/>
      <c r="AH243" s="215"/>
    </row>
    <row r="244" spans="1:34" x14ac:dyDescent="0.2">
      <c r="A244" s="265" t="s">
        <v>82</v>
      </c>
      <c r="B244" s="266"/>
      <c r="C244" s="291">
        <f t="shared" ref="C244:AG245" si="27">C252</f>
        <v>0</v>
      </c>
      <c r="D244" s="291">
        <f t="shared" si="27"/>
        <v>0</v>
      </c>
      <c r="E244" s="291">
        <f t="shared" si="27"/>
        <v>0</v>
      </c>
      <c r="F244" s="291">
        <f t="shared" si="27"/>
        <v>0</v>
      </c>
      <c r="G244" s="291">
        <f t="shared" si="27"/>
        <v>0</v>
      </c>
      <c r="H244" s="291">
        <f t="shared" si="27"/>
        <v>0</v>
      </c>
      <c r="I244" s="291">
        <f t="shared" si="27"/>
        <v>0</v>
      </c>
      <c r="J244" s="291">
        <f t="shared" si="27"/>
        <v>0</v>
      </c>
      <c r="K244" s="291">
        <f t="shared" si="27"/>
        <v>0</v>
      </c>
      <c r="L244" s="291">
        <f t="shared" si="27"/>
        <v>0</v>
      </c>
      <c r="M244" s="291">
        <f t="shared" si="27"/>
        <v>0</v>
      </c>
      <c r="N244" s="291">
        <f t="shared" si="27"/>
        <v>0</v>
      </c>
      <c r="O244" s="291">
        <f t="shared" si="27"/>
        <v>0</v>
      </c>
      <c r="P244" s="289">
        <f t="shared" si="27"/>
        <v>0</v>
      </c>
      <c r="Q244" s="291">
        <f t="shared" si="27"/>
        <v>0</v>
      </c>
      <c r="R244" s="291">
        <f t="shared" si="27"/>
        <v>0</v>
      </c>
      <c r="S244" s="291">
        <f t="shared" si="27"/>
        <v>0</v>
      </c>
      <c r="T244" s="291">
        <f t="shared" si="27"/>
        <v>0</v>
      </c>
      <c r="U244" s="291">
        <f t="shared" si="27"/>
        <v>0</v>
      </c>
      <c r="V244" s="291">
        <f t="shared" si="27"/>
        <v>0</v>
      </c>
      <c r="W244" s="291">
        <f t="shared" si="27"/>
        <v>0</v>
      </c>
      <c r="X244" s="291">
        <f t="shared" si="27"/>
        <v>0</v>
      </c>
      <c r="Y244" s="291">
        <f t="shared" si="27"/>
        <v>0</v>
      </c>
      <c r="Z244" s="291">
        <f t="shared" si="27"/>
        <v>0</v>
      </c>
      <c r="AA244" s="291">
        <f t="shared" si="27"/>
        <v>0</v>
      </c>
      <c r="AB244" s="291">
        <f t="shared" si="27"/>
        <v>0</v>
      </c>
      <c r="AC244" s="291">
        <f t="shared" si="27"/>
        <v>0</v>
      </c>
      <c r="AD244" s="291">
        <f t="shared" si="27"/>
        <v>0</v>
      </c>
      <c r="AE244" s="291">
        <f t="shared" si="27"/>
        <v>0</v>
      </c>
      <c r="AF244" s="291">
        <f t="shared" si="27"/>
        <v>0</v>
      </c>
      <c r="AG244" s="291">
        <f t="shared" si="27"/>
        <v>0</v>
      </c>
      <c r="AH244" s="215"/>
    </row>
    <row r="245" spans="1:34" x14ac:dyDescent="0.2">
      <c r="A245" s="265" t="s">
        <v>83</v>
      </c>
      <c r="B245" s="266"/>
      <c r="C245" s="289">
        <f t="shared" si="27"/>
        <v>0</v>
      </c>
      <c r="D245" s="289">
        <f t="shared" si="27"/>
        <v>0</v>
      </c>
      <c r="E245" s="289">
        <f t="shared" si="27"/>
        <v>0</v>
      </c>
      <c r="F245" s="289">
        <f t="shared" si="27"/>
        <v>0</v>
      </c>
      <c r="G245" s="289">
        <f t="shared" si="27"/>
        <v>0</v>
      </c>
      <c r="H245" s="289">
        <f t="shared" si="27"/>
        <v>0</v>
      </c>
      <c r="I245" s="289">
        <f t="shared" si="27"/>
        <v>0</v>
      </c>
      <c r="J245" s="289">
        <f t="shared" si="27"/>
        <v>0</v>
      </c>
      <c r="K245" s="289">
        <f t="shared" si="27"/>
        <v>0</v>
      </c>
      <c r="L245" s="289">
        <f t="shared" si="27"/>
        <v>0</v>
      </c>
      <c r="M245" s="289">
        <f t="shared" si="27"/>
        <v>0</v>
      </c>
      <c r="N245" s="289">
        <f t="shared" si="27"/>
        <v>0</v>
      </c>
      <c r="O245" s="289">
        <f t="shared" si="27"/>
        <v>0</v>
      </c>
      <c r="P245" s="289">
        <f t="shared" si="27"/>
        <v>0</v>
      </c>
      <c r="Q245" s="289">
        <f t="shared" si="27"/>
        <v>0</v>
      </c>
      <c r="R245" s="289">
        <f t="shared" si="27"/>
        <v>0</v>
      </c>
      <c r="S245" s="289">
        <f t="shared" si="27"/>
        <v>0</v>
      </c>
      <c r="T245" s="289">
        <f t="shared" si="27"/>
        <v>0</v>
      </c>
      <c r="U245" s="289">
        <f t="shared" si="27"/>
        <v>0</v>
      </c>
      <c r="V245" s="289">
        <f t="shared" si="27"/>
        <v>0</v>
      </c>
      <c r="W245" s="289">
        <f t="shared" si="27"/>
        <v>0</v>
      </c>
      <c r="X245" s="289">
        <f t="shared" si="27"/>
        <v>0</v>
      </c>
      <c r="Y245" s="289">
        <f t="shared" si="27"/>
        <v>0</v>
      </c>
      <c r="Z245" s="289">
        <f t="shared" si="27"/>
        <v>0</v>
      </c>
      <c r="AA245" s="289">
        <f t="shared" si="27"/>
        <v>0</v>
      </c>
      <c r="AB245" s="289">
        <f t="shared" si="27"/>
        <v>0</v>
      </c>
      <c r="AC245" s="289">
        <f t="shared" si="27"/>
        <v>0</v>
      </c>
      <c r="AD245" s="289">
        <f t="shared" si="27"/>
        <v>0</v>
      </c>
      <c r="AE245" s="289">
        <f t="shared" si="27"/>
        <v>0</v>
      </c>
      <c r="AF245" s="289">
        <f t="shared" si="27"/>
        <v>0</v>
      </c>
      <c r="AG245" s="289">
        <f t="shared" si="27"/>
        <v>0</v>
      </c>
      <c r="AH245" s="215"/>
    </row>
    <row r="246" spans="1:34" ht="13.5" thickBot="1" x14ac:dyDescent="0.25">
      <c r="A246" s="275"/>
      <c r="B246" s="302"/>
      <c r="C246" s="303"/>
      <c r="D246" s="303"/>
      <c r="E246" s="303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868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04"/>
      <c r="AF246" s="304"/>
      <c r="AG246" s="304"/>
      <c r="AH246" s="215"/>
    </row>
    <row r="247" spans="1:34" x14ac:dyDescent="0.2">
      <c r="A247" s="265"/>
      <c r="B247" s="266"/>
      <c r="C247" s="291"/>
      <c r="D247" s="291"/>
      <c r="E247" s="291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2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15"/>
    </row>
    <row r="248" spans="1:34" x14ac:dyDescent="0.2">
      <c r="A248" s="265" t="s">
        <v>14</v>
      </c>
      <c r="B248" s="266"/>
      <c r="C248" s="291">
        <f>C241+C244+C245</f>
        <v>-23241.821</v>
      </c>
      <c r="D248" s="291">
        <f>D241+D244+D245</f>
        <v>-23241.821</v>
      </c>
      <c r="E248" s="291">
        <f>E241+E244+E245</f>
        <v>-23241.821</v>
      </c>
      <c r="F248" s="291">
        <f>F241+F244+F245</f>
        <v>-23241.821</v>
      </c>
      <c r="G248" s="291">
        <f>G241+G244+G245</f>
        <v>-23241.821</v>
      </c>
      <c r="H248" s="291">
        <f t="shared" ref="H248:AG248" si="28">H241+H244+H245</f>
        <v>-23241.821</v>
      </c>
      <c r="I248" s="291">
        <f t="shared" si="28"/>
        <v>-23241.821</v>
      </c>
      <c r="J248" s="291">
        <f t="shared" si="28"/>
        <v>-23241.821</v>
      </c>
      <c r="K248" s="291">
        <f t="shared" si="28"/>
        <v>-23241.821</v>
      </c>
      <c r="L248" s="291">
        <f t="shared" si="28"/>
        <v>-23241.821</v>
      </c>
      <c r="M248" s="291">
        <f t="shared" si="28"/>
        <v>-23241.821</v>
      </c>
      <c r="N248" s="291">
        <f t="shared" si="28"/>
        <v>-23241.821</v>
      </c>
      <c r="O248" s="291">
        <f t="shared" si="28"/>
        <v>-23241.821</v>
      </c>
      <c r="P248" s="289">
        <f t="shared" si="28"/>
        <v>-23241.821</v>
      </c>
      <c r="Q248" s="291">
        <f t="shared" si="28"/>
        <v>-23241.821</v>
      </c>
      <c r="R248" s="291">
        <f t="shared" si="28"/>
        <v>-23241.821</v>
      </c>
      <c r="S248" s="291">
        <f t="shared" si="28"/>
        <v>-23241.821</v>
      </c>
      <c r="T248" s="291">
        <f t="shared" si="28"/>
        <v>-23241.821</v>
      </c>
      <c r="U248" s="291">
        <f t="shared" si="28"/>
        <v>-23241.821</v>
      </c>
      <c r="V248" s="291">
        <f t="shared" si="28"/>
        <v>-23241.821</v>
      </c>
      <c r="W248" s="291">
        <f t="shared" si="28"/>
        <v>-23241.821</v>
      </c>
      <c r="X248" s="291">
        <f t="shared" si="28"/>
        <v>-23241.821</v>
      </c>
      <c r="Y248" s="291">
        <f t="shared" si="28"/>
        <v>-23241.821</v>
      </c>
      <c r="Z248" s="291">
        <f t="shared" si="28"/>
        <v>-23241.821</v>
      </c>
      <c r="AA248" s="291">
        <f t="shared" si="28"/>
        <v>-23241.821</v>
      </c>
      <c r="AB248" s="291">
        <f t="shared" si="28"/>
        <v>-23241.821</v>
      </c>
      <c r="AC248" s="291">
        <f t="shared" si="28"/>
        <v>-23241.821</v>
      </c>
      <c r="AD248" s="291">
        <f t="shared" si="28"/>
        <v>-28011.821</v>
      </c>
      <c r="AE248" s="291">
        <f t="shared" si="28"/>
        <v>-28011.821</v>
      </c>
      <c r="AF248" s="291">
        <f t="shared" si="28"/>
        <v>-28011.821</v>
      </c>
      <c r="AG248" s="291">
        <f t="shared" si="28"/>
        <v>-28011.821</v>
      </c>
      <c r="AH248" s="215"/>
    </row>
    <row r="249" spans="1:34" x14ac:dyDescent="0.2">
      <c r="A249" s="265"/>
      <c r="B249" s="266"/>
      <c r="C249" s="291"/>
      <c r="D249" s="291"/>
      <c r="E249" s="291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2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  <c r="AE249" s="290"/>
      <c r="AF249" s="290"/>
      <c r="AG249" s="290"/>
      <c r="AH249" s="215"/>
    </row>
    <row r="250" spans="1:34" ht="13.5" thickBot="1" x14ac:dyDescent="0.25">
      <c r="A250" s="275"/>
      <c r="B250" s="302"/>
      <c r="C250" s="306"/>
      <c r="D250" s="306"/>
      <c r="E250" s="306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869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C250" s="307"/>
      <c r="AD250" s="307"/>
      <c r="AE250" s="307"/>
      <c r="AF250" s="307"/>
      <c r="AG250" s="307"/>
      <c r="AH250" s="215"/>
    </row>
    <row r="251" spans="1:34" x14ac:dyDescent="0.2">
      <c r="A251" s="310"/>
      <c r="B251" s="215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308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>
        <f>SUM(C251:AG251)</f>
        <v>0</v>
      </c>
    </row>
    <row r="252" spans="1:34" x14ac:dyDescent="0.2">
      <c r="A252" s="310"/>
      <c r="B252" s="215"/>
      <c r="C252" s="311"/>
      <c r="D252" s="311"/>
      <c r="E252" s="311"/>
      <c r="F252" s="311"/>
      <c r="G252" s="314"/>
      <c r="H252" s="311"/>
      <c r="I252" s="311"/>
      <c r="J252" s="311"/>
      <c r="K252" s="311"/>
      <c r="L252" s="314"/>
      <c r="M252" s="314"/>
      <c r="N252" s="629"/>
      <c r="O252" s="314"/>
      <c r="P252" s="629"/>
      <c r="Q252" s="311"/>
      <c r="R252" s="311"/>
      <c r="S252" s="311"/>
      <c r="T252" s="311"/>
      <c r="U252" s="311"/>
      <c r="V252" s="1032"/>
      <c r="W252" s="311"/>
      <c r="X252" s="311"/>
      <c r="Y252" s="311"/>
      <c r="Z252" s="311"/>
      <c r="AA252" s="408"/>
      <c r="AB252" s="311"/>
      <c r="AC252" s="311"/>
      <c r="AD252" s="314"/>
      <c r="AE252" s="311"/>
      <c r="AF252" s="629"/>
      <c r="AG252" s="311"/>
      <c r="AH252" s="262"/>
    </row>
    <row r="253" spans="1:34" x14ac:dyDescent="0.2">
      <c r="A253" s="215"/>
      <c r="B253" s="215"/>
      <c r="C253" s="215"/>
      <c r="D253" s="311"/>
      <c r="E253" s="317"/>
      <c r="F253" s="215"/>
      <c r="G253" s="215"/>
      <c r="H253" s="215"/>
      <c r="I253" s="215"/>
      <c r="J253" s="215"/>
      <c r="K253" s="215"/>
      <c r="L253" s="215"/>
      <c r="M253" s="215"/>
      <c r="N253" s="215"/>
      <c r="O253" s="409"/>
      <c r="P253" s="309"/>
      <c r="Q253" s="286"/>
      <c r="R253" s="215"/>
      <c r="S253" s="262"/>
      <c r="T253" s="215"/>
      <c r="U253" s="215"/>
      <c r="V253" s="215"/>
      <c r="W253" s="215"/>
      <c r="X253" s="215"/>
      <c r="Y253" s="262"/>
      <c r="Z253" s="262"/>
      <c r="AA253" s="262"/>
      <c r="AB253" s="262"/>
      <c r="AC253" s="262"/>
      <c r="AD253" s="262"/>
      <c r="AE253" s="262"/>
      <c r="AF253" s="262"/>
      <c r="AG253" s="262"/>
      <c r="AH253" s="286">
        <f>SUM(C253:AG253)</f>
        <v>0</v>
      </c>
    </row>
    <row r="254" spans="1:34" x14ac:dyDescent="0.2">
      <c r="A254" s="358" t="s">
        <v>415</v>
      </c>
      <c r="B254" s="359">
        <f>B255+B256+B258</f>
        <v>425000</v>
      </c>
      <c r="C254" s="215"/>
      <c r="D254" s="215"/>
      <c r="E254" s="215"/>
      <c r="F254" s="215"/>
      <c r="G254" s="215"/>
      <c r="H254" s="215"/>
      <c r="I254" s="215"/>
      <c r="J254" s="215"/>
      <c r="K254" s="409"/>
      <c r="L254" s="215"/>
      <c r="M254" s="215"/>
      <c r="N254" s="215"/>
      <c r="O254" s="215"/>
      <c r="P254" s="309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408"/>
      <c r="AB254" s="215"/>
      <c r="AC254" s="215"/>
      <c r="AD254" s="215"/>
      <c r="AE254" s="215"/>
      <c r="AF254" s="215"/>
      <c r="AG254" s="215"/>
      <c r="AH254" s="215"/>
    </row>
    <row r="255" spans="1:34" x14ac:dyDescent="0.2">
      <c r="A255" s="327" t="s">
        <v>414</v>
      </c>
      <c r="B255" s="311">
        <v>25000</v>
      </c>
      <c r="C255" s="215"/>
      <c r="D255" s="215"/>
      <c r="E255" s="286"/>
      <c r="F255" s="286"/>
      <c r="G255" s="286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86"/>
      <c r="V255" s="215"/>
      <c r="W255" s="215"/>
      <c r="X255" s="215"/>
      <c r="Y255" s="215"/>
      <c r="Z255" s="215"/>
      <c r="AA255" s="323"/>
      <c r="AB255" s="409"/>
      <c r="AC255" s="215"/>
      <c r="AD255" s="215"/>
      <c r="AE255" s="215"/>
      <c r="AF255" s="215"/>
      <c r="AG255" s="286"/>
      <c r="AH255" s="215"/>
    </row>
    <row r="256" spans="1:34" x14ac:dyDescent="0.2">
      <c r="A256" s="327" t="s">
        <v>287</v>
      </c>
      <c r="B256" s="311">
        <v>300000</v>
      </c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86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409"/>
      <c r="AG256" s="215"/>
      <c r="AH256" s="215"/>
    </row>
    <row r="257" spans="1:34" x14ac:dyDescent="0.2">
      <c r="A257" s="310" t="s">
        <v>413</v>
      </c>
      <c r="B257" s="311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310" t="s">
        <v>441</v>
      </c>
      <c r="B258" s="311">
        <v>100000</v>
      </c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309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</row>
    <row r="261" spans="1:34" ht="13.5" thickBot="1" x14ac:dyDescent="0.25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309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 s="215"/>
      <c r="AC261" s="215"/>
      <c r="AD261" s="215"/>
      <c r="AE261" s="215"/>
      <c r="AF261" s="215"/>
      <c r="AG261" s="215"/>
      <c r="AH261" s="215"/>
    </row>
    <row r="262" spans="1:34" x14ac:dyDescent="0.2">
      <c r="A262" s="263"/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860"/>
      <c r="Q262" s="264"/>
      <c r="R262" s="264"/>
      <c r="S262" s="264"/>
      <c r="T262" s="264"/>
      <c r="U262" s="264"/>
      <c r="V262" s="264"/>
      <c r="W262" s="264"/>
      <c r="X262" s="264"/>
      <c r="Y262" s="264"/>
      <c r="Z262" s="264"/>
      <c r="AA262" s="264"/>
      <c r="AB262" s="264"/>
      <c r="AC262" s="264"/>
      <c r="AD262" s="264"/>
      <c r="AE262" s="264"/>
      <c r="AF262" s="264"/>
      <c r="AG262" s="264"/>
      <c r="AH262" s="215"/>
    </row>
    <row r="263" spans="1:34" x14ac:dyDescent="0.2">
      <c r="A263" s="265"/>
      <c r="B263" s="266" t="s">
        <v>37</v>
      </c>
      <c r="C263" s="266"/>
      <c r="D263" s="266"/>
      <c r="E263" s="267" t="s">
        <v>486</v>
      </c>
      <c r="F263" s="268" t="s">
        <v>340</v>
      </c>
      <c r="G263" s="269"/>
      <c r="H263" s="268"/>
      <c r="I263" s="268"/>
      <c r="J263" s="268"/>
      <c r="K263" s="268"/>
      <c r="L263" s="268"/>
      <c r="M263" s="268"/>
      <c r="N263" s="268"/>
      <c r="O263" s="268"/>
      <c r="P263" s="861"/>
      <c r="Q263" s="268"/>
      <c r="R263" s="268"/>
      <c r="S263" s="268"/>
      <c r="T263" s="268"/>
      <c r="U263" s="268"/>
      <c r="V263" s="268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15"/>
    </row>
    <row r="264" spans="1:34" x14ac:dyDescent="0.2">
      <c r="A264" s="265"/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x14ac:dyDescent="0.2">
      <c r="A265" s="265"/>
      <c r="B265" s="266"/>
      <c r="C265" s="268"/>
      <c r="D265" s="268">
        <v>42193</v>
      </c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x14ac:dyDescent="0.2">
      <c r="A266" s="265"/>
      <c r="B266" s="266"/>
      <c r="C266" s="268"/>
      <c r="D266" s="268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79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  <c r="AH266" s="215"/>
    </row>
    <row r="267" spans="1:34" ht="13.5" thickBot="1" x14ac:dyDescent="0.25">
      <c r="A267" s="265"/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  <c r="O267" s="266"/>
      <c r="P267" s="279"/>
      <c r="Q267" s="266"/>
      <c r="R267" s="266"/>
      <c r="S267" s="266"/>
      <c r="T267" s="266"/>
      <c r="U267" s="266"/>
      <c r="V267" s="266"/>
      <c r="W267" s="266"/>
      <c r="X267" s="266"/>
      <c r="Y267" s="266"/>
      <c r="Z267" s="266"/>
      <c r="AA267" s="266"/>
      <c r="AB267" s="266"/>
      <c r="AC267" s="266"/>
      <c r="AD267" s="266"/>
      <c r="AE267" s="266"/>
      <c r="AF267" s="266"/>
      <c r="AG267" s="266"/>
      <c r="AH267" s="215"/>
    </row>
    <row r="268" spans="1:34" ht="13.5" thickBot="1" x14ac:dyDescent="0.25">
      <c r="A268" s="265"/>
      <c r="B268" s="266"/>
      <c r="C268" s="270"/>
      <c r="D268" s="271" t="s">
        <v>16</v>
      </c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271"/>
      <c r="P268" s="862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  <c r="AA268" s="271"/>
      <c r="AB268" s="271"/>
      <c r="AC268" s="271"/>
      <c r="AD268" s="271"/>
      <c r="AE268" s="271"/>
      <c r="AF268" s="271"/>
      <c r="AG268" s="271"/>
      <c r="AH268" s="215"/>
    </row>
    <row r="269" spans="1:34" ht="13.5" thickBot="1" x14ac:dyDescent="0.25">
      <c r="A269" s="265"/>
      <c r="B269" s="266"/>
      <c r="C269" s="272" t="s">
        <v>452</v>
      </c>
      <c r="D269" s="272" t="s">
        <v>453</v>
      </c>
      <c r="E269" s="272" t="s">
        <v>434</v>
      </c>
      <c r="F269" s="272" t="s">
        <v>390</v>
      </c>
      <c r="G269" s="272" t="s">
        <v>454</v>
      </c>
      <c r="H269" s="272" t="s">
        <v>455</v>
      </c>
      <c r="I269" s="272" t="s">
        <v>456</v>
      </c>
      <c r="J269" s="272" t="s">
        <v>457</v>
      </c>
      <c r="K269" s="272" t="s">
        <v>458</v>
      </c>
      <c r="L269" s="272" t="s">
        <v>216</v>
      </c>
      <c r="M269" s="272" t="s">
        <v>459</v>
      </c>
      <c r="N269" s="272" t="s">
        <v>297</v>
      </c>
      <c r="O269" s="272" t="s">
        <v>211</v>
      </c>
      <c r="P269" s="863" t="s">
        <v>270</v>
      </c>
      <c r="Q269" s="272">
        <v>15</v>
      </c>
      <c r="R269" s="272">
        <v>16</v>
      </c>
      <c r="S269" s="272" t="s">
        <v>461</v>
      </c>
      <c r="T269" s="272" t="s">
        <v>442</v>
      </c>
      <c r="U269" s="272" t="s">
        <v>462</v>
      </c>
      <c r="V269" s="272" t="s">
        <v>470</v>
      </c>
      <c r="W269" s="272" t="s">
        <v>471</v>
      </c>
      <c r="X269" s="272" t="s">
        <v>472</v>
      </c>
      <c r="Y269" s="272" t="s">
        <v>463</v>
      </c>
      <c r="Z269" s="272" t="s">
        <v>465</v>
      </c>
      <c r="AA269" s="272" t="s">
        <v>466</v>
      </c>
      <c r="AB269" s="272" t="s">
        <v>435</v>
      </c>
      <c r="AC269" s="272" t="s">
        <v>467</v>
      </c>
      <c r="AD269" s="272" t="s">
        <v>464</v>
      </c>
      <c r="AE269" s="272" t="s">
        <v>429</v>
      </c>
      <c r="AF269" s="272" t="s">
        <v>149</v>
      </c>
      <c r="AG269" s="272" t="s">
        <v>210</v>
      </c>
      <c r="AH269" s="215"/>
    </row>
    <row r="270" spans="1:34" x14ac:dyDescent="0.2">
      <c r="A270" s="263"/>
      <c r="B270" s="273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x14ac:dyDescent="0.2">
      <c r="A271" s="265" t="s">
        <v>0</v>
      </c>
      <c r="B271" s="274">
        <v>-30285.028999999999</v>
      </c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ht="13.5" thickBot="1" x14ac:dyDescent="0.25">
      <c r="A272" s="275"/>
      <c r="B272" s="276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3"/>
      <c r="B273" s="278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1</v>
      </c>
      <c r="B274" s="274">
        <f>B275+B276+B277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38</v>
      </c>
      <c r="B275" s="274">
        <f>C323</f>
        <v>0</v>
      </c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x14ac:dyDescent="0.2">
      <c r="A276" s="265" t="s">
        <v>39</v>
      </c>
      <c r="B276" s="274">
        <f>C346</f>
        <v>0</v>
      </c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x14ac:dyDescent="0.2">
      <c r="A277" s="265" t="s">
        <v>3</v>
      </c>
      <c r="B277" s="274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ht="13.5" thickBot="1" x14ac:dyDescent="0.25">
      <c r="A278" s="275"/>
      <c r="B278" s="276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x14ac:dyDescent="0.2">
      <c r="A279" s="263"/>
      <c r="B279" s="278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x14ac:dyDescent="0.2">
      <c r="A280" s="265" t="s">
        <v>4</v>
      </c>
      <c r="B280" s="274">
        <f>B271-B274</f>
        <v>-30285.028999999999</v>
      </c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ht="13.5" thickBot="1" x14ac:dyDescent="0.25">
      <c r="A281" s="275"/>
      <c r="B281" s="276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x14ac:dyDescent="0.2">
      <c r="A282" s="263"/>
      <c r="B282" s="278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x14ac:dyDescent="0.2">
      <c r="A283" s="265" t="s">
        <v>17</v>
      </c>
      <c r="B283" s="274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266"/>
      <c r="Y283" s="266"/>
      <c r="Z283" s="266"/>
      <c r="AA283" s="266"/>
      <c r="AB283" s="266"/>
      <c r="AC283" s="266"/>
      <c r="AD283" s="266"/>
      <c r="AE283" s="266"/>
      <c r="AF283" s="266"/>
      <c r="AG283" s="266"/>
      <c r="AH283" s="215"/>
    </row>
    <row r="284" spans="1:34" ht="13.5" thickBot="1" x14ac:dyDescent="0.25">
      <c r="A284" s="275"/>
      <c r="B284" s="276"/>
      <c r="C284" s="266"/>
      <c r="D284" s="266"/>
      <c r="E284" s="266"/>
      <c r="F284" s="266"/>
      <c r="G284" s="266"/>
      <c r="H284" s="266"/>
      <c r="I284" s="266"/>
      <c r="J284" s="266"/>
      <c r="K284" s="266"/>
      <c r="L284" s="266"/>
      <c r="M284" s="266"/>
      <c r="N284" s="266"/>
      <c r="O284" s="266"/>
      <c r="P284" s="279"/>
      <c r="Q284" s="266"/>
      <c r="R284" s="266"/>
      <c r="S284" s="266"/>
      <c r="T284" s="266"/>
      <c r="U284" s="266"/>
      <c r="V284" s="266"/>
      <c r="W284" s="266"/>
      <c r="X284" s="269" t="s">
        <v>379</v>
      </c>
      <c r="Y284" s="266"/>
      <c r="Z284" s="266"/>
      <c r="AA284" s="266"/>
      <c r="AB284" s="266"/>
      <c r="AC284" s="266"/>
      <c r="AD284" s="266"/>
      <c r="AE284" s="266"/>
      <c r="AF284" s="266"/>
      <c r="AG284" s="266"/>
      <c r="AH284" s="215"/>
    </row>
    <row r="285" spans="1:34" x14ac:dyDescent="0.2">
      <c r="A285" s="263"/>
      <c r="B285" s="278"/>
      <c r="D285" s="266"/>
      <c r="E285" s="269"/>
      <c r="F285" s="266"/>
      <c r="G285" s="266"/>
      <c r="H285" s="266"/>
      <c r="I285" s="266"/>
      <c r="K285" s="330"/>
      <c r="L285" s="266"/>
      <c r="M285" s="266"/>
      <c r="N285" s="266"/>
      <c r="O285" s="266"/>
      <c r="P285" s="279"/>
      <c r="Q285" s="266"/>
      <c r="R285" s="266"/>
      <c r="S285" s="266"/>
      <c r="T285" s="266"/>
      <c r="U285" s="266"/>
      <c r="V285" s="266"/>
      <c r="W285" s="266"/>
      <c r="X285" s="269"/>
      <c r="Y285" s="266"/>
      <c r="Z285" s="1015" t="s">
        <v>250</v>
      </c>
      <c r="AA285" s="266"/>
      <c r="AB285" s="266"/>
      <c r="AC285" s="266"/>
      <c r="AD285" s="266"/>
      <c r="AE285" s="266"/>
      <c r="AF285" s="266"/>
      <c r="AG285" s="266"/>
      <c r="AH285" s="215"/>
    </row>
    <row r="286" spans="1:34" x14ac:dyDescent="0.2">
      <c r="A286" s="265" t="s">
        <v>5</v>
      </c>
      <c r="B286" s="274">
        <f>B280-B283</f>
        <v>-30285.028999999999</v>
      </c>
      <c r="C286" s="409" t="s">
        <v>171</v>
      </c>
      <c r="D286" s="269"/>
      <c r="E286" s="794"/>
      <c r="F286" s="269"/>
      <c r="G286" s="269"/>
      <c r="H286" s="269"/>
      <c r="I286" s="269"/>
      <c r="K286" s="768"/>
      <c r="L286" s="269"/>
      <c r="M286" s="269"/>
      <c r="N286" s="269"/>
      <c r="O286" s="269"/>
      <c r="P286" s="279"/>
      <c r="Q286" s="269"/>
      <c r="R286" s="269"/>
      <c r="S286" s="281"/>
      <c r="T286" s="269"/>
      <c r="U286" s="266"/>
      <c r="V286" s="269"/>
      <c r="W286" s="266"/>
      <c r="X286" s="269"/>
      <c r="Y286" s="269"/>
      <c r="Z286" s="1015" t="s">
        <v>1013</v>
      </c>
      <c r="AA286" s="281"/>
      <c r="AB286" s="985" t="s">
        <v>748</v>
      </c>
      <c r="AC286" s="796"/>
      <c r="AD286" s="796" t="s">
        <v>173</v>
      </c>
      <c r="AE286" s="269"/>
      <c r="AF286" s="269"/>
      <c r="AG286" s="705"/>
      <c r="AH286" s="215"/>
    </row>
    <row r="287" spans="1:34" ht="13.5" thickBot="1" x14ac:dyDescent="0.25">
      <c r="A287" s="275"/>
      <c r="B287" s="276"/>
      <c r="C287" s="266"/>
      <c r="D287" s="266"/>
      <c r="E287" s="266"/>
      <c r="F287" s="266"/>
      <c r="G287" s="266"/>
      <c r="H287" s="266"/>
      <c r="I287" s="266"/>
      <c r="J287" s="266"/>
      <c r="K287" s="266"/>
      <c r="L287" s="266"/>
      <c r="M287" s="269"/>
      <c r="N287" s="266"/>
      <c r="O287" s="266"/>
      <c r="P287" s="279"/>
      <c r="Q287" s="266"/>
      <c r="R287" s="266"/>
      <c r="S287" s="266"/>
      <c r="T287" s="266"/>
      <c r="U287" s="266"/>
      <c r="V287" s="266"/>
      <c r="W287" s="266"/>
      <c r="X287" s="266"/>
      <c r="Y287" s="266"/>
      <c r="Z287" s="266"/>
      <c r="AA287" s="266"/>
      <c r="AB287" s="266"/>
      <c r="AC287" s="266"/>
      <c r="AD287" s="266"/>
      <c r="AE287" s="266"/>
      <c r="AF287" s="266"/>
      <c r="AG287" s="266"/>
      <c r="AH287" s="215"/>
    </row>
    <row r="288" spans="1:34" x14ac:dyDescent="0.2">
      <c r="A288" s="282"/>
      <c r="B288" s="266"/>
      <c r="C288" s="283"/>
      <c r="D288" s="285"/>
      <c r="E288" s="285"/>
      <c r="F288" s="284"/>
      <c r="G288" s="284"/>
      <c r="H288" s="284"/>
      <c r="I288" s="284"/>
      <c r="J288" s="284"/>
      <c r="K288" s="284"/>
      <c r="L288" s="284"/>
      <c r="M288" s="284"/>
      <c r="N288" s="284"/>
      <c r="O288" s="284"/>
      <c r="P288" s="864"/>
      <c r="Q288" s="284"/>
      <c r="R288" s="284"/>
      <c r="S288" s="284"/>
      <c r="T288" s="284"/>
      <c r="U288" s="284"/>
      <c r="V288" s="284"/>
      <c r="W288" s="284"/>
      <c r="X288" s="284"/>
      <c r="Y288" s="284"/>
      <c r="Z288" s="284"/>
      <c r="AA288" s="284"/>
      <c r="AB288" s="284"/>
      <c r="AC288" s="284"/>
      <c r="AD288" s="284"/>
      <c r="AE288" s="284"/>
      <c r="AF288" s="284"/>
      <c r="AG288" s="284"/>
      <c r="AH288" s="215"/>
    </row>
    <row r="289" spans="1:34" ht="13.5" thickBot="1" x14ac:dyDescent="0.25">
      <c r="A289" s="287" t="s">
        <v>7</v>
      </c>
      <c r="B289" s="266"/>
      <c r="C289" s="288">
        <f>C290+C291+C292+C294+C293</f>
        <v>0</v>
      </c>
      <c r="D289" s="288">
        <f>D290+D291+D292+D294+D293</f>
        <v>0</v>
      </c>
      <c r="E289" s="288">
        <f>E290+E291+E292+E294+E293</f>
        <v>0</v>
      </c>
      <c r="F289" s="288">
        <f>F290+F291+F292+F294+F293</f>
        <v>0</v>
      </c>
      <c r="G289" s="288">
        <f>G290+G291+G292+G294+G293</f>
        <v>0</v>
      </c>
      <c r="H289" s="288">
        <f t="shared" ref="H289:AF289" si="29">H290+H291+H292+H294+H293</f>
        <v>0</v>
      </c>
      <c r="I289" s="288">
        <f t="shared" si="29"/>
        <v>0</v>
      </c>
      <c r="J289" s="288">
        <f t="shared" si="29"/>
        <v>0</v>
      </c>
      <c r="K289" s="288">
        <f t="shared" si="29"/>
        <v>0</v>
      </c>
      <c r="L289" s="288">
        <f t="shared" si="29"/>
        <v>0</v>
      </c>
      <c r="M289" s="288">
        <f t="shared" si="29"/>
        <v>0</v>
      </c>
      <c r="N289" s="288">
        <f t="shared" si="29"/>
        <v>0</v>
      </c>
      <c r="O289" s="288">
        <f t="shared" si="29"/>
        <v>0</v>
      </c>
      <c r="P289" s="865">
        <f t="shared" si="29"/>
        <v>0</v>
      </c>
      <c r="Q289" s="288">
        <f t="shared" si="29"/>
        <v>0</v>
      </c>
      <c r="R289" s="288">
        <f t="shared" si="29"/>
        <v>0</v>
      </c>
      <c r="S289" s="288">
        <f t="shared" si="29"/>
        <v>0</v>
      </c>
      <c r="T289" s="288">
        <f t="shared" si="29"/>
        <v>0</v>
      </c>
      <c r="U289" s="288">
        <f t="shared" si="29"/>
        <v>0</v>
      </c>
      <c r="V289" s="288">
        <f t="shared" si="29"/>
        <v>0</v>
      </c>
      <c r="W289" s="288">
        <f t="shared" si="29"/>
        <v>0</v>
      </c>
      <c r="X289" s="288">
        <f t="shared" si="29"/>
        <v>0</v>
      </c>
      <c r="Y289" s="288">
        <f t="shared" si="29"/>
        <v>0</v>
      </c>
      <c r="Z289" s="288">
        <f t="shared" si="29"/>
        <v>0</v>
      </c>
      <c r="AA289" s="288">
        <f t="shared" si="29"/>
        <v>0</v>
      </c>
      <c r="AB289" s="288">
        <f t="shared" si="29"/>
        <v>0</v>
      </c>
      <c r="AC289" s="288">
        <f t="shared" si="29"/>
        <v>0</v>
      </c>
      <c r="AD289" s="288">
        <f t="shared" si="29"/>
        <v>0</v>
      </c>
      <c r="AE289" s="288">
        <f t="shared" si="29"/>
        <v>0</v>
      </c>
      <c r="AF289" s="288">
        <f t="shared" si="29"/>
        <v>0</v>
      </c>
      <c r="AG289" s="288">
        <f>AG290+AG291+AG292+AG294+AG293</f>
        <v>0</v>
      </c>
      <c r="AH289" s="286">
        <f>SUM(C289:AG289)</f>
        <v>0</v>
      </c>
    </row>
    <row r="290" spans="1:34" x14ac:dyDescent="0.2">
      <c r="A290" s="287" t="s">
        <v>8</v>
      </c>
      <c r="B290" s="331"/>
      <c r="C290" s="291"/>
      <c r="D290" s="291"/>
      <c r="E290" s="362"/>
      <c r="F290" s="290"/>
      <c r="G290" s="290"/>
      <c r="H290" s="290"/>
      <c r="I290" s="295"/>
      <c r="J290" s="290"/>
      <c r="K290" s="290"/>
      <c r="L290" s="290"/>
      <c r="M290" s="290"/>
      <c r="N290" s="290"/>
      <c r="O290" s="290"/>
      <c r="P290" s="292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  <c r="AB290" s="290"/>
      <c r="AC290" s="290"/>
      <c r="AD290" s="290"/>
      <c r="AE290" s="290"/>
      <c r="AF290" s="290"/>
      <c r="AG290" s="290"/>
      <c r="AH290" s="286">
        <f>SUM(C290:AG290)</f>
        <v>0</v>
      </c>
    </row>
    <row r="291" spans="1:34" x14ac:dyDescent="0.2">
      <c r="A291" s="287" t="s">
        <v>9</v>
      </c>
      <c r="B291" s="331"/>
      <c r="C291" s="291"/>
      <c r="D291" s="291"/>
      <c r="E291" s="362"/>
      <c r="F291" s="290"/>
      <c r="G291" s="290"/>
      <c r="H291" s="290"/>
      <c r="I291" s="290"/>
      <c r="J291" s="290"/>
      <c r="K291" s="290"/>
      <c r="L291" s="290"/>
      <c r="M291" s="290"/>
      <c r="N291" s="290"/>
      <c r="O291" s="295"/>
      <c r="P291" s="292"/>
      <c r="Q291" s="290"/>
      <c r="R291" s="290"/>
      <c r="S291" s="290"/>
      <c r="T291" s="290"/>
      <c r="U291" s="290"/>
      <c r="V291" s="295"/>
      <c r="W291" s="295"/>
      <c r="X291" s="295">
        <v>-24425</v>
      </c>
      <c r="Y291" s="295"/>
      <c r="Z291" s="295"/>
      <c r="AA291" s="295"/>
      <c r="AB291" s="295"/>
      <c r="AC291" s="295"/>
      <c r="AD291" s="295"/>
      <c r="AE291" s="290"/>
      <c r="AF291" s="290"/>
      <c r="AG291" s="290"/>
      <c r="AH291" s="286">
        <f>SUM(C291:AG291)</f>
        <v>-24425</v>
      </c>
    </row>
    <row r="292" spans="1:34" s="360" customFormat="1" x14ac:dyDescent="0.2">
      <c r="A292" s="662" t="s">
        <v>10</v>
      </c>
      <c r="B292" s="669"/>
      <c r="C292" s="795"/>
      <c r="D292" s="565"/>
      <c r="E292" s="565"/>
      <c r="F292" s="560"/>
      <c r="G292" s="560"/>
      <c r="H292" s="560"/>
      <c r="I292" s="560"/>
      <c r="J292" s="1016"/>
      <c r="K292" s="380"/>
      <c r="L292" s="560"/>
      <c r="M292" s="560"/>
      <c r="N292" s="560"/>
      <c r="O292" s="560"/>
      <c r="P292" s="560"/>
      <c r="Q292" s="560"/>
      <c r="R292" s="560"/>
      <c r="S292" s="560"/>
      <c r="T292" s="560"/>
      <c r="U292" s="560"/>
      <c r="V292" s="560"/>
      <c r="W292" s="560"/>
      <c r="X292" s="560">
        <v>24425</v>
      </c>
      <c r="Y292" s="560"/>
      <c r="Z292" s="811"/>
      <c r="AA292" s="560"/>
      <c r="AB292" s="380">
        <v>16700</v>
      </c>
      <c r="AC292" s="560"/>
      <c r="AD292" s="560">
        <v>11300</v>
      </c>
      <c r="AE292" s="560"/>
      <c r="AF292" s="560"/>
      <c r="AG292" s="747"/>
      <c r="AH292" s="379">
        <f>SUM(C292:AG292)</f>
        <v>52425</v>
      </c>
    </row>
    <row r="293" spans="1:34" s="360" customFormat="1" x14ac:dyDescent="0.2">
      <c r="A293" s="662" t="s">
        <v>356</v>
      </c>
      <c r="B293" s="669"/>
      <c r="C293" s="565">
        <v>53812</v>
      </c>
      <c r="D293" s="565"/>
      <c r="E293" s="565"/>
      <c r="F293" s="560"/>
      <c r="G293" s="380"/>
      <c r="H293" s="560"/>
      <c r="I293" s="380"/>
      <c r="J293" s="560"/>
      <c r="K293" s="560"/>
      <c r="L293" s="560"/>
      <c r="M293" s="560"/>
      <c r="N293" s="380"/>
      <c r="O293" s="560"/>
      <c r="P293" s="560"/>
      <c r="Q293" s="560"/>
      <c r="R293" s="560"/>
      <c r="S293" s="560"/>
      <c r="T293" s="560"/>
      <c r="U293" s="560"/>
      <c r="V293" s="560"/>
      <c r="W293" s="560"/>
      <c r="X293" s="560"/>
      <c r="Y293" s="560"/>
      <c r="Z293" s="560"/>
      <c r="AA293" s="560"/>
      <c r="AB293" s="380">
        <v>-16700</v>
      </c>
      <c r="AC293" s="560"/>
      <c r="AD293" s="560">
        <v>-11300</v>
      </c>
      <c r="AE293" s="560"/>
      <c r="AF293" s="560"/>
      <c r="AG293" s="560"/>
      <c r="AH293" s="379">
        <f>SUM(C293:AG293)</f>
        <v>25812</v>
      </c>
    </row>
    <row r="294" spans="1:34" x14ac:dyDescent="0.2">
      <c r="A294" s="287" t="s">
        <v>11</v>
      </c>
      <c r="B294" s="266"/>
      <c r="C294" s="291">
        <v>-53812</v>
      </c>
      <c r="D294" s="289"/>
      <c r="E294" s="294"/>
      <c r="F294" s="292"/>
      <c r="G294" s="292"/>
      <c r="H294" s="292"/>
      <c r="I294" s="292"/>
      <c r="J294" s="295"/>
      <c r="K294" s="292"/>
      <c r="L294" s="292"/>
      <c r="M294" s="292"/>
      <c r="N294" s="292"/>
      <c r="O294" s="292"/>
      <c r="P294" s="455"/>
      <c r="Q294" s="292"/>
      <c r="R294" s="292"/>
      <c r="S294" s="292"/>
      <c r="T294" s="292"/>
      <c r="U294" s="292"/>
      <c r="V294" s="295"/>
      <c r="W294" s="295"/>
      <c r="X294" s="295"/>
      <c r="Y294" s="455"/>
      <c r="Z294" s="295"/>
      <c r="AA294" s="295"/>
      <c r="AB294" s="295"/>
      <c r="AC294" s="292"/>
      <c r="AD294" s="295"/>
      <c r="AE294" s="292"/>
      <c r="AF294" s="292"/>
      <c r="AG294" s="292"/>
      <c r="AH294" s="215"/>
    </row>
    <row r="295" spans="1:34" ht="13.5" thickBot="1" x14ac:dyDescent="0.25">
      <c r="A295" s="296"/>
      <c r="B295" s="266"/>
      <c r="C295" s="291"/>
      <c r="D295" s="291"/>
      <c r="E295" s="291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2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  <c r="AE295" s="290"/>
      <c r="AF295" s="290"/>
      <c r="AG295" s="290"/>
      <c r="AH295" s="215"/>
    </row>
    <row r="296" spans="1:34" x14ac:dyDescent="0.2">
      <c r="A296" s="282"/>
      <c r="B296" s="266"/>
      <c r="C296" s="297"/>
      <c r="D296" s="298"/>
      <c r="E296" s="298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866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F296" s="299"/>
      <c r="AG296" s="299"/>
      <c r="AH296" s="215"/>
    </row>
    <row r="297" spans="1:34" ht="13.5" thickBot="1" x14ac:dyDescent="0.25">
      <c r="A297" s="287" t="s">
        <v>12</v>
      </c>
      <c r="B297" s="266"/>
      <c r="C297" s="288">
        <f t="shared" ref="C297:AG297" si="30">C298</f>
        <v>0</v>
      </c>
      <c r="D297" s="288">
        <f t="shared" si="30"/>
        <v>0</v>
      </c>
      <c r="E297" s="288">
        <f t="shared" si="30"/>
        <v>0</v>
      </c>
      <c r="F297" s="288">
        <f t="shared" si="30"/>
        <v>0</v>
      </c>
      <c r="G297" s="288">
        <f t="shared" si="30"/>
        <v>0</v>
      </c>
      <c r="H297" s="288">
        <f t="shared" si="30"/>
        <v>0</v>
      </c>
      <c r="I297" s="288">
        <f t="shared" si="30"/>
        <v>0</v>
      </c>
      <c r="J297" s="288">
        <f t="shared" si="30"/>
        <v>0</v>
      </c>
      <c r="K297" s="288">
        <f t="shared" si="30"/>
        <v>0</v>
      </c>
      <c r="L297" s="288">
        <f t="shared" si="30"/>
        <v>0</v>
      </c>
      <c r="M297" s="288">
        <f t="shared" si="30"/>
        <v>0</v>
      </c>
      <c r="N297" s="288">
        <f t="shared" si="30"/>
        <v>0</v>
      </c>
      <c r="O297" s="288">
        <f t="shared" si="30"/>
        <v>0</v>
      </c>
      <c r="P297" s="865">
        <f t="shared" si="30"/>
        <v>0</v>
      </c>
      <c r="Q297" s="288">
        <f t="shared" si="30"/>
        <v>0</v>
      </c>
      <c r="R297" s="288">
        <f t="shared" si="30"/>
        <v>0</v>
      </c>
      <c r="S297" s="288">
        <f t="shared" si="30"/>
        <v>0</v>
      </c>
      <c r="T297" s="288">
        <f t="shared" si="30"/>
        <v>0</v>
      </c>
      <c r="U297" s="288">
        <f t="shared" si="30"/>
        <v>0</v>
      </c>
      <c r="V297" s="288">
        <f t="shared" si="30"/>
        <v>0</v>
      </c>
      <c r="W297" s="288">
        <f t="shared" si="30"/>
        <v>0</v>
      </c>
      <c r="X297" s="288">
        <f t="shared" si="30"/>
        <v>0</v>
      </c>
      <c r="Y297" s="288">
        <f t="shared" si="30"/>
        <v>0</v>
      </c>
      <c r="Z297" s="288">
        <f t="shared" si="30"/>
        <v>0</v>
      </c>
      <c r="AA297" s="288">
        <f t="shared" si="30"/>
        <v>0</v>
      </c>
      <c r="AB297" s="288">
        <f t="shared" si="30"/>
        <v>0</v>
      </c>
      <c r="AC297" s="288">
        <f t="shared" si="30"/>
        <v>0</v>
      </c>
      <c r="AD297" s="288">
        <f t="shared" si="30"/>
        <v>0</v>
      </c>
      <c r="AE297" s="288">
        <f t="shared" si="30"/>
        <v>0</v>
      </c>
      <c r="AF297" s="288">
        <f t="shared" si="30"/>
        <v>0</v>
      </c>
      <c r="AG297" s="288">
        <f t="shared" si="30"/>
        <v>0</v>
      </c>
      <c r="AH297" s="215"/>
    </row>
    <row r="298" spans="1:34" x14ac:dyDescent="0.2">
      <c r="A298" s="287" t="s">
        <v>8</v>
      </c>
      <c r="B298" s="266"/>
      <c r="C298" s="291"/>
      <c r="D298" s="291"/>
      <c r="E298" s="291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2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15"/>
    </row>
    <row r="299" spans="1:34" x14ac:dyDescent="0.2">
      <c r="A299" s="287" t="s">
        <v>775</v>
      </c>
      <c r="B299" s="266"/>
      <c r="C299" s="291"/>
      <c r="D299" s="291"/>
      <c r="E299" s="291">
        <v>1998</v>
      </c>
      <c r="F299" s="290"/>
      <c r="G299" s="290">
        <v>8844</v>
      </c>
      <c r="H299" s="290">
        <v>1323</v>
      </c>
      <c r="I299" s="290"/>
      <c r="J299" s="290">
        <v>3080</v>
      </c>
      <c r="K299" s="290">
        <v>5846</v>
      </c>
      <c r="L299" s="290">
        <v>8952</v>
      </c>
      <c r="M299" s="290"/>
      <c r="N299" s="290">
        <v>10134</v>
      </c>
      <c r="O299" s="290"/>
      <c r="P299" s="292"/>
      <c r="Q299" s="290">
        <v>11247</v>
      </c>
      <c r="R299" s="290">
        <v>8709</v>
      </c>
      <c r="S299" s="290">
        <v>2050</v>
      </c>
      <c r="T299" s="290">
        <v>480</v>
      </c>
      <c r="U299" s="290">
        <v>2050</v>
      </c>
      <c r="V299" s="290">
        <v>5944</v>
      </c>
      <c r="W299" s="290"/>
      <c r="X299" s="290">
        <v>3423</v>
      </c>
      <c r="Y299" s="290">
        <v>675</v>
      </c>
      <c r="Z299" s="290"/>
      <c r="AA299" s="290">
        <v>10645</v>
      </c>
      <c r="AB299" s="290">
        <v>1630</v>
      </c>
      <c r="AC299" s="290">
        <v>676</v>
      </c>
      <c r="AD299" s="290"/>
      <c r="AE299" s="290">
        <v>1630</v>
      </c>
      <c r="AF299" s="290">
        <v>31722</v>
      </c>
      <c r="AG299" s="290"/>
      <c r="AH299" s="286">
        <f>SUM(C299:AG299)</f>
        <v>121058</v>
      </c>
    </row>
    <row r="300" spans="1:34" ht="13.5" thickBot="1" x14ac:dyDescent="0.25">
      <c r="A300" s="296"/>
      <c r="B300" s="266"/>
      <c r="C300" s="291"/>
      <c r="D300" s="291"/>
      <c r="E300" s="291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2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  <c r="AE300" s="290"/>
      <c r="AF300" s="290"/>
      <c r="AG300" s="290"/>
      <c r="AH300" s="215"/>
    </row>
    <row r="301" spans="1:34" x14ac:dyDescent="0.2">
      <c r="A301" s="282"/>
      <c r="B301" s="266"/>
      <c r="C301" s="297"/>
      <c r="D301" s="298"/>
      <c r="E301" s="298"/>
      <c r="F301" s="299"/>
      <c r="G301" s="299"/>
      <c r="H301" s="299"/>
      <c r="I301" s="299"/>
      <c r="J301" s="299"/>
      <c r="K301" s="299"/>
      <c r="L301" s="299"/>
      <c r="M301" s="299"/>
      <c r="N301" s="299"/>
      <c r="O301" s="299"/>
      <c r="P301" s="866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  <c r="AB301" s="299"/>
      <c r="AC301" s="299"/>
      <c r="AD301" s="299"/>
      <c r="AE301" s="299"/>
      <c r="AF301" s="299"/>
      <c r="AG301" s="299"/>
      <c r="AH301" s="215"/>
    </row>
    <row r="302" spans="1:34" x14ac:dyDescent="0.2">
      <c r="A302" s="287" t="s">
        <v>13</v>
      </c>
      <c r="B302" s="266"/>
      <c r="C302" s="300">
        <f>C297-C289</f>
        <v>0</v>
      </c>
      <c r="D302" s="300">
        <f>D297-D289</f>
        <v>0</v>
      </c>
      <c r="E302" s="300">
        <f>E297-E289</f>
        <v>0</v>
      </c>
      <c r="F302" s="300">
        <f>F297-F289</f>
        <v>0</v>
      </c>
      <c r="G302" s="300">
        <f>G297-G289</f>
        <v>0</v>
      </c>
      <c r="H302" s="300">
        <f t="shared" ref="H302:AG302" si="31">H297-H289</f>
        <v>0</v>
      </c>
      <c r="I302" s="300">
        <f t="shared" si="31"/>
        <v>0</v>
      </c>
      <c r="J302" s="300">
        <f t="shared" si="31"/>
        <v>0</v>
      </c>
      <c r="K302" s="300">
        <f t="shared" si="31"/>
        <v>0</v>
      </c>
      <c r="L302" s="300">
        <f t="shared" si="31"/>
        <v>0</v>
      </c>
      <c r="M302" s="300">
        <f t="shared" si="31"/>
        <v>0</v>
      </c>
      <c r="N302" s="300">
        <f t="shared" si="31"/>
        <v>0</v>
      </c>
      <c r="O302" s="300">
        <f t="shared" si="31"/>
        <v>0</v>
      </c>
      <c r="P302" s="867">
        <f t="shared" si="31"/>
        <v>0</v>
      </c>
      <c r="Q302" s="300">
        <f t="shared" si="31"/>
        <v>0</v>
      </c>
      <c r="R302" s="300">
        <f t="shared" si="31"/>
        <v>0</v>
      </c>
      <c r="S302" s="300">
        <f t="shared" si="31"/>
        <v>0</v>
      </c>
      <c r="T302" s="300">
        <f t="shared" si="31"/>
        <v>0</v>
      </c>
      <c r="U302" s="300">
        <f t="shared" si="31"/>
        <v>0</v>
      </c>
      <c r="V302" s="300">
        <f t="shared" si="31"/>
        <v>0</v>
      </c>
      <c r="W302" s="300">
        <f t="shared" si="31"/>
        <v>0</v>
      </c>
      <c r="X302" s="300">
        <f t="shared" si="31"/>
        <v>0</v>
      </c>
      <c r="Y302" s="300">
        <f t="shared" si="31"/>
        <v>0</v>
      </c>
      <c r="Z302" s="300">
        <f t="shared" si="31"/>
        <v>0</v>
      </c>
      <c r="AA302" s="300">
        <f t="shared" si="31"/>
        <v>0</v>
      </c>
      <c r="AB302" s="300">
        <f t="shared" si="31"/>
        <v>0</v>
      </c>
      <c r="AC302" s="300">
        <f t="shared" si="31"/>
        <v>0</v>
      </c>
      <c r="AD302" s="300">
        <f t="shared" si="31"/>
        <v>0</v>
      </c>
      <c r="AE302" s="300">
        <f t="shared" si="31"/>
        <v>0</v>
      </c>
      <c r="AF302" s="300">
        <f t="shared" si="31"/>
        <v>0</v>
      </c>
      <c r="AG302" s="300">
        <f t="shared" si="31"/>
        <v>0</v>
      </c>
      <c r="AH302" s="215"/>
    </row>
    <row r="303" spans="1:34" ht="13.5" thickBot="1" x14ac:dyDescent="0.25">
      <c r="A303" s="287"/>
      <c r="B303" s="266"/>
      <c r="C303" s="300"/>
      <c r="D303" s="291"/>
      <c r="E303" s="291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2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15"/>
    </row>
    <row r="304" spans="1:34" x14ac:dyDescent="0.2">
      <c r="A304" s="263"/>
      <c r="B304" s="264"/>
      <c r="C304" s="301"/>
      <c r="D304" s="298"/>
      <c r="E304" s="298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866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  <c r="AB304" s="299"/>
      <c r="AC304" s="299"/>
      <c r="AD304" s="299"/>
      <c r="AE304" s="299"/>
      <c r="AF304" s="299"/>
      <c r="AG304" s="299"/>
      <c r="AH304" s="215"/>
    </row>
    <row r="305" spans="1:34" x14ac:dyDescent="0.2">
      <c r="A305" s="265" t="s">
        <v>15</v>
      </c>
      <c r="B305" s="266"/>
      <c r="C305" s="291">
        <f>B286+C302</f>
        <v>-30285.028999999999</v>
      </c>
      <c r="D305" s="291">
        <f t="shared" ref="D305:AG305" si="32">C312+D302</f>
        <v>-30285.028999999999</v>
      </c>
      <c r="E305" s="291">
        <f t="shared" si="32"/>
        <v>-30285.028999999999</v>
      </c>
      <c r="F305" s="291">
        <f t="shared" si="32"/>
        <v>-30285.028999999999</v>
      </c>
      <c r="G305" s="291">
        <f t="shared" si="32"/>
        <v>-30285.028999999999</v>
      </c>
      <c r="H305" s="291">
        <f t="shared" si="32"/>
        <v>-30285.028999999999</v>
      </c>
      <c r="I305" s="291">
        <f t="shared" si="32"/>
        <v>-30285.028999999999</v>
      </c>
      <c r="J305" s="291">
        <f t="shared" si="32"/>
        <v>-30285.028999999999</v>
      </c>
      <c r="K305" s="291">
        <f t="shared" si="32"/>
        <v>-30285.028999999999</v>
      </c>
      <c r="L305" s="291">
        <f t="shared" si="32"/>
        <v>-30285.028999999999</v>
      </c>
      <c r="M305" s="291">
        <f t="shared" si="32"/>
        <v>-30285.028999999999</v>
      </c>
      <c r="N305" s="291">
        <f t="shared" si="32"/>
        <v>-30285.028999999999</v>
      </c>
      <c r="O305" s="291">
        <f t="shared" si="32"/>
        <v>-30285.028999999999</v>
      </c>
      <c r="P305" s="289">
        <f t="shared" si="32"/>
        <v>-30285.028999999999</v>
      </c>
      <c r="Q305" s="291">
        <f t="shared" si="32"/>
        <v>-30285.028999999999</v>
      </c>
      <c r="R305" s="291">
        <f t="shared" si="32"/>
        <v>-30285.028999999999</v>
      </c>
      <c r="S305" s="291">
        <f t="shared" si="32"/>
        <v>-30285.028999999999</v>
      </c>
      <c r="T305" s="291">
        <f t="shared" si="32"/>
        <v>-30285.028999999999</v>
      </c>
      <c r="U305" s="291">
        <f t="shared" si="32"/>
        <v>-30285.028999999999</v>
      </c>
      <c r="V305" s="291">
        <f t="shared" si="32"/>
        <v>-30285.028999999999</v>
      </c>
      <c r="W305" s="291">
        <f t="shared" si="32"/>
        <v>-30285.028999999999</v>
      </c>
      <c r="X305" s="291">
        <f t="shared" si="32"/>
        <v>-30285.028999999999</v>
      </c>
      <c r="Y305" s="291">
        <f t="shared" si="32"/>
        <v>-30285.028999999999</v>
      </c>
      <c r="Z305" s="291">
        <f t="shared" si="32"/>
        <v>-30285.028999999999</v>
      </c>
      <c r="AA305" s="291">
        <f t="shared" si="32"/>
        <v>-30285.028999999999</v>
      </c>
      <c r="AB305" s="291">
        <f t="shared" si="32"/>
        <v>-30285.028999999999</v>
      </c>
      <c r="AC305" s="291">
        <f t="shared" si="32"/>
        <v>-30285.028999999999</v>
      </c>
      <c r="AD305" s="291">
        <f t="shared" si="32"/>
        <v>-30285.028999999999</v>
      </c>
      <c r="AE305" s="291">
        <f t="shared" si="32"/>
        <v>-30285.028999999999</v>
      </c>
      <c r="AF305" s="291">
        <f t="shared" si="32"/>
        <v>-30285.028999999999</v>
      </c>
      <c r="AG305" s="291">
        <f t="shared" si="32"/>
        <v>-30285.028999999999</v>
      </c>
      <c r="AH305" s="215"/>
    </row>
    <row r="306" spans="1:34" ht="13.5" thickBot="1" x14ac:dyDescent="0.25">
      <c r="A306" s="275"/>
      <c r="B306" s="302"/>
      <c r="C306" s="303"/>
      <c r="D306" s="303"/>
      <c r="E306" s="303"/>
      <c r="F306" s="304"/>
      <c r="G306" s="304"/>
      <c r="H306" s="304"/>
      <c r="I306" s="304"/>
      <c r="J306" s="304"/>
      <c r="K306" s="304"/>
      <c r="L306" s="304"/>
      <c r="M306" s="304"/>
      <c r="N306" s="304"/>
      <c r="O306" s="304"/>
      <c r="P306" s="868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4"/>
      <c r="AG306" s="304"/>
      <c r="AH306" s="215"/>
    </row>
    <row r="307" spans="1:34" x14ac:dyDescent="0.2">
      <c r="A307" s="263"/>
      <c r="B307" s="264"/>
      <c r="C307" s="298"/>
      <c r="D307" s="298"/>
      <c r="E307" s="298"/>
      <c r="F307" s="299"/>
      <c r="G307" s="299"/>
      <c r="H307" s="299"/>
      <c r="I307" s="299"/>
      <c r="J307" s="299"/>
      <c r="K307" s="299"/>
      <c r="L307" s="299"/>
      <c r="M307" s="299"/>
      <c r="N307" s="299"/>
      <c r="O307" s="299"/>
      <c r="P307" s="866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  <c r="AB307" s="299"/>
      <c r="AC307" s="299"/>
      <c r="AD307" s="299"/>
      <c r="AE307" s="299"/>
      <c r="AF307" s="299"/>
      <c r="AG307" s="299"/>
      <c r="AH307" s="215"/>
    </row>
    <row r="308" spans="1:34" x14ac:dyDescent="0.2">
      <c r="A308" s="265" t="s">
        <v>82</v>
      </c>
      <c r="B308" s="266"/>
      <c r="C308" s="291">
        <f t="shared" ref="C308:AG309" si="33">C316</f>
        <v>0</v>
      </c>
      <c r="D308" s="291">
        <f t="shared" si="33"/>
        <v>0</v>
      </c>
      <c r="E308" s="291">
        <f t="shared" si="33"/>
        <v>0</v>
      </c>
      <c r="F308" s="291">
        <f t="shared" si="33"/>
        <v>0</v>
      </c>
      <c r="G308" s="291">
        <f t="shared" si="33"/>
        <v>0</v>
      </c>
      <c r="H308" s="291">
        <f t="shared" si="33"/>
        <v>0</v>
      </c>
      <c r="I308" s="291">
        <f t="shared" si="33"/>
        <v>0</v>
      </c>
      <c r="J308" s="291">
        <f t="shared" si="33"/>
        <v>0</v>
      </c>
      <c r="K308" s="291">
        <f t="shared" si="33"/>
        <v>0</v>
      </c>
      <c r="L308" s="291">
        <f t="shared" si="33"/>
        <v>0</v>
      </c>
      <c r="M308" s="291">
        <f t="shared" si="33"/>
        <v>0</v>
      </c>
      <c r="N308" s="291">
        <f t="shared" si="33"/>
        <v>0</v>
      </c>
      <c r="O308" s="291">
        <f t="shared" si="33"/>
        <v>0</v>
      </c>
      <c r="P308" s="289">
        <f t="shared" si="33"/>
        <v>0</v>
      </c>
      <c r="Q308" s="291">
        <f t="shared" si="33"/>
        <v>0</v>
      </c>
      <c r="R308" s="291">
        <f t="shared" si="33"/>
        <v>0</v>
      </c>
      <c r="S308" s="291">
        <f t="shared" si="33"/>
        <v>0</v>
      </c>
      <c r="T308" s="291">
        <f t="shared" si="33"/>
        <v>0</v>
      </c>
      <c r="U308" s="291">
        <f t="shared" si="33"/>
        <v>0</v>
      </c>
      <c r="V308" s="291">
        <f t="shared" si="33"/>
        <v>0</v>
      </c>
      <c r="W308" s="291">
        <f t="shared" si="33"/>
        <v>0</v>
      </c>
      <c r="X308" s="291">
        <f t="shared" si="33"/>
        <v>0</v>
      </c>
      <c r="Y308" s="291">
        <f t="shared" si="33"/>
        <v>0</v>
      </c>
      <c r="Z308" s="291">
        <f t="shared" si="33"/>
        <v>0</v>
      </c>
      <c r="AA308" s="291">
        <f>AA316</f>
        <v>0</v>
      </c>
      <c r="AB308" s="291">
        <f t="shared" si="33"/>
        <v>0</v>
      </c>
      <c r="AC308" s="291">
        <f t="shared" si="33"/>
        <v>0</v>
      </c>
      <c r="AD308" s="291">
        <f t="shared" si="33"/>
        <v>0</v>
      </c>
      <c r="AE308" s="291">
        <f t="shared" si="33"/>
        <v>0</v>
      </c>
      <c r="AF308" s="291">
        <f t="shared" si="33"/>
        <v>0</v>
      </c>
      <c r="AG308" s="291">
        <f t="shared" si="33"/>
        <v>0</v>
      </c>
      <c r="AH308" s="215"/>
    </row>
    <row r="309" spans="1:34" x14ac:dyDescent="0.2">
      <c r="A309" s="265" t="s">
        <v>83</v>
      </c>
      <c r="B309" s="266"/>
      <c r="C309" s="289">
        <f t="shared" si="33"/>
        <v>0</v>
      </c>
      <c r="D309" s="289">
        <f t="shared" si="33"/>
        <v>0</v>
      </c>
      <c r="E309" s="289">
        <f t="shared" si="33"/>
        <v>0</v>
      </c>
      <c r="F309" s="289">
        <f t="shared" si="33"/>
        <v>0</v>
      </c>
      <c r="G309" s="289">
        <f t="shared" si="33"/>
        <v>0</v>
      </c>
      <c r="H309" s="289">
        <f t="shared" si="33"/>
        <v>0</v>
      </c>
      <c r="I309" s="289">
        <f t="shared" si="33"/>
        <v>0</v>
      </c>
      <c r="J309" s="289">
        <f t="shared" si="33"/>
        <v>0</v>
      </c>
      <c r="K309" s="289">
        <f t="shared" si="33"/>
        <v>0</v>
      </c>
      <c r="L309" s="289">
        <f t="shared" si="33"/>
        <v>0</v>
      </c>
      <c r="M309" s="289">
        <f t="shared" si="33"/>
        <v>0</v>
      </c>
      <c r="N309" s="289">
        <f t="shared" si="33"/>
        <v>0</v>
      </c>
      <c r="O309" s="289">
        <f t="shared" si="33"/>
        <v>0</v>
      </c>
      <c r="P309" s="289">
        <f t="shared" si="33"/>
        <v>0</v>
      </c>
      <c r="Q309" s="289">
        <f t="shared" si="33"/>
        <v>0</v>
      </c>
      <c r="R309" s="289">
        <f t="shared" si="33"/>
        <v>0</v>
      </c>
      <c r="S309" s="289">
        <f t="shared" si="33"/>
        <v>0</v>
      </c>
      <c r="T309" s="289">
        <f t="shared" si="33"/>
        <v>0</v>
      </c>
      <c r="U309" s="289">
        <f t="shared" si="33"/>
        <v>0</v>
      </c>
      <c r="V309" s="289">
        <f t="shared" si="33"/>
        <v>0</v>
      </c>
      <c r="W309" s="289">
        <f t="shared" si="33"/>
        <v>0</v>
      </c>
      <c r="X309" s="289">
        <f t="shared" si="33"/>
        <v>0</v>
      </c>
      <c r="Y309" s="289">
        <f t="shared" si="33"/>
        <v>0</v>
      </c>
      <c r="Z309" s="289">
        <f t="shared" si="33"/>
        <v>0</v>
      </c>
      <c r="AA309" s="289">
        <f t="shared" si="33"/>
        <v>0</v>
      </c>
      <c r="AB309" s="289">
        <f t="shared" si="33"/>
        <v>0</v>
      </c>
      <c r="AC309" s="289">
        <f t="shared" si="33"/>
        <v>0</v>
      </c>
      <c r="AD309" s="289">
        <f t="shared" si="33"/>
        <v>0</v>
      </c>
      <c r="AE309" s="289">
        <f t="shared" si="33"/>
        <v>0</v>
      </c>
      <c r="AF309" s="289">
        <f t="shared" si="33"/>
        <v>0</v>
      </c>
      <c r="AG309" s="289">
        <f t="shared" si="33"/>
        <v>0</v>
      </c>
      <c r="AH309" s="215"/>
    </row>
    <row r="310" spans="1:34" ht="13.5" thickBot="1" x14ac:dyDescent="0.25">
      <c r="A310" s="275"/>
      <c r="B310" s="302"/>
      <c r="C310" s="303"/>
      <c r="D310" s="303"/>
      <c r="E310" s="303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868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215"/>
    </row>
    <row r="311" spans="1:34" x14ac:dyDescent="0.2">
      <c r="A311" s="265"/>
      <c r="B311" s="266"/>
      <c r="C311" s="291"/>
      <c r="D311" s="291"/>
      <c r="E311" s="291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2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  <c r="AE311" s="290"/>
      <c r="AF311" s="290"/>
      <c r="AG311" s="290"/>
      <c r="AH311" s="215"/>
    </row>
    <row r="312" spans="1:34" x14ac:dyDescent="0.2">
      <c r="A312" s="265" t="s">
        <v>14</v>
      </c>
      <c r="B312" s="266"/>
      <c r="C312" s="291">
        <f>C305+C308+C309</f>
        <v>-30285.028999999999</v>
      </c>
      <c r="D312" s="291">
        <f>D305+D308+D309</f>
        <v>-30285.028999999999</v>
      </c>
      <c r="E312" s="291">
        <f>E305+E308+E309</f>
        <v>-30285.028999999999</v>
      </c>
      <c r="F312" s="291">
        <f>F305+F308+F309</f>
        <v>-30285.028999999999</v>
      </c>
      <c r="G312" s="291">
        <f>G305+G308+G309</f>
        <v>-30285.028999999999</v>
      </c>
      <c r="H312" s="291">
        <f t="shared" ref="H312:AG312" si="34">H305+H308+H309</f>
        <v>-30285.028999999999</v>
      </c>
      <c r="I312" s="291">
        <f t="shared" si="34"/>
        <v>-30285.028999999999</v>
      </c>
      <c r="J312" s="291">
        <f t="shared" si="34"/>
        <v>-30285.028999999999</v>
      </c>
      <c r="K312" s="291">
        <f t="shared" si="34"/>
        <v>-30285.028999999999</v>
      </c>
      <c r="L312" s="291">
        <f t="shared" si="34"/>
        <v>-30285.028999999999</v>
      </c>
      <c r="M312" s="291">
        <f t="shared" si="34"/>
        <v>-30285.028999999999</v>
      </c>
      <c r="N312" s="291">
        <f t="shared" si="34"/>
        <v>-30285.028999999999</v>
      </c>
      <c r="O312" s="291">
        <f t="shared" si="34"/>
        <v>-30285.028999999999</v>
      </c>
      <c r="P312" s="289">
        <f t="shared" si="34"/>
        <v>-30285.028999999999</v>
      </c>
      <c r="Q312" s="291">
        <f t="shared" si="34"/>
        <v>-30285.028999999999</v>
      </c>
      <c r="R312" s="291">
        <f t="shared" si="34"/>
        <v>-30285.028999999999</v>
      </c>
      <c r="S312" s="291">
        <f t="shared" si="34"/>
        <v>-30285.028999999999</v>
      </c>
      <c r="T312" s="291">
        <f t="shared" si="34"/>
        <v>-30285.028999999999</v>
      </c>
      <c r="U312" s="291">
        <f t="shared" si="34"/>
        <v>-30285.028999999999</v>
      </c>
      <c r="V312" s="291">
        <f t="shared" si="34"/>
        <v>-30285.028999999999</v>
      </c>
      <c r="W312" s="291">
        <f t="shared" si="34"/>
        <v>-30285.028999999999</v>
      </c>
      <c r="X312" s="291">
        <f t="shared" si="34"/>
        <v>-30285.028999999999</v>
      </c>
      <c r="Y312" s="291">
        <f t="shared" si="34"/>
        <v>-30285.028999999999</v>
      </c>
      <c r="Z312" s="291">
        <f t="shared" si="34"/>
        <v>-30285.028999999999</v>
      </c>
      <c r="AA312" s="291">
        <f t="shared" si="34"/>
        <v>-30285.028999999999</v>
      </c>
      <c r="AB312" s="291">
        <f t="shared" si="34"/>
        <v>-30285.028999999999</v>
      </c>
      <c r="AC312" s="291">
        <f t="shared" si="34"/>
        <v>-30285.028999999999</v>
      </c>
      <c r="AD312" s="291">
        <f t="shared" si="34"/>
        <v>-30285.028999999999</v>
      </c>
      <c r="AE312" s="291">
        <f t="shared" si="34"/>
        <v>-30285.028999999999</v>
      </c>
      <c r="AF312" s="291">
        <f t="shared" si="34"/>
        <v>-30285.028999999999</v>
      </c>
      <c r="AG312" s="291">
        <f t="shared" si="34"/>
        <v>-30285.028999999999</v>
      </c>
      <c r="AH312" s="215"/>
    </row>
    <row r="313" spans="1:34" x14ac:dyDescent="0.2">
      <c r="A313" s="265"/>
      <c r="B313" s="266"/>
      <c r="C313" s="291"/>
      <c r="D313" s="291"/>
      <c r="E313" s="291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2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  <c r="AA313" s="290"/>
      <c r="AB313" s="290"/>
      <c r="AC313" s="290"/>
      <c r="AD313" s="290"/>
      <c r="AE313" s="290"/>
      <c r="AF313" s="290"/>
      <c r="AG313" s="290"/>
      <c r="AH313" s="215"/>
    </row>
    <row r="314" spans="1:34" ht="13.5" thickBot="1" x14ac:dyDescent="0.25">
      <c r="A314" s="275"/>
      <c r="B314" s="302"/>
      <c r="C314" s="306"/>
      <c r="D314" s="306"/>
      <c r="E314" s="306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869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C314" s="307"/>
      <c r="AD314" s="307"/>
      <c r="AE314" s="307"/>
      <c r="AF314" s="307"/>
      <c r="AG314" s="307"/>
      <c r="AH314" s="215"/>
    </row>
    <row r="315" spans="1:34" x14ac:dyDescent="0.2">
      <c r="A315" s="310"/>
      <c r="B315" s="215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308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>
        <f>SUM(C315:AG315)</f>
        <v>0</v>
      </c>
    </row>
    <row r="316" spans="1:34" x14ac:dyDescent="0.2">
      <c r="A316" s="312"/>
      <c r="B316" s="475"/>
      <c r="C316" s="311"/>
      <c r="D316" s="629"/>
      <c r="E316" s="371"/>
      <c r="F316" s="311"/>
      <c r="G316" s="311"/>
      <c r="H316" s="314"/>
      <c r="I316" s="311"/>
      <c r="J316" s="311"/>
      <c r="K316" s="311"/>
      <c r="L316" s="311"/>
      <c r="M316" s="314"/>
      <c r="N316" s="314"/>
      <c r="O316" s="314"/>
      <c r="P316" s="629"/>
      <c r="Q316" s="311"/>
      <c r="R316" s="311"/>
      <c r="S316" s="311"/>
      <c r="T316" s="311"/>
      <c r="U316" s="311"/>
      <c r="V316" s="311"/>
      <c r="W316" s="314"/>
      <c r="X316" s="314"/>
      <c r="Y316" s="314"/>
      <c r="Z316" s="314"/>
      <c r="AA316" s="314"/>
      <c r="AB316" s="314"/>
      <c r="AC316" s="314"/>
      <c r="AD316" s="629"/>
      <c r="AE316" s="311"/>
      <c r="AF316" s="311"/>
      <c r="AG316" s="311"/>
      <c r="AH316" s="286"/>
    </row>
    <row r="317" spans="1:34" x14ac:dyDescent="0.2">
      <c r="A317" s="215"/>
      <c r="B317" s="215"/>
      <c r="C317" s="215"/>
      <c r="D317" s="215"/>
      <c r="E317" s="317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/>
      <c r="AF317" s="215"/>
      <c r="AG317" s="215"/>
      <c r="AH317" s="286"/>
    </row>
    <row r="318" spans="1:34" x14ac:dyDescent="0.2">
      <c r="A318" s="358" t="s">
        <v>415</v>
      </c>
      <c r="B318" s="359">
        <f>B319+B320+B322+B321</f>
        <v>1020000</v>
      </c>
      <c r="C318" s="316"/>
      <c r="D318" s="215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309"/>
      <c r="Q318" s="215"/>
      <c r="R318" s="215"/>
      <c r="S318" s="215"/>
      <c r="T318" s="215"/>
      <c r="U318" s="457"/>
      <c r="V318" s="314"/>
      <c r="W318" s="286"/>
      <c r="X318" s="215"/>
      <c r="Y318" s="215"/>
      <c r="Z318" s="215"/>
      <c r="AA318" s="408"/>
      <c r="AB318" s="215"/>
      <c r="AC318" s="215"/>
      <c r="AD318" s="215"/>
      <c r="AE318" s="215"/>
      <c r="AF318" s="215"/>
      <c r="AG318" s="215"/>
      <c r="AH318" s="215"/>
    </row>
    <row r="319" spans="1:34" x14ac:dyDescent="0.2">
      <c r="A319" s="327" t="s">
        <v>414</v>
      </c>
      <c r="B319" s="311">
        <v>20000</v>
      </c>
      <c r="C319" s="215"/>
      <c r="D319" s="215"/>
      <c r="E319" s="286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309"/>
      <c r="Q319" s="215"/>
      <c r="R319" s="215"/>
      <c r="S319" s="215"/>
      <c r="T319" s="215"/>
      <c r="U319" s="313"/>
      <c r="V319" s="313"/>
      <c r="W319" s="215"/>
      <c r="X319" s="215"/>
      <c r="Y319" s="215"/>
      <c r="Z319" s="215"/>
      <c r="AA319" s="215"/>
      <c r="AB319" s="215"/>
      <c r="AC319" s="286"/>
      <c r="AD319" s="286"/>
      <c r="AE319" s="215"/>
      <c r="AF319" s="215"/>
      <c r="AG319" s="215"/>
      <c r="AH319" s="215"/>
    </row>
    <row r="320" spans="1:34" x14ac:dyDescent="0.2">
      <c r="A320" s="327" t="s">
        <v>287</v>
      </c>
      <c r="B320" s="311">
        <v>600000</v>
      </c>
      <c r="C320" s="215"/>
      <c r="D320" s="215"/>
      <c r="E320" s="215"/>
      <c r="F320" s="215"/>
      <c r="G320" s="215"/>
      <c r="H320" s="215"/>
      <c r="I320" s="215"/>
      <c r="J320" s="215"/>
      <c r="K320" s="286"/>
      <c r="L320" s="215"/>
      <c r="M320" s="215"/>
      <c r="N320" s="215"/>
      <c r="O320" s="215"/>
      <c r="P320" s="309"/>
      <c r="Q320" s="215"/>
      <c r="R320" s="215"/>
      <c r="S320" s="215"/>
      <c r="T320" s="215"/>
      <c r="U320" s="458"/>
      <c r="V320" s="313"/>
      <c r="W320" s="215"/>
      <c r="X320" s="286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310" t="s">
        <v>413</v>
      </c>
      <c r="B321" s="311">
        <v>200000</v>
      </c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310" t="s">
        <v>441</v>
      </c>
      <c r="B322" s="311">
        <v>200000</v>
      </c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309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</row>
    <row r="323" spans="1:33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309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5"/>
      <c r="AG323" s="215"/>
    </row>
    <row r="324" spans="1:33" x14ac:dyDescent="0.2">
      <c r="A324" s="183" t="s">
        <v>449</v>
      </c>
      <c r="B324" s="25"/>
      <c r="L324" s="42"/>
    </row>
    <row r="325" spans="1:33" x14ac:dyDescent="0.2">
      <c r="AB325" s="42"/>
      <c r="AC325" s="42"/>
      <c r="AD325" s="42"/>
      <c r="AE325" s="42"/>
    </row>
    <row r="332" spans="1:33" ht="15" x14ac:dyDescent="0.2">
      <c r="A332" s="401"/>
      <c r="B332" s="791"/>
    </row>
    <row r="333" spans="1:33" ht="15" x14ac:dyDescent="0.2">
      <c r="A333" s="401"/>
      <c r="B333" s="791"/>
    </row>
    <row r="334" spans="1:33" ht="15" x14ac:dyDescent="0.2">
      <c r="A334" s="401"/>
      <c r="B334" s="791"/>
    </row>
    <row r="339" spans="1:2" ht="18" x14ac:dyDescent="0.25">
      <c r="A339" s="1757"/>
      <c r="B339" s="1757"/>
    </row>
    <row r="340" spans="1:2" x14ac:dyDescent="0.2">
      <c r="A340" s="54"/>
      <c r="B340" s="54"/>
    </row>
    <row r="342" spans="1:2" x14ac:dyDescent="0.2">
      <c r="A342" s="483"/>
      <c r="B342" s="25"/>
    </row>
    <row r="343" spans="1:2" x14ac:dyDescent="0.2">
      <c r="A343" s="483"/>
      <c r="B343" s="25"/>
    </row>
    <row r="344" spans="1:2" x14ac:dyDescent="0.2">
      <c r="A344" s="483"/>
      <c r="B344" s="25"/>
    </row>
    <row r="345" spans="1:2" x14ac:dyDescent="0.2">
      <c r="A345" s="483"/>
      <c r="B345" s="25"/>
    </row>
    <row r="346" spans="1:2" x14ac:dyDescent="0.2">
      <c r="A346" s="483"/>
      <c r="B346" s="25"/>
    </row>
    <row r="347" spans="1:2" x14ac:dyDescent="0.2">
      <c r="A347" s="483"/>
      <c r="B347" s="25"/>
    </row>
    <row r="348" spans="1:2" x14ac:dyDescent="0.2">
      <c r="A348" s="483"/>
      <c r="B348" s="25"/>
    </row>
    <row r="349" spans="1:2" x14ac:dyDescent="0.2">
      <c r="A349" s="483"/>
      <c r="B349" s="25"/>
    </row>
    <row r="350" spans="1:2" x14ac:dyDescent="0.2">
      <c r="A350" s="483"/>
      <c r="B350" s="25"/>
    </row>
    <row r="351" spans="1:2" x14ac:dyDescent="0.2">
      <c r="A351" s="483"/>
      <c r="B351" s="25"/>
    </row>
    <row r="352" spans="1:2" x14ac:dyDescent="0.2">
      <c r="A352" s="483"/>
      <c r="B352" s="25"/>
    </row>
    <row r="355" spans="2:2" x14ac:dyDescent="0.2">
      <c r="B355" s="25"/>
    </row>
    <row r="356" spans="2:2" x14ac:dyDescent="0.2">
      <c r="B356" s="25"/>
    </row>
    <row r="357" spans="2:2" x14ac:dyDescent="0.2">
      <c r="B357" s="25"/>
    </row>
    <row r="359" spans="2:2" x14ac:dyDescent="0.2">
      <c r="B359" s="889"/>
    </row>
  </sheetData>
  <mergeCells count="1">
    <mergeCell ref="A339:B339"/>
  </mergeCells>
  <pageMargins left="0.78740157480314965" right="0.78740157480314965" top="0.98425196850393704" bottom="0.98425196850393704" header="0.51181102362204722" footer="0.51181102362204722"/>
  <pageSetup paperSize="9" fitToHeight="2" orientation="landscape" horizontalDpi="300" verticalDpi="300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5">
    <pageSetUpPr fitToPage="1"/>
  </sheetPr>
  <dimension ref="A1:AQ359"/>
  <sheetViews>
    <sheetView topLeftCell="J137" workbookViewId="0">
      <pane ySplit="1995" topLeftCell="A238" activePane="bottomLeft"/>
      <selection activeCell="H20" sqref="H20"/>
      <selection pane="bottomLeft" activeCell="AL30" sqref="AL30"/>
    </sheetView>
  </sheetViews>
  <sheetFormatPr defaultColWidth="11.42578125" defaultRowHeight="12.75" x14ac:dyDescent="0.2"/>
  <cols>
    <col min="1" max="1" width="37.42578125" customWidth="1"/>
    <col min="2" max="2" width="13.7109375" customWidth="1"/>
    <col min="3" max="3" width="14" customWidth="1"/>
    <col min="4" max="4" width="14.28515625" customWidth="1"/>
    <col min="5" max="5" width="14.42578125" bestFit="1" customWidth="1"/>
    <col min="6" max="6" width="12.7109375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1.85546875" bestFit="1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6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6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6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6" x14ac:dyDescent="0.2">
      <c r="A4" s="215"/>
      <c r="B4" s="215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81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15"/>
    </row>
    <row r="5" spans="1:36" x14ac:dyDescent="0.2">
      <c r="A5" s="1" t="s">
        <v>689</v>
      </c>
      <c r="B5" s="451" t="s">
        <v>132</v>
      </c>
      <c r="C5" s="359">
        <f>C6+C7+C8+C9</f>
        <v>-463918.26299999998</v>
      </c>
      <c r="D5" s="359">
        <f t="shared" ref="D5:AG5" si="0">D6+D7+D8+D9</f>
        <v>-463918.26299999998</v>
      </c>
      <c r="E5" s="359">
        <f t="shared" si="0"/>
        <v>-463918.26299999998</v>
      </c>
      <c r="F5" s="359">
        <f t="shared" si="0"/>
        <v>-463918.26299999998</v>
      </c>
      <c r="G5" s="359">
        <f t="shared" si="0"/>
        <v>-463918.26299999998</v>
      </c>
      <c r="H5" s="359">
        <f t="shared" si="0"/>
        <v>-463918.26299999998</v>
      </c>
      <c r="I5" s="359">
        <f t="shared" si="0"/>
        <v>-463918.26299999998</v>
      </c>
      <c r="J5" s="453">
        <f t="shared" si="0"/>
        <v>-463918.26299999998</v>
      </c>
      <c r="K5" s="453">
        <f t="shared" si="0"/>
        <v>-463918.26299999998</v>
      </c>
      <c r="L5" s="359">
        <f t="shared" si="0"/>
        <v>-463918.201</v>
      </c>
      <c r="M5" s="359">
        <f t="shared" si="0"/>
        <v>-463918.201</v>
      </c>
      <c r="N5" s="359">
        <f t="shared" si="0"/>
        <v>-463918.201</v>
      </c>
      <c r="O5" s="359">
        <f t="shared" si="0"/>
        <v>-463918.201</v>
      </c>
      <c r="P5" s="858">
        <f t="shared" si="0"/>
        <v>-463918.201</v>
      </c>
      <c r="Q5" s="359">
        <f t="shared" si="0"/>
        <v>-463918.31699999998</v>
      </c>
      <c r="R5" s="359">
        <f t="shared" si="0"/>
        <v>-463918.31699999998</v>
      </c>
      <c r="S5" s="359">
        <f t="shared" si="0"/>
        <v>-470685.31699999998</v>
      </c>
      <c r="T5" s="359">
        <f t="shared" si="0"/>
        <v>-470685.31699999998</v>
      </c>
      <c r="U5" s="359">
        <f t="shared" si="0"/>
        <v>-512485.31699999998</v>
      </c>
      <c r="V5" s="359">
        <f t="shared" si="0"/>
        <v>-512485.31699999998</v>
      </c>
      <c r="W5" s="359">
        <f t="shared" si="0"/>
        <v>-512485.31699999998</v>
      </c>
      <c r="X5" s="359">
        <f t="shared" si="0"/>
        <v>-512485.57699999999</v>
      </c>
      <c r="Y5" s="359">
        <f t="shared" si="0"/>
        <v>-512485.114</v>
      </c>
      <c r="Z5" s="359">
        <f t="shared" si="0"/>
        <v>-524184.93300000002</v>
      </c>
      <c r="AA5" s="359">
        <f t="shared" si="0"/>
        <v>-524184.87400000001</v>
      </c>
      <c r="AB5" s="359">
        <f t="shared" si="0"/>
        <v>-524184.87400000001</v>
      </c>
      <c r="AC5" s="359">
        <f t="shared" si="0"/>
        <v>-524184.87400000001</v>
      </c>
      <c r="AD5" s="359">
        <f t="shared" si="0"/>
        <v>-524184.87400000001</v>
      </c>
      <c r="AE5" s="359">
        <f t="shared" si="0"/>
        <v>-524184.87400000001</v>
      </c>
      <c r="AF5" s="359">
        <f t="shared" si="0"/>
        <v>-524184.89199999999</v>
      </c>
      <c r="AG5" s="359">
        <f t="shared" si="0"/>
        <v>-524184.89199999999</v>
      </c>
      <c r="AH5" s="215"/>
    </row>
    <row r="6" spans="1:36" x14ac:dyDescent="0.2">
      <c r="A6" s="56">
        <v>100000</v>
      </c>
      <c r="B6" s="215" t="s">
        <v>690</v>
      </c>
      <c r="C6" s="311">
        <f>C70</f>
        <v>-399468.63199999998</v>
      </c>
      <c r="D6" s="311">
        <f t="shared" ref="D6:AG6" si="1">D70</f>
        <v>-399468.63199999998</v>
      </c>
      <c r="E6" s="311">
        <f t="shared" si="1"/>
        <v>-399468.63199999998</v>
      </c>
      <c r="F6" s="311">
        <f t="shared" si="1"/>
        <v>-399468.63199999998</v>
      </c>
      <c r="G6" s="311">
        <f t="shared" si="1"/>
        <v>-399468.63199999998</v>
      </c>
      <c r="H6" s="311">
        <f t="shared" si="1"/>
        <v>-399468.63199999998</v>
      </c>
      <c r="I6" s="311">
        <f t="shared" si="1"/>
        <v>-399468.63199999998</v>
      </c>
      <c r="J6" s="314">
        <f t="shared" si="1"/>
        <v>-399468.63199999998</v>
      </c>
      <c r="K6" s="314">
        <f t="shared" si="1"/>
        <v>-399468.63199999998</v>
      </c>
      <c r="L6" s="311">
        <f t="shared" si="1"/>
        <v>-399468.57</v>
      </c>
      <c r="M6" s="311">
        <f t="shared" si="1"/>
        <v>-399468.57</v>
      </c>
      <c r="N6" s="311">
        <f t="shared" si="1"/>
        <v>-399468.57</v>
      </c>
      <c r="O6" s="311">
        <f t="shared" si="1"/>
        <v>-399468.57</v>
      </c>
      <c r="P6" s="629">
        <f t="shared" si="1"/>
        <v>-399468.57</v>
      </c>
      <c r="Q6" s="311">
        <f t="shared" si="1"/>
        <v>-399468.68599999999</v>
      </c>
      <c r="R6" s="311">
        <f t="shared" si="1"/>
        <v>-399468.68599999999</v>
      </c>
      <c r="S6" s="311">
        <f t="shared" si="1"/>
        <v>-406235.68599999999</v>
      </c>
      <c r="T6" s="311">
        <f t="shared" si="1"/>
        <v>-406235.68599999999</v>
      </c>
      <c r="U6" s="311">
        <f t="shared" si="1"/>
        <v>-448035.68599999999</v>
      </c>
      <c r="V6" s="311">
        <f t="shared" si="1"/>
        <v>-448035.68599999999</v>
      </c>
      <c r="W6" s="311">
        <f t="shared" si="1"/>
        <v>-448035.68599999999</v>
      </c>
      <c r="X6" s="311">
        <f t="shared" si="1"/>
        <v>-448035.946</v>
      </c>
      <c r="Y6" s="311">
        <f t="shared" si="1"/>
        <v>-448035.48300000001</v>
      </c>
      <c r="Z6" s="311">
        <f t="shared" si="1"/>
        <v>-459735.30200000003</v>
      </c>
      <c r="AA6" s="311">
        <f t="shared" si="1"/>
        <v>-459735.24300000002</v>
      </c>
      <c r="AB6" s="311">
        <f t="shared" si="1"/>
        <v>-459735.24300000002</v>
      </c>
      <c r="AC6" s="311">
        <f t="shared" si="1"/>
        <v>-459735.24300000002</v>
      </c>
      <c r="AD6" s="311">
        <f t="shared" si="1"/>
        <v>-459735.24300000002</v>
      </c>
      <c r="AE6" s="311">
        <f t="shared" si="1"/>
        <v>-459735.24300000002</v>
      </c>
      <c r="AF6" s="311">
        <f t="shared" si="1"/>
        <v>-459735.261</v>
      </c>
      <c r="AG6" s="311">
        <f t="shared" si="1"/>
        <v>-459735.261</v>
      </c>
      <c r="AH6" s="215"/>
    </row>
    <row r="7" spans="1:36" x14ac:dyDescent="0.2">
      <c r="A7" s="56">
        <v>25000</v>
      </c>
      <c r="B7" s="215" t="s">
        <v>666</v>
      </c>
      <c r="C7" s="311">
        <f>C185</f>
        <v>-29756.991000000002</v>
      </c>
      <c r="D7" s="311">
        <f t="shared" ref="D7:AG7" si="2">D185</f>
        <v>-29756.991000000002</v>
      </c>
      <c r="E7" s="311">
        <f t="shared" si="2"/>
        <v>-29756.991000000002</v>
      </c>
      <c r="F7" s="311">
        <f t="shared" si="2"/>
        <v>-29756.991000000002</v>
      </c>
      <c r="G7" s="311">
        <f t="shared" si="2"/>
        <v>-29756.991000000002</v>
      </c>
      <c r="H7" s="311">
        <f t="shared" si="2"/>
        <v>-29756.991000000002</v>
      </c>
      <c r="I7" s="311">
        <f t="shared" si="2"/>
        <v>-29756.991000000002</v>
      </c>
      <c r="J7" s="314">
        <f t="shared" si="2"/>
        <v>-29756.991000000002</v>
      </c>
      <c r="K7" s="314">
        <f t="shared" si="2"/>
        <v>-29756.991000000002</v>
      </c>
      <c r="L7" s="311">
        <f t="shared" si="2"/>
        <v>-29756.991000000002</v>
      </c>
      <c r="M7" s="311">
        <f t="shared" si="2"/>
        <v>-29756.991000000002</v>
      </c>
      <c r="N7" s="311">
        <f t="shared" si="2"/>
        <v>-29756.991000000002</v>
      </c>
      <c r="O7" s="311">
        <f t="shared" si="2"/>
        <v>-29756.991000000002</v>
      </c>
      <c r="P7" s="629">
        <f>P185</f>
        <v>-29756.991000000002</v>
      </c>
      <c r="Q7" s="311">
        <f t="shared" si="2"/>
        <v>-29756.991000000002</v>
      </c>
      <c r="R7" s="311">
        <f t="shared" si="2"/>
        <v>-29756.991000000002</v>
      </c>
      <c r="S7" s="784">
        <f t="shared" si="2"/>
        <v>-29756.991000000002</v>
      </c>
      <c r="T7" s="311">
        <f t="shared" si="2"/>
        <v>-29756.991000000002</v>
      </c>
      <c r="U7" s="311">
        <f t="shared" si="2"/>
        <v>-29756.991000000002</v>
      </c>
      <c r="V7" s="311">
        <f t="shared" si="2"/>
        <v>-29756.991000000002</v>
      </c>
      <c r="W7" s="311">
        <f t="shared" si="2"/>
        <v>-29756.991000000002</v>
      </c>
      <c r="X7" s="311">
        <f t="shared" si="2"/>
        <v>-29756.991000000002</v>
      </c>
      <c r="Y7" s="311">
        <f t="shared" si="2"/>
        <v>-29756.991000000002</v>
      </c>
      <c r="Z7" s="311">
        <f t="shared" si="2"/>
        <v>-29756.991000000002</v>
      </c>
      <c r="AA7" s="311">
        <f t="shared" si="2"/>
        <v>-29756.991000000002</v>
      </c>
      <c r="AB7" s="311">
        <f t="shared" si="2"/>
        <v>-29756.991000000002</v>
      </c>
      <c r="AC7" s="311">
        <f t="shared" si="2"/>
        <v>-29756.991000000002</v>
      </c>
      <c r="AD7" s="311">
        <f t="shared" si="2"/>
        <v>-29756.991000000002</v>
      </c>
      <c r="AE7" s="311">
        <f t="shared" si="2"/>
        <v>-29756.991000000002</v>
      </c>
      <c r="AF7" s="311">
        <f t="shared" si="2"/>
        <v>-29756.991000000002</v>
      </c>
      <c r="AG7" s="311">
        <f t="shared" si="2"/>
        <v>-29756.991000000002</v>
      </c>
      <c r="AH7" s="215"/>
    </row>
    <row r="8" spans="1:36" x14ac:dyDescent="0.2">
      <c r="A8" s="56">
        <v>25000</v>
      </c>
      <c r="B8" s="215" t="s">
        <v>667</v>
      </c>
      <c r="C8" s="311">
        <f>C248</f>
        <v>-16154.588</v>
      </c>
      <c r="D8" s="311">
        <f t="shared" ref="D8:AG8" si="3">D248</f>
        <v>-16154.588</v>
      </c>
      <c r="E8" s="311">
        <f t="shared" si="3"/>
        <v>-16154.588</v>
      </c>
      <c r="F8" s="311">
        <f t="shared" si="3"/>
        <v>-16154.588</v>
      </c>
      <c r="G8" s="311">
        <f t="shared" si="3"/>
        <v>-16154.588</v>
      </c>
      <c r="H8" s="311">
        <f t="shared" si="3"/>
        <v>-16154.588</v>
      </c>
      <c r="I8" s="784">
        <f t="shared" si="3"/>
        <v>-16154.588</v>
      </c>
      <c r="J8" s="314">
        <f t="shared" si="3"/>
        <v>-16154.588</v>
      </c>
      <c r="K8" s="314">
        <f t="shared" si="3"/>
        <v>-16154.588</v>
      </c>
      <c r="L8" s="311">
        <f t="shared" si="3"/>
        <v>-16154.588</v>
      </c>
      <c r="M8" s="311">
        <f t="shared" si="3"/>
        <v>-16154.588</v>
      </c>
      <c r="N8" s="311">
        <f t="shared" si="3"/>
        <v>-16154.588</v>
      </c>
      <c r="O8" s="311">
        <f t="shared" si="3"/>
        <v>-16154.588</v>
      </c>
      <c r="P8" s="629">
        <f t="shared" si="3"/>
        <v>-16154.588</v>
      </c>
      <c r="Q8" s="311">
        <f t="shared" si="3"/>
        <v>-16154.588</v>
      </c>
      <c r="R8" s="311">
        <f t="shared" si="3"/>
        <v>-16154.588</v>
      </c>
      <c r="S8" s="311">
        <f t="shared" si="3"/>
        <v>-16154.588</v>
      </c>
      <c r="T8" s="311">
        <f t="shared" si="3"/>
        <v>-16154.588</v>
      </c>
      <c r="U8" s="311">
        <f t="shared" si="3"/>
        <v>-16154.588</v>
      </c>
      <c r="V8" s="311">
        <f t="shared" si="3"/>
        <v>-16154.588</v>
      </c>
      <c r="W8" s="311">
        <f t="shared" si="3"/>
        <v>-16154.588</v>
      </c>
      <c r="X8" s="311">
        <f t="shared" si="3"/>
        <v>-16154.588</v>
      </c>
      <c r="Y8" s="311">
        <f t="shared" si="3"/>
        <v>-16154.588</v>
      </c>
      <c r="Z8" s="311">
        <f t="shared" si="3"/>
        <v>-16154.588</v>
      </c>
      <c r="AA8" s="311">
        <f t="shared" si="3"/>
        <v>-16154.588</v>
      </c>
      <c r="AB8" s="311">
        <f t="shared" si="3"/>
        <v>-16154.588</v>
      </c>
      <c r="AC8" s="311">
        <f t="shared" si="3"/>
        <v>-16154.588</v>
      </c>
      <c r="AD8" s="311">
        <f t="shared" si="3"/>
        <v>-16154.588</v>
      </c>
      <c r="AE8" s="311">
        <f t="shared" si="3"/>
        <v>-16154.588</v>
      </c>
      <c r="AF8" s="311">
        <f t="shared" si="3"/>
        <v>-16154.588</v>
      </c>
      <c r="AG8" s="311">
        <f t="shared" si="3"/>
        <v>-16154.588</v>
      </c>
      <c r="AH8" s="215"/>
      <c r="AI8">
        <v>105000</v>
      </c>
      <c r="AJ8" s="483" t="s">
        <v>969</v>
      </c>
    </row>
    <row r="9" spans="1:36" x14ac:dyDescent="0.2">
      <c r="A9" s="56">
        <v>20000</v>
      </c>
      <c r="B9" s="215" t="s">
        <v>691</v>
      </c>
      <c r="C9" s="311">
        <f>C312</f>
        <v>-18538.052</v>
      </c>
      <c r="D9" s="311">
        <f t="shared" ref="D9:AG9" si="4">D312</f>
        <v>-18538.052</v>
      </c>
      <c r="E9" s="311">
        <f t="shared" si="4"/>
        <v>-18538.052</v>
      </c>
      <c r="F9" s="311">
        <f t="shared" si="4"/>
        <v>-18538.052</v>
      </c>
      <c r="G9" s="784">
        <f t="shared" si="4"/>
        <v>-18538.052</v>
      </c>
      <c r="H9" s="311">
        <f t="shared" si="4"/>
        <v>-18538.052</v>
      </c>
      <c r="I9" s="311">
        <f t="shared" si="4"/>
        <v>-18538.052</v>
      </c>
      <c r="J9" s="314">
        <f t="shared" si="4"/>
        <v>-18538.052</v>
      </c>
      <c r="K9" s="314">
        <f t="shared" si="4"/>
        <v>-18538.052</v>
      </c>
      <c r="L9" s="311">
        <f t="shared" si="4"/>
        <v>-18538.052</v>
      </c>
      <c r="M9" s="311">
        <f t="shared" si="4"/>
        <v>-18538.052</v>
      </c>
      <c r="N9" s="311">
        <f t="shared" si="4"/>
        <v>-18538.052</v>
      </c>
      <c r="O9" s="311">
        <f t="shared" si="4"/>
        <v>-18538.052</v>
      </c>
      <c r="P9" s="629">
        <f t="shared" si="4"/>
        <v>-18538.052</v>
      </c>
      <c r="Q9" s="311">
        <f t="shared" si="4"/>
        <v>-18538.052</v>
      </c>
      <c r="R9" s="311">
        <f t="shared" si="4"/>
        <v>-18538.052</v>
      </c>
      <c r="S9" s="311">
        <f t="shared" si="4"/>
        <v>-18538.052</v>
      </c>
      <c r="T9" s="311">
        <f t="shared" si="4"/>
        <v>-18538.052</v>
      </c>
      <c r="U9" s="311">
        <f t="shared" si="4"/>
        <v>-18538.052</v>
      </c>
      <c r="V9" s="311">
        <f t="shared" si="4"/>
        <v>-18538.052</v>
      </c>
      <c r="W9" s="311">
        <f t="shared" si="4"/>
        <v>-18538.052</v>
      </c>
      <c r="X9" s="311">
        <f t="shared" si="4"/>
        <v>-18538.052</v>
      </c>
      <c r="Y9" s="311">
        <f t="shared" si="4"/>
        <v>-18538.052</v>
      </c>
      <c r="Z9" s="311">
        <f t="shared" si="4"/>
        <v>-18538.052</v>
      </c>
      <c r="AA9" s="311">
        <f t="shared" si="4"/>
        <v>-18538.052</v>
      </c>
      <c r="AB9" s="311">
        <f t="shared" si="4"/>
        <v>-18538.052</v>
      </c>
      <c r="AC9" s="311">
        <f t="shared" si="4"/>
        <v>-18538.052</v>
      </c>
      <c r="AD9" s="311">
        <f t="shared" si="4"/>
        <v>-18538.052</v>
      </c>
      <c r="AE9" s="311">
        <f t="shared" si="4"/>
        <v>-18538.052</v>
      </c>
      <c r="AF9" s="311">
        <f t="shared" si="4"/>
        <v>-18538.052</v>
      </c>
      <c r="AG9" s="311">
        <f t="shared" si="4"/>
        <v>-18538.052</v>
      </c>
      <c r="AH9" s="215"/>
    </row>
    <row r="10" spans="1:36" x14ac:dyDescent="0.2">
      <c r="A10" s="1" t="s">
        <v>692</v>
      </c>
      <c r="B10" s="451" t="s">
        <v>132</v>
      </c>
      <c r="C10" s="452">
        <f>C11+C12+C13</f>
        <v>0</v>
      </c>
      <c r="D10" s="452">
        <f t="shared" ref="D10:AG10" si="5">D11+D12+D13</f>
        <v>0</v>
      </c>
      <c r="E10" s="452">
        <f t="shared" si="5"/>
        <v>0</v>
      </c>
      <c r="F10" s="452">
        <f t="shared" si="5"/>
        <v>2180</v>
      </c>
      <c r="G10" s="452">
        <f t="shared" si="5"/>
        <v>15779</v>
      </c>
      <c r="H10" s="452">
        <f t="shared" si="5"/>
        <v>4708</v>
      </c>
      <c r="I10" s="452">
        <f t="shared" si="5"/>
        <v>1599</v>
      </c>
      <c r="J10" s="454">
        <f t="shared" si="5"/>
        <v>5233</v>
      </c>
      <c r="K10" s="454">
        <f t="shared" si="5"/>
        <v>0</v>
      </c>
      <c r="L10" s="452">
        <f t="shared" si="5"/>
        <v>24532</v>
      </c>
      <c r="M10" s="452">
        <f t="shared" si="5"/>
        <v>1180</v>
      </c>
      <c r="N10" s="452">
        <f t="shared" si="5"/>
        <v>6433</v>
      </c>
      <c r="O10" s="452">
        <f t="shared" si="5"/>
        <v>2414</v>
      </c>
      <c r="P10" s="859">
        <f t="shared" si="5"/>
        <v>0</v>
      </c>
      <c r="Q10" s="452">
        <f t="shared" si="5"/>
        <v>28356</v>
      </c>
      <c r="R10" s="452">
        <f t="shared" si="5"/>
        <v>3533</v>
      </c>
      <c r="S10" s="452">
        <f t="shared" si="5"/>
        <v>0</v>
      </c>
      <c r="T10" s="452">
        <f t="shared" si="5"/>
        <v>4834</v>
      </c>
      <c r="U10" s="452">
        <f t="shared" si="5"/>
        <v>3370</v>
      </c>
      <c r="V10" s="452">
        <f t="shared" si="5"/>
        <v>22934</v>
      </c>
      <c r="W10" s="452">
        <f t="shared" si="5"/>
        <v>3118</v>
      </c>
      <c r="X10" s="452">
        <f t="shared" si="5"/>
        <v>4990</v>
      </c>
      <c r="Y10" s="452">
        <f t="shared" si="5"/>
        <v>3863</v>
      </c>
      <c r="Z10" s="452">
        <f t="shared" si="5"/>
        <v>1357</v>
      </c>
      <c r="AA10" s="452">
        <f t="shared" si="5"/>
        <v>17529</v>
      </c>
      <c r="AB10" s="452">
        <f t="shared" si="5"/>
        <v>2630</v>
      </c>
      <c r="AC10" s="452">
        <f t="shared" si="5"/>
        <v>4263</v>
      </c>
      <c r="AD10" s="452">
        <f t="shared" si="5"/>
        <v>631</v>
      </c>
      <c r="AE10" s="452">
        <f t="shared" si="5"/>
        <v>4754</v>
      </c>
      <c r="AF10" s="452">
        <f t="shared" si="5"/>
        <v>42880</v>
      </c>
      <c r="AG10" s="452">
        <f t="shared" si="5"/>
        <v>33022</v>
      </c>
      <c r="AH10" s="286">
        <f>SUM(C10:AG10)</f>
        <v>246122</v>
      </c>
    </row>
    <row r="11" spans="1:36" x14ac:dyDescent="0.2">
      <c r="A11" s="1"/>
      <c r="B11" s="215" t="s">
        <v>666</v>
      </c>
      <c r="C11" s="286">
        <f>C172</f>
        <v>0</v>
      </c>
      <c r="D11" s="286">
        <f t="shared" ref="D11:AG11" si="6">D172</f>
        <v>0</v>
      </c>
      <c r="E11" s="286">
        <f t="shared" si="6"/>
        <v>0</v>
      </c>
      <c r="F11" s="286">
        <f t="shared" si="6"/>
        <v>0</v>
      </c>
      <c r="G11" s="286">
        <f t="shared" si="6"/>
        <v>9986</v>
      </c>
      <c r="H11" s="286">
        <f t="shared" si="6"/>
        <v>1112</v>
      </c>
      <c r="I11" s="286">
        <f t="shared" si="6"/>
        <v>0</v>
      </c>
      <c r="J11" s="315">
        <f t="shared" si="6"/>
        <v>588</v>
      </c>
      <c r="K11" s="315">
        <f t="shared" si="6"/>
        <v>0</v>
      </c>
      <c r="L11" s="286">
        <f t="shared" si="6"/>
        <v>2784</v>
      </c>
      <c r="M11" s="286">
        <f t="shared" si="6"/>
        <v>0</v>
      </c>
      <c r="N11" s="286">
        <f t="shared" si="6"/>
        <v>1112</v>
      </c>
      <c r="O11" s="286">
        <f t="shared" si="6"/>
        <v>0</v>
      </c>
      <c r="P11" s="308">
        <f t="shared" si="6"/>
        <v>0</v>
      </c>
      <c r="Q11" s="286">
        <f t="shared" si="6"/>
        <v>9451</v>
      </c>
      <c r="R11" s="286">
        <f t="shared" si="6"/>
        <v>0</v>
      </c>
      <c r="S11" s="286">
        <f t="shared" si="6"/>
        <v>0</v>
      </c>
      <c r="T11" s="286">
        <f t="shared" si="6"/>
        <v>504</v>
      </c>
      <c r="U11" s="286">
        <f t="shared" si="6"/>
        <v>0</v>
      </c>
      <c r="V11" s="286">
        <f t="shared" si="6"/>
        <v>3437</v>
      </c>
      <c r="W11" s="286">
        <f t="shared" si="6"/>
        <v>1784</v>
      </c>
      <c r="X11" s="286">
        <f t="shared" si="6"/>
        <v>0</v>
      </c>
      <c r="Y11" s="286">
        <f t="shared" si="6"/>
        <v>0</v>
      </c>
      <c r="Z11" s="286">
        <f t="shared" si="6"/>
        <v>0</v>
      </c>
      <c r="AA11" s="286">
        <f t="shared" si="6"/>
        <v>3012</v>
      </c>
      <c r="AB11" s="286">
        <f t="shared" si="6"/>
        <v>0</v>
      </c>
      <c r="AC11" s="286">
        <f t="shared" si="6"/>
        <v>540</v>
      </c>
      <c r="AD11" s="286">
        <f t="shared" si="6"/>
        <v>0</v>
      </c>
      <c r="AE11" s="286">
        <f t="shared" si="6"/>
        <v>0</v>
      </c>
      <c r="AF11" s="286">
        <f t="shared" si="6"/>
        <v>4537</v>
      </c>
      <c r="AG11" s="286">
        <f t="shared" si="6"/>
        <v>19212</v>
      </c>
      <c r="AH11" s="215"/>
    </row>
    <row r="12" spans="1:36" x14ac:dyDescent="0.2">
      <c r="A12" s="1"/>
      <c r="B12" s="215" t="s">
        <v>667</v>
      </c>
      <c r="C12" s="286">
        <f>C235</f>
        <v>0</v>
      </c>
      <c r="D12" s="286">
        <f t="shared" ref="D12:AG12" si="7">D235</f>
        <v>0</v>
      </c>
      <c r="E12" s="286">
        <f t="shared" si="7"/>
        <v>0</v>
      </c>
      <c r="F12" s="286">
        <f t="shared" si="7"/>
        <v>1180</v>
      </c>
      <c r="G12" s="286">
        <f t="shared" si="7"/>
        <v>2333</v>
      </c>
      <c r="H12" s="286">
        <f t="shared" si="7"/>
        <v>1180</v>
      </c>
      <c r="I12" s="286">
        <f t="shared" si="7"/>
        <v>0</v>
      </c>
      <c r="J12" s="315">
        <f t="shared" si="7"/>
        <v>4056</v>
      </c>
      <c r="K12" s="315">
        <f t="shared" si="7"/>
        <v>0</v>
      </c>
      <c r="L12" s="286">
        <f t="shared" si="7"/>
        <v>14667</v>
      </c>
      <c r="M12" s="286">
        <f t="shared" si="7"/>
        <v>1180</v>
      </c>
      <c r="N12" s="286">
        <f t="shared" si="7"/>
        <v>1250</v>
      </c>
      <c r="O12" s="286">
        <f t="shared" si="7"/>
        <v>1180</v>
      </c>
      <c r="P12" s="308">
        <f t="shared" si="7"/>
        <v>0</v>
      </c>
      <c r="Q12" s="286">
        <f t="shared" si="7"/>
        <v>8966</v>
      </c>
      <c r="R12" s="286">
        <f t="shared" si="7"/>
        <v>2587</v>
      </c>
      <c r="S12" s="286">
        <f t="shared" si="7"/>
        <v>0</v>
      </c>
      <c r="T12" s="286">
        <f t="shared" si="7"/>
        <v>1180</v>
      </c>
      <c r="U12" s="286">
        <f t="shared" si="7"/>
        <v>3370</v>
      </c>
      <c r="V12" s="286">
        <f t="shared" si="7"/>
        <v>7003</v>
      </c>
      <c r="W12" s="286">
        <f t="shared" si="7"/>
        <v>0</v>
      </c>
      <c r="X12" s="286">
        <f t="shared" si="7"/>
        <v>1180</v>
      </c>
      <c r="Y12" s="286">
        <f t="shared" si="7"/>
        <v>2000</v>
      </c>
      <c r="Z12" s="286">
        <f t="shared" si="7"/>
        <v>0</v>
      </c>
      <c r="AA12" s="286">
        <f t="shared" si="7"/>
        <v>3080</v>
      </c>
      <c r="AB12" s="286">
        <f t="shared" si="7"/>
        <v>2000</v>
      </c>
      <c r="AC12" s="286">
        <f t="shared" si="7"/>
        <v>2693</v>
      </c>
      <c r="AD12" s="286">
        <f t="shared" si="7"/>
        <v>0</v>
      </c>
      <c r="AE12" s="286">
        <f t="shared" si="7"/>
        <v>3006</v>
      </c>
      <c r="AF12" s="286">
        <f t="shared" si="7"/>
        <v>28282</v>
      </c>
      <c r="AG12" s="286">
        <f t="shared" si="7"/>
        <v>4919</v>
      </c>
      <c r="AH12" s="215"/>
    </row>
    <row r="13" spans="1:36" x14ac:dyDescent="0.2">
      <c r="A13" s="1"/>
      <c r="B13" s="215" t="s">
        <v>691</v>
      </c>
      <c r="C13" s="286">
        <f>C299</f>
        <v>0</v>
      </c>
      <c r="D13" s="286">
        <f t="shared" ref="D13:AG13" si="8">D299</f>
        <v>0</v>
      </c>
      <c r="E13" s="286">
        <f t="shared" si="8"/>
        <v>0</v>
      </c>
      <c r="F13" s="286">
        <f t="shared" si="8"/>
        <v>1000</v>
      </c>
      <c r="G13" s="286">
        <f t="shared" si="8"/>
        <v>3460</v>
      </c>
      <c r="H13" s="286">
        <f t="shared" si="8"/>
        <v>2416</v>
      </c>
      <c r="I13" s="286">
        <f t="shared" si="8"/>
        <v>1599</v>
      </c>
      <c r="J13" s="315">
        <f t="shared" si="8"/>
        <v>589</v>
      </c>
      <c r="K13" s="315">
        <f t="shared" si="8"/>
        <v>0</v>
      </c>
      <c r="L13" s="286">
        <f t="shared" si="8"/>
        <v>7081</v>
      </c>
      <c r="M13" s="286">
        <f t="shared" si="8"/>
        <v>0</v>
      </c>
      <c r="N13" s="286">
        <f t="shared" si="8"/>
        <v>4071</v>
      </c>
      <c r="O13" s="286">
        <f t="shared" si="8"/>
        <v>1234</v>
      </c>
      <c r="P13" s="308">
        <f t="shared" si="8"/>
        <v>0</v>
      </c>
      <c r="Q13" s="286">
        <f t="shared" si="8"/>
        <v>9939</v>
      </c>
      <c r="R13" s="286">
        <f t="shared" si="8"/>
        <v>946</v>
      </c>
      <c r="S13" s="286">
        <f t="shared" si="8"/>
        <v>0</v>
      </c>
      <c r="T13" s="286">
        <f t="shared" si="8"/>
        <v>3150</v>
      </c>
      <c r="U13" s="286">
        <f t="shared" si="8"/>
        <v>0</v>
      </c>
      <c r="V13" s="286">
        <f t="shared" si="8"/>
        <v>12494</v>
      </c>
      <c r="W13" s="286">
        <f t="shared" si="8"/>
        <v>1334</v>
      </c>
      <c r="X13" s="286">
        <f t="shared" si="8"/>
        <v>3810</v>
      </c>
      <c r="Y13" s="286">
        <f t="shared" si="8"/>
        <v>1863</v>
      </c>
      <c r="Z13" s="286">
        <f t="shared" si="8"/>
        <v>1357</v>
      </c>
      <c r="AA13" s="286">
        <f t="shared" si="8"/>
        <v>11437</v>
      </c>
      <c r="AB13" s="286">
        <f t="shared" si="8"/>
        <v>630</v>
      </c>
      <c r="AC13" s="286">
        <f t="shared" si="8"/>
        <v>1030</v>
      </c>
      <c r="AD13" s="286">
        <f t="shared" si="8"/>
        <v>631</v>
      </c>
      <c r="AE13" s="286">
        <f t="shared" si="8"/>
        <v>1748</v>
      </c>
      <c r="AF13" s="286">
        <f t="shared" si="8"/>
        <v>10061</v>
      </c>
      <c r="AG13" s="286">
        <f t="shared" si="8"/>
        <v>8891</v>
      </c>
      <c r="AH13" s="215"/>
    </row>
    <row r="14" spans="1:36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-278062.89199999999</v>
      </c>
    </row>
    <row r="15" spans="1:36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902">
        <v>-1116844</v>
      </c>
    </row>
    <row r="16" spans="1:36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15"/>
    </row>
    <row r="17" spans="1:34" x14ac:dyDescent="0.2">
      <c r="A17" s="265"/>
      <c r="B17" s="266" t="s">
        <v>37</v>
      </c>
      <c r="C17" s="266"/>
      <c r="D17" s="266"/>
      <c r="E17" s="267" t="s">
        <v>651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215"/>
    </row>
    <row r="18" spans="1:34" x14ac:dyDescent="0.2">
      <c r="A18" s="265"/>
      <c r="B18" s="266"/>
      <c r="C18" s="266"/>
      <c r="D18" s="268">
        <v>42187</v>
      </c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215"/>
    </row>
    <row r="19" spans="1:34" x14ac:dyDescent="0.2">
      <c r="A19" s="769"/>
      <c r="B19" s="268"/>
      <c r="C19" s="268"/>
      <c r="D19" s="267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4" x14ac:dyDescent="0.2">
      <c r="A20" s="769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4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4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4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4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4" x14ac:dyDescent="0.2">
      <c r="A25" s="265" t="s">
        <v>0</v>
      </c>
      <c r="B25" s="274">
        <v>-399468.63199999998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4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4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4" x14ac:dyDescent="0.2">
      <c r="A28" s="265" t="s">
        <v>1</v>
      </c>
      <c r="B28" s="274">
        <f>B29+B30+B31</f>
        <v>0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4" x14ac:dyDescent="0.2">
      <c r="A29" s="265" t="s">
        <v>38</v>
      </c>
      <c r="B29" s="274">
        <f>C82</f>
        <v>0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4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4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4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x14ac:dyDescent="0.2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x14ac:dyDescent="0.2">
      <c r="A34" s="265" t="s">
        <v>4</v>
      </c>
      <c r="B34" s="274">
        <f>B25+B28</f>
        <v>-399468.63199999998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3.5" thickBot="1" x14ac:dyDescent="0.25">
      <c r="A35" s="275"/>
      <c r="B35" s="27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15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692" t="s">
        <v>1028</v>
      </c>
      <c r="Z36" s="330" t="s">
        <v>1028</v>
      </c>
      <c r="AA36" s="266"/>
      <c r="AB36" s="266"/>
      <c r="AC36" s="266"/>
      <c r="AD36" s="266"/>
      <c r="AE36" s="266"/>
      <c r="AF36" s="266"/>
      <c r="AG36" s="266"/>
      <c r="AH36" s="215"/>
    </row>
    <row r="37" spans="1:40" x14ac:dyDescent="0.2">
      <c r="A37" s="265" t="s">
        <v>913</v>
      </c>
      <c r="B37" s="274">
        <f>C121</f>
        <v>0</v>
      </c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15"/>
    </row>
    <row r="38" spans="1:40" ht="13.5" thickBot="1" x14ac:dyDescent="0.25">
      <c r="A38" s="275"/>
      <c r="B38" s="276"/>
      <c r="C38" s="266"/>
      <c r="D38" s="266"/>
      <c r="E38" s="269"/>
      <c r="F38" s="266"/>
      <c r="G38" s="692" t="s">
        <v>1028</v>
      </c>
      <c r="H38" s="266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15"/>
    </row>
    <row r="39" spans="1:40" x14ac:dyDescent="0.2">
      <c r="A39" s="263"/>
      <c r="B39" s="278"/>
      <c r="C39" s="266"/>
      <c r="D39" s="269"/>
      <c r="E39" s="269"/>
      <c r="F39" s="916"/>
      <c r="G39" s="267"/>
      <c r="H39" s="269"/>
      <c r="I39" s="266"/>
      <c r="J39" s="266"/>
      <c r="K39" s="266"/>
      <c r="L39" s="266"/>
      <c r="M39" s="266"/>
      <c r="N39" s="266"/>
      <c r="O39" s="330"/>
      <c r="P39" s="281"/>
      <c r="Q39" s="707"/>
      <c r="R39" s="266"/>
      <c r="S39" s="949" t="s">
        <v>250</v>
      </c>
      <c r="T39" s="266"/>
      <c r="U39" s="810" t="s">
        <v>1012</v>
      </c>
      <c r="V39" s="280"/>
      <c r="W39" s="280"/>
      <c r="X39" s="280"/>
      <c r="Y39" s="280"/>
      <c r="Z39" s="407"/>
      <c r="AA39" s="280"/>
      <c r="AC39" s="280"/>
      <c r="AD39" s="280"/>
      <c r="AE39" s="280"/>
      <c r="AF39" s="280" t="s">
        <v>1029</v>
      </c>
      <c r="AG39" s="280"/>
      <c r="AH39" s="215"/>
    </row>
    <row r="40" spans="1:40" x14ac:dyDescent="0.2">
      <c r="A40" s="265" t="s">
        <v>5</v>
      </c>
      <c r="B40" s="274">
        <f>B34-B37</f>
        <v>-399468.63199999998</v>
      </c>
      <c r="C40" s="406"/>
      <c r="D40" s="269"/>
      <c r="E40" s="269"/>
      <c r="F40" s="269"/>
      <c r="G40" s="269"/>
      <c r="H40" s="269"/>
      <c r="I40" s="269"/>
      <c r="J40" s="269"/>
      <c r="K40" s="269"/>
      <c r="M40" s="281"/>
      <c r="N40" s="281"/>
      <c r="O40" s="269"/>
      <c r="P40" s="281"/>
      <c r="Q40" s="568"/>
      <c r="R40" s="269"/>
      <c r="S40" s="949" t="s">
        <v>818</v>
      </c>
      <c r="T40" s="941"/>
      <c r="U40" s="281"/>
      <c r="V40" s="269"/>
      <c r="W40" s="281"/>
      <c r="X40" s="269"/>
      <c r="Y40" s="281" t="s">
        <v>1021</v>
      </c>
      <c r="Z40" s="281" t="s">
        <v>1022</v>
      </c>
      <c r="AA40" s="281"/>
      <c r="AB40" s="407"/>
      <c r="AC40" s="709"/>
      <c r="AD40" s="407"/>
      <c r="AE40" s="407"/>
      <c r="AF40" s="281"/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</f>
        <v>0</v>
      </c>
      <c r="D43" s="288">
        <f t="shared" ref="D43:AG43" si="10">D44+D45+D48+D52+D51+D49+D50+D46+D47</f>
        <v>0</v>
      </c>
      <c r="E43" s="288">
        <f t="shared" si="10"/>
        <v>0</v>
      </c>
      <c r="F43" s="288">
        <f t="shared" si="10"/>
        <v>0</v>
      </c>
      <c r="G43" s="288">
        <f t="shared" si="10"/>
        <v>0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-6.2000000001717126E-2</v>
      </c>
      <c r="M43" s="288">
        <f t="shared" si="10"/>
        <v>0</v>
      </c>
      <c r="N43" s="288">
        <f t="shared" si="10"/>
        <v>0</v>
      </c>
      <c r="O43" s="288">
        <f t="shared" si="10"/>
        <v>0</v>
      </c>
      <c r="P43" s="865">
        <f>P44+P45+P48+P52+P51+P49+P50+P46+P47</f>
        <v>0</v>
      </c>
      <c r="Q43" s="288">
        <f t="shared" si="10"/>
        <v>0.11599999999816646</v>
      </c>
      <c r="R43" s="288">
        <f t="shared" si="10"/>
        <v>0</v>
      </c>
      <c r="S43" s="288">
        <f t="shared" si="10"/>
        <v>6767</v>
      </c>
      <c r="T43" s="288">
        <f t="shared" si="10"/>
        <v>0</v>
      </c>
      <c r="U43" s="288">
        <f t="shared" si="10"/>
        <v>41800</v>
      </c>
      <c r="V43" s="288">
        <f t="shared" si="10"/>
        <v>0</v>
      </c>
      <c r="W43" s="288">
        <f t="shared" si="10"/>
        <v>0</v>
      </c>
      <c r="X43" s="288">
        <f t="shared" si="10"/>
        <v>0.25999999999839929</v>
      </c>
      <c r="Y43" s="288">
        <f t="shared" si="10"/>
        <v>-0.46299999999973807</v>
      </c>
      <c r="Z43" s="288">
        <f t="shared" si="10"/>
        <v>11699.819</v>
      </c>
      <c r="AA43" s="288">
        <f t="shared" si="10"/>
        <v>-5.9000000001105946E-2</v>
      </c>
      <c r="AB43" s="288">
        <f t="shared" si="10"/>
        <v>0</v>
      </c>
      <c r="AC43" s="288">
        <f t="shared" si="10"/>
        <v>0</v>
      </c>
      <c r="AD43" s="288">
        <f t="shared" si="10"/>
        <v>0</v>
      </c>
      <c r="AE43" s="288">
        <f t="shared" si="10"/>
        <v>0</v>
      </c>
      <c r="AF43" s="288">
        <f t="shared" si="10"/>
        <v>1.8000000007305061E-2</v>
      </c>
      <c r="AG43" s="288">
        <f t="shared" si="10"/>
        <v>0</v>
      </c>
      <c r="AH43" s="286">
        <f t="shared" si="9"/>
        <v>60266.629000000001</v>
      </c>
    </row>
    <row r="44" spans="1:40" x14ac:dyDescent="0.2">
      <c r="A44" s="287" t="s">
        <v>8</v>
      </c>
      <c r="B44" s="266"/>
      <c r="C44" s="289"/>
      <c r="D44" s="290"/>
      <c r="E44" s="291"/>
      <c r="F44" s="290"/>
      <c r="G44" s="295"/>
      <c r="H44" s="290"/>
      <c r="I44" s="290"/>
      <c r="J44" s="290"/>
      <c r="K44" s="290"/>
      <c r="L44" s="295"/>
      <c r="M44" s="292"/>
      <c r="N44" s="292"/>
      <c r="O44" s="295"/>
      <c r="P44" s="292"/>
      <c r="Q44" s="295"/>
      <c r="R44" s="295">
        <v>17350</v>
      </c>
      <c r="S44" s="295"/>
      <c r="T44" s="295"/>
      <c r="U44" s="581">
        <f>27000-9100</f>
        <v>17900</v>
      </c>
      <c r="V44" s="295"/>
      <c r="W44" s="295"/>
      <c r="X44" s="295">
        <v>17952</v>
      </c>
      <c r="Y44" s="581"/>
      <c r="Z44" s="295"/>
      <c r="AA44" s="295"/>
      <c r="AB44" s="295"/>
      <c r="AC44" s="581"/>
      <c r="AD44" s="295"/>
      <c r="AE44" s="295"/>
      <c r="AF44" s="295"/>
      <c r="AG44" s="295"/>
      <c r="AH44" s="286">
        <f t="shared" si="9"/>
        <v>53202</v>
      </c>
      <c r="AN44" s="25">
        <v>9918.1650000000009</v>
      </c>
    </row>
    <row r="45" spans="1:40" x14ac:dyDescent="0.2">
      <c r="A45" s="287" t="s">
        <v>703</v>
      </c>
      <c r="B45" s="266"/>
      <c r="C45" s="291"/>
      <c r="D45" s="290"/>
      <c r="E45" s="291"/>
      <c r="F45" s="290"/>
      <c r="G45" s="730">
        <f>49200-31200</f>
        <v>18000</v>
      </c>
      <c r="H45" s="290"/>
      <c r="I45" s="290"/>
      <c r="J45" s="290"/>
      <c r="K45" s="290"/>
      <c r="L45" s="295">
        <v>18755</v>
      </c>
      <c r="M45" s="290"/>
      <c r="N45" s="290"/>
      <c r="O45" s="295"/>
      <c r="P45" s="292"/>
      <c r="Q45" s="295">
        <f>21745-1558.041-1017.838-1278.005</f>
        <v>17891.115999999998</v>
      </c>
      <c r="R45" s="295"/>
      <c r="S45" s="295"/>
      <c r="T45" s="295"/>
      <c r="U45" s="295"/>
      <c r="V45" s="295"/>
      <c r="W45" s="295"/>
      <c r="X45" s="295"/>
      <c r="Y45" s="295">
        <f>36630-2380.79-1296.189-3602.484</f>
        <v>29350.537</v>
      </c>
      <c r="Z45" s="295">
        <f>49711-599.341-1911.53-2312.949-6600-6491.989-4877.446-1297.011-7400-1220.915</f>
        <v>16999.819</v>
      </c>
      <c r="AA45" s="295">
        <f>35141-2569.63-9971.429-4900</f>
        <v>17699.940999999999</v>
      </c>
      <c r="AB45" s="295"/>
      <c r="AC45" s="295"/>
      <c r="AD45" s="295"/>
      <c r="AE45" s="295"/>
      <c r="AF45" s="295">
        <f>99159-8000-8821.944-9980-5669.127-5839.814-4967.443-4812.608-7517.125-990.443-6576.074-3264.779-2609.132-1296.511-3671.89-669.418-1322.674</f>
        <v>23150.018000000007</v>
      </c>
      <c r="AG45" s="295"/>
      <c r="AH45" s="286">
        <f t="shared" si="9"/>
        <v>141846.43100000001</v>
      </c>
      <c r="AI45" s="42">
        <f>+AH45+AH44</f>
        <v>195048.43100000001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291"/>
      <c r="F46" s="290"/>
      <c r="G46" s="290"/>
      <c r="H46" s="290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86">
        <f t="shared" si="9"/>
        <v>0</v>
      </c>
      <c r="AN46" s="25"/>
    </row>
    <row r="47" spans="1:40" x14ac:dyDescent="0.2">
      <c r="A47" s="287" t="s">
        <v>705</v>
      </c>
      <c r="B47" s="266"/>
      <c r="C47" s="291"/>
      <c r="D47" s="290"/>
      <c r="E47" s="291"/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2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86">
        <f t="shared" si="9"/>
        <v>0</v>
      </c>
      <c r="AN47" s="25"/>
    </row>
    <row r="48" spans="1:40" s="360" customFormat="1" x14ac:dyDescent="0.2">
      <c r="A48" s="662" t="s">
        <v>10</v>
      </c>
      <c r="B48" s="663"/>
      <c r="C48" s="664"/>
      <c r="D48" s="380"/>
      <c r="E48" s="664"/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560"/>
      <c r="Q48" s="380"/>
      <c r="R48" s="380"/>
      <c r="S48" s="948">
        <v>6767</v>
      </c>
      <c r="T48" s="947"/>
      <c r="U48" s="811">
        <v>41800</v>
      </c>
      <c r="V48" s="665"/>
      <c r="W48" s="380"/>
      <c r="X48" s="380"/>
      <c r="Y48" s="380"/>
      <c r="Z48" s="380"/>
      <c r="AA48" s="380"/>
      <c r="AB48" s="380"/>
      <c r="AC48" s="708"/>
      <c r="AD48" s="380"/>
      <c r="AE48" s="380"/>
      <c r="AF48" s="380"/>
      <c r="AG48" s="380"/>
      <c r="AH48" s="379">
        <f t="shared" si="9"/>
        <v>48567</v>
      </c>
      <c r="AI48" s="666"/>
      <c r="AN48" s="667">
        <v>6347.85</v>
      </c>
    </row>
    <row r="49" spans="1:40" s="360" customFormat="1" x14ac:dyDescent="0.2">
      <c r="A49" s="662" t="s">
        <v>356</v>
      </c>
      <c r="B49" s="668"/>
      <c r="C49" s="565"/>
      <c r="D49" s="380"/>
      <c r="E49" s="565"/>
      <c r="F49" s="560"/>
      <c r="G49" s="560"/>
      <c r="H49" s="560"/>
      <c r="I49" s="560"/>
      <c r="J49" s="560"/>
      <c r="K49" s="560"/>
      <c r="L49" s="560"/>
      <c r="M49" s="560"/>
      <c r="N49" s="380"/>
      <c r="O49" s="73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379">
        <f t="shared" si="9"/>
        <v>0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0"/>
      <c r="AG50" s="290"/>
      <c r="AH50" s="286">
        <f t="shared" si="9"/>
        <v>0</v>
      </c>
      <c r="AN50" s="25">
        <v>2246.556</v>
      </c>
    </row>
    <row r="51" spans="1:40" x14ac:dyDescent="0.2">
      <c r="A51" s="287" t="s">
        <v>41</v>
      </c>
      <c r="B51" s="266"/>
      <c r="C51" s="289"/>
      <c r="D51" s="291"/>
      <c r="E51" s="362"/>
      <c r="F51" s="290"/>
      <c r="G51" s="295"/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/>
      <c r="AG51" s="290"/>
      <c r="AH51" s="286">
        <f t="shared" si="9"/>
        <v>0</v>
      </c>
      <c r="AN51" s="25"/>
    </row>
    <row r="52" spans="1:40" x14ac:dyDescent="0.2">
      <c r="A52" s="287" t="s">
        <v>11</v>
      </c>
      <c r="B52" s="266"/>
      <c r="C52" s="289"/>
      <c r="D52" s="289"/>
      <c r="E52" s="289"/>
      <c r="F52" s="754"/>
      <c r="G52" s="991">
        <v>-18000</v>
      </c>
      <c r="H52" s="292"/>
      <c r="I52" s="292"/>
      <c r="J52" s="754"/>
      <c r="K52" s="292"/>
      <c r="L52" s="938">
        <v>-18755.062000000002</v>
      </c>
      <c r="M52" s="292"/>
      <c r="N52" s="754"/>
      <c r="O52" s="292"/>
      <c r="P52" s="292"/>
      <c r="Q52" s="938">
        <v>-17891</v>
      </c>
      <c r="R52" s="455">
        <v>-17350</v>
      </c>
      <c r="S52" s="292"/>
      <c r="T52" s="292"/>
      <c r="U52" s="455">
        <v>-17900</v>
      </c>
      <c r="V52" s="938"/>
      <c r="W52" s="292"/>
      <c r="X52" s="455">
        <v>-17951.740000000002</v>
      </c>
      <c r="Y52" s="292">
        <v>-29351</v>
      </c>
      <c r="Z52" s="938">
        <v>-5300</v>
      </c>
      <c r="AA52" s="939">
        <v>-17700</v>
      </c>
      <c r="AB52" s="295"/>
      <c r="AC52" s="295"/>
      <c r="AD52" s="295"/>
      <c r="AE52" s="292"/>
      <c r="AF52" s="938">
        <f>-17800-5350</f>
        <v>-23150</v>
      </c>
      <c r="AG52" s="292"/>
      <c r="AH52" s="286">
        <f t="shared" si="9"/>
        <v>-183348.80200000003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2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5"/>
      <c r="AC53" s="295"/>
      <c r="AD53" s="290"/>
      <c r="AE53" s="290"/>
      <c r="AF53" s="290"/>
      <c r="AG53" s="290"/>
      <c r="AH53" s="286">
        <f t="shared" si="9"/>
        <v>0</v>
      </c>
      <c r="AI53" s="42"/>
      <c r="AJ53" s="360"/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/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288"/>
      <c r="N55" s="288"/>
      <c r="O55" s="288"/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 t="shared" si="11"/>
        <v>0</v>
      </c>
      <c r="T55" s="288">
        <f t="shared" si="11"/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N56" s="25">
        <v>673.17700000000002</v>
      </c>
    </row>
    <row r="57" spans="1:40" x14ac:dyDescent="0.2">
      <c r="A57" s="287" t="s">
        <v>215</v>
      </c>
      <c r="B57" s="266"/>
      <c r="C57" s="289">
        <v>13553</v>
      </c>
      <c r="D57" s="291">
        <v>4236</v>
      </c>
      <c r="E57" s="362">
        <v>1000</v>
      </c>
      <c r="F57" s="290">
        <v>680</v>
      </c>
      <c r="G57" s="295">
        <v>12028</v>
      </c>
      <c r="H57" s="292">
        <v>3392</v>
      </c>
      <c r="I57" s="290">
        <v>6475</v>
      </c>
      <c r="J57" s="290">
        <v>19572</v>
      </c>
      <c r="K57" s="290">
        <v>3742</v>
      </c>
      <c r="L57" s="290">
        <v>20605</v>
      </c>
      <c r="M57" s="290">
        <v>2250</v>
      </c>
      <c r="N57" s="290">
        <v>5568</v>
      </c>
      <c r="O57" s="290">
        <v>4409</v>
      </c>
      <c r="P57" s="292">
        <v>4709</v>
      </c>
      <c r="Q57" s="290">
        <v>20329</v>
      </c>
      <c r="R57" s="290"/>
      <c r="S57" s="290">
        <v>4920</v>
      </c>
      <c r="T57" s="290">
        <v>5909</v>
      </c>
      <c r="U57" s="290"/>
      <c r="V57" s="290">
        <v>26313</v>
      </c>
      <c r="W57" s="290"/>
      <c r="X57" s="290">
        <v>2122</v>
      </c>
      <c r="Y57" s="290">
        <v>3325</v>
      </c>
      <c r="Z57" s="290">
        <v>2500</v>
      </c>
      <c r="AA57" s="292">
        <v>3488</v>
      </c>
      <c r="AB57" s="290">
        <v>1570</v>
      </c>
      <c r="AC57" s="290">
        <v>3680</v>
      </c>
      <c r="AD57" s="290">
        <v>1624</v>
      </c>
      <c r="AE57" s="290">
        <v>4100</v>
      </c>
      <c r="AF57" s="290">
        <v>8843</v>
      </c>
      <c r="AG57" s="290">
        <v>91719</v>
      </c>
      <c r="AH57" s="286">
        <f t="shared" si="9"/>
        <v>282661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N59" s="25">
        <v>1850.7819999999999</v>
      </c>
    </row>
    <row r="60" spans="1:40" x14ac:dyDescent="0.2">
      <c r="A60" s="287" t="s">
        <v>915</v>
      </c>
      <c r="B60" s="266"/>
      <c r="C60" s="300">
        <f t="shared" ref="C60:AG60" si="12">C55-C43</f>
        <v>0</v>
      </c>
      <c r="D60" s="300">
        <f t="shared" si="12"/>
        <v>0</v>
      </c>
      <c r="E60" s="300">
        <f t="shared" si="12"/>
        <v>0</v>
      </c>
      <c r="F60" s="300">
        <f t="shared" si="12"/>
        <v>0</v>
      </c>
      <c r="G60" s="300">
        <f t="shared" si="12"/>
        <v>0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6.2000000001717126E-2</v>
      </c>
      <c r="M60" s="300">
        <f t="shared" si="12"/>
        <v>0</v>
      </c>
      <c r="N60" s="300">
        <f t="shared" si="12"/>
        <v>0</v>
      </c>
      <c r="O60" s="300">
        <f t="shared" si="12"/>
        <v>0</v>
      </c>
      <c r="P60" s="867">
        <f t="shared" si="12"/>
        <v>0</v>
      </c>
      <c r="Q60" s="300">
        <f t="shared" si="12"/>
        <v>-0.11599999999816646</v>
      </c>
      <c r="R60" s="300">
        <f t="shared" si="12"/>
        <v>0</v>
      </c>
      <c r="S60" s="300">
        <f t="shared" si="12"/>
        <v>-6767</v>
      </c>
      <c r="T60" s="300">
        <f t="shared" si="12"/>
        <v>0</v>
      </c>
      <c r="U60" s="300">
        <f t="shared" si="12"/>
        <v>-41800</v>
      </c>
      <c r="V60" s="300">
        <f t="shared" si="12"/>
        <v>0</v>
      </c>
      <c r="W60" s="300">
        <f t="shared" si="12"/>
        <v>0</v>
      </c>
      <c r="X60" s="300">
        <f t="shared" si="12"/>
        <v>-0.25999999999839929</v>
      </c>
      <c r="Y60" s="300">
        <f t="shared" si="12"/>
        <v>0.46299999999973807</v>
      </c>
      <c r="Z60" s="300">
        <f t="shared" si="12"/>
        <v>-11699.819</v>
      </c>
      <c r="AA60" s="300">
        <f t="shared" si="12"/>
        <v>5.9000000001105946E-2</v>
      </c>
      <c r="AB60" s="300">
        <f t="shared" si="12"/>
        <v>0</v>
      </c>
      <c r="AC60" s="300">
        <f t="shared" si="12"/>
        <v>0</v>
      </c>
      <c r="AD60" s="300">
        <f t="shared" si="12"/>
        <v>0</v>
      </c>
      <c r="AE60" s="300">
        <f t="shared" si="12"/>
        <v>0</v>
      </c>
      <c r="AF60" s="300">
        <f t="shared" si="12"/>
        <v>-1.8000000007305061E-2</v>
      </c>
      <c r="AG60" s="300">
        <f t="shared" si="12"/>
        <v>0</v>
      </c>
      <c r="AH60" s="215"/>
      <c r="AL60" s="42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-399468.63199999998</v>
      </c>
      <c r="D63" s="291">
        <f>C70+D60</f>
        <v>-399468.63199999998</v>
      </c>
      <c r="E63" s="291">
        <f t="shared" ref="E63:AG63" si="13">D70+E60</f>
        <v>-399468.63199999998</v>
      </c>
      <c r="F63" s="291">
        <f t="shared" si="13"/>
        <v>-399468.63199999998</v>
      </c>
      <c r="G63" s="291">
        <f t="shared" si="13"/>
        <v>-399468.63199999998</v>
      </c>
      <c r="H63" s="291">
        <f t="shared" si="13"/>
        <v>-399468.63199999998</v>
      </c>
      <c r="I63" s="291">
        <f t="shared" si="13"/>
        <v>-399468.63199999998</v>
      </c>
      <c r="J63" s="291">
        <f t="shared" si="13"/>
        <v>-399468.63199999998</v>
      </c>
      <c r="K63" s="291">
        <f t="shared" si="13"/>
        <v>-399468.63199999998</v>
      </c>
      <c r="L63" s="291">
        <f t="shared" si="13"/>
        <v>-399468.57</v>
      </c>
      <c r="M63" s="291">
        <f t="shared" si="13"/>
        <v>-399468.57</v>
      </c>
      <c r="N63" s="291">
        <f t="shared" si="13"/>
        <v>-399468.57</v>
      </c>
      <c r="O63" s="291">
        <f t="shared" si="13"/>
        <v>-399468.57</v>
      </c>
      <c r="P63" s="289">
        <f>O70+P60</f>
        <v>-399468.57</v>
      </c>
      <c r="Q63" s="291">
        <f t="shared" si="13"/>
        <v>-399468.68599999999</v>
      </c>
      <c r="R63" s="291">
        <f t="shared" si="13"/>
        <v>-399468.68599999999</v>
      </c>
      <c r="S63" s="291">
        <f t="shared" si="13"/>
        <v>-406235.68599999999</v>
      </c>
      <c r="T63" s="291">
        <f t="shared" si="13"/>
        <v>-406235.68599999999</v>
      </c>
      <c r="U63" s="291">
        <f t="shared" si="13"/>
        <v>-448035.68599999999</v>
      </c>
      <c r="V63" s="291">
        <f t="shared" si="13"/>
        <v>-448035.68599999999</v>
      </c>
      <c r="W63" s="291">
        <f t="shared" si="13"/>
        <v>-448035.68599999999</v>
      </c>
      <c r="X63" s="291">
        <f t="shared" si="13"/>
        <v>-448035.946</v>
      </c>
      <c r="Y63" s="291">
        <f t="shared" si="13"/>
        <v>-448035.48300000001</v>
      </c>
      <c r="Z63" s="291">
        <f t="shared" si="13"/>
        <v>-459735.30200000003</v>
      </c>
      <c r="AA63" s="291">
        <f t="shared" si="13"/>
        <v>-459735.24300000002</v>
      </c>
      <c r="AB63" s="291">
        <f t="shared" si="13"/>
        <v>-459735.24300000002</v>
      </c>
      <c r="AC63" s="291">
        <f t="shared" si="13"/>
        <v>-459735.24300000002</v>
      </c>
      <c r="AD63" s="291">
        <f t="shared" si="13"/>
        <v>-459735.24300000002</v>
      </c>
      <c r="AE63" s="291">
        <f t="shared" si="13"/>
        <v>-459735.24300000002</v>
      </c>
      <c r="AF63" s="291">
        <f t="shared" si="13"/>
        <v>-459735.261</v>
      </c>
      <c r="AG63" s="291">
        <f t="shared" si="13"/>
        <v>-459735.261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-399468.63199999998</v>
      </c>
      <c r="D70" s="291">
        <f t="shared" ref="D70:AG70" si="15">D63+D66+D67</f>
        <v>-399468.63199999998</v>
      </c>
      <c r="E70" s="291">
        <f t="shared" si="15"/>
        <v>-399468.63199999998</v>
      </c>
      <c r="F70" s="291">
        <f t="shared" si="15"/>
        <v>-399468.63199999998</v>
      </c>
      <c r="G70" s="291">
        <f t="shared" si="15"/>
        <v>-399468.63199999998</v>
      </c>
      <c r="H70" s="291">
        <f t="shared" si="15"/>
        <v>-399468.63199999998</v>
      </c>
      <c r="I70" s="291">
        <f t="shared" si="15"/>
        <v>-399468.63199999998</v>
      </c>
      <c r="J70" s="291">
        <f t="shared" si="15"/>
        <v>-399468.63199999998</v>
      </c>
      <c r="K70" s="291">
        <f t="shared" si="15"/>
        <v>-399468.63199999998</v>
      </c>
      <c r="L70" s="291">
        <f t="shared" si="15"/>
        <v>-399468.57</v>
      </c>
      <c r="M70" s="291">
        <f t="shared" si="15"/>
        <v>-399468.57</v>
      </c>
      <c r="N70" s="291">
        <f t="shared" si="15"/>
        <v>-399468.57</v>
      </c>
      <c r="O70" s="291">
        <f t="shared" si="15"/>
        <v>-399468.57</v>
      </c>
      <c r="P70" s="289">
        <f>P63+P66+P67</f>
        <v>-399468.57</v>
      </c>
      <c r="Q70" s="291">
        <f t="shared" si="15"/>
        <v>-399468.68599999999</v>
      </c>
      <c r="R70" s="291">
        <f t="shared" si="15"/>
        <v>-399468.68599999999</v>
      </c>
      <c r="S70" s="291">
        <f t="shared" si="15"/>
        <v>-406235.68599999999</v>
      </c>
      <c r="T70" s="291">
        <f t="shared" si="15"/>
        <v>-406235.68599999999</v>
      </c>
      <c r="U70" s="291">
        <f t="shared" si="15"/>
        <v>-448035.68599999999</v>
      </c>
      <c r="V70" s="291">
        <f t="shared" si="15"/>
        <v>-448035.68599999999</v>
      </c>
      <c r="W70" s="291">
        <f t="shared" si="15"/>
        <v>-448035.68599999999</v>
      </c>
      <c r="X70" s="291">
        <f t="shared" si="15"/>
        <v>-448035.946</v>
      </c>
      <c r="Y70" s="291">
        <f t="shared" si="15"/>
        <v>-448035.48300000001</v>
      </c>
      <c r="Z70" s="291">
        <f t="shared" si="15"/>
        <v>-459735.30200000003</v>
      </c>
      <c r="AA70" s="291">
        <f t="shared" si="15"/>
        <v>-459735.24300000002</v>
      </c>
      <c r="AB70" s="291">
        <f t="shared" si="15"/>
        <v>-459735.24300000002</v>
      </c>
      <c r="AC70" s="291">
        <f t="shared" si="15"/>
        <v>-459735.24300000002</v>
      </c>
      <c r="AD70" s="291">
        <f t="shared" si="15"/>
        <v>-459735.24300000002</v>
      </c>
      <c r="AE70" s="291">
        <f t="shared" si="15"/>
        <v>-459735.24300000002</v>
      </c>
      <c r="AF70" s="291">
        <f t="shared" si="15"/>
        <v>-459735.261</v>
      </c>
      <c r="AG70" s="291">
        <f t="shared" si="15"/>
        <v>-459735.261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5"/>
      <c r="E74" s="290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SUM(C84:C122)</f>
        <v>0</v>
      </c>
      <c r="D82" s="286"/>
      <c r="E82" s="470"/>
      <c r="F82" s="286"/>
      <c r="G82" s="317"/>
      <c r="H82" s="315"/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/>
      <c r="G83" s="319"/>
      <c r="H83" s="215"/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>
        <v>42170</v>
      </c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41673</v>
      </c>
      <c r="C85" s="318"/>
      <c r="D85" s="309"/>
      <c r="E85" s="215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41673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41673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42170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42152</v>
      </c>
      <c r="C89" s="501"/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42153</v>
      </c>
      <c r="C90" s="325"/>
      <c r="D90" s="323"/>
      <c r="E90" s="353"/>
      <c r="F90" s="215"/>
      <c r="G90" s="326"/>
      <c r="H90" s="215"/>
      <c r="I90" s="215"/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42145</v>
      </c>
      <c r="C91" s="325"/>
      <c r="D91" s="323"/>
      <c r="E91" s="323"/>
      <c r="F91" s="215"/>
      <c r="G91" s="326"/>
      <c r="H91" s="215"/>
      <c r="I91" s="215"/>
      <c r="J91" s="215"/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42101</v>
      </c>
      <c r="C92" s="323"/>
      <c r="D92" s="323"/>
      <c r="E92" s="323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42102</v>
      </c>
      <c r="C93" s="325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42016</v>
      </c>
      <c r="C94" s="840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42131</v>
      </c>
      <c r="C95" s="950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42132</v>
      </c>
      <c r="C96" s="808"/>
      <c r="D96" s="323"/>
      <c r="E96" s="323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>
        <v>42115</v>
      </c>
      <c r="C97" s="808"/>
      <c r="D97" s="323"/>
      <c r="E97" s="323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42144</v>
      </c>
      <c r="C98" s="808"/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42117</v>
      </c>
      <c r="C99" s="808"/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42067</v>
      </c>
      <c r="C100" s="324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42152</v>
      </c>
      <c r="C101" s="324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42151</v>
      </c>
      <c r="C102" s="324"/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42153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42154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42155</v>
      </c>
      <c r="C105" s="324"/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42147</v>
      </c>
      <c r="C106" s="324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320">
        <v>42145</v>
      </c>
      <c r="C107" s="324"/>
      <c r="D107" s="323"/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/>
      <c r="B108" s="320">
        <v>42146</v>
      </c>
      <c r="C108" s="324"/>
      <c r="D108" s="323"/>
      <c r="E108" s="323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  <c r="AP108" s="194"/>
    </row>
    <row r="109" spans="1:42" x14ac:dyDescent="0.2">
      <c r="A109" s="215" t="s">
        <v>436</v>
      </c>
      <c r="B109" s="320"/>
      <c r="C109" s="325"/>
      <c r="D109" s="323"/>
      <c r="E109" s="215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/>
    </row>
    <row r="110" spans="1:42" x14ac:dyDescent="0.2">
      <c r="A110" s="327" t="s">
        <v>32</v>
      </c>
      <c r="B110" s="320">
        <v>42153</v>
      </c>
      <c r="C110" s="318"/>
      <c r="D110" s="323"/>
      <c r="E110" s="215"/>
      <c r="F110" s="215"/>
      <c r="G110" s="470"/>
      <c r="H110" s="323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  <c r="AN110" s="25">
        <v>222914.55799999999</v>
      </c>
    </row>
    <row r="111" spans="1:42" x14ac:dyDescent="0.2">
      <c r="A111" s="327" t="s">
        <v>33</v>
      </c>
      <c r="B111" s="320">
        <v>42153</v>
      </c>
      <c r="C111" s="318"/>
      <c r="D111" s="323"/>
      <c r="E111" s="318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</row>
    <row r="112" spans="1:42" x14ac:dyDescent="0.2">
      <c r="A112" s="327" t="s">
        <v>32</v>
      </c>
      <c r="B112" s="320">
        <v>42152</v>
      </c>
      <c r="C112" s="318"/>
      <c r="D112" s="215"/>
      <c r="E112" s="320"/>
      <c r="F112" s="311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  <c r="AN112" s="194">
        <f>AN110-AN93</f>
        <v>55537.753999999957</v>
      </c>
    </row>
    <row r="113" spans="1:34" x14ac:dyDescent="0.2">
      <c r="A113" s="327" t="s">
        <v>32</v>
      </c>
      <c r="B113" s="320">
        <v>42138</v>
      </c>
      <c r="C113" s="318"/>
      <c r="D113" s="215"/>
      <c r="E113" s="320"/>
      <c r="F113" s="311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33</v>
      </c>
      <c r="B114" s="320">
        <v>42137</v>
      </c>
      <c r="C114" s="318"/>
      <c r="D114" s="215"/>
      <c r="E114" s="215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33</v>
      </c>
      <c r="B115" s="320">
        <v>42139</v>
      </c>
      <c r="C115" s="318"/>
      <c r="D115" s="215"/>
      <c r="E115" s="323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32</v>
      </c>
      <c r="B116" s="320">
        <v>41918</v>
      </c>
      <c r="C116" s="318"/>
      <c r="D116" s="323"/>
      <c r="E116" s="323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32</v>
      </c>
      <c r="B117" s="320">
        <v>41673</v>
      </c>
      <c r="C117" s="318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32</v>
      </c>
      <c r="B118" s="320">
        <v>41673</v>
      </c>
      <c r="C118" s="318"/>
      <c r="D118" s="215"/>
      <c r="E118" s="323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32</v>
      </c>
      <c r="B119" s="320">
        <v>41673</v>
      </c>
      <c r="C119" s="318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327" t="s">
        <v>33</v>
      </c>
      <c r="B120" s="320">
        <v>41673</v>
      </c>
      <c r="C120" s="318"/>
      <c r="D120" s="215"/>
      <c r="E120" s="500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327" t="s">
        <v>33</v>
      </c>
      <c r="B121" s="320">
        <v>41673</v>
      </c>
      <c r="C121" s="316"/>
      <c r="D121" s="215"/>
      <c r="E121" s="323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215"/>
      <c r="B122" s="321"/>
      <c r="C122" s="318"/>
      <c r="D122" s="215"/>
      <c r="E122" s="215"/>
      <c r="F122" s="215"/>
      <c r="G122" s="323"/>
      <c r="H122" s="323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62"/>
      <c r="D123" s="215"/>
      <c r="E123" s="215"/>
      <c r="F123" s="215"/>
      <c r="G123" s="323"/>
      <c r="H123" s="215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215"/>
      <c r="B124" s="320"/>
      <c r="C124" s="215"/>
      <c r="D124" s="215"/>
      <c r="E124" s="215"/>
      <c r="F124" s="215"/>
      <c r="G124" s="215"/>
      <c r="H124" s="316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215"/>
      <c r="B125" s="320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310"/>
      <c r="B126" s="320"/>
      <c r="C126" s="262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310"/>
      <c r="B127" s="320"/>
      <c r="C127" s="262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309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</row>
    <row r="132" spans="1:34" ht="13.5" thickBot="1" x14ac:dyDescent="0.25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309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</row>
    <row r="133" spans="1:34" x14ac:dyDescent="0.2">
      <c r="A133" s="263"/>
      <c r="B133" s="264"/>
      <c r="C133" s="264"/>
      <c r="D133" s="264"/>
      <c r="E133" s="264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860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15"/>
    </row>
    <row r="134" spans="1:34" x14ac:dyDescent="0.2">
      <c r="A134" s="265"/>
      <c r="B134" s="266" t="s">
        <v>37</v>
      </c>
      <c r="C134" s="266"/>
      <c r="D134" s="266"/>
      <c r="E134" s="267" t="s">
        <v>651</v>
      </c>
      <c r="F134" s="268" t="s">
        <v>95</v>
      </c>
      <c r="G134" s="269" t="s">
        <v>6</v>
      </c>
      <c r="H134" s="268"/>
      <c r="I134" s="268"/>
      <c r="J134" s="268"/>
      <c r="K134" s="268"/>
      <c r="L134" s="268"/>
      <c r="M134" s="268"/>
      <c r="N134" s="268"/>
      <c r="O134" s="268"/>
      <c r="P134" s="861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15"/>
    </row>
    <row r="135" spans="1:34" x14ac:dyDescent="0.2">
      <c r="A135" s="265"/>
      <c r="B135" s="266"/>
      <c r="C135" s="266"/>
      <c r="D135" s="268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x14ac:dyDescent="0.2">
      <c r="A136" s="328"/>
      <c r="B136" s="266"/>
      <c r="C136" s="268"/>
      <c r="D136" s="268">
        <v>42158</v>
      </c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x14ac:dyDescent="0.2">
      <c r="A137" s="265"/>
      <c r="B137" s="266"/>
      <c r="C137" s="268"/>
      <c r="D137" s="268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79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15"/>
    </row>
    <row r="138" spans="1:34" ht="13.5" thickBot="1" x14ac:dyDescent="0.25">
      <c r="A138" s="265"/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79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  <c r="AH138" s="215"/>
    </row>
    <row r="139" spans="1:34" ht="13.5" thickBot="1" x14ac:dyDescent="0.25">
      <c r="A139" s="265"/>
      <c r="B139" s="266"/>
      <c r="C139" s="270"/>
      <c r="D139" s="271" t="s">
        <v>16</v>
      </c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  <c r="O139" s="271"/>
      <c r="P139" s="862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15"/>
    </row>
    <row r="140" spans="1:34" ht="13.5" thickBot="1" x14ac:dyDescent="0.25">
      <c r="A140" s="265"/>
      <c r="B140" s="266"/>
      <c r="C140" s="272" t="s">
        <v>452</v>
      </c>
      <c r="D140" s="272" t="s">
        <v>453</v>
      </c>
      <c r="E140" s="272" t="s">
        <v>434</v>
      </c>
      <c r="F140" s="272" t="s">
        <v>390</v>
      </c>
      <c r="G140" s="272" t="s">
        <v>454</v>
      </c>
      <c r="H140" s="272" t="s">
        <v>455</v>
      </c>
      <c r="I140" s="272" t="s">
        <v>456</v>
      </c>
      <c r="J140" s="272" t="s">
        <v>457</v>
      </c>
      <c r="K140" s="272" t="s">
        <v>458</v>
      </c>
      <c r="L140" s="272" t="s">
        <v>216</v>
      </c>
      <c r="M140" s="272" t="s">
        <v>459</v>
      </c>
      <c r="N140" s="272" t="s">
        <v>297</v>
      </c>
      <c r="O140" s="272" t="s">
        <v>211</v>
      </c>
      <c r="P140" s="863" t="s">
        <v>270</v>
      </c>
      <c r="Q140" s="272">
        <v>15</v>
      </c>
      <c r="R140" s="272">
        <v>16</v>
      </c>
      <c r="S140" s="272" t="s">
        <v>461</v>
      </c>
      <c r="T140" s="272" t="s">
        <v>442</v>
      </c>
      <c r="U140" s="272" t="s">
        <v>462</v>
      </c>
      <c r="V140" s="272" t="s">
        <v>470</v>
      </c>
      <c r="W140" s="272" t="s">
        <v>471</v>
      </c>
      <c r="X140" s="272" t="s">
        <v>472</v>
      </c>
      <c r="Y140" s="272" t="s">
        <v>463</v>
      </c>
      <c r="Z140" s="272" t="s">
        <v>465</v>
      </c>
      <c r="AA140" s="272" t="s">
        <v>466</v>
      </c>
      <c r="AB140" s="272" t="s">
        <v>435</v>
      </c>
      <c r="AC140" s="272" t="s">
        <v>467</v>
      </c>
      <c r="AD140" s="272" t="s">
        <v>464</v>
      </c>
      <c r="AE140" s="272" t="s">
        <v>429</v>
      </c>
      <c r="AF140" s="272" t="s">
        <v>149</v>
      </c>
      <c r="AG140" s="272" t="s">
        <v>210</v>
      </c>
      <c r="AH140" s="215"/>
    </row>
    <row r="141" spans="1:34" x14ac:dyDescent="0.2">
      <c r="A141" s="263"/>
      <c r="B141" s="273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x14ac:dyDescent="0.2">
      <c r="A142" s="265" t="s">
        <v>0</v>
      </c>
      <c r="B142" s="274">
        <v>-29756.991000000002</v>
      </c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ht="13.5" thickBot="1" x14ac:dyDescent="0.25">
      <c r="A143" s="275"/>
      <c r="B143" s="27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3"/>
      <c r="B144" s="278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1</v>
      </c>
      <c r="B145" s="274">
        <f>B146+B147+B148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38</v>
      </c>
      <c r="B146" s="274">
        <f>C196</f>
        <v>0</v>
      </c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x14ac:dyDescent="0.2">
      <c r="A147" s="265" t="s">
        <v>39</v>
      </c>
      <c r="B147" s="274">
        <f>C216</f>
        <v>0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x14ac:dyDescent="0.2">
      <c r="A148" s="265" t="s">
        <v>3</v>
      </c>
      <c r="B148" s="274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ht="13.5" thickBot="1" x14ac:dyDescent="0.25">
      <c r="A149" s="275"/>
      <c r="B149" s="27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x14ac:dyDescent="0.2">
      <c r="A150" s="263"/>
      <c r="B150" s="278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x14ac:dyDescent="0.2">
      <c r="A151" s="265" t="s">
        <v>4</v>
      </c>
      <c r="B151" s="274">
        <f>B142+B145</f>
        <v>-29756.991000000002</v>
      </c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ht="13.5" thickBot="1" x14ac:dyDescent="0.25">
      <c r="A152" s="275"/>
      <c r="B152" s="276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x14ac:dyDescent="0.2">
      <c r="A153" s="263"/>
      <c r="B153" s="278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79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x14ac:dyDescent="0.2">
      <c r="A154" s="265" t="s">
        <v>17</v>
      </c>
      <c r="B154" s="274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15"/>
    </row>
    <row r="155" spans="1:34" ht="13.5" thickBot="1" x14ac:dyDescent="0.25">
      <c r="A155" s="275"/>
      <c r="B155" s="276"/>
      <c r="C155" s="266"/>
      <c r="D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79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  <c r="AA155" s="266"/>
      <c r="AB155" s="266"/>
      <c r="AC155" s="266"/>
      <c r="AD155" s="266"/>
      <c r="AE155" s="266"/>
      <c r="AF155" s="266"/>
      <c r="AG155" s="266"/>
      <c r="AH155" s="215"/>
    </row>
    <row r="156" spans="1:34" x14ac:dyDescent="0.2">
      <c r="A156" s="263"/>
      <c r="B156" s="278"/>
      <c r="C156" s="269"/>
      <c r="D156" s="934"/>
      <c r="E156" s="269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79"/>
      <c r="Q156" s="266"/>
      <c r="R156" s="266"/>
      <c r="S156" s="266"/>
      <c r="T156" s="266"/>
      <c r="U156" s="266"/>
      <c r="V156" s="266"/>
      <c r="W156" s="266"/>
      <c r="X156" s="266"/>
      <c r="Y156" s="266"/>
      <c r="Z156" s="266"/>
      <c r="AA156" s="266"/>
      <c r="AB156" s="266"/>
      <c r="AC156" s="802"/>
      <c r="AD156" s="266"/>
      <c r="AF156" s="266"/>
      <c r="AG156" s="266"/>
      <c r="AH156" s="215"/>
    </row>
    <row r="157" spans="1:34" x14ac:dyDescent="0.2">
      <c r="A157" s="265" t="s">
        <v>5</v>
      </c>
      <c r="B157" s="274">
        <f>B151-B154</f>
        <v>-29756.991000000002</v>
      </c>
      <c r="C157" s="269"/>
      <c r="E157" s="269"/>
      <c r="F157" s="266"/>
      <c r="G157" s="269"/>
      <c r="H157" s="269"/>
      <c r="I157" s="269"/>
      <c r="J157" s="266"/>
      <c r="K157" s="266"/>
      <c r="L157" s="692"/>
      <c r="M157" s="266"/>
      <c r="N157" s="266"/>
      <c r="O157" s="269"/>
      <c r="P157" s="281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707"/>
      <c r="AB157" s="269"/>
      <c r="AC157" s="802"/>
      <c r="AD157" s="269"/>
      <c r="AF157" s="810"/>
      <c r="AG157" s="269"/>
      <c r="AH157" s="215"/>
    </row>
    <row r="158" spans="1:34" ht="13.5" thickBot="1" x14ac:dyDescent="0.25">
      <c r="A158" s="275"/>
      <c r="B158" s="27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81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15"/>
    </row>
    <row r="159" spans="1:34" x14ac:dyDescent="0.2">
      <c r="A159" s="282"/>
      <c r="B159" s="266"/>
      <c r="C159" s="283"/>
      <c r="D159" s="285"/>
      <c r="E159" s="285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86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  <c r="AA159" s="284"/>
      <c r="AB159" s="284"/>
      <c r="AC159" s="284"/>
      <c r="AD159" s="284"/>
      <c r="AE159" s="284"/>
      <c r="AF159" s="284"/>
      <c r="AG159" s="284"/>
      <c r="AH159" s="215"/>
    </row>
    <row r="160" spans="1:34" ht="13.5" thickBot="1" x14ac:dyDescent="0.25">
      <c r="A160" s="287" t="s">
        <v>7</v>
      </c>
      <c r="B160" s="266"/>
      <c r="C160" s="288">
        <f>C161+C162+C163+C167+C166+C164+C165</f>
        <v>0</v>
      </c>
      <c r="D160" s="288">
        <f>D161+D162+D163+D167+D166+D164+D165</f>
        <v>0</v>
      </c>
      <c r="E160" s="288">
        <f>E161+E162+E163+E167+E166+E164+E165</f>
        <v>0</v>
      </c>
      <c r="F160" s="288">
        <f t="shared" ref="F160:AE160" si="16">F161+F162+F163+F167+F166+F164+F165</f>
        <v>0</v>
      </c>
      <c r="G160" s="288">
        <f t="shared" si="16"/>
        <v>0</v>
      </c>
      <c r="H160" s="288">
        <f t="shared" si="16"/>
        <v>0</v>
      </c>
      <c r="I160" s="288">
        <f t="shared" si="16"/>
        <v>0</v>
      </c>
      <c r="J160" s="288">
        <f t="shared" si="16"/>
        <v>0</v>
      </c>
      <c r="K160" s="288">
        <f t="shared" si="16"/>
        <v>0</v>
      </c>
      <c r="L160" s="288">
        <f t="shared" si="16"/>
        <v>0</v>
      </c>
      <c r="M160" s="288">
        <f t="shared" si="16"/>
        <v>0</v>
      </c>
      <c r="N160" s="288">
        <f t="shared" si="16"/>
        <v>0</v>
      </c>
      <c r="O160" s="288">
        <f t="shared" si="16"/>
        <v>0</v>
      </c>
      <c r="P160" s="865">
        <f t="shared" si="16"/>
        <v>0</v>
      </c>
      <c r="Q160" s="288">
        <f t="shared" si="16"/>
        <v>0</v>
      </c>
      <c r="R160" s="288">
        <f t="shared" si="16"/>
        <v>0</v>
      </c>
      <c r="S160" s="288">
        <f t="shared" si="16"/>
        <v>0</v>
      </c>
      <c r="T160" s="288">
        <f t="shared" si="16"/>
        <v>0</v>
      </c>
      <c r="U160" s="288">
        <f t="shared" si="16"/>
        <v>0</v>
      </c>
      <c r="V160" s="288">
        <f t="shared" si="16"/>
        <v>0</v>
      </c>
      <c r="W160" s="288">
        <f t="shared" si="16"/>
        <v>0</v>
      </c>
      <c r="X160" s="288">
        <f t="shared" si="16"/>
        <v>0</v>
      </c>
      <c r="Y160" s="288">
        <f t="shared" si="16"/>
        <v>0</v>
      </c>
      <c r="Z160" s="288">
        <f t="shared" si="16"/>
        <v>0</v>
      </c>
      <c r="AA160" s="288">
        <f t="shared" si="16"/>
        <v>0</v>
      </c>
      <c r="AB160" s="288">
        <f t="shared" si="16"/>
        <v>0</v>
      </c>
      <c r="AC160" s="288">
        <f t="shared" si="16"/>
        <v>0</v>
      </c>
      <c r="AD160" s="288">
        <f t="shared" si="16"/>
        <v>0</v>
      </c>
      <c r="AE160" s="288">
        <f t="shared" si="16"/>
        <v>0</v>
      </c>
      <c r="AF160" s="288">
        <f>AF161+AF162+AF163+AF167+AF166+AF164+AF165</f>
        <v>0</v>
      </c>
      <c r="AG160" s="288">
        <f>AG161+AG162+AG163+AG167+AG166+AG164+AG165</f>
        <v>0</v>
      </c>
      <c r="AH160" s="286">
        <f t="shared" ref="AH160:AH168" si="17">SUM(C160:AG160)</f>
        <v>0</v>
      </c>
    </row>
    <row r="161" spans="1:35" x14ac:dyDescent="0.2">
      <c r="A161" s="287" t="s">
        <v>8</v>
      </c>
      <c r="B161" s="266"/>
      <c r="C161" s="291"/>
      <c r="D161" s="291"/>
      <c r="E161" s="291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2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86">
        <f t="shared" si="17"/>
        <v>0</v>
      </c>
    </row>
    <row r="162" spans="1:35" x14ac:dyDescent="0.2">
      <c r="A162" s="287" t="s">
        <v>9</v>
      </c>
      <c r="B162" s="266"/>
      <c r="C162" s="291"/>
      <c r="D162" s="291"/>
      <c r="E162" s="291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2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86">
        <f t="shared" si="17"/>
        <v>0</v>
      </c>
    </row>
    <row r="163" spans="1:35" s="360" customFormat="1" x14ac:dyDescent="0.2">
      <c r="A163" s="662" t="s">
        <v>10</v>
      </c>
      <c r="B163" s="669"/>
      <c r="C163" s="664"/>
      <c r="D163" s="565"/>
      <c r="E163" s="565"/>
      <c r="F163" s="560"/>
      <c r="G163" s="560"/>
      <c r="H163" s="560"/>
      <c r="I163" s="560"/>
      <c r="J163" s="560"/>
      <c r="K163" s="560"/>
      <c r="L163" s="380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708"/>
      <c r="AB163" s="560"/>
      <c r="AC163" s="560"/>
      <c r="AD163" s="560"/>
      <c r="AE163" s="803"/>
      <c r="AF163" s="811"/>
      <c r="AG163" s="560"/>
      <c r="AH163" s="379">
        <f t="shared" si="17"/>
        <v>0</v>
      </c>
    </row>
    <row r="164" spans="1:35" s="360" customFormat="1" x14ac:dyDescent="0.2">
      <c r="A164" s="662" t="s">
        <v>356</v>
      </c>
      <c r="B164" s="669"/>
      <c r="C164" s="565"/>
      <c r="D164" s="565"/>
      <c r="E164" s="565"/>
      <c r="F164" s="560"/>
      <c r="G164" s="560"/>
      <c r="H164" s="560"/>
      <c r="I164" s="560"/>
      <c r="J164" s="560"/>
      <c r="K164" s="560"/>
      <c r="L164" s="560"/>
      <c r="M164" s="560"/>
      <c r="N164" s="560"/>
      <c r="O164" s="560"/>
      <c r="P164" s="560"/>
      <c r="Q164" s="560"/>
      <c r="R164" s="560"/>
      <c r="S164" s="560"/>
      <c r="T164" s="560"/>
      <c r="U164" s="560"/>
      <c r="V164" s="560"/>
      <c r="W164" s="560"/>
      <c r="X164" s="560"/>
      <c r="Y164" s="560"/>
      <c r="Z164" s="560"/>
      <c r="AA164" s="560"/>
      <c r="AB164" s="560"/>
      <c r="AC164" s="560"/>
      <c r="AD164" s="560"/>
      <c r="AE164" s="560"/>
      <c r="AF164" s="560"/>
      <c r="AG164" s="560"/>
      <c r="AH164" s="379">
        <f t="shared" si="17"/>
        <v>0</v>
      </c>
    </row>
    <row r="165" spans="1:35" x14ac:dyDescent="0.2">
      <c r="A165" s="287" t="s">
        <v>357</v>
      </c>
      <c r="B165" s="266"/>
      <c r="C165" s="289"/>
      <c r="D165" s="291"/>
      <c r="E165" s="289"/>
      <c r="F165" s="290"/>
      <c r="G165" s="290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x14ac:dyDescent="0.2">
      <c r="A166" s="287" t="s">
        <v>41</v>
      </c>
      <c r="B166" s="266"/>
      <c r="C166" s="289"/>
      <c r="D166" s="291"/>
      <c r="E166" s="289"/>
      <c r="F166" s="290"/>
      <c r="G166" s="290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86">
        <f t="shared" si="17"/>
        <v>0</v>
      </c>
    </row>
    <row r="167" spans="1:35" x14ac:dyDescent="0.2">
      <c r="A167" s="287" t="s">
        <v>11</v>
      </c>
      <c r="B167" s="266"/>
      <c r="C167" s="291"/>
      <c r="D167" s="289"/>
      <c r="E167" s="289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86">
        <f t="shared" si="17"/>
        <v>0</v>
      </c>
    </row>
    <row r="168" spans="1:35" ht="13.5" thickBot="1" x14ac:dyDescent="0.25">
      <c r="A168" s="296"/>
      <c r="B168" s="266"/>
      <c r="C168" s="291"/>
      <c r="D168" s="291"/>
      <c r="E168" s="291"/>
      <c r="F168" s="290"/>
      <c r="G168" s="290"/>
      <c r="H168" s="290"/>
      <c r="I168" s="290"/>
      <c r="J168" s="290"/>
      <c r="K168" s="290"/>
      <c r="L168" s="290"/>
      <c r="M168" s="290"/>
      <c r="N168" s="290"/>
      <c r="O168" s="290"/>
      <c r="P168" s="292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  <c r="AE168" s="290"/>
      <c r="AF168" s="290"/>
      <c r="AG168" s="290"/>
      <c r="AH168" s="286">
        <f t="shared" si="17"/>
        <v>0</v>
      </c>
    </row>
    <row r="169" spans="1:35" x14ac:dyDescent="0.2">
      <c r="A169" s="282"/>
      <c r="B169" s="266"/>
      <c r="C169" s="297"/>
      <c r="D169" s="298"/>
      <c r="E169" s="298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866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  <c r="AB169" s="299"/>
      <c r="AC169" s="299"/>
      <c r="AD169" s="299"/>
      <c r="AE169" s="299"/>
      <c r="AF169" s="299"/>
      <c r="AG169" s="299"/>
      <c r="AH169" s="215"/>
    </row>
    <row r="170" spans="1:35" ht="13.5" thickBot="1" x14ac:dyDescent="0.25">
      <c r="A170" s="287" t="s">
        <v>12</v>
      </c>
      <c r="B170" s="266"/>
      <c r="C170" s="288">
        <f t="shared" ref="C170:AG170" si="18">C171</f>
        <v>0</v>
      </c>
      <c r="D170" s="288">
        <f t="shared" si="18"/>
        <v>0</v>
      </c>
      <c r="E170" s="288">
        <f t="shared" si="18"/>
        <v>0</v>
      </c>
      <c r="F170" s="288">
        <f t="shared" si="18"/>
        <v>0</v>
      </c>
      <c r="G170" s="288">
        <f t="shared" si="18"/>
        <v>0</v>
      </c>
      <c r="H170" s="288">
        <f t="shared" si="18"/>
        <v>0</v>
      </c>
      <c r="I170" s="288">
        <f t="shared" si="18"/>
        <v>0</v>
      </c>
      <c r="J170" s="288">
        <f t="shared" si="18"/>
        <v>0</v>
      </c>
      <c r="K170" s="288">
        <f t="shared" si="18"/>
        <v>0</v>
      </c>
      <c r="L170" s="288">
        <f t="shared" si="18"/>
        <v>0</v>
      </c>
      <c r="M170" s="288">
        <f t="shared" si="18"/>
        <v>0</v>
      </c>
      <c r="N170" s="288">
        <f t="shared" si="18"/>
        <v>0</v>
      </c>
      <c r="O170" s="288">
        <f t="shared" si="18"/>
        <v>0</v>
      </c>
      <c r="P170" s="865">
        <f t="shared" si="18"/>
        <v>0</v>
      </c>
      <c r="Q170" s="288">
        <f t="shared" si="18"/>
        <v>0</v>
      </c>
      <c r="R170" s="288">
        <f t="shared" si="18"/>
        <v>0</v>
      </c>
      <c r="S170" s="288">
        <f t="shared" si="18"/>
        <v>0</v>
      </c>
      <c r="T170" s="288">
        <f t="shared" si="18"/>
        <v>0</v>
      </c>
      <c r="U170" s="288">
        <f t="shared" si="18"/>
        <v>0</v>
      </c>
      <c r="V170" s="288">
        <f t="shared" si="18"/>
        <v>0</v>
      </c>
      <c r="W170" s="288">
        <f t="shared" si="18"/>
        <v>0</v>
      </c>
      <c r="X170" s="288">
        <f t="shared" si="18"/>
        <v>0</v>
      </c>
      <c r="Y170" s="288">
        <f t="shared" si="18"/>
        <v>0</v>
      </c>
      <c r="Z170" s="288">
        <f t="shared" si="18"/>
        <v>0</v>
      </c>
      <c r="AA170" s="288">
        <f t="shared" si="18"/>
        <v>0</v>
      </c>
      <c r="AB170" s="288">
        <f t="shared" si="18"/>
        <v>0</v>
      </c>
      <c r="AC170" s="288">
        <f t="shared" si="18"/>
        <v>0</v>
      </c>
      <c r="AD170" s="288">
        <f t="shared" si="18"/>
        <v>0</v>
      </c>
      <c r="AE170" s="288">
        <f t="shared" si="18"/>
        <v>0</v>
      </c>
      <c r="AF170" s="288">
        <f t="shared" si="18"/>
        <v>0</v>
      </c>
      <c r="AG170" s="288">
        <f t="shared" si="18"/>
        <v>0</v>
      </c>
      <c r="AH170" s="215"/>
    </row>
    <row r="171" spans="1:35" x14ac:dyDescent="0.2">
      <c r="A171" s="287" t="s">
        <v>8</v>
      </c>
      <c r="B171" s="266"/>
      <c r="C171" s="291"/>
      <c r="D171" s="291"/>
      <c r="E171" s="291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2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15"/>
    </row>
    <row r="172" spans="1:35" x14ac:dyDescent="0.2">
      <c r="A172" s="287" t="s">
        <v>775</v>
      </c>
      <c r="B172" s="266"/>
      <c r="C172" s="291"/>
      <c r="D172" s="291"/>
      <c r="E172" s="291"/>
      <c r="F172" s="290"/>
      <c r="G172" s="290">
        <v>9986</v>
      </c>
      <c r="H172" s="292">
        <v>1112</v>
      </c>
      <c r="I172" s="292"/>
      <c r="J172" s="292">
        <v>588</v>
      </c>
      <c r="K172" s="292"/>
      <c r="L172" s="292">
        <v>2784</v>
      </c>
      <c r="M172" s="292"/>
      <c r="N172" s="292">
        <v>1112</v>
      </c>
      <c r="O172" s="292"/>
      <c r="P172" s="292"/>
      <c r="Q172" s="292">
        <v>9451</v>
      </c>
      <c r="R172" s="292"/>
      <c r="S172" s="292"/>
      <c r="T172" s="292">
        <v>504</v>
      </c>
      <c r="U172" s="292"/>
      <c r="V172" s="292">
        <v>3437</v>
      </c>
      <c r="W172" s="292">
        <v>1784</v>
      </c>
      <c r="X172" s="292"/>
      <c r="Y172" s="292"/>
      <c r="Z172" s="292"/>
      <c r="AA172" s="292">
        <v>3012</v>
      </c>
      <c r="AB172" s="292"/>
      <c r="AC172" s="292">
        <v>540</v>
      </c>
      <c r="AD172" s="292"/>
      <c r="AE172" s="292"/>
      <c r="AF172" s="290">
        <v>4537</v>
      </c>
      <c r="AG172" s="290">
        <v>19212</v>
      </c>
      <c r="AH172" s="286">
        <f>SUM(C172:AG172)</f>
        <v>58059</v>
      </c>
    </row>
    <row r="173" spans="1:35" ht="13.5" thickBot="1" x14ac:dyDescent="0.25">
      <c r="A173" s="296"/>
      <c r="B173" s="266"/>
      <c r="C173" s="291"/>
      <c r="D173" s="291"/>
      <c r="E173" s="291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2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15"/>
    </row>
    <row r="174" spans="1:35" x14ac:dyDescent="0.2">
      <c r="A174" s="282"/>
      <c r="B174" s="266"/>
      <c r="C174" s="297"/>
      <c r="D174" s="298"/>
      <c r="E174" s="298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866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  <c r="AA174" s="299"/>
      <c r="AB174" s="299"/>
      <c r="AC174" s="299"/>
      <c r="AD174" s="299"/>
      <c r="AE174" s="299"/>
      <c r="AF174" s="299"/>
      <c r="AG174" s="299"/>
      <c r="AH174" s="215"/>
    </row>
    <row r="175" spans="1:35" x14ac:dyDescent="0.2">
      <c r="A175" s="287" t="s">
        <v>13</v>
      </c>
      <c r="B175" s="266"/>
      <c r="C175" s="300">
        <f t="shared" ref="C175:AE175" si="19">C170-C160</f>
        <v>0</v>
      </c>
      <c r="D175" s="300">
        <f t="shared" si="19"/>
        <v>0</v>
      </c>
      <c r="E175" s="300">
        <f t="shared" si="19"/>
        <v>0</v>
      </c>
      <c r="F175" s="300">
        <f t="shared" si="19"/>
        <v>0</v>
      </c>
      <c r="G175" s="300">
        <f t="shared" si="19"/>
        <v>0</v>
      </c>
      <c r="H175" s="300">
        <f t="shared" si="19"/>
        <v>0</v>
      </c>
      <c r="I175" s="300">
        <f t="shared" si="19"/>
        <v>0</v>
      </c>
      <c r="J175" s="300">
        <f t="shared" si="19"/>
        <v>0</v>
      </c>
      <c r="K175" s="300">
        <f t="shared" si="19"/>
        <v>0</v>
      </c>
      <c r="L175" s="300">
        <f t="shared" si="19"/>
        <v>0</v>
      </c>
      <c r="M175" s="300">
        <f t="shared" si="19"/>
        <v>0</v>
      </c>
      <c r="N175" s="300">
        <f t="shared" si="19"/>
        <v>0</v>
      </c>
      <c r="O175" s="300">
        <f t="shared" si="19"/>
        <v>0</v>
      </c>
      <c r="P175" s="867">
        <f t="shared" si="19"/>
        <v>0</v>
      </c>
      <c r="Q175" s="300">
        <f t="shared" si="19"/>
        <v>0</v>
      </c>
      <c r="R175" s="300">
        <f t="shared" si="19"/>
        <v>0</v>
      </c>
      <c r="S175" s="300">
        <f t="shared" si="19"/>
        <v>0</v>
      </c>
      <c r="T175" s="300">
        <f t="shared" si="19"/>
        <v>0</v>
      </c>
      <c r="U175" s="300">
        <f t="shared" si="19"/>
        <v>0</v>
      </c>
      <c r="V175" s="300">
        <f t="shared" si="19"/>
        <v>0</v>
      </c>
      <c r="W175" s="300">
        <f t="shared" si="19"/>
        <v>0</v>
      </c>
      <c r="X175" s="300">
        <f t="shared" si="19"/>
        <v>0</v>
      </c>
      <c r="Y175" s="300">
        <f t="shared" si="19"/>
        <v>0</v>
      </c>
      <c r="Z175" s="300">
        <f t="shared" si="19"/>
        <v>0</v>
      </c>
      <c r="AA175" s="300">
        <f t="shared" si="19"/>
        <v>0</v>
      </c>
      <c r="AB175" s="300">
        <f t="shared" si="19"/>
        <v>0</v>
      </c>
      <c r="AC175" s="300">
        <f t="shared" si="19"/>
        <v>0</v>
      </c>
      <c r="AD175" s="300">
        <f t="shared" si="19"/>
        <v>0</v>
      </c>
      <c r="AE175" s="300">
        <f t="shared" si="19"/>
        <v>0</v>
      </c>
      <c r="AF175" s="300">
        <f>AF170-AF160</f>
        <v>0</v>
      </c>
      <c r="AG175" s="300">
        <f>AG170-AG160</f>
        <v>0</v>
      </c>
      <c r="AH175" s="215"/>
    </row>
    <row r="176" spans="1:35" ht="13.5" thickBot="1" x14ac:dyDescent="0.25">
      <c r="A176" s="287"/>
      <c r="B176" s="266"/>
      <c r="C176" s="300"/>
      <c r="D176" s="291"/>
      <c r="E176" s="291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2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15"/>
      <c r="AI176" t="s">
        <v>813</v>
      </c>
    </row>
    <row r="177" spans="1:34" x14ac:dyDescent="0.2">
      <c r="A177" s="263"/>
      <c r="B177" s="264"/>
      <c r="C177" s="301"/>
      <c r="D177" s="298"/>
      <c r="E177" s="298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866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  <c r="AB177" s="299"/>
      <c r="AC177" s="299"/>
      <c r="AD177" s="299"/>
      <c r="AE177" s="299"/>
      <c r="AF177" s="299"/>
      <c r="AG177" s="299"/>
      <c r="AH177" s="215"/>
    </row>
    <row r="178" spans="1:34" x14ac:dyDescent="0.2">
      <c r="A178" s="265" t="s">
        <v>15</v>
      </c>
      <c r="B178" s="266"/>
      <c r="C178" s="291">
        <f>B157+C175</f>
        <v>-29756.991000000002</v>
      </c>
      <c r="D178" s="291">
        <f t="shared" ref="D178:AE178" si="20">C185+D175</f>
        <v>-29756.991000000002</v>
      </c>
      <c r="E178" s="291">
        <f t="shared" si="20"/>
        <v>-29756.991000000002</v>
      </c>
      <c r="F178" s="291">
        <f t="shared" si="20"/>
        <v>-29756.991000000002</v>
      </c>
      <c r="G178" s="291">
        <f t="shared" si="20"/>
        <v>-29756.991000000002</v>
      </c>
      <c r="H178" s="291">
        <f t="shared" si="20"/>
        <v>-29756.991000000002</v>
      </c>
      <c r="I178" s="291">
        <f t="shared" si="20"/>
        <v>-29756.991000000002</v>
      </c>
      <c r="J178" s="291">
        <f t="shared" si="20"/>
        <v>-29756.991000000002</v>
      </c>
      <c r="K178" s="291">
        <f t="shared" si="20"/>
        <v>-29756.991000000002</v>
      </c>
      <c r="L178" s="291">
        <f t="shared" si="20"/>
        <v>-29756.991000000002</v>
      </c>
      <c r="M178" s="291">
        <f t="shared" si="20"/>
        <v>-29756.991000000002</v>
      </c>
      <c r="N178" s="291">
        <f t="shared" si="20"/>
        <v>-29756.991000000002</v>
      </c>
      <c r="O178" s="291">
        <f t="shared" si="20"/>
        <v>-29756.991000000002</v>
      </c>
      <c r="P178" s="289">
        <f t="shared" si="20"/>
        <v>-29756.991000000002</v>
      </c>
      <c r="Q178" s="291">
        <f t="shared" si="20"/>
        <v>-29756.991000000002</v>
      </c>
      <c r="R178" s="291">
        <f>Q185+R175</f>
        <v>-29756.991000000002</v>
      </c>
      <c r="S178" s="291">
        <f>R185+S175</f>
        <v>-29756.991000000002</v>
      </c>
      <c r="T178" s="291">
        <f>S185+T175</f>
        <v>-29756.991000000002</v>
      </c>
      <c r="U178" s="291">
        <f>T185+U175</f>
        <v>-29756.991000000002</v>
      </c>
      <c r="V178" s="291">
        <f>U185+V175</f>
        <v>-29756.991000000002</v>
      </c>
      <c r="W178" s="291">
        <f t="shared" si="20"/>
        <v>-29756.991000000002</v>
      </c>
      <c r="X178" s="291">
        <f t="shared" si="20"/>
        <v>-29756.991000000002</v>
      </c>
      <c r="Y178" s="291">
        <f t="shared" si="20"/>
        <v>-29756.991000000002</v>
      </c>
      <c r="Z178" s="291">
        <f t="shared" si="20"/>
        <v>-29756.991000000002</v>
      </c>
      <c r="AA178" s="291">
        <f t="shared" si="20"/>
        <v>-29756.991000000002</v>
      </c>
      <c r="AB178" s="291">
        <f t="shared" si="20"/>
        <v>-29756.991000000002</v>
      </c>
      <c r="AC178" s="291">
        <f t="shared" si="20"/>
        <v>-29756.991000000002</v>
      </c>
      <c r="AD178" s="291">
        <f t="shared" si="20"/>
        <v>-29756.991000000002</v>
      </c>
      <c r="AE178" s="291">
        <f t="shared" si="20"/>
        <v>-29756.991000000002</v>
      </c>
      <c r="AF178" s="291">
        <f>AE185+AF175</f>
        <v>-29756.991000000002</v>
      </c>
      <c r="AG178" s="291">
        <f>AF185+AG175</f>
        <v>-29756.991000000002</v>
      </c>
      <c r="AH178" s="215"/>
    </row>
    <row r="179" spans="1:34" ht="13.5" thickBot="1" x14ac:dyDescent="0.25">
      <c r="A179" s="275"/>
      <c r="B179" s="302"/>
      <c r="C179" s="303"/>
      <c r="D179" s="303"/>
      <c r="E179" s="303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868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215"/>
    </row>
    <row r="180" spans="1:34" x14ac:dyDescent="0.2">
      <c r="A180" s="263"/>
      <c r="B180" s="264"/>
      <c r="C180" s="298"/>
      <c r="D180" s="298"/>
      <c r="E180" s="298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866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  <c r="AB180" s="299"/>
      <c r="AC180" s="299"/>
      <c r="AD180" s="299"/>
      <c r="AE180" s="299"/>
      <c r="AF180" s="299"/>
      <c r="AG180" s="299"/>
      <c r="AH180" s="215"/>
    </row>
    <row r="181" spans="1:34" x14ac:dyDescent="0.2">
      <c r="A181" s="265" t="s">
        <v>82</v>
      </c>
      <c r="B181" s="266"/>
      <c r="C181" s="291">
        <f t="shared" ref="C181:AE182" si="21">C189</f>
        <v>0</v>
      </c>
      <c r="D181" s="291">
        <f t="shared" si="21"/>
        <v>0</v>
      </c>
      <c r="E181" s="291">
        <f t="shared" si="21"/>
        <v>0</v>
      </c>
      <c r="F181" s="291">
        <f t="shared" si="21"/>
        <v>0</v>
      </c>
      <c r="G181" s="291">
        <f t="shared" si="21"/>
        <v>0</v>
      </c>
      <c r="H181" s="291">
        <f t="shared" si="21"/>
        <v>0</v>
      </c>
      <c r="I181" s="291">
        <f t="shared" si="21"/>
        <v>0</v>
      </c>
      <c r="J181" s="291">
        <f t="shared" si="21"/>
        <v>0</v>
      </c>
      <c r="K181" s="291">
        <f t="shared" si="21"/>
        <v>0</v>
      </c>
      <c r="L181" s="291">
        <f t="shared" si="21"/>
        <v>0</v>
      </c>
      <c r="M181" s="291">
        <f t="shared" si="21"/>
        <v>0</v>
      </c>
      <c r="N181" s="291">
        <f t="shared" si="21"/>
        <v>0</v>
      </c>
      <c r="O181" s="291">
        <f t="shared" si="21"/>
        <v>0</v>
      </c>
      <c r="P181" s="289">
        <f t="shared" si="21"/>
        <v>0</v>
      </c>
      <c r="Q181" s="291">
        <f t="shared" si="21"/>
        <v>0</v>
      </c>
      <c r="R181" s="291">
        <f t="shared" si="21"/>
        <v>0</v>
      </c>
      <c r="S181" s="291">
        <f t="shared" si="21"/>
        <v>0</v>
      </c>
      <c r="T181" s="291">
        <f t="shared" si="21"/>
        <v>0</v>
      </c>
      <c r="U181" s="291">
        <f t="shared" si="21"/>
        <v>0</v>
      </c>
      <c r="V181" s="291">
        <f t="shared" si="21"/>
        <v>0</v>
      </c>
      <c r="W181" s="291">
        <f t="shared" si="21"/>
        <v>0</v>
      </c>
      <c r="X181" s="291">
        <f t="shared" si="21"/>
        <v>0</v>
      </c>
      <c r="Y181" s="291">
        <f t="shared" si="21"/>
        <v>0</v>
      </c>
      <c r="Z181" s="291">
        <f t="shared" si="21"/>
        <v>0</v>
      </c>
      <c r="AA181" s="291">
        <f t="shared" si="21"/>
        <v>0</v>
      </c>
      <c r="AB181" s="291">
        <f t="shared" si="21"/>
        <v>0</v>
      </c>
      <c r="AC181" s="291">
        <f t="shared" si="21"/>
        <v>0</v>
      </c>
      <c r="AD181" s="291">
        <f t="shared" si="21"/>
        <v>0</v>
      </c>
      <c r="AE181" s="291">
        <f t="shared" si="21"/>
        <v>0</v>
      </c>
      <c r="AF181" s="291">
        <f>AF189</f>
        <v>0</v>
      </c>
      <c r="AG181" s="291">
        <f>AG189</f>
        <v>0</v>
      </c>
      <c r="AH181" s="215"/>
    </row>
    <row r="182" spans="1:34" x14ac:dyDescent="0.2">
      <c r="A182" s="265" t="s">
        <v>83</v>
      </c>
      <c r="B182" s="266"/>
      <c r="C182" s="289">
        <f t="shared" si="21"/>
        <v>0</v>
      </c>
      <c r="D182" s="289">
        <f t="shared" si="21"/>
        <v>0</v>
      </c>
      <c r="E182" s="289">
        <f t="shared" si="21"/>
        <v>0</v>
      </c>
      <c r="F182" s="289">
        <f t="shared" si="21"/>
        <v>0</v>
      </c>
      <c r="G182" s="289">
        <f t="shared" si="21"/>
        <v>0</v>
      </c>
      <c r="H182" s="289">
        <f t="shared" si="21"/>
        <v>0</v>
      </c>
      <c r="I182" s="289">
        <f t="shared" si="21"/>
        <v>0</v>
      </c>
      <c r="J182" s="289">
        <f t="shared" si="21"/>
        <v>0</v>
      </c>
      <c r="K182" s="289">
        <f t="shared" si="21"/>
        <v>0</v>
      </c>
      <c r="L182" s="289">
        <f t="shared" si="21"/>
        <v>0</v>
      </c>
      <c r="M182" s="289">
        <f t="shared" si="21"/>
        <v>0</v>
      </c>
      <c r="N182" s="289">
        <f t="shared" si="21"/>
        <v>0</v>
      </c>
      <c r="O182" s="289">
        <f t="shared" si="21"/>
        <v>0</v>
      </c>
      <c r="P182" s="289">
        <f t="shared" si="21"/>
        <v>0</v>
      </c>
      <c r="Q182" s="289">
        <f t="shared" si="21"/>
        <v>0</v>
      </c>
      <c r="R182" s="289">
        <f t="shared" si="21"/>
        <v>0</v>
      </c>
      <c r="S182" s="289">
        <f t="shared" si="21"/>
        <v>0</v>
      </c>
      <c r="T182" s="289">
        <f t="shared" si="21"/>
        <v>0</v>
      </c>
      <c r="U182" s="289">
        <f t="shared" si="21"/>
        <v>0</v>
      </c>
      <c r="V182" s="289">
        <f t="shared" si="21"/>
        <v>0</v>
      </c>
      <c r="W182" s="289">
        <f t="shared" si="21"/>
        <v>0</v>
      </c>
      <c r="X182" s="289">
        <f t="shared" si="21"/>
        <v>0</v>
      </c>
      <c r="Y182" s="289">
        <f t="shared" si="21"/>
        <v>0</v>
      </c>
      <c r="Z182" s="289">
        <f t="shared" si="21"/>
        <v>0</v>
      </c>
      <c r="AA182" s="289">
        <f t="shared" si="21"/>
        <v>0</v>
      </c>
      <c r="AB182" s="289">
        <f t="shared" si="21"/>
        <v>0</v>
      </c>
      <c r="AC182" s="289">
        <f t="shared" si="21"/>
        <v>0</v>
      </c>
      <c r="AD182" s="289">
        <f t="shared" si="21"/>
        <v>0</v>
      </c>
      <c r="AE182" s="289">
        <f t="shared" si="21"/>
        <v>0</v>
      </c>
      <c r="AF182" s="289">
        <f>AF190</f>
        <v>0</v>
      </c>
      <c r="AG182" s="289">
        <f>AG190</f>
        <v>0</v>
      </c>
      <c r="AH182" s="215"/>
    </row>
    <row r="183" spans="1:34" ht="13.5" thickBot="1" x14ac:dyDescent="0.25">
      <c r="A183" s="275"/>
      <c r="B183" s="302"/>
      <c r="C183" s="303"/>
      <c r="D183" s="303"/>
      <c r="E183" s="303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868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215"/>
    </row>
    <row r="184" spans="1:34" x14ac:dyDescent="0.2">
      <c r="A184" s="265"/>
      <c r="B184" s="266"/>
      <c r="C184" s="291"/>
      <c r="D184" s="291"/>
      <c r="E184" s="291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2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309"/>
    </row>
    <row r="185" spans="1:34" x14ac:dyDescent="0.2">
      <c r="A185" s="265" t="s">
        <v>14</v>
      </c>
      <c r="B185" s="266"/>
      <c r="C185" s="291">
        <f t="shared" ref="C185:AE185" si="22">C178+C181+C182</f>
        <v>-29756.991000000002</v>
      </c>
      <c r="D185" s="291">
        <f t="shared" si="22"/>
        <v>-29756.991000000002</v>
      </c>
      <c r="E185" s="291">
        <f t="shared" si="22"/>
        <v>-29756.991000000002</v>
      </c>
      <c r="F185" s="291">
        <f t="shared" si="22"/>
        <v>-29756.991000000002</v>
      </c>
      <c r="G185" s="291">
        <f t="shared" si="22"/>
        <v>-29756.991000000002</v>
      </c>
      <c r="H185" s="291">
        <f t="shared" si="22"/>
        <v>-29756.991000000002</v>
      </c>
      <c r="I185" s="291">
        <f t="shared" si="22"/>
        <v>-29756.991000000002</v>
      </c>
      <c r="J185" s="291">
        <f t="shared" si="22"/>
        <v>-29756.991000000002</v>
      </c>
      <c r="K185" s="291">
        <f t="shared" si="22"/>
        <v>-29756.991000000002</v>
      </c>
      <c r="L185" s="291">
        <f t="shared" si="22"/>
        <v>-29756.991000000002</v>
      </c>
      <c r="M185" s="291">
        <f t="shared" si="22"/>
        <v>-29756.991000000002</v>
      </c>
      <c r="N185" s="291">
        <f t="shared" si="22"/>
        <v>-29756.991000000002</v>
      </c>
      <c r="O185" s="291">
        <f t="shared" si="22"/>
        <v>-29756.991000000002</v>
      </c>
      <c r="P185" s="289">
        <f t="shared" si="22"/>
        <v>-29756.991000000002</v>
      </c>
      <c r="Q185" s="291">
        <f t="shared" si="22"/>
        <v>-29756.991000000002</v>
      </c>
      <c r="R185" s="291">
        <f t="shared" si="22"/>
        <v>-29756.991000000002</v>
      </c>
      <c r="S185" s="291">
        <f t="shared" si="22"/>
        <v>-29756.991000000002</v>
      </c>
      <c r="T185" s="291">
        <f t="shared" si="22"/>
        <v>-29756.991000000002</v>
      </c>
      <c r="U185" s="291">
        <f t="shared" si="22"/>
        <v>-29756.991000000002</v>
      </c>
      <c r="V185" s="291">
        <f t="shared" si="22"/>
        <v>-29756.991000000002</v>
      </c>
      <c r="W185" s="291">
        <f t="shared" si="22"/>
        <v>-29756.991000000002</v>
      </c>
      <c r="X185" s="291">
        <f t="shared" si="22"/>
        <v>-29756.991000000002</v>
      </c>
      <c r="Y185" s="291">
        <f t="shared" si="22"/>
        <v>-29756.991000000002</v>
      </c>
      <c r="Z185" s="291">
        <f t="shared" si="22"/>
        <v>-29756.991000000002</v>
      </c>
      <c r="AA185" s="291">
        <f t="shared" si="22"/>
        <v>-29756.991000000002</v>
      </c>
      <c r="AB185" s="291">
        <f t="shared" si="22"/>
        <v>-29756.991000000002</v>
      </c>
      <c r="AC185" s="291">
        <f t="shared" si="22"/>
        <v>-29756.991000000002</v>
      </c>
      <c r="AD185" s="291">
        <f t="shared" si="22"/>
        <v>-29756.991000000002</v>
      </c>
      <c r="AE185" s="291">
        <f t="shared" si="22"/>
        <v>-29756.991000000002</v>
      </c>
      <c r="AF185" s="291">
        <f>AF178+AF181+AF182</f>
        <v>-29756.991000000002</v>
      </c>
      <c r="AG185" s="291">
        <f>AG178+AG181+AG182</f>
        <v>-29756.991000000002</v>
      </c>
      <c r="AH185" s="308"/>
    </row>
    <row r="186" spans="1:34" x14ac:dyDescent="0.2">
      <c r="A186" s="265"/>
      <c r="B186" s="266"/>
      <c r="C186" s="291"/>
      <c r="D186" s="291"/>
      <c r="E186" s="291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2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309"/>
    </row>
    <row r="187" spans="1:34" ht="13.5" thickBot="1" x14ac:dyDescent="0.25">
      <c r="A187" s="275"/>
      <c r="B187" s="302"/>
      <c r="C187" s="306"/>
      <c r="D187" s="306"/>
      <c r="E187" s="306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869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9"/>
    </row>
    <row r="188" spans="1:34" x14ac:dyDescent="0.2">
      <c r="A188" s="310"/>
      <c r="B188" s="215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308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309"/>
    </row>
    <row r="189" spans="1:34" x14ac:dyDescent="0.2">
      <c r="A189" s="312"/>
      <c r="B189" s="475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629"/>
      <c r="P189" s="629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408"/>
      <c r="AB189" s="311"/>
      <c r="AC189" s="311"/>
      <c r="AD189" s="311"/>
      <c r="AE189" s="311"/>
      <c r="AF189" s="311"/>
      <c r="AG189" s="311"/>
      <c r="AH189" s="308"/>
    </row>
    <row r="190" spans="1:34" x14ac:dyDescent="0.2">
      <c r="A190" s="310"/>
      <c r="B190" s="215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  <c r="O190" s="311"/>
      <c r="P190" s="629"/>
      <c r="Q190" s="311"/>
      <c r="R190" s="311"/>
      <c r="S190" s="311"/>
      <c r="T190" s="311"/>
      <c r="U190" s="311"/>
      <c r="V190" s="311"/>
      <c r="W190" s="311"/>
      <c r="X190" s="311"/>
      <c r="Y190" s="311"/>
      <c r="Z190" s="311"/>
      <c r="AA190" s="311"/>
      <c r="AB190" s="311"/>
      <c r="AC190" s="311"/>
      <c r="AD190" s="311"/>
      <c r="AE190" s="311"/>
      <c r="AF190" s="311"/>
      <c r="AG190" s="311"/>
      <c r="AH190" s="308"/>
    </row>
    <row r="191" spans="1:34" x14ac:dyDescent="0.2">
      <c r="A191" s="358" t="s">
        <v>415</v>
      </c>
      <c r="B191" s="359">
        <f>SUM(B192:B195)</f>
        <v>375000</v>
      </c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215"/>
      <c r="T191" s="456"/>
      <c r="U191" s="262"/>
      <c r="V191" s="215"/>
      <c r="W191" s="215"/>
      <c r="X191" s="215"/>
      <c r="Y191" s="215"/>
      <c r="Z191" s="215"/>
      <c r="AA191" s="408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27" t="s">
        <v>414</v>
      </c>
      <c r="B192" s="311">
        <v>25000</v>
      </c>
      <c r="C192" s="215"/>
      <c r="D192" s="30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27" t="s">
        <v>287</v>
      </c>
      <c r="B193" s="311">
        <v>200000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309"/>
      <c r="Q193" s="215"/>
      <c r="R193" s="215"/>
      <c r="S193" s="311"/>
      <c r="T193" s="320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310" t="s">
        <v>413</v>
      </c>
      <c r="B194" s="329">
        <v>75000</v>
      </c>
      <c r="C194" s="215"/>
      <c r="D194" s="215"/>
      <c r="E194" s="215"/>
      <c r="F194" s="215"/>
      <c r="G194" s="215"/>
      <c r="H194" s="215"/>
      <c r="I194" s="215"/>
      <c r="J194" s="215"/>
      <c r="K194" s="215"/>
      <c r="L194" s="286"/>
      <c r="M194" s="215"/>
      <c r="N194" s="215"/>
      <c r="O194" s="215"/>
      <c r="P194" s="309"/>
      <c r="Q194" s="215"/>
      <c r="R194" s="215"/>
      <c r="S194" s="311"/>
      <c r="T194" s="320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x14ac:dyDescent="0.2">
      <c r="A195" s="310" t="s">
        <v>441</v>
      </c>
      <c r="B195" s="311">
        <v>75000</v>
      </c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309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</row>
    <row r="197" spans="1:34" ht="13.5" thickBot="1" x14ac:dyDescent="0.25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5"/>
      <c r="O197" s="215"/>
      <c r="P197" s="309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 s="215"/>
      <c r="AC197" s="215"/>
      <c r="AD197" s="215"/>
      <c r="AE197" s="215"/>
      <c r="AF197" s="215"/>
      <c r="AG197" s="215"/>
      <c r="AH197" s="215"/>
    </row>
    <row r="198" spans="1:34" x14ac:dyDescent="0.2">
      <c r="A198" s="263"/>
      <c r="B198" s="264"/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860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15"/>
    </row>
    <row r="199" spans="1:34" x14ac:dyDescent="0.2">
      <c r="A199" s="265"/>
      <c r="B199" s="266" t="s">
        <v>37</v>
      </c>
      <c r="C199" s="266"/>
      <c r="D199" s="266"/>
      <c r="E199" s="267" t="s">
        <v>651</v>
      </c>
      <c r="F199" s="268" t="s">
        <v>96</v>
      </c>
      <c r="G199" s="269"/>
      <c r="H199" s="268"/>
      <c r="I199" s="268"/>
      <c r="J199" s="268"/>
      <c r="K199" s="268"/>
      <c r="L199" s="268"/>
      <c r="M199" s="268"/>
      <c r="N199" s="268"/>
      <c r="O199" s="268"/>
      <c r="P199" s="861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15"/>
    </row>
    <row r="200" spans="1:34" x14ac:dyDescent="0.2">
      <c r="A200" s="265"/>
      <c r="B200" s="266"/>
      <c r="C200" s="266"/>
      <c r="D200" s="268"/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x14ac:dyDescent="0.2">
      <c r="A201" s="265"/>
      <c r="B201" s="266"/>
      <c r="C201" s="268"/>
      <c r="D201" s="268">
        <v>42159</v>
      </c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x14ac:dyDescent="0.2">
      <c r="A202" s="265"/>
      <c r="B202" s="266"/>
      <c r="C202" s="268"/>
      <c r="D202" s="268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79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15"/>
    </row>
    <row r="203" spans="1:34" ht="13.5" thickBot="1" x14ac:dyDescent="0.25">
      <c r="A203" s="265"/>
      <c r="B203" s="266"/>
      <c r="C203" s="266"/>
      <c r="D203" s="266"/>
      <c r="E203" s="266"/>
      <c r="F203" s="266"/>
      <c r="G203" s="266"/>
      <c r="H203" s="266"/>
      <c r="I203" s="266"/>
      <c r="J203" s="266"/>
      <c r="K203" s="266"/>
      <c r="L203" s="266"/>
      <c r="M203" s="266"/>
      <c r="N203" s="266"/>
      <c r="O203" s="266"/>
      <c r="P203" s="279"/>
      <c r="Q203" s="266"/>
      <c r="R203" s="266"/>
      <c r="S203" s="266"/>
      <c r="T203" s="266"/>
      <c r="U203" s="266"/>
      <c r="V203" s="266"/>
      <c r="W203" s="266"/>
      <c r="X203" s="266"/>
      <c r="Y203" s="266"/>
      <c r="Z203" s="266"/>
      <c r="AA203" s="266"/>
      <c r="AB203" s="266"/>
      <c r="AC203" s="266"/>
      <c r="AD203" s="266"/>
      <c r="AE203" s="266"/>
      <c r="AF203" s="266"/>
      <c r="AG203" s="266"/>
      <c r="AH203" s="215"/>
    </row>
    <row r="204" spans="1:34" ht="13.5" thickBot="1" x14ac:dyDescent="0.25">
      <c r="A204" s="265"/>
      <c r="B204" s="266"/>
      <c r="C204" s="270"/>
      <c r="D204" s="271" t="s">
        <v>16</v>
      </c>
      <c r="E204" s="271"/>
      <c r="F204" s="271"/>
      <c r="G204" s="271"/>
      <c r="H204" s="271"/>
      <c r="I204" s="271"/>
      <c r="J204" s="271"/>
      <c r="K204" s="271"/>
      <c r="L204" s="271"/>
      <c r="M204" s="271"/>
      <c r="N204" s="271"/>
      <c r="O204" s="271"/>
      <c r="P204" s="862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  <c r="AA204" s="271"/>
      <c r="AB204" s="271"/>
      <c r="AC204" s="271"/>
      <c r="AD204" s="271"/>
      <c r="AE204" s="271"/>
      <c r="AF204" s="271"/>
      <c r="AG204" s="271"/>
      <c r="AH204" s="215"/>
    </row>
    <row r="205" spans="1:34" ht="13.5" thickBot="1" x14ac:dyDescent="0.25">
      <c r="A205" s="265"/>
      <c r="B205" s="266"/>
      <c r="C205" s="272" t="s">
        <v>452</v>
      </c>
      <c r="D205" s="272" t="s">
        <v>453</v>
      </c>
      <c r="E205" s="272" t="s">
        <v>434</v>
      </c>
      <c r="F205" s="272" t="s">
        <v>390</v>
      </c>
      <c r="G205" s="272" t="s">
        <v>454</v>
      </c>
      <c r="H205" s="272" t="s">
        <v>455</v>
      </c>
      <c r="I205" s="272" t="s">
        <v>456</v>
      </c>
      <c r="J205" s="272" t="s">
        <v>457</v>
      </c>
      <c r="K205" s="272" t="s">
        <v>458</v>
      </c>
      <c r="L205" s="272" t="s">
        <v>216</v>
      </c>
      <c r="M205" s="272" t="s">
        <v>459</v>
      </c>
      <c r="N205" s="272" t="s">
        <v>297</v>
      </c>
      <c r="O205" s="272" t="s">
        <v>211</v>
      </c>
      <c r="P205" s="863" t="s">
        <v>270</v>
      </c>
      <c r="Q205" s="272"/>
      <c r="R205" s="272" t="s">
        <v>469</v>
      </c>
      <c r="S205" s="272" t="s">
        <v>461</v>
      </c>
      <c r="T205" s="272" t="s">
        <v>442</v>
      </c>
      <c r="U205" s="272" t="s">
        <v>462</v>
      </c>
      <c r="V205" s="272" t="s">
        <v>470</v>
      </c>
      <c r="W205" s="272" t="s">
        <v>471</v>
      </c>
      <c r="X205" s="272" t="s">
        <v>472</v>
      </c>
      <c r="Y205" s="272" t="s">
        <v>463</v>
      </c>
      <c r="Z205" s="272" t="s">
        <v>465</v>
      </c>
      <c r="AA205" s="272" t="s">
        <v>466</v>
      </c>
      <c r="AB205" s="272" t="s">
        <v>435</v>
      </c>
      <c r="AC205" s="272" t="s">
        <v>467</v>
      </c>
      <c r="AD205" s="272" t="s">
        <v>464</v>
      </c>
      <c r="AE205" s="272" t="s">
        <v>429</v>
      </c>
      <c r="AF205" s="272" t="s">
        <v>149</v>
      </c>
      <c r="AG205" s="272" t="s">
        <v>210</v>
      </c>
      <c r="AH205" s="215"/>
    </row>
    <row r="206" spans="1:34" x14ac:dyDescent="0.2">
      <c r="A206" s="263"/>
      <c r="B206" s="273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x14ac:dyDescent="0.2">
      <c r="A207" s="265" t="s">
        <v>0</v>
      </c>
      <c r="B207" s="274">
        <v>-16154.588</v>
      </c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ht="13.5" thickBot="1" x14ac:dyDescent="0.25">
      <c r="A208" s="275"/>
      <c r="B208" s="27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3"/>
      <c r="B209" s="278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1</v>
      </c>
      <c r="B210" s="274">
        <f>B211+B212+B213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38</v>
      </c>
      <c r="B211" s="274">
        <f>C259</f>
        <v>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x14ac:dyDescent="0.2">
      <c r="A212" s="265" t="s">
        <v>39</v>
      </c>
      <c r="B212" s="274">
        <f>C281</f>
        <v>0</v>
      </c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x14ac:dyDescent="0.2">
      <c r="A213" s="265" t="s">
        <v>3</v>
      </c>
      <c r="B213" s="274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ht="13.5" thickBot="1" x14ac:dyDescent="0.25">
      <c r="A214" s="275"/>
      <c r="B214" s="27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x14ac:dyDescent="0.2">
      <c r="A215" s="263"/>
      <c r="B215" s="278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x14ac:dyDescent="0.2">
      <c r="A216" s="265" t="s">
        <v>4</v>
      </c>
      <c r="B216" s="274">
        <f>B207-B210</f>
        <v>-16154.588</v>
      </c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ht="13.5" thickBot="1" x14ac:dyDescent="0.25">
      <c r="A217" s="275"/>
      <c r="B217" s="276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x14ac:dyDescent="0.2">
      <c r="A218" s="263"/>
      <c r="B218" s="278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x14ac:dyDescent="0.2">
      <c r="A219" s="265" t="s">
        <v>17</v>
      </c>
      <c r="B219" s="274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266"/>
      <c r="Y219" s="266"/>
      <c r="Z219" s="266"/>
      <c r="AA219" s="266"/>
      <c r="AB219" s="266"/>
      <c r="AC219" s="266"/>
      <c r="AD219" s="266"/>
      <c r="AE219" s="266"/>
      <c r="AF219" s="266"/>
      <c r="AG219" s="266"/>
      <c r="AH219" s="215"/>
    </row>
    <row r="220" spans="1:34" ht="13.5" thickBot="1" x14ac:dyDescent="0.25">
      <c r="A220" s="275"/>
      <c r="B220" s="276"/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  <c r="N220" s="266"/>
      <c r="O220" s="266"/>
      <c r="P220" s="279"/>
      <c r="Q220" s="266"/>
      <c r="R220" s="266"/>
      <c r="S220" s="266"/>
      <c r="T220" s="266"/>
      <c r="U220" s="266"/>
      <c r="V220" s="266"/>
      <c r="W220" s="266"/>
      <c r="X220" s="330"/>
      <c r="Y220" s="266"/>
      <c r="Z220" s="266"/>
      <c r="AA220" s="266"/>
      <c r="AB220" s="266"/>
      <c r="AC220" s="266"/>
      <c r="AD220" s="266"/>
      <c r="AE220" s="266"/>
      <c r="AF220" s="266"/>
      <c r="AG220" s="266"/>
      <c r="AH220" s="215"/>
    </row>
    <row r="221" spans="1:34" x14ac:dyDescent="0.2">
      <c r="A221" s="263"/>
      <c r="B221" s="278"/>
      <c r="C221" s="266"/>
      <c r="D221" s="269"/>
      <c r="E221" s="266"/>
      <c r="F221" s="266"/>
      <c r="G221" s="266"/>
      <c r="H221" s="266"/>
      <c r="I221" s="266"/>
      <c r="J221" s="269"/>
      <c r="K221" s="266"/>
      <c r="L221" s="266"/>
      <c r="M221" s="266"/>
      <c r="N221" s="266"/>
      <c r="O221" s="266"/>
      <c r="P221" s="279"/>
      <c r="Q221" s="266"/>
      <c r="R221" s="266"/>
      <c r="S221" s="266"/>
      <c r="T221" s="266"/>
      <c r="U221" s="269"/>
      <c r="V221" s="266"/>
      <c r="W221" s="266"/>
      <c r="X221" s="266"/>
      <c r="Y221" s="266"/>
      <c r="Z221" s="266"/>
      <c r="AA221" s="266"/>
      <c r="AB221" s="266"/>
      <c r="AC221" s="810"/>
      <c r="AD221" s="802"/>
      <c r="AE221" s="269"/>
      <c r="AF221" s="268"/>
      <c r="AG221" s="269"/>
      <c r="AH221" s="215"/>
    </row>
    <row r="222" spans="1:34" x14ac:dyDescent="0.2">
      <c r="A222" s="265" t="s">
        <v>5</v>
      </c>
      <c r="B222" s="274">
        <f>B216-B219</f>
        <v>-16154.588</v>
      </c>
      <c r="C222" s="409"/>
      <c r="D222" s="269"/>
      <c r="E222" s="269"/>
      <c r="G222" s="269"/>
      <c r="H222" s="269"/>
      <c r="I222" s="269"/>
      <c r="J222" s="269"/>
      <c r="K222" s="281"/>
      <c r="L222" s="269"/>
      <c r="M222" s="269"/>
      <c r="N222" s="281"/>
      <c r="O222" s="269"/>
      <c r="P222" s="279"/>
      <c r="Q222" s="281"/>
      <c r="R222" s="266"/>
      <c r="S222" s="269"/>
      <c r="T222" s="269"/>
      <c r="U222" s="269"/>
      <c r="V222" s="269"/>
      <c r="W222" s="269"/>
      <c r="X222" s="710"/>
      <c r="Y222" s="269"/>
      <c r="Z222" s="266"/>
      <c r="AA222" s="269"/>
      <c r="AB222" s="269"/>
      <c r="AC222" s="810"/>
      <c r="AD222" s="802"/>
      <c r="AE222" s="269"/>
      <c r="AF222" s="269"/>
      <c r="AG222" s="269"/>
      <c r="AH222" s="215"/>
    </row>
    <row r="223" spans="1:34" ht="13.5" thickBot="1" x14ac:dyDescent="0.25">
      <c r="A223" s="275"/>
      <c r="B223" s="276"/>
      <c r="D223" s="266"/>
      <c r="E223" s="266"/>
      <c r="F223" s="266"/>
      <c r="G223" s="266"/>
      <c r="H223" s="266"/>
      <c r="I223" s="266"/>
      <c r="J223" s="269"/>
      <c r="K223" s="266"/>
      <c r="L223" s="266"/>
      <c r="M223" s="266"/>
      <c r="N223" s="266"/>
      <c r="O223" s="266"/>
      <c r="P223" s="279"/>
      <c r="Q223" s="266"/>
      <c r="R223" s="266"/>
      <c r="S223" s="266"/>
      <c r="T223" s="266"/>
      <c r="U223" s="269"/>
      <c r="V223" s="266"/>
      <c r="W223" s="266"/>
      <c r="X223" s="266"/>
      <c r="Y223" s="266"/>
      <c r="Z223" s="266"/>
      <c r="AA223" s="266"/>
      <c r="AB223" s="266"/>
      <c r="AC223" s="266"/>
      <c r="AD223" s="266"/>
      <c r="AE223" s="266"/>
      <c r="AF223" s="266"/>
      <c r="AG223" s="266"/>
      <c r="AH223" s="215"/>
    </row>
    <row r="224" spans="1:34" x14ac:dyDescent="0.2">
      <c r="A224" s="282"/>
      <c r="B224" s="266"/>
      <c r="C224" s="283"/>
      <c r="D224" s="285"/>
      <c r="E224" s="284"/>
      <c r="F224" s="284"/>
      <c r="G224" s="284"/>
      <c r="H224" s="284"/>
      <c r="I224" s="284"/>
      <c r="J224" s="284"/>
      <c r="K224" s="284"/>
      <c r="L224" s="284"/>
      <c r="M224" s="284"/>
      <c r="N224" s="284"/>
      <c r="O224" s="284"/>
      <c r="P224" s="86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15"/>
    </row>
    <row r="225" spans="1:34" ht="13.5" thickBot="1" x14ac:dyDescent="0.25">
      <c r="A225" s="287" t="s">
        <v>7</v>
      </c>
      <c r="B225" s="266"/>
      <c r="C225" s="288">
        <f>C226+C227+C228+C230+C229</f>
        <v>0</v>
      </c>
      <c r="D225" s="288">
        <f>D226+D227+D228+D230+D229</f>
        <v>0</v>
      </c>
      <c r="E225" s="288">
        <f>E226+E227+E228+E230+E229</f>
        <v>0</v>
      </c>
      <c r="F225" s="288">
        <f>F226+F227+F228+F230+F229</f>
        <v>0</v>
      </c>
      <c r="G225" s="288">
        <f>G226+G227+G228+G230+G229</f>
        <v>0</v>
      </c>
      <c r="H225" s="288">
        <f t="shared" ref="H225:AG225" si="23">H226+H227+H228+H230+H229</f>
        <v>0</v>
      </c>
      <c r="I225" s="288">
        <f t="shared" si="23"/>
        <v>0</v>
      </c>
      <c r="J225" s="288">
        <f t="shared" si="23"/>
        <v>0</v>
      </c>
      <c r="K225" s="288">
        <f t="shared" si="23"/>
        <v>0</v>
      </c>
      <c r="L225" s="288">
        <f t="shared" si="23"/>
        <v>0</v>
      </c>
      <c r="M225" s="288">
        <f t="shared" si="23"/>
        <v>0</v>
      </c>
      <c r="N225" s="288">
        <f t="shared" si="23"/>
        <v>0</v>
      </c>
      <c r="O225" s="288">
        <f t="shared" si="23"/>
        <v>0</v>
      </c>
      <c r="P225" s="865">
        <f t="shared" si="23"/>
        <v>0</v>
      </c>
      <c r="Q225" s="288">
        <f t="shared" si="23"/>
        <v>0</v>
      </c>
      <c r="R225" s="288">
        <f t="shared" si="23"/>
        <v>0</v>
      </c>
      <c r="S225" s="288">
        <f t="shared" si="23"/>
        <v>0</v>
      </c>
      <c r="T225" s="288">
        <f t="shared" si="23"/>
        <v>0</v>
      </c>
      <c r="U225" s="288">
        <f t="shared" si="23"/>
        <v>0</v>
      </c>
      <c r="V225" s="288">
        <f t="shared" si="23"/>
        <v>0</v>
      </c>
      <c r="W225" s="288">
        <f t="shared" si="23"/>
        <v>0</v>
      </c>
      <c r="X225" s="288">
        <f t="shared" si="23"/>
        <v>0</v>
      </c>
      <c r="Y225" s="288">
        <f t="shared" si="23"/>
        <v>0</v>
      </c>
      <c r="Z225" s="288">
        <f t="shared" si="23"/>
        <v>0</v>
      </c>
      <c r="AA225" s="288">
        <f t="shared" si="23"/>
        <v>0</v>
      </c>
      <c r="AB225" s="288">
        <f t="shared" si="23"/>
        <v>0</v>
      </c>
      <c r="AC225" s="288">
        <f t="shared" si="23"/>
        <v>0</v>
      </c>
      <c r="AD225" s="288">
        <f>AD226+AD227+AD228+AD230+AD229</f>
        <v>0</v>
      </c>
      <c r="AE225" s="288">
        <f t="shared" si="23"/>
        <v>0</v>
      </c>
      <c r="AF225" s="288">
        <f t="shared" si="23"/>
        <v>0</v>
      </c>
      <c r="AG225" s="288">
        <f t="shared" si="23"/>
        <v>0</v>
      </c>
      <c r="AH225" s="286">
        <f>SUM(C225:AG225)</f>
        <v>0</v>
      </c>
    </row>
    <row r="226" spans="1:34" x14ac:dyDescent="0.2">
      <c r="A226" s="287" t="s">
        <v>8</v>
      </c>
      <c r="B226" s="331"/>
      <c r="C226" s="291"/>
      <c r="D226" s="291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2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86">
        <f>SUM(C226:AG226)</f>
        <v>0</v>
      </c>
    </row>
    <row r="227" spans="1:34" x14ac:dyDescent="0.2">
      <c r="A227" s="287" t="s">
        <v>9</v>
      </c>
      <c r="B227" s="331"/>
      <c r="C227" s="291"/>
      <c r="D227" s="291"/>
      <c r="E227" s="290"/>
      <c r="F227" s="290"/>
      <c r="G227" s="290"/>
      <c r="H227" s="290"/>
      <c r="I227" s="290"/>
      <c r="J227" s="290"/>
      <c r="K227" s="290"/>
      <c r="L227" s="290"/>
      <c r="M227" s="295"/>
      <c r="N227" s="290"/>
      <c r="O227" s="290"/>
      <c r="P227" s="292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86">
        <f>SUM(C227:AG227)</f>
        <v>0</v>
      </c>
    </row>
    <row r="228" spans="1:34" s="360" customFormat="1" x14ac:dyDescent="0.2">
      <c r="A228" s="662" t="s">
        <v>10</v>
      </c>
      <c r="B228" s="669"/>
      <c r="C228" s="565"/>
      <c r="D228" s="565"/>
      <c r="E228" s="560"/>
      <c r="F228" s="560"/>
      <c r="G228" s="560"/>
      <c r="H228" s="560"/>
      <c r="I228" s="560"/>
      <c r="J228" s="560"/>
      <c r="K228" s="560"/>
      <c r="L228" s="380"/>
      <c r="M228" s="560"/>
      <c r="N228" s="560"/>
      <c r="O228" s="560"/>
      <c r="P228" s="560"/>
      <c r="Q228" s="560"/>
      <c r="R228" s="560"/>
      <c r="S228" s="560"/>
      <c r="T228" s="560"/>
      <c r="U228" s="560"/>
      <c r="V228" s="560"/>
      <c r="W228" s="560"/>
      <c r="X228" s="708"/>
      <c r="Y228" s="560"/>
      <c r="Z228" s="560"/>
      <c r="AA228" s="560"/>
      <c r="AB228" s="560"/>
      <c r="AC228" s="811"/>
      <c r="AD228" s="803"/>
      <c r="AE228" s="560"/>
      <c r="AF228" s="560"/>
      <c r="AG228" s="560"/>
      <c r="AH228" s="379">
        <f>SUM(C228:AG228)</f>
        <v>0</v>
      </c>
    </row>
    <row r="229" spans="1:34" s="360" customFormat="1" x14ac:dyDescent="0.2">
      <c r="A229" s="662" t="s">
        <v>356</v>
      </c>
      <c r="B229" s="669"/>
      <c r="C229" s="565"/>
      <c r="D229" s="565"/>
      <c r="E229" s="565"/>
      <c r="F229" s="560"/>
      <c r="G229" s="560"/>
      <c r="H229" s="560"/>
      <c r="I229" s="560"/>
      <c r="J229" s="560"/>
      <c r="K229" s="560"/>
      <c r="L229" s="560"/>
      <c r="M229" s="560"/>
      <c r="N229" s="560"/>
      <c r="O229" s="560"/>
      <c r="P229" s="560"/>
      <c r="Q229" s="560"/>
      <c r="R229" s="560"/>
      <c r="S229" s="560"/>
      <c r="T229" s="560"/>
      <c r="U229" s="560"/>
      <c r="V229" s="560"/>
      <c r="W229" s="560"/>
      <c r="X229" s="560"/>
      <c r="Y229" s="560"/>
      <c r="Z229" s="560"/>
      <c r="AA229" s="560"/>
      <c r="AB229" s="560"/>
      <c r="AC229" s="560"/>
      <c r="AD229" s="560"/>
      <c r="AE229" s="560"/>
      <c r="AF229" s="560"/>
      <c r="AG229" s="560"/>
      <c r="AH229" s="379">
        <f>SUM(C229:AG229)</f>
        <v>0</v>
      </c>
    </row>
    <row r="230" spans="1:34" x14ac:dyDescent="0.2">
      <c r="A230" s="287" t="s">
        <v>11</v>
      </c>
      <c r="B230" s="266"/>
      <c r="C230" s="291"/>
      <c r="D230" s="289"/>
      <c r="E230" s="289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15"/>
    </row>
    <row r="231" spans="1:34" ht="13.5" thickBot="1" x14ac:dyDescent="0.25">
      <c r="A231" s="296"/>
      <c r="B231" s="266"/>
      <c r="C231" s="291"/>
      <c r="D231" s="291"/>
      <c r="E231" s="291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2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15"/>
    </row>
    <row r="232" spans="1:34" x14ac:dyDescent="0.2">
      <c r="A232" s="282"/>
      <c r="B232" s="266"/>
      <c r="C232" s="297"/>
      <c r="D232" s="298"/>
      <c r="E232" s="298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866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  <c r="AA232" s="299"/>
      <c r="AB232" s="299"/>
      <c r="AC232" s="299"/>
      <c r="AD232" s="299"/>
      <c r="AE232" s="299"/>
      <c r="AF232" s="299"/>
      <c r="AG232" s="299"/>
      <c r="AH232" s="215"/>
    </row>
    <row r="233" spans="1:34" ht="13.5" thickBot="1" x14ac:dyDescent="0.25">
      <c r="A233" s="287" t="s">
        <v>12</v>
      </c>
      <c r="B233" s="266"/>
      <c r="C233" s="288">
        <f>C234</f>
        <v>0</v>
      </c>
      <c r="D233" s="288">
        <f t="shared" ref="D233:AG233" si="24">D234</f>
        <v>0</v>
      </c>
      <c r="E233" s="288">
        <f t="shared" si="24"/>
        <v>0</v>
      </c>
      <c r="F233" s="288">
        <f t="shared" si="24"/>
        <v>0</v>
      </c>
      <c r="G233" s="288">
        <f t="shared" si="24"/>
        <v>0</v>
      </c>
      <c r="H233" s="288">
        <f t="shared" si="24"/>
        <v>0</v>
      </c>
      <c r="I233" s="288">
        <f t="shared" si="24"/>
        <v>0</v>
      </c>
      <c r="J233" s="288">
        <f t="shared" si="24"/>
        <v>0</v>
      </c>
      <c r="K233" s="288">
        <f t="shared" si="24"/>
        <v>0</v>
      </c>
      <c r="L233" s="288">
        <f t="shared" si="24"/>
        <v>0</v>
      </c>
      <c r="M233" s="288">
        <f t="shared" si="24"/>
        <v>0</v>
      </c>
      <c r="N233" s="288">
        <f t="shared" si="24"/>
        <v>0</v>
      </c>
      <c r="O233" s="288">
        <f t="shared" si="24"/>
        <v>0</v>
      </c>
      <c r="P233" s="865">
        <f t="shared" si="24"/>
        <v>0</v>
      </c>
      <c r="Q233" s="288">
        <f t="shared" si="24"/>
        <v>0</v>
      </c>
      <c r="R233" s="288">
        <f t="shared" si="24"/>
        <v>0</v>
      </c>
      <c r="S233" s="288">
        <f t="shared" si="24"/>
        <v>0</v>
      </c>
      <c r="T233" s="288">
        <f t="shared" si="24"/>
        <v>0</v>
      </c>
      <c r="U233" s="288">
        <f t="shared" si="24"/>
        <v>0</v>
      </c>
      <c r="V233" s="288">
        <f t="shared" si="24"/>
        <v>0</v>
      </c>
      <c r="W233" s="288">
        <f t="shared" si="24"/>
        <v>0</v>
      </c>
      <c r="X233" s="288">
        <f t="shared" si="24"/>
        <v>0</v>
      </c>
      <c r="Y233" s="288">
        <f t="shared" si="24"/>
        <v>0</v>
      </c>
      <c r="Z233" s="288">
        <f t="shared" si="24"/>
        <v>0</v>
      </c>
      <c r="AA233" s="288">
        <f t="shared" si="24"/>
        <v>0</v>
      </c>
      <c r="AB233" s="288">
        <f t="shared" si="24"/>
        <v>0</v>
      </c>
      <c r="AC233" s="288">
        <f t="shared" si="24"/>
        <v>0</v>
      </c>
      <c r="AD233" s="288">
        <f t="shared" si="24"/>
        <v>0</v>
      </c>
      <c r="AE233" s="288">
        <f t="shared" si="24"/>
        <v>0</v>
      </c>
      <c r="AF233" s="288">
        <f t="shared" si="24"/>
        <v>0</v>
      </c>
      <c r="AG233" s="288">
        <f t="shared" si="24"/>
        <v>0</v>
      </c>
      <c r="AH233" s="215"/>
    </row>
    <row r="234" spans="1:34" x14ac:dyDescent="0.2">
      <c r="A234" s="287" t="s">
        <v>8</v>
      </c>
      <c r="B234" s="266"/>
      <c r="C234" s="291"/>
      <c r="D234" s="291"/>
      <c r="E234" s="291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2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15"/>
    </row>
    <row r="235" spans="1:34" x14ac:dyDescent="0.2">
      <c r="A235" s="287" t="s">
        <v>775</v>
      </c>
      <c r="B235" s="266"/>
      <c r="C235" s="291"/>
      <c r="D235" s="291"/>
      <c r="E235" s="291"/>
      <c r="F235" s="290">
        <v>1180</v>
      </c>
      <c r="G235" s="290">
        <v>2333</v>
      </c>
      <c r="H235" s="290">
        <v>1180</v>
      </c>
      <c r="I235" s="290"/>
      <c r="J235" s="290">
        <v>4056</v>
      </c>
      <c r="K235" s="290"/>
      <c r="L235" s="290">
        <v>14667</v>
      </c>
      <c r="M235" s="290">
        <v>1180</v>
      </c>
      <c r="N235" s="290">
        <v>1250</v>
      </c>
      <c r="O235" s="290">
        <v>1180</v>
      </c>
      <c r="P235" s="292"/>
      <c r="Q235" s="290">
        <v>8966</v>
      </c>
      <c r="R235" s="290">
        <v>2587</v>
      </c>
      <c r="S235" s="290"/>
      <c r="T235" s="290">
        <v>1180</v>
      </c>
      <c r="U235" s="290">
        <v>3370</v>
      </c>
      <c r="V235" s="290">
        <v>7003</v>
      </c>
      <c r="W235" s="290"/>
      <c r="X235" s="290">
        <v>1180</v>
      </c>
      <c r="Y235" s="290">
        <v>2000</v>
      </c>
      <c r="Z235" s="290"/>
      <c r="AA235" s="290">
        <v>3080</v>
      </c>
      <c r="AB235" s="290">
        <v>2000</v>
      </c>
      <c r="AC235" s="290">
        <v>2693</v>
      </c>
      <c r="AD235" s="290"/>
      <c r="AE235" s="290">
        <v>3006</v>
      </c>
      <c r="AF235" s="290">
        <v>28282</v>
      </c>
      <c r="AG235" s="290">
        <v>4919</v>
      </c>
      <c r="AH235" s="286">
        <f>SUM(C235:AG235)</f>
        <v>97292</v>
      </c>
    </row>
    <row r="236" spans="1:34" ht="13.5" thickBot="1" x14ac:dyDescent="0.25">
      <c r="A236" s="296"/>
      <c r="B236" s="266"/>
      <c r="C236" s="291"/>
      <c r="D236" s="291"/>
      <c r="E236" s="291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2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15"/>
    </row>
    <row r="237" spans="1:34" x14ac:dyDescent="0.2">
      <c r="A237" s="282"/>
      <c r="B237" s="266"/>
      <c r="C237" s="297"/>
      <c r="D237" s="298"/>
      <c r="E237" s="298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866"/>
      <c r="Q237" s="299"/>
      <c r="R237" s="299"/>
      <c r="S237" s="299"/>
      <c r="T237" s="299"/>
      <c r="U237" s="299"/>
      <c r="V237" s="299"/>
      <c r="W237" s="299"/>
      <c r="X237" s="299"/>
      <c r="Y237" s="299"/>
      <c r="Z237" s="299"/>
      <c r="AA237" s="299"/>
      <c r="AB237" s="299"/>
      <c r="AC237" s="299"/>
      <c r="AD237" s="299"/>
      <c r="AE237" s="299"/>
      <c r="AF237" s="299"/>
      <c r="AG237" s="299"/>
      <c r="AH237" s="215"/>
    </row>
    <row r="238" spans="1:34" x14ac:dyDescent="0.2">
      <c r="A238" s="287" t="s">
        <v>13</v>
      </c>
      <c r="B238" s="266"/>
      <c r="C238" s="300">
        <f>C233-C225</f>
        <v>0</v>
      </c>
      <c r="D238" s="300">
        <f>D233-D225</f>
        <v>0</v>
      </c>
      <c r="E238" s="300">
        <f>E233-E225</f>
        <v>0</v>
      </c>
      <c r="F238" s="300">
        <f>F233-F225</f>
        <v>0</v>
      </c>
      <c r="G238" s="300">
        <f>G233-G225</f>
        <v>0</v>
      </c>
      <c r="H238" s="300">
        <f t="shared" ref="H238:AG238" si="25">H233-H225</f>
        <v>0</v>
      </c>
      <c r="I238" s="300">
        <f t="shared" si="25"/>
        <v>0</v>
      </c>
      <c r="J238" s="300">
        <f t="shared" si="25"/>
        <v>0</v>
      </c>
      <c r="K238" s="300">
        <f t="shared" si="25"/>
        <v>0</v>
      </c>
      <c r="L238" s="300">
        <f t="shared" si="25"/>
        <v>0</v>
      </c>
      <c r="M238" s="300">
        <f t="shared" si="25"/>
        <v>0</v>
      </c>
      <c r="N238" s="300">
        <f t="shared" si="25"/>
        <v>0</v>
      </c>
      <c r="O238" s="300">
        <f t="shared" si="25"/>
        <v>0</v>
      </c>
      <c r="P238" s="867">
        <f t="shared" si="25"/>
        <v>0</v>
      </c>
      <c r="Q238" s="300">
        <f t="shared" si="25"/>
        <v>0</v>
      </c>
      <c r="R238" s="300">
        <f t="shared" si="25"/>
        <v>0</v>
      </c>
      <c r="S238" s="300">
        <f t="shared" si="25"/>
        <v>0</v>
      </c>
      <c r="T238" s="300">
        <f t="shared" si="25"/>
        <v>0</v>
      </c>
      <c r="U238" s="300">
        <f t="shared" si="25"/>
        <v>0</v>
      </c>
      <c r="V238" s="300">
        <f t="shared" si="25"/>
        <v>0</v>
      </c>
      <c r="W238" s="300">
        <f t="shared" si="25"/>
        <v>0</v>
      </c>
      <c r="X238" s="300">
        <f t="shared" si="25"/>
        <v>0</v>
      </c>
      <c r="Y238" s="300">
        <f t="shared" si="25"/>
        <v>0</v>
      </c>
      <c r="Z238" s="300">
        <f t="shared" si="25"/>
        <v>0</v>
      </c>
      <c r="AA238" s="300">
        <f t="shared" si="25"/>
        <v>0</v>
      </c>
      <c r="AB238" s="300">
        <f t="shared" si="25"/>
        <v>0</v>
      </c>
      <c r="AC238" s="300">
        <f t="shared" si="25"/>
        <v>0</v>
      </c>
      <c r="AD238" s="300">
        <f t="shared" si="25"/>
        <v>0</v>
      </c>
      <c r="AE238" s="300">
        <f t="shared" si="25"/>
        <v>0</v>
      </c>
      <c r="AF238" s="300">
        <f t="shared" si="25"/>
        <v>0</v>
      </c>
      <c r="AG238" s="300">
        <f t="shared" si="25"/>
        <v>0</v>
      </c>
      <c r="AH238" s="215"/>
    </row>
    <row r="239" spans="1:34" ht="13.5" thickBot="1" x14ac:dyDescent="0.25">
      <c r="A239" s="287"/>
      <c r="B239" s="266"/>
      <c r="C239" s="300"/>
      <c r="D239" s="291"/>
      <c r="E239" s="291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2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15"/>
    </row>
    <row r="240" spans="1:34" x14ac:dyDescent="0.2">
      <c r="A240" s="263"/>
      <c r="B240" s="264"/>
      <c r="C240" s="301"/>
      <c r="D240" s="298"/>
      <c r="E240" s="298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866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  <c r="AH240" s="215"/>
    </row>
    <row r="241" spans="1:34" x14ac:dyDescent="0.2">
      <c r="A241" s="265" t="s">
        <v>15</v>
      </c>
      <c r="B241" s="266"/>
      <c r="C241" s="291">
        <f>B222+C238</f>
        <v>-16154.588</v>
      </c>
      <c r="D241" s="291">
        <f t="shared" ref="D241:AG241" si="26">C248+D238</f>
        <v>-16154.588</v>
      </c>
      <c r="E241" s="291">
        <f t="shared" si="26"/>
        <v>-16154.588</v>
      </c>
      <c r="F241" s="291">
        <f t="shared" si="26"/>
        <v>-16154.588</v>
      </c>
      <c r="G241" s="291">
        <f t="shared" si="26"/>
        <v>-16154.588</v>
      </c>
      <c r="H241" s="291">
        <f t="shared" si="26"/>
        <v>-16154.588</v>
      </c>
      <c r="I241" s="291">
        <f t="shared" si="26"/>
        <v>-16154.588</v>
      </c>
      <c r="J241" s="291">
        <f t="shared" si="26"/>
        <v>-16154.588</v>
      </c>
      <c r="K241" s="291">
        <f t="shared" si="26"/>
        <v>-16154.588</v>
      </c>
      <c r="L241" s="291">
        <f t="shared" si="26"/>
        <v>-16154.588</v>
      </c>
      <c r="M241" s="291">
        <f t="shared" si="26"/>
        <v>-16154.588</v>
      </c>
      <c r="N241" s="291">
        <f t="shared" si="26"/>
        <v>-16154.588</v>
      </c>
      <c r="O241" s="291">
        <f t="shared" si="26"/>
        <v>-16154.588</v>
      </c>
      <c r="P241" s="289">
        <f t="shared" si="26"/>
        <v>-16154.588</v>
      </c>
      <c r="Q241" s="291">
        <f t="shared" si="26"/>
        <v>-16154.588</v>
      </c>
      <c r="R241" s="291">
        <f t="shared" si="26"/>
        <v>-16154.588</v>
      </c>
      <c r="S241" s="291">
        <f t="shared" si="26"/>
        <v>-16154.588</v>
      </c>
      <c r="T241" s="291">
        <f t="shared" si="26"/>
        <v>-16154.588</v>
      </c>
      <c r="U241" s="291">
        <f t="shared" si="26"/>
        <v>-16154.588</v>
      </c>
      <c r="V241" s="291">
        <f t="shared" si="26"/>
        <v>-16154.588</v>
      </c>
      <c r="W241" s="291">
        <f t="shared" si="26"/>
        <v>-16154.588</v>
      </c>
      <c r="X241" s="291">
        <f t="shared" si="26"/>
        <v>-16154.588</v>
      </c>
      <c r="Y241" s="291">
        <f t="shared" si="26"/>
        <v>-16154.588</v>
      </c>
      <c r="Z241" s="291">
        <f t="shared" si="26"/>
        <v>-16154.588</v>
      </c>
      <c r="AA241" s="291">
        <f t="shared" si="26"/>
        <v>-16154.588</v>
      </c>
      <c r="AB241" s="291">
        <f t="shared" si="26"/>
        <v>-16154.588</v>
      </c>
      <c r="AC241" s="291">
        <f t="shared" si="26"/>
        <v>-16154.588</v>
      </c>
      <c r="AD241" s="291">
        <f t="shared" si="26"/>
        <v>-16154.588</v>
      </c>
      <c r="AE241" s="291">
        <f t="shared" si="26"/>
        <v>-16154.588</v>
      </c>
      <c r="AF241" s="291">
        <f t="shared" si="26"/>
        <v>-16154.588</v>
      </c>
      <c r="AG241" s="291">
        <f t="shared" si="26"/>
        <v>-16154.588</v>
      </c>
      <c r="AH241" s="215"/>
    </row>
    <row r="242" spans="1:34" ht="13.5" thickBot="1" x14ac:dyDescent="0.25">
      <c r="A242" s="275"/>
      <c r="B242" s="302"/>
      <c r="C242" s="303"/>
      <c r="D242" s="303"/>
      <c r="E242" s="303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868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215"/>
    </row>
    <row r="243" spans="1:34" x14ac:dyDescent="0.2">
      <c r="A243" s="263"/>
      <c r="B243" s="264"/>
      <c r="C243" s="298"/>
      <c r="D243" s="298"/>
      <c r="E243" s="298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866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  <c r="AB243" s="299"/>
      <c r="AC243" s="299"/>
      <c r="AD243" s="299"/>
      <c r="AE243" s="299"/>
      <c r="AF243" s="299"/>
      <c r="AG243" s="299"/>
      <c r="AH243" s="215"/>
    </row>
    <row r="244" spans="1:34" x14ac:dyDescent="0.2">
      <c r="A244" s="265" t="s">
        <v>82</v>
      </c>
      <c r="B244" s="266"/>
      <c r="C244" s="291">
        <f t="shared" ref="C244:AG245" si="27">C252</f>
        <v>0</v>
      </c>
      <c r="D244" s="291">
        <f t="shared" si="27"/>
        <v>0</v>
      </c>
      <c r="E244" s="291">
        <f t="shared" si="27"/>
        <v>0</v>
      </c>
      <c r="F244" s="291">
        <f t="shared" si="27"/>
        <v>0</v>
      </c>
      <c r="G244" s="291">
        <f t="shared" si="27"/>
        <v>0</v>
      </c>
      <c r="H244" s="291">
        <f t="shared" si="27"/>
        <v>0</v>
      </c>
      <c r="I244" s="291">
        <f t="shared" si="27"/>
        <v>0</v>
      </c>
      <c r="J244" s="291">
        <f t="shared" si="27"/>
        <v>0</v>
      </c>
      <c r="K244" s="291">
        <f t="shared" si="27"/>
        <v>0</v>
      </c>
      <c r="L244" s="291">
        <f t="shared" si="27"/>
        <v>0</v>
      </c>
      <c r="M244" s="291">
        <f t="shared" si="27"/>
        <v>0</v>
      </c>
      <c r="N244" s="291">
        <f t="shared" si="27"/>
        <v>0</v>
      </c>
      <c r="O244" s="291">
        <f t="shared" si="27"/>
        <v>0</v>
      </c>
      <c r="P244" s="289">
        <f t="shared" si="27"/>
        <v>0</v>
      </c>
      <c r="Q244" s="291">
        <f t="shared" si="27"/>
        <v>0</v>
      </c>
      <c r="R244" s="291">
        <f t="shared" si="27"/>
        <v>0</v>
      </c>
      <c r="S244" s="291">
        <f t="shared" si="27"/>
        <v>0</v>
      </c>
      <c r="T244" s="291">
        <f t="shared" si="27"/>
        <v>0</v>
      </c>
      <c r="U244" s="291">
        <f t="shared" si="27"/>
        <v>0</v>
      </c>
      <c r="V244" s="291">
        <f t="shared" si="27"/>
        <v>0</v>
      </c>
      <c r="W244" s="291">
        <f t="shared" si="27"/>
        <v>0</v>
      </c>
      <c r="X244" s="291">
        <f t="shared" si="27"/>
        <v>0</v>
      </c>
      <c r="Y244" s="291">
        <f t="shared" si="27"/>
        <v>0</v>
      </c>
      <c r="Z244" s="291">
        <f t="shared" si="27"/>
        <v>0</v>
      </c>
      <c r="AA244" s="291">
        <f t="shared" si="27"/>
        <v>0</v>
      </c>
      <c r="AB244" s="291">
        <f t="shared" si="27"/>
        <v>0</v>
      </c>
      <c r="AC244" s="291">
        <f t="shared" si="27"/>
        <v>0</v>
      </c>
      <c r="AD244" s="291">
        <f t="shared" si="27"/>
        <v>0</v>
      </c>
      <c r="AE244" s="291">
        <f t="shared" si="27"/>
        <v>0</v>
      </c>
      <c r="AF244" s="291">
        <f t="shared" si="27"/>
        <v>0</v>
      </c>
      <c r="AG244" s="291">
        <f t="shared" si="27"/>
        <v>0</v>
      </c>
      <c r="AH244" s="215"/>
    </row>
    <row r="245" spans="1:34" x14ac:dyDescent="0.2">
      <c r="A245" s="265" t="s">
        <v>83</v>
      </c>
      <c r="B245" s="266"/>
      <c r="C245" s="289">
        <f t="shared" si="27"/>
        <v>0</v>
      </c>
      <c r="D245" s="289">
        <f t="shared" si="27"/>
        <v>0</v>
      </c>
      <c r="E245" s="289">
        <f t="shared" si="27"/>
        <v>0</v>
      </c>
      <c r="F245" s="289">
        <f t="shared" si="27"/>
        <v>0</v>
      </c>
      <c r="G245" s="289">
        <f t="shared" si="27"/>
        <v>0</v>
      </c>
      <c r="H245" s="289">
        <f t="shared" si="27"/>
        <v>0</v>
      </c>
      <c r="I245" s="289">
        <f t="shared" si="27"/>
        <v>0</v>
      </c>
      <c r="J245" s="289">
        <f t="shared" si="27"/>
        <v>0</v>
      </c>
      <c r="K245" s="289">
        <f t="shared" si="27"/>
        <v>0</v>
      </c>
      <c r="L245" s="289">
        <f t="shared" si="27"/>
        <v>0</v>
      </c>
      <c r="M245" s="289">
        <f t="shared" si="27"/>
        <v>0</v>
      </c>
      <c r="N245" s="289">
        <f t="shared" si="27"/>
        <v>0</v>
      </c>
      <c r="O245" s="289">
        <f t="shared" si="27"/>
        <v>0</v>
      </c>
      <c r="P245" s="289">
        <f t="shared" si="27"/>
        <v>0</v>
      </c>
      <c r="Q245" s="289">
        <f t="shared" si="27"/>
        <v>0</v>
      </c>
      <c r="R245" s="289">
        <f t="shared" si="27"/>
        <v>0</v>
      </c>
      <c r="S245" s="289">
        <f t="shared" si="27"/>
        <v>0</v>
      </c>
      <c r="T245" s="289">
        <f t="shared" si="27"/>
        <v>0</v>
      </c>
      <c r="U245" s="289">
        <f t="shared" si="27"/>
        <v>0</v>
      </c>
      <c r="V245" s="289">
        <f t="shared" si="27"/>
        <v>0</v>
      </c>
      <c r="W245" s="289">
        <f t="shared" si="27"/>
        <v>0</v>
      </c>
      <c r="X245" s="289">
        <f t="shared" si="27"/>
        <v>0</v>
      </c>
      <c r="Y245" s="289">
        <f t="shared" si="27"/>
        <v>0</v>
      </c>
      <c r="Z245" s="289">
        <f t="shared" si="27"/>
        <v>0</v>
      </c>
      <c r="AA245" s="289">
        <f t="shared" si="27"/>
        <v>0</v>
      </c>
      <c r="AB245" s="289">
        <f t="shared" si="27"/>
        <v>0</v>
      </c>
      <c r="AC245" s="289">
        <f t="shared" si="27"/>
        <v>0</v>
      </c>
      <c r="AD245" s="289">
        <f t="shared" si="27"/>
        <v>0</v>
      </c>
      <c r="AE245" s="289">
        <f t="shared" si="27"/>
        <v>0</v>
      </c>
      <c r="AF245" s="289">
        <f t="shared" si="27"/>
        <v>0</v>
      </c>
      <c r="AG245" s="289">
        <f t="shared" si="27"/>
        <v>0</v>
      </c>
      <c r="AH245" s="215"/>
    </row>
    <row r="246" spans="1:34" ht="13.5" thickBot="1" x14ac:dyDescent="0.25">
      <c r="A246" s="275"/>
      <c r="B246" s="302"/>
      <c r="C246" s="303"/>
      <c r="D246" s="303"/>
      <c r="E246" s="303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868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04"/>
      <c r="AF246" s="304"/>
      <c r="AG246" s="304"/>
      <c r="AH246" s="215"/>
    </row>
    <row r="247" spans="1:34" x14ac:dyDescent="0.2">
      <c r="A247" s="265"/>
      <c r="B247" s="266"/>
      <c r="C247" s="291"/>
      <c r="D247" s="291"/>
      <c r="E247" s="291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2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15"/>
    </row>
    <row r="248" spans="1:34" x14ac:dyDescent="0.2">
      <c r="A248" s="265" t="s">
        <v>14</v>
      </c>
      <c r="B248" s="266"/>
      <c r="C248" s="291">
        <f>C241+C244+C245</f>
        <v>-16154.588</v>
      </c>
      <c r="D248" s="291">
        <f>D241+D244+D245</f>
        <v>-16154.588</v>
      </c>
      <c r="E248" s="291">
        <f>E241+E244+E245</f>
        <v>-16154.588</v>
      </c>
      <c r="F248" s="291">
        <f>F241+F244+F245</f>
        <v>-16154.588</v>
      </c>
      <c r="G248" s="291">
        <f>G241+G244+G245</f>
        <v>-16154.588</v>
      </c>
      <c r="H248" s="291">
        <f t="shared" ref="H248:AG248" si="28">H241+H244+H245</f>
        <v>-16154.588</v>
      </c>
      <c r="I248" s="291">
        <f t="shared" si="28"/>
        <v>-16154.588</v>
      </c>
      <c r="J248" s="291">
        <f t="shared" si="28"/>
        <v>-16154.588</v>
      </c>
      <c r="K248" s="291">
        <f t="shared" si="28"/>
        <v>-16154.588</v>
      </c>
      <c r="L248" s="291">
        <f t="shared" si="28"/>
        <v>-16154.588</v>
      </c>
      <c r="M248" s="291">
        <f t="shared" si="28"/>
        <v>-16154.588</v>
      </c>
      <c r="N248" s="291">
        <f t="shared" si="28"/>
        <v>-16154.588</v>
      </c>
      <c r="O248" s="291">
        <f t="shared" si="28"/>
        <v>-16154.588</v>
      </c>
      <c r="P248" s="289">
        <f t="shared" si="28"/>
        <v>-16154.588</v>
      </c>
      <c r="Q248" s="291">
        <f t="shared" si="28"/>
        <v>-16154.588</v>
      </c>
      <c r="R248" s="291">
        <f t="shared" si="28"/>
        <v>-16154.588</v>
      </c>
      <c r="S248" s="291">
        <f t="shared" si="28"/>
        <v>-16154.588</v>
      </c>
      <c r="T248" s="291">
        <f t="shared" si="28"/>
        <v>-16154.588</v>
      </c>
      <c r="U248" s="291">
        <f t="shared" si="28"/>
        <v>-16154.588</v>
      </c>
      <c r="V248" s="291">
        <f t="shared" si="28"/>
        <v>-16154.588</v>
      </c>
      <c r="W248" s="291">
        <f t="shared" si="28"/>
        <v>-16154.588</v>
      </c>
      <c r="X248" s="291">
        <f t="shared" si="28"/>
        <v>-16154.588</v>
      </c>
      <c r="Y248" s="291">
        <f t="shared" si="28"/>
        <v>-16154.588</v>
      </c>
      <c r="Z248" s="291">
        <f t="shared" si="28"/>
        <v>-16154.588</v>
      </c>
      <c r="AA248" s="291">
        <f t="shared" si="28"/>
        <v>-16154.588</v>
      </c>
      <c r="AB248" s="291">
        <f t="shared" si="28"/>
        <v>-16154.588</v>
      </c>
      <c r="AC248" s="291">
        <f t="shared" si="28"/>
        <v>-16154.588</v>
      </c>
      <c r="AD248" s="291">
        <f t="shared" si="28"/>
        <v>-16154.588</v>
      </c>
      <c r="AE248" s="291">
        <f t="shared" si="28"/>
        <v>-16154.588</v>
      </c>
      <c r="AF248" s="291">
        <f t="shared" si="28"/>
        <v>-16154.588</v>
      </c>
      <c r="AG248" s="291">
        <f t="shared" si="28"/>
        <v>-16154.588</v>
      </c>
      <c r="AH248" s="215"/>
    </row>
    <row r="249" spans="1:34" x14ac:dyDescent="0.2">
      <c r="A249" s="265"/>
      <c r="B249" s="266"/>
      <c r="C249" s="291"/>
      <c r="D249" s="291"/>
      <c r="E249" s="291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2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  <c r="AE249" s="290"/>
      <c r="AF249" s="290"/>
      <c r="AG249" s="290"/>
      <c r="AH249" s="215"/>
    </row>
    <row r="250" spans="1:34" ht="13.5" thickBot="1" x14ac:dyDescent="0.25">
      <c r="A250" s="275"/>
      <c r="B250" s="302"/>
      <c r="C250" s="306"/>
      <c r="D250" s="306"/>
      <c r="E250" s="306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869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C250" s="307"/>
      <c r="AD250" s="307"/>
      <c r="AE250" s="307"/>
      <c r="AF250" s="307"/>
      <c r="AG250" s="307"/>
      <c r="AH250" s="215"/>
    </row>
    <row r="251" spans="1:34" x14ac:dyDescent="0.2">
      <c r="A251" s="310"/>
      <c r="B251" s="215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308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>
        <f>SUM(C251:AG251)</f>
        <v>0</v>
      </c>
    </row>
    <row r="252" spans="1:34" x14ac:dyDescent="0.2">
      <c r="A252" s="310"/>
      <c r="B252" s="215"/>
      <c r="C252" s="311"/>
      <c r="D252" s="311"/>
      <c r="E252" s="311"/>
      <c r="F252" s="311"/>
      <c r="G252" s="314"/>
      <c r="H252" s="311"/>
      <c r="I252" s="311"/>
      <c r="J252" s="311"/>
      <c r="K252" s="311"/>
      <c r="L252" s="314"/>
      <c r="M252" s="314"/>
      <c r="N252" s="629"/>
      <c r="O252" s="314"/>
      <c r="P252" s="629"/>
      <c r="Q252" s="311"/>
      <c r="R252" s="311"/>
      <c r="S252" s="311"/>
      <c r="T252" s="311"/>
      <c r="U252" s="311"/>
      <c r="V252" s="629"/>
      <c r="W252" s="311"/>
      <c r="X252" s="311"/>
      <c r="Y252" s="311"/>
      <c r="Z252" s="311"/>
      <c r="AA252" s="408"/>
      <c r="AB252" s="311"/>
      <c r="AC252" s="311"/>
      <c r="AD252" s="314"/>
      <c r="AE252" s="311"/>
      <c r="AF252" s="629"/>
      <c r="AG252" s="311"/>
      <c r="AH252" s="262"/>
    </row>
    <row r="253" spans="1:34" x14ac:dyDescent="0.2">
      <c r="A253" s="215"/>
      <c r="B253" s="215"/>
      <c r="C253" s="215"/>
      <c r="D253" s="311"/>
      <c r="E253" s="317"/>
      <c r="F253" s="215"/>
      <c r="G253" s="215"/>
      <c r="H253" s="215"/>
      <c r="I253" s="215"/>
      <c r="J253" s="215"/>
      <c r="K253" s="215"/>
      <c r="L253" s="215"/>
      <c r="M253" s="215"/>
      <c r="N253" s="215"/>
      <c r="O253" s="215"/>
      <c r="P253" s="309"/>
      <c r="Q253" s="286"/>
      <c r="R253" s="215"/>
      <c r="S253" s="262"/>
      <c r="T253" s="215"/>
      <c r="U253" s="215"/>
      <c r="V253" s="215"/>
      <c r="W253" s="215"/>
      <c r="X253" s="215"/>
      <c r="Y253" s="262"/>
      <c r="Z253" s="262"/>
      <c r="AA253" s="262"/>
      <c r="AB253" s="262"/>
      <c r="AC253" s="262"/>
      <c r="AD253" s="262"/>
      <c r="AE253" s="262"/>
      <c r="AF253" s="262"/>
      <c r="AG253" s="262"/>
      <c r="AH253" s="286">
        <f>SUM(C253:AG253)</f>
        <v>0</v>
      </c>
    </row>
    <row r="254" spans="1:34" x14ac:dyDescent="0.2">
      <c r="A254" s="358" t="s">
        <v>415</v>
      </c>
      <c r="B254" s="359">
        <f>B255+B256+B258</f>
        <v>425000</v>
      </c>
      <c r="C254" s="215"/>
      <c r="D254" s="215"/>
      <c r="E254" s="215"/>
      <c r="F254" s="215"/>
      <c r="G254" s="215"/>
      <c r="H254" s="215"/>
      <c r="I254" s="215"/>
      <c r="J254" s="215"/>
      <c r="K254" s="409"/>
      <c r="L254" s="215"/>
      <c r="M254" s="215"/>
      <c r="N254" s="215"/>
      <c r="O254" s="215"/>
      <c r="P254" s="309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408"/>
      <c r="AB254" s="215"/>
      <c r="AC254" s="215"/>
      <c r="AD254" s="215"/>
      <c r="AE254" s="215"/>
      <c r="AF254" s="215"/>
      <c r="AG254" s="215"/>
      <c r="AH254" s="215"/>
    </row>
    <row r="255" spans="1:34" x14ac:dyDescent="0.2">
      <c r="A255" s="327" t="s">
        <v>414</v>
      </c>
      <c r="B255" s="311">
        <v>25000</v>
      </c>
      <c r="C255" s="215"/>
      <c r="D255" s="215"/>
      <c r="E255" s="286"/>
      <c r="F255" s="286"/>
      <c r="G255" s="286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86"/>
      <c r="V255" s="215"/>
      <c r="W255" s="215"/>
      <c r="X255" s="215"/>
      <c r="Y255" s="215"/>
      <c r="Z255" s="215"/>
      <c r="AA255" s="323"/>
      <c r="AB255" s="215"/>
      <c r="AC255" s="215"/>
      <c r="AD255" s="215"/>
      <c r="AE255" s="215"/>
      <c r="AF255" s="215"/>
      <c r="AG255" s="286"/>
      <c r="AH255" s="215"/>
    </row>
    <row r="256" spans="1:34" x14ac:dyDescent="0.2">
      <c r="A256" s="327" t="s">
        <v>287</v>
      </c>
      <c r="B256" s="311">
        <v>300000</v>
      </c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86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409"/>
      <c r="AG256" s="215"/>
      <c r="AH256" s="215"/>
    </row>
    <row r="257" spans="1:34" x14ac:dyDescent="0.2">
      <c r="A257" s="310" t="s">
        <v>413</v>
      </c>
      <c r="B257" s="311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310" t="s">
        <v>441</v>
      </c>
      <c r="B258" s="311">
        <v>100000</v>
      </c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309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</row>
    <row r="261" spans="1:34" ht="13.5" thickBot="1" x14ac:dyDescent="0.25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309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 s="215"/>
      <c r="AC261" s="215"/>
      <c r="AD261" s="215"/>
      <c r="AE261" s="215"/>
      <c r="AF261" s="215"/>
      <c r="AG261" s="215"/>
      <c r="AH261" s="215"/>
    </row>
    <row r="262" spans="1:34" x14ac:dyDescent="0.2">
      <c r="A262" s="263"/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860"/>
      <c r="Q262" s="264"/>
      <c r="R262" s="264"/>
      <c r="S262" s="264"/>
      <c r="T262" s="264"/>
      <c r="U262" s="264"/>
      <c r="V262" s="264"/>
      <c r="W262" s="264"/>
      <c r="X262" s="264"/>
      <c r="Y262" s="264"/>
      <c r="Z262" s="264"/>
      <c r="AA262" s="264"/>
      <c r="AB262" s="264"/>
      <c r="AC262" s="264"/>
      <c r="AD262" s="264"/>
      <c r="AE262" s="264"/>
      <c r="AF262" s="264"/>
      <c r="AG262" s="264"/>
      <c r="AH262" s="215"/>
    </row>
    <row r="263" spans="1:34" x14ac:dyDescent="0.2">
      <c r="A263" s="265"/>
      <c r="B263" s="266" t="s">
        <v>37</v>
      </c>
      <c r="C263" s="266"/>
      <c r="D263" s="266"/>
      <c r="E263" s="267" t="s">
        <v>651</v>
      </c>
      <c r="F263" s="268" t="s">
        <v>340</v>
      </c>
      <c r="G263" s="269"/>
      <c r="H263" s="268"/>
      <c r="I263" s="268"/>
      <c r="J263" s="268"/>
      <c r="K263" s="268"/>
      <c r="L263" s="268"/>
      <c r="M263" s="268"/>
      <c r="N263" s="268"/>
      <c r="O263" s="268"/>
      <c r="P263" s="861"/>
      <c r="Q263" s="268"/>
      <c r="R263" s="268"/>
      <c r="S263" s="268"/>
      <c r="T263" s="268"/>
      <c r="U263" s="268"/>
      <c r="V263" s="268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15"/>
    </row>
    <row r="264" spans="1:34" x14ac:dyDescent="0.2">
      <c r="A264" s="265"/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x14ac:dyDescent="0.2">
      <c r="A265" s="265"/>
      <c r="B265" s="266"/>
      <c r="C265" s="268"/>
      <c r="D265" s="268">
        <v>42159</v>
      </c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x14ac:dyDescent="0.2">
      <c r="A266" s="265"/>
      <c r="B266" s="266"/>
      <c r="C266" s="268"/>
      <c r="D266" s="268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79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  <c r="AH266" s="215"/>
    </row>
    <row r="267" spans="1:34" ht="13.5" thickBot="1" x14ac:dyDescent="0.25">
      <c r="A267" s="265"/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  <c r="O267" s="266"/>
      <c r="P267" s="279"/>
      <c r="Q267" s="266"/>
      <c r="R267" s="266"/>
      <c r="S267" s="266"/>
      <c r="T267" s="266"/>
      <c r="U267" s="266"/>
      <c r="V267" s="266"/>
      <c r="W267" s="266"/>
      <c r="X267" s="266"/>
      <c r="Y267" s="266"/>
      <c r="Z267" s="266"/>
      <c r="AA267" s="266"/>
      <c r="AB267" s="266"/>
      <c r="AC267" s="266"/>
      <c r="AD267" s="266"/>
      <c r="AE267" s="266"/>
      <c r="AF267" s="266"/>
      <c r="AG267" s="266"/>
      <c r="AH267" s="215"/>
    </row>
    <row r="268" spans="1:34" ht="13.5" thickBot="1" x14ac:dyDescent="0.25">
      <c r="A268" s="265"/>
      <c r="B268" s="266"/>
      <c r="C268" s="270"/>
      <c r="D268" s="271" t="s">
        <v>16</v>
      </c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271"/>
      <c r="P268" s="862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  <c r="AA268" s="271"/>
      <c r="AB268" s="271"/>
      <c r="AC268" s="271"/>
      <c r="AD268" s="271"/>
      <c r="AE268" s="271"/>
      <c r="AF268" s="271"/>
      <c r="AG268" s="271"/>
      <c r="AH268" s="215"/>
    </row>
    <row r="269" spans="1:34" ht="13.5" thickBot="1" x14ac:dyDescent="0.25">
      <c r="A269" s="265"/>
      <c r="B269" s="266"/>
      <c r="C269" s="272" t="s">
        <v>452</v>
      </c>
      <c r="D269" s="272" t="s">
        <v>453</v>
      </c>
      <c r="E269" s="272" t="s">
        <v>434</v>
      </c>
      <c r="F269" s="272" t="s">
        <v>390</v>
      </c>
      <c r="G269" s="272" t="s">
        <v>454</v>
      </c>
      <c r="H269" s="272" t="s">
        <v>455</v>
      </c>
      <c r="I269" s="272" t="s">
        <v>456</v>
      </c>
      <c r="J269" s="272" t="s">
        <v>457</v>
      </c>
      <c r="K269" s="272" t="s">
        <v>458</v>
      </c>
      <c r="L269" s="272" t="s">
        <v>216</v>
      </c>
      <c r="M269" s="272" t="s">
        <v>459</v>
      </c>
      <c r="N269" s="272" t="s">
        <v>297</v>
      </c>
      <c r="O269" s="272" t="s">
        <v>211</v>
      </c>
      <c r="P269" s="863" t="s">
        <v>270</v>
      </c>
      <c r="Q269" s="272">
        <v>15</v>
      </c>
      <c r="R269" s="272">
        <v>16</v>
      </c>
      <c r="S269" s="272" t="s">
        <v>461</v>
      </c>
      <c r="T269" s="272" t="s">
        <v>442</v>
      </c>
      <c r="U269" s="272" t="s">
        <v>462</v>
      </c>
      <c r="V269" s="272" t="s">
        <v>470</v>
      </c>
      <c r="W269" s="272" t="s">
        <v>471</v>
      </c>
      <c r="X269" s="272" t="s">
        <v>472</v>
      </c>
      <c r="Y269" s="272" t="s">
        <v>463</v>
      </c>
      <c r="Z269" s="272" t="s">
        <v>465</v>
      </c>
      <c r="AA269" s="272" t="s">
        <v>466</v>
      </c>
      <c r="AB269" s="272" t="s">
        <v>435</v>
      </c>
      <c r="AC269" s="272" t="s">
        <v>467</v>
      </c>
      <c r="AD269" s="272" t="s">
        <v>464</v>
      </c>
      <c r="AE269" s="272" t="s">
        <v>429</v>
      </c>
      <c r="AF269" s="272" t="s">
        <v>149</v>
      </c>
      <c r="AG269" s="272" t="s">
        <v>210</v>
      </c>
      <c r="AH269" s="215"/>
    </row>
    <row r="270" spans="1:34" x14ac:dyDescent="0.2">
      <c r="A270" s="263"/>
      <c r="B270" s="273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x14ac:dyDescent="0.2">
      <c r="A271" s="265" t="s">
        <v>0</v>
      </c>
      <c r="B271" s="274">
        <v>-18538.052</v>
      </c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ht="13.5" thickBot="1" x14ac:dyDescent="0.25">
      <c r="A272" s="275"/>
      <c r="B272" s="276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3"/>
      <c r="B273" s="278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1</v>
      </c>
      <c r="B274" s="274">
        <f>B275+B276+B277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38</v>
      </c>
      <c r="B275" s="274">
        <f>C323</f>
        <v>0</v>
      </c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x14ac:dyDescent="0.2">
      <c r="A276" s="265" t="s">
        <v>39</v>
      </c>
      <c r="B276" s="274">
        <f>C346</f>
        <v>0</v>
      </c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x14ac:dyDescent="0.2">
      <c r="A277" s="265" t="s">
        <v>3</v>
      </c>
      <c r="B277" s="274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ht="13.5" thickBot="1" x14ac:dyDescent="0.25">
      <c r="A278" s="275"/>
      <c r="B278" s="276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x14ac:dyDescent="0.2">
      <c r="A279" s="263"/>
      <c r="B279" s="278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x14ac:dyDescent="0.2">
      <c r="A280" s="265" t="s">
        <v>4</v>
      </c>
      <c r="B280" s="274">
        <f>B271-B274</f>
        <v>-18538.052</v>
      </c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ht="13.5" thickBot="1" x14ac:dyDescent="0.25">
      <c r="A281" s="275"/>
      <c r="B281" s="276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x14ac:dyDescent="0.2">
      <c r="A282" s="263"/>
      <c r="B282" s="278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x14ac:dyDescent="0.2">
      <c r="A283" s="265" t="s">
        <v>17</v>
      </c>
      <c r="B283" s="274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266"/>
      <c r="Y283" s="266"/>
      <c r="Z283" s="266"/>
      <c r="AA283" s="266"/>
      <c r="AB283" s="266"/>
      <c r="AC283" s="266"/>
      <c r="AD283" s="266"/>
      <c r="AE283" s="266"/>
      <c r="AF283" s="266"/>
      <c r="AG283" s="266"/>
      <c r="AH283" s="215"/>
    </row>
    <row r="284" spans="1:34" ht="13.5" thickBot="1" x14ac:dyDescent="0.25">
      <c r="A284" s="275"/>
      <c r="B284" s="276"/>
      <c r="C284" s="266"/>
      <c r="D284" s="266"/>
      <c r="E284" s="266"/>
      <c r="F284" s="266"/>
      <c r="G284" s="266"/>
      <c r="H284" s="266"/>
      <c r="I284" s="266"/>
      <c r="J284" s="266"/>
      <c r="K284" s="266"/>
      <c r="L284" s="266"/>
      <c r="M284" s="266"/>
      <c r="N284" s="266"/>
      <c r="O284" s="266"/>
      <c r="P284" s="279"/>
      <c r="Q284" s="266"/>
      <c r="R284" s="266"/>
      <c r="S284" s="266"/>
      <c r="T284" s="266"/>
      <c r="U284" s="266"/>
      <c r="V284" s="266"/>
      <c r="W284" s="266"/>
      <c r="X284" s="330"/>
      <c r="Y284" s="266"/>
      <c r="Z284" s="266"/>
      <c r="AA284" s="266"/>
      <c r="AB284" s="266"/>
      <c r="AC284" s="266"/>
      <c r="AD284" s="266"/>
      <c r="AE284" s="266"/>
      <c r="AF284" s="266"/>
      <c r="AG284" s="266"/>
      <c r="AH284" s="215"/>
    </row>
    <row r="285" spans="1:34" x14ac:dyDescent="0.2">
      <c r="A285" s="263"/>
      <c r="B285" s="278"/>
      <c r="D285" s="266"/>
      <c r="E285" s="269"/>
      <c r="F285" s="266"/>
      <c r="G285" s="266"/>
      <c r="H285" s="266"/>
      <c r="I285" s="266"/>
      <c r="J285" s="266"/>
      <c r="K285" s="330"/>
      <c r="L285" s="266"/>
      <c r="M285" s="266"/>
      <c r="N285" s="266"/>
      <c r="O285" s="266"/>
      <c r="P285" s="279"/>
      <c r="Q285" s="266"/>
      <c r="R285" s="266"/>
      <c r="S285" s="266"/>
      <c r="T285" s="266"/>
      <c r="U285" s="266"/>
      <c r="V285" s="266"/>
      <c r="W285" s="266"/>
      <c r="X285" s="269"/>
      <c r="Y285" s="266"/>
      <c r="Z285" s="269"/>
      <c r="AA285" s="266"/>
      <c r="AB285" s="692"/>
      <c r="AC285" s="266"/>
      <c r="AD285" s="266"/>
      <c r="AE285" s="266"/>
      <c r="AF285" s="269" t="s">
        <v>1019</v>
      </c>
      <c r="AG285" s="266" t="s">
        <v>1020</v>
      </c>
      <c r="AH285" s="215"/>
    </row>
    <row r="286" spans="1:34" x14ac:dyDescent="0.2">
      <c r="A286" s="265" t="s">
        <v>5</v>
      </c>
      <c r="B286" s="274">
        <f>B280-B283</f>
        <v>-18538.052</v>
      </c>
      <c r="C286" s="409"/>
      <c r="D286" s="269"/>
      <c r="E286" s="794"/>
      <c r="F286" s="269"/>
      <c r="G286" s="269"/>
      <c r="I286" s="269"/>
      <c r="J286" s="269"/>
      <c r="K286" s="768"/>
      <c r="L286" s="269"/>
      <c r="M286" s="269"/>
      <c r="N286" s="269"/>
      <c r="P286" s="279"/>
      <c r="Q286" s="269" t="s">
        <v>139</v>
      </c>
      <c r="R286" s="269"/>
      <c r="S286" s="281"/>
      <c r="T286" s="269"/>
      <c r="U286" s="266"/>
      <c r="V286" s="269"/>
      <c r="W286" s="266"/>
      <c r="X286" s="269"/>
      <c r="Y286" s="269"/>
      <c r="Z286" s="281" t="s">
        <v>69</v>
      </c>
      <c r="AA286" s="281" t="s">
        <v>223</v>
      </c>
      <c r="AC286" s="796" t="s">
        <v>145</v>
      </c>
      <c r="AD286" s="796"/>
      <c r="AE286" s="281"/>
      <c r="AF286" s="269"/>
      <c r="AG286" s="705"/>
      <c r="AH286" s="215"/>
    </row>
    <row r="287" spans="1:34" ht="13.5" thickBot="1" x14ac:dyDescent="0.25">
      <c r="A287" s="275"/>
      <c r="B287" s="276"/>
      <c r="C287" s="266"/>
      <c r="D287" s="266"/>
      <c r="E287" s="266"/>
      <c r="F287" s="266"/>
      <c r="G287" s="266"/>
      <c r="H287" s="266"/>
      <c r="I287" s="266"/>
      <c r="J287" s="266"/>
      <c r="K287" s="266"/>
      <c r="L287" s="266"/>
      <c r="M287" s="269"/>
      <c r="N287" s="266"/>
      <c r="O287" s="266"/>
      <c r="P287" s="279"/>
      <c r="Q287" s="266"/>
      <c r="R287" s="266"/>
      <c r="S287" s="266"/>
      <c r="T287" s="266"/>
      <c r="U287" s="266"/>
      <c r="V287" s="266"/>
      <c r="W287" s="266"/>
      <c r="X287" s="266"/>
      <c r="Y287" s="266"/>
      <c r="Z287" s="266"/>
      <c r="AA287" s="266"/>
      <c r="AB287" s="266"/>
      <c r="AC287" s="266"/>
      <c r="AD287" s="266"/>
      <c r="AE287" s="266"/>
      <c r="AF287" s="266"/>
      <c r="AG287" s="266"/>
      <c r="AH287" s="215"/>
    </row>
    <row r="288" spans="1:34" x14ac:dyDescent="0.2">
      <c r="A288" s="282"/>
      <c r="B288" s="266"/>
      <c r="C288" s="283"/>
      <c r="D288" s="285"/>
      <c r="E288" s="285"/>
      <c r="F288" s="284"/>
      <c r="G288" s="284"/>
      <c r="H288" s="284"/>
      <c r="I288" s="284"/>
      <c r="J288" s="284"/>
      <c r="K288" s="284"/>
      <c r="L288" s="284"/>
      <c r="M288" s="284"/>
      <c r="N288" s="284"/>
      <c r="O288" s="284"/>
      <c r="P288" s="864"/>
      <c r="Q288" s="284"/>
      <c r="R288" s="284"/>
      <c r="S288" s="284"/>
      <c r="T288" s="284"/>
      <c r="U288" s="284"/>
      <c r="V288" s="284"/>
      <c r="W288" s="284"/>
      <c r="X288" s="284"/>
      <c r="Y288" s="284"/>
      <c r="Z288" s="284"/>
      <c r="AA288" s="284"/>
      <c r="AB288" s="284"/>
      <c r="AC288" s="284"/>
      <c r="AD288" s="284"/>
      <c r="AE288" s="284"/>
      <c r="AF288" s="284"/>
      <c r="AG288" s="284"/>
      <c r="AH288" s="215"/>
    </row>
    <row r="289" spans="1:34" ht="13.5" thickBot="1" x14ac:dyDescent="0.25">
      <c r="A289" s="287" t="s">
        <v>7</v>
      </c>
      <c r="B289" s="266"/>
      <c r="C289" s="288">
        <f>C290+C291+C292+C294+C293</f>
        <v>0</v>
      </c>
      <c r="D289" s="288">
        <f>D290+D291+D292+D294+D293</f>
        <v>0</v>
      </c>
      <c r="E289" s="288">
        <f>E290+E291+E292+E294+E293</f>
        <v>0</v>
      </c>
      <c r="F289" s="288">
        <f>F290+F291+F292+F294+F293</f>
        <v>0</v>
      </c>
      <c r="G289" s="288">
        <f>G290+G291+G292+G294+G293</f>
        <v>0</v>
      </c>
      <c r="H289" s="288">
        <f t="shared" ref="H289:AF289" si="29">H290+H291+H292+H294+H293</f>
        <v>0</v>
      </c>
      <c r="I289" s="288">
        <f t="shared" si="29"/>
        <v>0</v>
      </c>
      <c r="J289" s="288">
        <f t="shared" si="29"/>
        <v>0</v>
      </c>
      <c r="K289" s="288">
        <f t="shared" si="29"/>
        <v>0</v>
      </c>
      <c r="L289" s="288">
        <f t="shared" si="29"/>
        <v>0</v>
      </c>
      <c r="M289" s="288">
        <f t="shared" si="29"/>
        <v>0</v>
      </c>
      <c r="N289" s="288">
        <f t="shared" si="29"/>
        <v>0</v>
      </c>
      <c r="O289" s="288">
        <f t="shared" si="29"/>
        <v>0</v>
      </c>
      <c r="P289" s="865">
        <f t="shared" si="29"/>
        <v>0</v>
      </c>
      <c r="Q289" s="288">
        <f t="shared" si="29"/>
        <v>0</v>
      </c>
      <c r="R289" s="288">
        <f t="shared" si="29"/>
        <v>0</v>
      </c>
      <c r="S289" s="288">
        <f t="shared" si="29"/>
        <v>0</v>
      </c>
      <c r="T289" s="288">
        <f t="shared" si="29"/>
        <v>0</v>
      </c>
      <c r="U289" s="288">
        <f t="shared" si="29"/>
        <v>0</v>
      </c>
      <c r="V289" s="288">
        <f t="shared" si="29"/>
        <v>0</v>
      </c>
      <c r="W289" s="288">
        <f t="shared" si="29"/>
        <v>0</v>
      </c>
      <c r="X289" s="288">
        <f t="shared" si="29"/>
        <v>0</v>
      </c>
      <c r="Y289" s="288">
        <f t="shared" si="29"/>
        <v>0</v>
      </c>
      <c r="Z289" s="288">
        <f t="shared" si="29"/>
        <v>0</v>
      </c>
      <c r="AA289" s="288">
        <f t="shared" si="29"/>
        <v>0</v>
      </c>
      <c r="AB289" s="288">
        <f t="shared" si="29"/>
        <v>0</v>
      </c>
      <c r="AC289" s="288">
        <f t="shared" si="29"/>
        <v>0</v>
      </c>
      <c r="AD289" s="288">
        <f t="shared" si="29"/>
        <v>0</v>
      </c>
      <c r="AE289" s="288">
        <f t="shared" si="29"/>
        <v>0</v>
      </c>
      <c r="AF289" s="288">
        <f t="shared" si="29"/>
        <v>0</v>
      </c>
      <c r="AG289" s="288">
        <f>AG290+AG291+AG292+AG294+AG293</f>
        <v>0</v>
      </c>
      <c r="AH289" s="286">
        <f>SUM(C289:AG289)</f>
        <v>0</v>
      </c>
    </row>
    <row r="290" spans="1:34" x14ac:dyDescent="0.2">
      <c r="A290" s="287" t="s">
        <v>8</v>
      </c>
      <c r="B290" s="331"/>
      <c r="C290" s="291"/>
      <c r="D290" s="291"/>
      <c r="E290" s="362"/>
      <c r="F290" s="290"/>
      <c r="G290" s="290"/>
      <c r="H290" s="290"/>
      <c r="I290" s="295"/>
      <c r="J290" s="290"/>
      <c r="K290" s="290"/>
      <c r="L290" s="290"/>
      <c r="M290" s="290"/>
      <c r="N290" s="290"/>
      <c r="O290" s="290"/>
      <c r="P290" s="292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  <c r="AB290" s="290"/>
      <c r="AC290" s="290"/>
      <c r="AD290" s="290"/>
      <c r="AE290" s="290"/>
      <c r="AF290" s="290"/>
      <c r="AG290" s="290"/>
      <c r="AH290" s="286">
        <f>SUM(C290:AG290)</f>
        <v>0</v>
      </c>
    </row>
    <row r="291" spans="1:34" x14ac:dyDescent="0.2">
      <c r="A291" s="287" t="s">
        <v>9</v>
      </c>
      <c r="B291" s="331"/>
      <c r="C291" s="291"/>
      <c r="D291" s="291"/>
      <c r="E291" s="362"/>
      <c r="F291" s="290"/>
      <c r="G291" s="290"/>
      <c r="H291" s="290"/>
      <c r="I291" s="290"/>
      <c r="J291" s="290"/>
      <c r="K291" s="290"/>
      <c r="L291" s="290"/>
      <c r="M291" s="290"/>
      <c r="N291" s="290"/>
      <c r="O291" s="295"/>
      <c r="P291" s="292"/>
      <c r="Q291" s="290"/>
      <c r="R291" s="290"/>
      <c r="S291" s="290"/>
      <c r="T291" s="290"/>
      <c r="U291" s="290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0"/>
      <c r="AF291" s="290"/>
      <c r="AG291" s="290"/>
      <c r="AH291" s="286">
        <f>SUM(C291:AG291)</f>
        <v>0</v>
      </c>
    </row>
    <row r="292" spans="1:34" s="360" customFormat="1" x14ac:dyDescent="0.2">
      <c r="A292" s="662" t="s">
        <v>10</v>
      </c>
      <c r="B292" s="669"/>
      <c r="C292" s="795"/>
      <c r="D292" s="565"/>
      <c r="E292" s="565"/>
      <c r="F292" s="560"/>
      <c r="G292" s="560"/>
      <c r="H292" s="811"/>
      <c r="I292" s="560"/>
      <c r="J292" s="560"/>
      <c r="K292" s="380"/>
      <c r="L292" s="560"/>
      <c r="M292" s="560"/>
      <c r="N292" s="560"/>
      <c r="O292" s="948"/>
      <c r="P292" s="560"/>
      <c r="Q292" s="560">
        <v>-37517</v>
      </c>
      <c r="R292" s="560"/>
      <c r="S292" s="560"/>
      <c r="T292" s="560"/>
      <c r="U292" s="560"/>
      <c r="V292" s="560"/>
      <c r="W292" s="560"/>
      <c r="X292" s="560"/>
      <c r="Y292" s="560"/>
      <c r="Z292" s="665"/>
      <c r="AA292" s="560">
        <v>-24426</v>
      </c>
      <c r="AB292" s="560"/>
      <c r="AC292" s="560">
        <v>-28862</v>
      </c>
      <c r="AD292" s="708"/>
      <c r="AE292" s="560"/>
      <c r="AF292" s="560"/>
      <c r="AG292" s="747"/>
      <c r="AH292" s="379">
        <f>SUM(C292:AG292)</f>
        <v>-90805</v>
      </c>
    </row>
    <row r="293" spans="1:34" s="360" customFormat="1" x14ac:dyDescent="0.2">
      <c r="A293" s="662" t="s">
        <v>356</v>
      </c>
      <c r="B293" s="669"/>
      <c r="C293" s="565"/>
      <c r="D293" s="565"/>
      <c r="E293" s="565"/>
      <c r="F293" s="560"/>
      <c r="G293" s="380"/>
      <c r="H293" s="560"/>
      <c r="I293" s="380"/>
      <c r="J293" s="560"/>
      <c r="K293" s="560"/>
      <c r="L293" s="560"/>
      <c r="M293" s="560"/>
      <c r="N293" s="380"/>
      <c r="O293" s="560"/>
      <c r="P293" s="560"/>
      <c r="Q293" s="560">
        <v>37517</v>
      </c>
      <c r="R293" s="560"/>
      <c r="S293" s="560"/>
      <c r="T293" s="560"/>
      <c r="U293" s="560"/>
      <c r="V293" s="560"/>
      <c r="W293" s="560"/>
      <c r="X293" s="380"/>
      <c r="Y293" s="560"/>
      <c r="Z293" s="560"/>
      <c r="AA293" s="560">
        <v>24426</v>
      </c>
      <c r="AB293" s="380"/>
      <c r="AC293" s="560">
        <v>28862</v>
      </c>
      <c r="AD293" s="560"/>
      <c r="AE293" s="560"/>
      <c r="AF293" s="560"/>
      <c r="AG293" s="560"/>
      <c r="AH293" s="379">
        <f>SUM(C293:AG293)</f>
        <v>90805</v>
      </c>
    </row>
    <row r="294" spans="1:34" x14ac:dyDescent="0.2">
      <c r="A294" s="287" t="s">
        <v>11</v>
      </c>
      <c r="B294" s="266"/>
      <c r="C294" s="291"/>
      <c r="D294" s="289"/>
      <c r="E294" s="294"/>
      <c r="F294" s="292"/>
      <c r="G294" s="292"/>
      <c r="H294" s="292"/>
      <c r="I294" s="292"/>
      <c r="J294" s="295"/>
      <c r="K294" s="292"/>
      <c r="L294" s="292"/>
      <c r="M294" s="292"/>
      <c r="N294" s="292"/>
      <c r="O294" s="292"/>
      <c r="P294" s="455"/>
      <c r="Q294" s="292"/>
      <c r="R294" s="292"/>
      <c r="S294" s="292"/>
      <c r="T294" s="292"/>
      <c r="U294" s="292"/>
      <c r="V294" s="295"/>
      <c r="W294" s="295"/>
      <c r="X294" s="295"/>
      <c r="Y294" s="455"/>
      <c r="Z294" s="295"/>
      <c r="AA294" s="295"/>
      <c r="AB294" s="295"/>
      <c r="AC294" s="292"/>
      <c r="AD294" s="295"/>
      <c r="AE294" s="292"/>
      <c r="AF294" s="292"/>
      <c r="AG294" s="292"/>
      <c r="AH294" s="215"/>
    </row>
    <row r="295" spans="1:34" ht="13.5" thickBot="1" x14ac:dyDescent="0.25">
      <c r="A295" s="296"/>
      <c r="B295" s="266"/>
      <c r="C295" s="291"/>
      <c r="D295" s="291"/>
      <c r="E295" s="291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2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  <c r="AE295" s="290"/>
      <c r="AF295" s="290"/>
      <c r="AG295" s="290"/>
      <c r="AH295" s="215"/>
    </row>
    <row r="296" spans="1:34" x14ac:dyDescent="0.2">
      <c r="A296" s="282"/>
      <c r="B296" s="266"/>
      <c r="C296" s="297"/>
      <c r="D296" s="298"/>
      <c r="E296" s="298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866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F296" s="299"/>
      <c r="AG296" s="299"/>
      <c r="AH296" s="215"/>
    </row>
    <row r="297" spans="1:34" ht="13.5" thickBot="1" x14ac:dyDescent="0.25">
      <c r="A297" s="287" t="s">
        <v>12</v>
      </c>
      <c r="B297" s="266"/>
      <c r="C297" s="288">
        <f t="shared" ref="C297:AG297" si="30">C298</f>
        <v>0</v>
      </c>
      <c r="D297" s="288">
        <f t="shared" si="30"/>
        <v>0</v>
      </c>
      <c r="E297" s="288">
        <f t="shared" si="30"/>
        <v>0</v>
      </c>
      <c r="F297" s="288">
        <f t="shared" si="30"/>
        <v>0</v>
      </c>
      <c r="G297" s="288">
        <f t="shared" si="30"/>
        <v>0</v>
      </c>
      <c r="H297" s="288">
        <f t="shared" si="30"/>
        <v>0</v>
      </c>
      <c r="I297" s="288">
        <f t="shared" si="30"/>
        <v>0</v>
      </c>
      <c r="J297" s="288">
        <f t="shared" si="30"/>
        <v>0</v>
      </c>
      <c r="K297" s="288">
        <f t="shared" si="30"/>
        <v>0</v>
      </c>
      <c r="L297" s="288">
        <f t="shared" si="30"/>
        <v>0</v>
      </c>
      <c r="M297" s="288">
        <f t="shared" si="30"/>
        <v>0</v>
      </c>
      <c r="N297" s="288">
        <f t="shared" si="30"/>
        <v>0</v>
      </c>
      <c r="O297" s="288">
        <f t="shared" si="30"/>
        <v>0</v>
      </c>
      <c r="P297" s="865">
        <f t="shared" si="30"/>
        <v>0</v>
      </c>
      <c r="Q297" s="288">
        <f t="shared" si="30"/>
        <v>0</v>
      </c>
      <c r="R297" s="288">
        <f t="shared" si="30"/>
        <v>0</v>
      </c>
      <c r="S297" s="288">
        <f t="shared" si="30"/>
        <v>0</v>
      </c>
      <c r="T297" s="288">
        <f t="shared" si="30"/>
        <v>0</v>
      </c>
      <c r="U297" s="288">
        <f t="shared" si="30"/>
        <v>0</v>
      </c>
      <c r="V297" s="288">
        <f t="shared" si="30"/>
        <v>0</v>
      </c>
      <c r="W297" s="288">
        <f t="shared" si="30"/>
        <v>0</v>
      </c>
      <c r="X297" s="288">
        <f t="shared" si="30"/>
        <v>0</v>
      </c>
      <c r="Y297" s="288">
        <f t="shared" si="30"/>
        <v>0</v>
      </c>
      <c r="Z297" s="288">
        <f t="shared" si="30"/>
        <v>0</v>
      </c>
      <c r="AA297" s="288">
        <f t="shared" si="30"/>
        <v>0</v>
      </c>
      <c r="AB297" s="288">
        <f t="shared" si="30"/>
        <v>0</v>
      </c>
      <c r="AC297" s="288">
        <f t="shared" si="30"/>
        <v>0</v>
      </c>
      <c r="AD297" s="288">
        <f t="shared" si="30"/>
        <v>0</v>
      </c>
      <c r="AE297" s="288">
        <f t="shared" si="30"/>
        <v>0</v>
      </c>
      <c r="AF297" s="288">
        <f t="shared" si="30"/>
        <v>0</v>
      </c>
      <c r="AG297" s="288">
        <f t="shared" si="30"/>
        <v>0</v>
      </c>
      <c r="AH297" s="215"/>
    </row>
    <row r="298" spans="1:34" x14ac:dyDescent="0.2">
      <c r="A298" s="287" t="s">
        <v>8</v>
      </c>
      <c r="B298" s="266"/>
      <c r="C298" s="291"/>
      <c r="D298" s="291"/>
      <c r="E298" s="291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2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15"/>
    </row>
    <row r="299" spans="1:34" x14ac:dyDescent="0.2">
      <c r="A299" s="287" t="s">
        <v>775</v>
      </c>
      <c r="B299" s="266"/>
      <c r="C299" s="291"/>
      <c r="D299" s="291"/>
      <c r="E299" s="291"/>
      <c r="F299" s="290">
        <v>1000</v>
      </c>
      <c r="G299" s="290">
        <v>3460</v>
      </c>
      <c r="H299" s="290">
        <v>2416</v>
      </c>
      <c r="I299" s="290">
        <v>1599</v>
      </c>
      <c r="J299" s="290">
        <v>589</v>
      </c>
      <c r="K299" s="290"/>
      <c r="L299" s="290">
        <v>7081</v>
      </c>
      <c r="M299" s="290"/>
      <c r="N299" s="290">
        <v>4071</v>
      </c>
      <c r="O299" s="290">
        <v>1234</v>
      </c>
      <c r="P299" s="292"/>
      <c r="Q299" s="290">
        <v>9939</v>
      </c>
      <c r="R299" s="290">
        <v>946</v>
      </c>
      <c r="S299" s="290"/>
      <c r="T299" s="290">
        <v>3150</v>
      </c>
      <c r="U299" s="290"/>
      <c r="V299" s="290">
        <v>12494</v>
      </c>
      <c r="W299" s="290">
        <v>1334</v>
      </c>
      <c r="X299" s="290">
        <v>3810</v>
      </c>
      <c r="Y299" s="290">
        <v>1863</v>
      </c>
      <c r="Z299" s="290">
        <v>1357</v>
      </c>
      <c r="AA299" s="290">
        <v>11437</v>
      </c>
      <c r="AB299" s="290">
        <v>630</v>
      </c>
      <c r="AC299" s="290">
        <v>1030</v>
      </c>
      <c r="AD299" s="290">
        <v>631</v>
      </c>
      <c r="AE299" s="290">
        <v>1748</v>
      </c>
      <c r="AF299" s="290">
        <v>10061</v>
      </c>
      <c r="AG299" s="290">
        <v>8891</v>
      </c>
      <c r="AH299" s="286">
        <f>SUM(C299:AG299)</f>
        <v>90771</v>
      </c>
    </row>
    <row r="300" spans="1:34" ht="13.5" thickBot="1" x14ac:dyDescent="0.25">
      <c r="A300" s="296"/>
      <c r="B300" s="266"/>
      <c r="C300" s="291"/>
      <c r="D300" s="291"/>
      <c r="E300" s="291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2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  <c r="AE300" s="290"/>
      <c r="AF300" s="290"/>
      <c r="AG300" s="290"/>
      <c r="AH300" s="215"/>
    </row>
    <row r="301" spans="1:34" x14ac:dyDescent="0.2">
      <c r="A301" s="282"/>
      <c r="B301" s="266"/>
      <c r="C301" s="297"/>
      <c r="D301" s="298"/>
      <c r="E301" s="298"/>
      <c r="F301" s="299"/>
      <c r="G301" s="299"/>
      <c r="H301" s="299"/>
      <c r="I301" s="299"/>
      <c r="J301" s="299"/>
      <c r="K301" s="299"/>
      <c r="L301" s="299"/>
      <c r="M301" s="299"/>
      <c r="N301" s="299"/>
      <c r="O301" s="299"/>
      <c r="P301" s="866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  <c r="AB301" s="299"/>
      <c r="AC301" s="299"/>
      <c r="AD301" s="299"/>
      <c r="AE301" s="299"/>
      <c r="AF301" s="299"/>
      <c r="AG301" s="299"/>
      <c r="AH301" s="215"/>
    </row>
    <row r="302" spans="1:34" x14ac:dyDescent="0.2">
      <c r="A302" s="287" t="s">
        <v>13</v>
      </c>
      <c r="B302" s="266"/>
      <c r="C302" s="300">
        <f>C297-C289</f>
        <v>0</v>
      </c>
      <c r="D302" s="300">
        <f>D297-D289</f>
        <v>0</v>
      </c>
      <c r="E302" s="300">
        <f>E297-E289</f>
        <v>0</v>
      </c>
      <c r="F302" s="300">
        <f>F297-F289</f>
        <v>0</v>
      </c>
      <c r="G302" s="300">
        <f>G297-G289</f>
        <v>0</v>
      </c>
      <c r="H302" s="300">
        <f t="shared" ref="H302:AG302" si="31">H297-H289</f>
        <v>0</v>
      </c>
      <c r="I302" s="300">
        <f t="shared" si="31"/>
        <v>0</v>
      </c>
      <c r="J302" s="300">
        <f t="shared" si="31"/>
        <v>0</v>
      </c>
      <c r="K302" s="300">
        <f t="shared" si="31"/>
        <v>0</v>
      </c>
      <c r="L302" s="300">
        <f t="shared" si="31"/>
        <v>0</v>
      </c>
      <c r="M302" s="300">
        <f t="shared" si="31"/>
        <v>0</v>
      </c>
      <c r="N302" s="300">
        <f t="shared" si="31"/>
        <v>0</v>
      </c>
      <c r="O302" s="300">
        <f t="shared" si="31"/>
        <v>0</v>
      </c>
      <c r="P302" s="867">
        <f t="shared" si="31"/>
        <v>0</v>
      </c>
      <c r="Q302" s="300">
        <f t="shared" si="31"/>
        <v>0</v>
      </c>
      <c r="R302" s="300">
        <f t="shared" si="31"/>
        <v>0</v>
      </c>
      <c r="S302" s="300">
        <f t="shared" si="31"/>
        <v>0</v>
      </c>
      <c r="T302" s="300">
        <f t="shared" si="31"/>
        <v>0</v>
      </c>
      <c r="U302" s="300">
        <f t="shared" si="31"/>
        <v>0</v>
      </c>
      <c r="V302" s="300">
        <f t="shared" si="31"/>
        <v>0</v>
      </c>
      <c r="W302" s="300">
        <f t="shared" si="31"/>
        <v>0</v>
      </c>
      <c r="X302" s="300">
        <f t="shared" si="31"/>
        <v>0</v>
      </c>
      <c r="Y302" s="300">
        <f t="shared" si="31"/>
        <v>0</v>
      </c>
      <c r="Z302" s="300">
        <f t="shared" si="31"/>
        <v>0</v>
      </c>
      <c r="AA302" s="300">
        <f t="shared" si="31"/>
        <v>0</v>
      </c>
      <c r="AB302" s="300">
        <f t="shared" si="31"/>
        <v>0</v>
      </c>
      <c r="AC302" s="300">
        <f t="shared" si="31"/>
        <v>0</v>
      </c>
      <c r="AD302" s="300">
        <f t="shared" si="31"/>
        <v>0</v>
      </c>
      <c r="AE302" s="300">
        <f t="shared" si="31"/>
        <v>0</v>
      </c>
      <c r="AF302" s="300">
        <f t="shared" si="31"/>
        <v>0</v>
      </c>
      <c r="AG302" s="300">
        <f t="shared" si="31"/>
        <v>0</v>
      </c>
      <c r="AH302" s="215"/>
    </row>
    <row r="303" spans="1:34" ht="13.5" thickBot="1" x14ac:dyDescent="0.25">
      <c r="A303" s="287"/>
      <c r="B303" s="266"/>
      <c r="C303" s="300"/>
      <c r="D303" s="291"/>
      <c r="E303" s="291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2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15"/>
    </row>
    <row r="304" spans="1:34" x14ac:dyDescent="0.2">
      <c r="A304" s="263"/>
      <c r="B304" s="264"/>
      <c r="C304" s="301"/>
      <c r="D304" s="298"/>
      <c r="E304" s="298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866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  <c r="AB304" s="299"/>
      <c r="AC304" s="299"/>
      <c r="AD304" s="299"/>
      <c r="AE304" s="299"/>
      <c r="AF304" s="299"/>
      <c r="AG304" s="299"/>
      <c r="AH304" s="215"/>
    </row>
    <row r="305" spans="1:34" x14ac:dyDescent="0.2">
      <c r="A305" s="265" t="s">
        <v>15</v>
      </c>
      <c r="B305" s="266"/>
      <c r="C305" s="291">
        <f>B286+C302</f>
        <v>-18538.052</v>
      </c>
      <c r="D305" s="291">
        <f t="shared" ref="D305:AG305" si="32">C312+D302</f>
        <v>-18538.052</v>
      </c>
      <c r="E305" s="291">
        <f t="shared" si="32"/>
        <v>-18538.052</v>
      </c>
      <c r="F305" s="291">
        <f t="shared" si="32"/>
        <v>-18538.052</v>
      </c>
      <c r="G305" s="291">
        <f t="shared" si="32"/>
        <v>-18538.052</v>
      </c>
      <c r="H305" s="291">
        <f t="shared" si="32"/>
        <v>-18538.052</v>
      </c>
      <c r="I305" s="291">
        <f t="shared" si="32"/>
        <v>-18538.052</v>
      </c>
      <c r="J305" s="291">
        <f t="shared" si="32"/>
        <v>-18538.052</v>
      </c>
      <c r="K305" s="291">
        <f t="shared" si="32"/>
        <v>-18538.052</v>
      </c>
      <c r="L305" s="291">
        <f t="shared" si="32"/>
        <v>-18538.052</v>
      </c>
      <c r="M305" s="291">
        <f t="shared" si="32"/>
        <v>-18538.052</v>
      </c>
      <c r="N305" s="291">
        <f t="shared" si="32"/>
        <v>-18538.052</v>
      </c>
      <c r="O305" s="291">
        <f t="shared" si="32"/>
        <v>-18538.052</v>
      </c>
      <c r="P305" s="289">
        <f t="shared" si="32"/>
        <v>-18538.052</v>
      </c>
      <c r="Q305" s="291">
        <f t="shared" si="32"/>
        <v>-18538.052</v>
      </c>
      <c r="R305" s="291">
        <f t="shared" si="32"/>
        <v>-18538.052</v>
      </c>
      <c r="S305" s="291">
        <f t="shared" si="32"/>
        <v>-18538.052</v>
      </c>
      <c r="T305" s="291">
        <f t="shared" si="32"/>
        <v>-18538.052</v>
      </c>
      <c r="U305" s="291">
        <f t="shared" si="32"/>
        <v>-18538.052</v>
      </c>
      <c r="V305" s="291">
        <f t="shared" si="32"/>
        <v>-18538.052</v>
      </c>
      <c r="W305" s="291">
        <f t="shared" si="32"/>
        <v>-18538.052</v>
      </c>
      <c r="X305" s="291">
        <f t="shared" si="32"/>
        <v>-18538.052</v>
      </c>
      <c r="Y305" s="291">
        <f t="shared" si="32"/>
        <v>-18538.052</v>
      </c>
      <c r="Z305" s="291">
        <f t="shared" si="32"/>
        <v>-18538.052</v>
      </c>
      <c r="AA305" s="291">
        <f t="shared" si="32"/>
        <v>-18538.052</v>
      </c>
      <c r="AB305" s="291">
        <f t="shared" si="32"/>
        <v>-18538.052</v>
      </c>
      <c r="AC305" s="291">
        <f t="shared" si="32"/>
        <v>-18538.052</v>
      </c>
      <c r="AD305" s="291">
        <f t="shared" si="32"/>
        <v>-18538.052</v>
      </c>
      <c r="AE305" s="291">
        <f t="shared" si="32"/>
        <v>-18538.052</v>
      </c>
      <c r="AF305" s="291">
        <f t="shared" si="32"/>
        <v>-18538.052</v>
      </c>
      <c r="AG305" s="291">
        <f t="shared" si="32"/>
        <v>-18538.052</v>
      </c>
      <c r="AH305" s="215"/>
    </row>
    <row r="306" spans="1:34" ht="13.5" thickBot="1" x14ac:dyDescent="0.25">
      <c r="A306" s="275"/>
      <c r="B306" s="302"/>
      <c r="C306" s="303"/>
      <c r="D306" s="303"/>
      <c r="E306" s="303"/>
      <c r="F306" s="304"/>
      <c r="G306" s="304"/>
      <c r="H306" s="304"/>
      <c r="I306" s="304"/>
      <c r="J306" s="304"/>
      <c r="K306" s="304"/>
      <c r="L306" s="304"/>
      <c r="M306" s="304"/>
      <c r="N306" s="304"/>
      <c r="O306" s="304"/>
      <c r="P306" s="868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4"/>
      <c r="AG306" s="304"/>
      <c r="AH306" s="215"/>
    </row>
    <row r="307" spans="1:34" x14ac:dyDescent="0.2">
      <c r="A307" s="263"/>
      <c r="B307" s="264"/>
      <c r="C307" s="298"/>
      <c r="D307" s="298"/>
      <c r="E307" s="298"/>
      <c r="F307" s="299"/>
      <c r="G307" s="299"/>
      <c r="H307" s="299"/>
      <c r="I307" s="299"/>
      <c r="J307" s="299"/>
      <c r="K307" s="299"/>
      <c r="L307" s="299"/>
      <c r="M307" s="299"/>
      <c r="N307" s="299"/>
      <c r="O307" s="299"/>
      <c r="P307" s="866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  <c r="AB307" s="299"/>
      <c r="AC307" s="299"/>
      <c r="AD307" s="299"/>
      <c r="AE307" s="299"/>
      <c r="AF307" s="299"/>
      <c r="AG307" s="299"/>
      <c r="AH307" s="215"/>
    </row>
    <row r="308" spans="1:34" x14ac:dyDescent="0.2">
      <c r="A308" s="265" t="s">
        <v>82</v>
      </c>
      <c r="B308" s="266"/>
      <c r="C308" s="291">
        <f t="shared" ref="C308:AG309" si="33">C316</f>
        <v>0</v>
      </c>
      <c r="D308" s="291">
        <f t="shared" si="33"/>
        <v>0</v>
      </c>
      <c r="E308" s="291">
        <f t="shared" si="33"/>
        <v>0</v>
      </c>
      <c r="F308" s="291">
        <f t="shared" si="33"/>
        <v>0</v>
      </c>
      <c r="G308" s="291">
        <f t="shared" si="33"/>
        <v>0</v>
      </c>
      <c r="H308" s="291">
        <f t="shared" si="33"/>
        <v>0</v>
      </c>
      <c r="I308" s="291">
        <f t="shared" si="33"/>
        <v>0</v>
      </c>
      <c r="J308" s="291">
        <f t="shared" si="33"/>
        <v>0</v>
      </c>
      <c r="K308" s="291">
        <f t="shared" si="33"/>
        <v>0</v>
      </c>
      <c r="L308" s="291">
        <f t="shared" si="33"/>
        <v>0</v>
      </c>
      <c r="M308" s="291">
        <f t="shared" si="33"/>
        <v>0</v>
      </c>
      <c r="N308" s="291">
        <f t="shared" si="33"/>
        <v>0</v>
      </c>
      <c r="O308" s="291">
        <f t="shared" si="33"/>
        <v>0</v>
      </c>
      <c r="P308" s="289">
        <f t="shared" si="33"/>
        <v>0</v>
      </c>
      <c r="Q308" s="291">
        <f t="shared" si="33"/>
        <v>0</v>
      </c>
      <c r="R308" s="291">
        <f t="shared" si="33"/>
        <v>0</v>
      </c>
      <c r="S308" s="291">
        <f t="shared" si="33"/>
        <v>0</v>
      </c>
      <c r="T308" s="291">
        <f t="shared" si="33"/>
        <v>0</v>
      </c>
      <c r="U308" s="291">
        <f t="shared" si="33"/>
        <v>0</v>
      </c>
      <c r="V308" s="291">
        <f t="shared" si="33"/>
        <v>0</v>
      </c>
      <c r="W308" s="291">
        <f t="shared" si="33"/>
        <v>0</v>
      </c>
      <c r="X308" s="291">
        <f t="shared" si="33"/>
        <v>0</v>
      </c>
      <c r="Y308" s="291">
        <f t="shared" si="33"/>
        <v>0</v>
      </c>
      <c r="Z308" s="291">
        <f t="shared" si="33"/>
        <v>0</v>
      </c>
      <c r="AA308" s="291">
        <f>AA316</f>
        <v>0</v>
      </c>
      <c r="AB308" s="291">
        <f t="shared" si="33"/>
        <v>0</v>
      </c>
      <c r="AC308" s="291">
        <f t="shared" si="33"/>
        <v>0</v>
      </c>
      <c r="AD308" s="291">
        <f t="shared" si="33"/>
        <v>0</v>
      </c>
      <c r="AE308" s="291">
        <f t="shared" si="33"/>
        <v>0</v>
      </c>
      <c r="AF308" s="291">
        <f t="shared" si="33"/>
        <v>0</v>
      </c>
      <c r="AG308" s="291">
        <f t="shared" si="33"/>
        <v>0</v>
      </c>
      <c r="AH308" s="215"/>
    </row>
    <row r="309" spans="1:34" x14ac:dyDescent="0.2">
      <c r="A309" s="265" t="s">
        <v>83</v>
      </c>
      <c r="B309" s="266"/>
      <c r="C309" s="289">
        <f t="shared" si="33"/>
        <v>0</v>
      </c>
      <c r="D309" s="289">
        <f t="shared" si="33"/>
        <v>0</v>
      </c>
      <c r="E309" s="289">
        <f t="shared" si="33"/>
        <v>0</v>
      </c>
      <c r="F309" s="289">
        <f t="shared" si="33"/>
        <v>0</v>
      </c>
      <c r="G309" s="289">
        <f t="shared" si="33"/>
        <v>0</v>
      </c>
      <c r="H309" s="289">
        <f t="shared" si="33"/>
        <v>0</v>
      </c>
      <c r="I309" s="289">
        <f t="shared" si="33"/>
        <v>0</v>
      </c>
      <c r="J309" s="289">
        <f t="shared" si="33"/>
        <v>0</v>
      </c>
      <c r="K309" s="289">
        <f t="shared" si="33"/>
        <v>0</v>
      </c>
      <c r="L309" s="289">
        <f t="shared" si="33"/>
        <v>0</v>
      </c>
      <c r="M309" s="289">
        <f t="shared" si="33"/>
        <v>0</v>
      </c>
      <c r="N309" s="289">
        <f t="shared" si="33"/>
        <v>0</v>
      </c>
      <c r="O309" s="289">
        <f t="shared" si="33"/>
        <v>0</v>
      </c>
      <c r="P309" s="289">
        <f t="shared" si="33"/>
        <v>0</v>
      </c>
      <c r="Q309" s="289">
        <f t="shared" si="33"/>
        <v>0</v>
      </c>
      <c r="R309" s="289">
        <f t="shared" si="33"/>
        <v>0</v>
      </c>
      <c r="S309" s="289">
        <f t="shared" si="33"/>
        <v>0</v>
      </c>
      <c r="T309" s="289">
        <f t="shared" si="33"/>
        <v>0</v>
      </c>
      <c r="U309" s="289">
        <f t="shared" si="33"/>
        <v>0</v>
      </c>
      <c r="V309" s="289">
        <f t="shared" si="33"/>
        <v>0</v>
      </c>
      <c r="W309" s="289">
        <f t="shared" si="33"/>
        <v>0</v>
      </c>
      <c r="X309" s="289">
        <f t="shared" si="33"/>
        <v>0</v>
      </c>
      <c r="Y309" s="289">
        <f t="shared" si="33"/>
        <v>0</v>
      </c>
      <c r="Z309" s="289">
        <f t="shared" si="33"/>
        <v>0</v>
      </c>
      <c r="AA309" s="289">
        <f t="shared" si="33"/>
        <v>0</v>
      </c>
      <c r="AB309" s="289">
        <f t="shared" si="33"/>
        <v>0</v>
      </c>
      <c r="AC309" s="289">
        <f t="shared" si="33"/>
        <v>0</v>
      </c>
      <c r="AD309" s="289">
        <f t="shared" si="33"/>
        <v>0</v>
      </c>
      <c r="AE309" s="289">
        <f t="shared" si="33"/>
        <v>0</v>
      </c>
      <c r="AF309" s="289">
        <f t="shared" si="33"/>
        <v>0</v>
      </c>
      <c r="AG309" s="289">
        <f t="shared" si="33"/>
        <v>0</v>
      </c>
      <c r="AH309" s="215"/>
    </row>
    <row r="310" spans="1:34" ht="13.5" thickBot="1" x14ac:dyDescent="0.25">
      <c r="A310" s="275"/>
      <c r="B310" s="302"/>
      <c r="C310" s="303"/>
      <c r="D310" s="303"/>
      <c r="E310" s="303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868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215"/>
    </row>
    <row r="311" spans="1:34" x14ac:dyDescent="0.2">
      <c r="A311" s="265"/>
      <c r="B311" s="266"/>
      <c r="C311" s="291"/>
      <c r="D311" s="291"/>
      <c r="E311" s="291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2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  <c r="AE311" s="290"/>
      <c r="AF311" s="290"/>
      <c r="AG311" s="290"/>
      <c r="AH311" s="215"/>
    </row>
    <row r="312" spans="1:34" x14ac:dyDescent="0.2">
      <c r="A312" s="265" t="s">
        <v>14</v>
      </c>
      <c r="B312" s="266"/>
      <c r="C312" s="291">
        <f>C305+C308+C309</f>
        <v>-18538.052</v>
      </c>
      <c r="D312" s="291">
        <f>D305+D308+D309</f>
        <v>-18538.052</v>
      </c>
      <c r="E312" s="291">
        <f>E305+E308+E309</f>
        <v>-18538.052</v>
      </c>
      <c r="F312" s="291">
        <f>F305+F308+F309</f>
        <v>-18538.052</v>
      </c>
      <c r="G312" s="291">
        <f>G305+G308+G309</f>
        <v>-18538.052</v>
      </c>
      <c r="H312" s="291">
        <f t="shared" ref="H312:AG312" si="34">H305+H308+H309</f>
        <v>-18538.052</v>
      </c>
      <c r="I312" s="291">
        <f t="shared" si="34"/>
        <v>-18538.052</v>
      </c>
      <c r="J312" s="291">
        <f t="shared" si="34"/>
        <v>-18538.052</v>
      </c>
      <c r="K312" s="291">
        <f t="shared" si="34"/>
        <v>-18538.052</v>
      </c>
      <c r="L312" s="291">
        <f t="shared" si="34"/>
        <v>-18538.052</v>
      </c>
      <c r="M312" s="291">
        <f t="shared" si="34"/>
        <v>-18538.052</v>
      </c>
      <c r="N312" s="291">
        <f t="shared" si="34"/>
        <v>-18538.052</v>
      </c>
      <c r="O312" s="291">
        <f t="shared" si="34"/>
        <v>-18538.052</v>
      </c>
      <c r="P312" s="289">
        <f t="shared" si="34"/>
        <v>-18538.052</v>
      </c>
      <c r="Q312" s="291">
        <f t="shared" si="34"/>
        <v>-18538.052</v>
      </c>
      <c r="R312" s="291">
        <f t="shared" si="34"/>
        <v>-18538.052</v>
      </c>
      <c r="S312" s="291">
        <f t="shared" si="34"/>
        <v>-18538.052</v>
      </c>
      <c r="T312" s="291">
        <f t="shared" si="34"/>
        <v>-18538.052</v>
      </c>
      <c r="U312" s="291">
        <f t="shared" si="34"/>
        <v>-18538.052</v>
      </c>
      <c r="V312" s="291">
        <f t="shared" si="34"/>
        <v>-18538.052</v>
      </c>
      <c r="W312" s="291">
        <f t="shared" si="34"/>
        <v>-18538.052</v>
      </c>
      <c r="X312" s="291">
        <f t="shared" si="34"/>
        <v>-18538.052</v>
      </c>
      <c r="Y312" s="291">
        <f t="shared" si="34"/>
        <v>-18538.052</v>
      </c>
      <c r="Z312" s="291">
        <f t="shared" si="34"/>
        <v>-18538.052</v>
      </c>
      <c r="AA312" s="291">
        <f t="shared" si="34"/>
        <v>-18538.052</v>
      </c>
      <c r="AB312" s="291">
        <f t="shared" si="34"/>
        <v>-18538.052</v>
      </c>
      <c r="AC312" s="291">
        <f t="shared" si="34"/>
        <v>-18538.052</v>
      </c>
      <c r="AD312" s="291">
        <f t="shared" si="34"/>
        <v>-18538.052</v>
      </c>
      <c r="AE312" s="291">
        <f t="shared" si="34"/>
        <v>-18538.052</v>
      </c>
      <c r="AF312" s="291">
        <f t="shared" si="34"/>
        <v>-18538.052</v>
      </c>
      <c r="AG312" s="291">
        <f t="shared" si="34"/>
        <v>-18538.052</v>
      </c>
      <c r="AH312" s="215"/>
    </row>
    <row r="313" spans="1:34" x14ac:dyDescent="0.2">
      <c r="A313" s="265"/>
      <c r="B313" s="266"/>
      <c r="C313" s="291"/>
      <c r="D313" s="291"/>
      <c r="E313" s="291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2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  <c r="AA313" s="290"/>
      <c r="AB313" s="290"/>
      <c r="AC313" s="290"/>
      <c r="AD313" s="290"/>
      <c r="AE313" s="290"/>
      <c r="AF313" s="290"/>
      <c r="AG313" s="290"/>
      <c r="AH313" s="215"/>
    </row>
    <row r="314" spans="1:34" ht="13.5" thickBot="1" x14ac:dyDescent="0.25">
      <c r="A314" s="275"/>
      <c r="B314" s="302"/>
      <c r="C314" s="306"/>
      <c r="D314" s="306"/>
      <c r="E314" s="306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869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C314" s="307"/>
      <c r="AD314" s="307"/>
      <c r="AE314" s="307"/>
      <c r="AF314" s="307"/>
      <c r="AG314" s="307"/>
      <c r="AH314" s="215"/>
    </row>
    <row r="315" spans="1:34" x14ac:dyDescent="0.2">
      <c r="A315" s="310"/>
      <c r="B315" s="215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308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>
        <f>SUM(C315:AG315)</f>
        <v>0</v>
      </c>
    </row>
    <row r="316" spans="1:34" x14ac:dyDescent="0.2">
      <c r="A316" s="312"/>
      <c r="B316" s="475"/>
      <c r="C316" s="311"/>
      <c r="D316" s="629"/>
      <c r="E316" s="371"/>
      <c r="F316" s="311"/>
      <c r="G316" s="311"/>
      <c r="H316" s="314"/>
      <c r="I316" s="311"/>
      <c r="J316" s="311"/>
      <c r="K316" s="311"/>
      <c r="L316" s="311"/>
      <c r="M316" s="314"/>
      <c r="N316" s="314"/>
      <c r="O316" s="314"/>
      <c r="P316" s="629"/>
      <c r="Q316" s="311"/>
      <c r="R316" s="311"/>
      <c r="S316" s="311"/>
      <c r="T316" s="311"/>
      <c r="U316" s="311"/>
      <c r="V316" s="311"/>
      <c r="W316" s="314"/>
      <c r="X316" s="314"/>
      <c r="Y316" s="314"/>
      <c r="Z316" s="314"/>
      <c r="AA316" s="314"/>
      <c r="AB316" s="314"/>
      <c r="AC316" s="314"/>
      <c r="AD316" s="629"/>
      <c r="AE316" s="311"/>
      <c r="AF316" s="311"/>
      <c r="AG316" s="311"/>
      <c r="AH316" s="286"/>
    </row>
    <row r="317" spans="1:34" x14ac:dyDescent="0.2">
      <c r="A317" s="215"/>
      <c r="B317" s="215"/>
      <c r="C317" s="215"/>
      <c r="D317" s="215"/>
      <c r="E317" s="317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215"/>
      <c r="V317" s="215"/>
      <c r="W317" s="215"/>
      <c r="X317" s="215"/>
      <c r="Y317" s="215"/>
      <c r="Z317" s="409"/>
      <c r="AA317" s="215"/>
      <c r="AB317" s="215"/>
      <c r="AC317" s="215"/>
      <c r="AD317" s="215"/>
      <c r="AE317" s="409"/>
      <c r="AF317" s="215"/>
      <c r="AG317" s="215"/>
      <c r="AH317" s="286"/>
    </row>
    <row r="318" spans="1:34" x14ac:dyDescent="0.2">
      <c r="A318" s="358" t="s">
        <v>415</v>
      </c>
      <c r="B318" s="359">
        <f>B319+B320+B322+B321</f>
        <v>1020000</v>
      </c>
      <c r="C318" s="316"/>
      <c r="D318" s="215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309"/>
      <c r="Q318" s="215"/>
      <c r="R318" s="215"/>
      <c r="S318" s="215"/>
      <c r="T318" s="215"/>
      <c r="U318" s="457"/>
      <c r="V318" s="314"/>
      <c r="W318" s="286"/>
      <c r="X318" s="215"/>
      <c r="Y318" s="215"/>
      <c r="Z318" s="215"/>
      <c r="AA318" s="408"/>
      <c r="AB318" s="215"/>
      <c r="AC318" s="215"/>
      <c r="AD318" s="215"/>
      <c r="AE318" s="215"/>
      <c r="AF318" s="215"/>
      <c r="AG318" s="215"/>
      <c r="AH318" s="215"/>
    </row>
    <row r="319" spans="1:34" x14ac:dyDescent="0.2">
      <c r="A319" s="327" t="s">
        <v>414</v>
      </c>
      <c r="B319" s="311">
        <v>20000</v>
      </c>
      <c r="C319" s="215"/>
      <c r="D319" s="215"/>
      <c r="E319" s="286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309"/>
      <c r="Q319" s="215"/>
      <c r="R319" s="215"/>
      <c r="S319" s="215"/>
      <c r="T319" s="215"/>
      <c r="U319" s="313"/>
      <c r="V319" s="313"/>
      <c r="W319" s="215"/>
      <c r="X319" s="215"/>
      <c r="Y319" s="215"/>
      <c r="Z319" s="215"/>
      <c r="AA319" s="215"/>
      <c r="AB319" s="215"/>
      <c r="AC319" s="286"/>
      <c r="AD319" s="286"/>
      <c r="AE319" s="215"/>
      <c r="AF319" s="215"/>
      <c r="AG319" s="215"/>
      <c r="AH319" s="215"/>
    </row>
    <row r="320" spans="1:34" x14ac:dyDescent="0.2">
      <c r="A320" s="327" t="s">
        <v>287</v>
      </c>
      <c r="B320" s="311">
        <v>600000</v>
      </c>
      <c r="C320" s="215"/>
      <c r="D320" s="215"/>
      <c r="E320" s="215"/>
      <c r="F320" s="215"/>
      <c r="G320" s="215"/>
      <c r="H320" s="215"/>
      <c r="I320" s="215"/>
      <c r="J320" s="215"/>
      <c r="K320" s="286"/>
      <c r="L320" s="215"/>
      <c r="M320" s="215"/>
      <c r="N320" s="215"/>
      <c r="O320" s="215"/>
      <c r="P320" s="309"/>
      <c r="Q320" s="215"/>
      <c r="R320" s="215"/>
      <c r="S320" s="215"/>
      <c r="T320" s="215"/>
      <c r="U320" s="458"/>
      <c r="V320" s="313"/>
      <c r="W320" s="215"/>
      <c r="X320" s="286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310" t="s">
        <v>413</v>
      </c>
      <c r="B321" s="311">
        <v>200000</v>
      </c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310" t="s">
        <v>441</v>
      </c>
      <c r="B322" s="311">
        <v>200000</v>
      </c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309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</row>
    <row r="323" spans="1:33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309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5"/>
      <c r="AG323" s="215"/>
    </row>
    <row r="324" spans="1:33" x14ac:dyDescent="0.2">
      <c r="A324" s="183" t="s">
        <v>449</v>
      </c>
      <c r="B324" s="25"/>
      <c r="L324" s="42"/>
    </row>
    <row r="325" spans="1:33" x14ac:dyDescent="0.2">
      <c r="AB325" s="42"/>
      <c r="AC325" s="42"/>
      <c r="AD325" s="42"/>
      <c r="AE325" s="42"/>
    </row>
    <row r="332" spans="1:33" ht="15" x14ac:dyDescent="0.2">
      <c r="A332" s="401"/>
      <c r="B332" s="791"/>
    </row>
    <row r="333" spans="1:33" ht="15" x14ac:dyDescent="0.2">
      <c r="A333" s="401"/>
      <c r="B333" s="791"/>
    </row>
    <row r="334" spans="1:33" ht="15" x14ac:dyDescent="0.2">
      <c r="A334" s="401"/>
      <c r="B334" s="791"/>
    </row>
    <row r="339" spans="1:2" ht="18" x14ac:dyDescent="0.25">
      <c r="A339" s="1757"/>
      <c r="B339" s="1757"/>
    </row>
    <row r="340" spans="1:2" x14ac:dyDescent="0.2">
      <c r="A340" s="54"/>
      <c r="B340" s="54"/>
    </row>
    <row r="342" spans="1:2" x14ac:dyDescent="0.2">
      <c r="A342" s="483"/>
      <c r="B342" s="25"/>
    </row>
    <row r="343" spans="1:2" x14ac:dyDescent="0.2">
      <c r="A343" s="483"/>
      <c r="B343" s="25"/>
    </row>
    <row r="344" spans="1:2" x14ac:dyDescent="0.2">
      <c r="A344" s="483"/>
      <c r="B344" s="25"/>
    </row>
    <row r="345" spans="1:2" x14ac:dyDescent="0.2">
      <c r="A345" s="483"/>
      <c r="B345" s="25"/>
    </row>
    <row r="346" spans="1:2" x14ac:dyDescent="0.2">
      <c r="A346" s="483"/>
      <c r="B346" s="25"/>
    </row>
    <row r="347" spans="1:2" x14ac:dyDescent="0.2">
      <c r="A347" s="483"/>
      <c r="B347" s="25"/>
    </row>
    <row r="348" spans="1:2" x14ac:dyDescent="0.2">
      <c r="A348" s="483"/>
      <c r="B348" s="25"/>
    </row>
    <row r="349" spans="1:2" x14ac:dyDescent="0.2">
      <c r="A349" s="483"/>
      <c r="B349" s="25"/>
    </row>
    <row r="350" spans="1:2" x14ac:dyDescent="0.2">
      <c r="A350" s="483"/>
      <c r="B350" s="25"/>
    </row>
    <row r="351" spans="1:2" x14ac:dyDescent="0.2">
      <c r="A351" s="483"/>
      <c r="B351" s="25"/>
    </row>
    <row r="352" spans="1:2" x14ac:dyDescent="0.2">
      <c r="A352" s="483"/>
      <c r="B352" s="25"/>
    </row>
    <row r="355" spans="2:2" x14ac:dyDescent="0.2">
      <c r="B355" s="25"/>
    </row>
    <row r="356" spans="2:2" x14ac:dyDescent="0.2">
      <c r="B356" s="25"/>
    </row>
    <row r="357" spans="2:2" x14ac:dyDescent="0.2">
      <c r="B357" s="25"/>
    </row>
    <row r="359" spans="2:2" x14ac:dyDescent="0.2">
      <c r="B359" s="889"/>
    </row>
  </sheetData>
  <mergeCells count="1">
    <mergeCell ref="A339:B339"/>
  </mergeCells>
  <pageMargins left="0.78740157480314965" right="0.78740157480314965" top="0.98425196850393704" bottom="0.98425196850393704" header="0.51181102362204722" footer="0.51181102362204722"/>
  <pageSetup paperSize="9" fitToHeight="2" orientation="landscape" horizontalDpi="300" verticalDpi="300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6">
    <pageSetUpPr fitToPage="1"/>
  </sheetPr>
  <dimension ref="A1:AQ357"/>
  <sheetViews>
    <sheetView topLeftCell="U22" workbookViewId="0">
      <pane ySplit="960" activePane="bottomLeft"/>
      <selection activeCell="AM24" sqref="AM24"/>
      <selection pane="bottomLeft" activeCell="E35" sqref="E35"/>
    </sheetView>
  </sheetViews>
  <sheetFormatPr defaultColWidth="11.42578125" defaultRowHeight="12.75" x14ac:dyDescent="0.2"/>
  <cols>
    <col min="1" max="1" width="37.42578125" customWidth="1"/>
    <col min="2" max="2" width="13.7109375" customWidth="1"/>
    <col min="3" max="3" width="14" customWidth="1"/>
    <col min="4" max="4" width="14.28515625" customWidth="1"/>
    <col min="5" max="5" width="14.42578125" bestFit="1" customWidth="1"/>
    <col min="6" max="6" width="12.7109375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1.85546875" bestFit="1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6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6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6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6" x14ac:dyDescent="0.2">
      <c r="A4" s="215"/>
      <c r="B4" s="215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81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15"/>
    </row>
    <row r="5" spans="1:36" x14ac:dyDescent="0.2">
      <c r="A5" s="1" t="s">
        <v>689</v>
      </c>
      <c r="B5" s="451" t="s">
        <v>132</v>
      </c>
      <c r="C5" s="359">
        <f>C6+C7+C8+C9</f>
        <v>-433135.30700000003</v>
      </c>
      <c r="D5" s="359">
        <f t="shared" ref="D5:AG5" si="0">D6+D7+D8+D9</f>
        <v>-433135.30700000003</v>
      </c>
      <c r="E5" s="359">
        <f t="shared" si="0"/>
        <v>-433135.30700000003</v>
      </c>
      <c r="F5" s="359">
        <f t="shared" si="0"/>
        <v>-433135.30700000003</v>
      </c>
      <c r="G5" s="359">
        <f t="shared" si="0"/>
        <v>-433135.30700000003</v>
      </c>
      <c r="H5" s="359">
        <f t="shared" si="0"/>
        <v>-433135.30700000003</v>
      </c>
      <c r="I5" s="359">
        <f t="shared" si="0"/>
        <v>-433135.30700000003</v>
      </c>
      <c r="J5" s="453">
        <f t="shared" si="0"/>
        <v>-433135.30700000003</v>
      </c>
      <c r="K5" s="453">
        <f t="shared" si="0"/>
        <v>-433135.30700000003</v>
      </c>
      <c r="L5" s="359">
        <f t="shared" si="0"/>
        <v>-433135.30700000003</v>
      </c>
      <c r="M5" s="359">
        <f t="shared" si="0"/>
        <v>-433135.30700000003</v>
      </c>
      <c r="N5" s="359">
        <f t="shared" si="0"/>
        <v>-433135.30700000003</v>
      </c>
      <c r="O5" s="359">
        <f t="shared" si="0"/>
        <v>-433135.30700000003</v>
      </c>
      <c r="P5" s="858">
        <f t="shared" si="0"/>
        <v>-433135.30700000003</v>
      </c>
      <c r="Q5" s="359">
        <f t="shared" si="0"/>
        <v>-433135.30700000003</v>
      </c>
      <c r="R5" s="359">
        <f t="shared" si="0"/>
        <v>-433135.30700000003</v>
      </c>
      <c r="S5" s="359">
        <f t="shared" si="0"/>
        <v>-433135.30700000003</v>
      </c>
      <c r="T5" s="359">
        <f t="shared" si="0"/>
        <v>-433135.30700000003</v>
      </c>
      <c r="U5" s="359">
        <f t="shared" si="0"/>
        <v>-433135.30700000003</v>
      </c>
      <c r="V5" s="359">
        <f t="shared" si="0"/>
        <v>-433135.30700000003</v>
      </c>
      <c r="W5" s="359">
        <f t="shared" si="0"/>
        <v>-433135.30700000003</v>
      </c>
      <c r="X5" s="359">
        <f t="shared" si="0"/>
        <v>-433135.30700000003</v>
      </c>
      <c r="Y5" s="359">
        <f t="shared" si="0"/>
        <v>-433135.30700000003</v>
      </c>
      <c r="Z5" s="359">
        <f t="shared" si="0"/>
        <v>-433135.30700000003</v>
      </c>
      <c r="AA5" s="359">
        <f t="shared" si="0"/>
        <v>-444575.47900000005</v>
      </c>
      <c r="AB5" s="359">
        <f t="shared" si="0"/>
        <v>-444575.47900000005</v>
      </c>
      <c r="AC5" s="359">
        <f t="shared" si="0"/>
        <v>-475598.47900000005</v>
      </c>
      <c r="AD5" s="359">
        <f t="shared" si="0"/>
        <v>-493598.47900000005</v>
      </c>
      <c r="AE5" s="359">
        <f t="shared" si="0"/>
        <v>-509285.47900000005</v>
      </c>
      <c r="AF5" s="359">
        <f t="shared" si="0"/>
        <v>-544846.47900000005</v>
      </c>
      <c r="AG5" s="359">
        <f t="shared" si="0"/>
        <v>-553360.47900000005</v>
      </c>
      <c r="AH5" s="215"/>
    </row>
    <row r="6" spans="1:36" x14ac:dyDescent="0.2">
      <c r="A6" s="56">
        <v>100000</v>
      </c>
      <c r="B6" s="215" t="s">
        <v>690</v>
      </c>
      <c r="C6" s="311">
        <f>C70</f>
        <v>-357435.82500000001</v>
      </c>
      <c r="D6" s="311">
        <f t="shared" ref="D6:AF6" si="1">D70</f>
        <v>-357435.82500000001</v>
      </c>
      <c r="E6" s="311">
        <f t="shared" si="1"/>
        <v>-357435.82500000001</v>
      </c>
      <c r="F6" s="311">
        <f t="shared" si="1"/>
        <v>-357435.82500000001</v>
      </c>
      <c r="G6" s="311">
        <f t="shared" si="1"/>
        <v>-357435.82500000001</v>
      </c>
      <c r="H6" s="311">
        <f t="shared" si="1"/>
        <v>-357435.82500000001</v>
      </c>
      <c r="I6" s="311">
        <f t="shared" si="1"/>
        <v>-357435.82500000001</v>
      </c>
      <c r="J6" s="314">
        <f t="shared" si="1"/>
        <v>-357435.82500000001</v>
      </c>
      <c r="K6" s="314">
        <f t="shared" si="1"/>
        <v>-357435.82500000001</v>
      </c>
      <c r="L6" s="311">
        <f t="shared" si="1"/>
        <v>-357435.82500000001</v>
      </c>
      <c r="M6" s="311">
        <f t="shared" si="1"/>
        <v>-357435.82500000001</v>
      </c>
      <c r="N6" s="311">
        <f t="shared" si="1"/>
        <v>-357435.82500000001</v>
      </c>
      <c r="O6" s="311">
        <f t="shared" si="1"/>
        <v>-357435.82500000001</v>
      </c>
      <c r="P6" s="629">
        <f t="shared" si="1"/>
        <v>-357435.82500000001</v>
      </c>
      <c r="Q6" s="311">
        <f t="shared" si="1"/>
        <v>-357435.82500000001</v>
      </c>
      <c r="R6" s="311">
        <f t="shared" si="1"/>
        <v>-357435.82500000001</v>
      </c>
      <c r="S6" s="311">
        <f t="shared" si="1"/>
        <v>-357435.82500000001</v>
      </c>
      <c r="T6" s="311">
        <f t="shared" si="1"/>
        <v>-357435.82500000001</v>
      </c>
      <c r="U6" s="311">
        <f t="shared" si="1"/>
        <v>-357435.82500000001</v>
      </c>
      <c r="V6" s="311">
        <f t="shared" si="1"/>
        <v>-357435.82500000001</v>
      </c>
      <c r="W6" s="311">
        <f t="shared" si="1"/>
        <v>-357435.82500000001</v>
      </c>
      <c r="X6" s="311">
        <f t="shared" si="1"/>
        <v>-357435.82500000001</v>
      </c>
      <c r="Y6" s="311">
        <f t="shared" si="1"/>
        <v>-357435.82500000001</v>
      </c>
      <c r="Z6" s="311">
        <f t="shared" si="1"/>
        <v>-357435.82500000001</v>
      </c>
      <c r="AA6" s="311">
        <f t="shared" si="1"/>
        <v>-368875.99700000003</v>
      </c>
      <c r="AB6" s="311">
        <f t="shared" si="1"/>
        <v>-368875.99700000003</v>
      </c>
      <c r="AC6" s="311">
        <f t="shared" si="1"/>
        <v>-368875.99700000003</v>
      </c>
      <c r="AD6" s="311">
        <f t="shared" si="1"/>
        <v>-368875.99700000003</v>
      </c>
      <c r="AE6" s="311">
        <f t="shared" si="1"/>
        <v>-368875.99700000003</v>
      </c>
      <c r="AF6" s="311">
        <f t="shared" si="1"/>
        <v>-368875.99700000003</v>
      </c>
      <c r="AG6" s="311">
        <f>AG70</f>
        <v>-368875.99700000003</v>
      </c>
      <c r="AH6" s="215"/>
    </row>
    <row r="7" spans="1:36" x14ac:dyDescent="0.2">
      <c r="A7" s="56">
        <v>25000</v>
      </c>
      <c r="B7" s="215" t="s">
        <v>666</v>
      </c>
      <c r="C7" s="311">
        <f>C183</f>
        <v>-24255.235000000001</v>
      </c>
      <c r="D7" s="311">
        <f t="shared" ref="D7:AG7" si="2">D183</f>
        <v>-24255.235000000001</v>
      </c>
      <c r="E7" s="311">
        <f t="shared" si="2"/>
        <v>-24255.235000000001</v>
      </c>
      <c r="F7" s="311">
        <f t="shared" si="2"/>
        <v>-24255.235000000001</v>
      </c>
      <c r="G7" s="311">
        <f t="shared" si="2"/>
        <v>-24255.235000000001</v>
      </c>
      <c r="H7" s="311">
        <f t="shared" si="2"/>
        <v>-24255.235000000001</v>
      </c>
      <c r="I7" s="311">
        <f t="shared" si="2"/>
        <v>-24255.235000000001</v>
      </c>
      <c r="J7" s="314">
        <f t="shared" si="2"/>
        <v>-24255.235000000001</v>
      </c>
      <c r="K7" s="314">
        <f t="shared" si="2"/>
        <v>-24255.235000000001</v>
      </c>
      <c r="L7" s="311">
        <f t="shared" si="2"/>
        <v>-24255.235000000001</v>
      </c>
      <c r="M7" s="311">
        <f t="shared" si="2"/>
        <v>-24255.235000000001</v>
      </c>
      <c r="N7" s="311">
        <f t="shared" si="2"/>
        <v>-24255.235000000001</v>
      </c>
      <c r="O7" s="311">
        <f t="shared" si="2"/>
        <v>-24255.235000000001</v>
      </c>
      <c r="P7" s="629">
        <f>P183</f>
        <v>-24255.235000000001</v>
      </c>
      <c r="Q7" s="311">
        <f t="shared" si="2"/>
        <v>-24255.235000000001</v>
      </c>
      <c r="R7" s="311">
        <f t="shared" si="2"/>
        <v>-24255.235000000001</v>
      </c>
      <c r="S7" s="784">
        <f t="shared" si="2"/>
        <v>-24255.235000000001</v>
      </c>
      <c r="T7" s="311">
        <f t="shared" si="2"/>
        <v>-24255.235000000001</v>
      </c>
      <c r="U7" s="311">
        <f t="shared" si="2"/>
        <v>-24255.235000000001</v>
      </c>
      <c r="V7" s="311">
        <f t="shared" si="2"/>
        <v>-24255.235000000001</v>
      </c>
      <c r="W7" s="311">
        <f t="shared" si="2"/>
        <v>-24255.235000000001</v>
      </c>
      <c r="X7" s="311">
        <f t="shared" si="2"/>
        <v>-24255.235000000001</v>
      </c>
      <c r="Y7" s="311">
        <f t="shared" si="2"/>
        <v>-24255.235000000001</v>
      </c>
      <c r="Z7" s="311">
        <f t="shared" si="2"/>
        <v>-24255.235000000001</v>
      </c>
      <c r="AA7" s="311">
        <f t="shared" si="2"/>
        <v>-24255.235000000001</v>
      </c>
      <c r="AB7" s="311">
        <f t="shared" si="2"/>
        <v>-24255.235000000001</v>
      </c>
      <c r="AC7" s="311">
        <f t="shared" si="2"/>
        <v>-24255.235000000001</v>
      </c>
      <c r="AD7" s="311">
        <f t="shared" si="2"/>
        <v>-24255.235000000001</v>
      </c>
      <c r="AE7" s="311">
        <f t="shared" si="2"/>
        <v>-24255.235000000001</v>
      </c>
      <c r="AF7" s="311">
        <f t="shared" si="2"/>
        <v>-59816.235000000001</v>
      </c>
      <c r="AG7" s="311">
        <f t="shared" si="2"/>
        <v>-68330.235000000001</v>
      </c>
      <c r="AH7" s="215"/>
    </row>
    <row r="8" spans="1:36" x14ac:dyDescent="0.2">
      <c r="A8" s="56">
        <v>25000</v>
      </c>
      <c r="B8" s="215" t="s">
        <v>667</v>
      </c>
      <c r="C8" s="311">
        <f>C246</f>
        <v>-2306.3789999999999</v>
      </c>
      <c r="D8" s="311">
        <f t="shared" ref="D8:AG8" si="3">D246</f>
        <v>-2306.3789999999999</v>
      </c>
      <c r="E8" s="311">
        <f t="shared" si="3"/>
        <v>-2306.3789999999999</v>
      </c>
      <c r="F8" s="311">
        <f t="shared" si="3"/>
        <v>-2306.3789999999999</v>
      </c>
      <c r="G8" s="311">
        <f t="shared" si="3"/>
        <v>-2306.3789999999999</v>
      </c>
      <c r="H8" s="311">
        <f t="shared" si="3"/>
        <v>-2306.3789999999999</v>
      </c>
      <c r="I8" s="784">
        <f t="shared" si="3"/>
        <v>-2306.3789999999999</v>
      </c>
      <c r="J8" s="314">
        <f t="shared" si="3"/>
        <v>-2306.3789999999999</v>
      </c>
      <c r="K8" s="314">
        <f t="shared" si="3"/>
        <v>-2306.3789999999999</v>
      </c>
      <c r="L8" s="311">
        <f t="shared" si="3"/>
        <v>-2306.3789999999999</v>
      </c>
      <c r="M8" s="311">
        <f t="shared" si="3"/>
        <v>-2306.3789999999999</v>
      </c>
      <c r="N8" s="311">
        <f t="shared" si="3"/>
        <v>-2306.3789999999999</v>
      </c>
      <c r="O8" s="311">
        <f t="shared" si="3"/>
        <v>-2306.3789999999999</v>
      </c>
      <c r="P8" s="629">
        <f t="shared" si="3"/>
        <v>-2306.3789999999999</v>
      </c>
      <c r="Q8" s="311">
        <f t="shared" si="3"/>
        <v>-2306.3789999999999</v>
      </c>
      <c r="R8" s="311">
        <f t="shared" si="3"/>
        <v>-2306.3789999999999</v>
      </c>
      <c r="S8" s="311">
        <f t="shared" si="3"/>
        <v>-2306.3789999999999</v>
      </c>
      <c r="T8" s="311">
        <f t="shared" si="3"/>
        <v>-2306.3789999999999</v>
      </c>
      <c r="U8" s="311">
        <f t="shared" si="3"/>
        <v>-2306.3789999999999</v>
      </c>
      <c r="V8" s="311">
        <f t="shared" si="3"/>
        <v>-2306.3789999999999</v>
      </c>
      <c r="W8" s="311">
        <f t="shared" si="3"/>
        <v>-2306.3789999999999</v>
      </c>
      <c r="X8" s="311">
        <f t="shared" si="3"/>
        <v>-2306.3789999999999</v>
      </c>
      <c r="Y8" s="311">
        <f t="shared" si="3"/>
        <v>-2306.3789999999999</v>
      </c>
      <c r="Z8" s="311">
        <f t="shared" si="3"/>
        <v>-2306.3789999999999</v>
      </c>
      <c r="AA8" s="311">
        <f t="shared" si="3"/>
        <v>-2306.3789999999999</v>
      </c>
      <c r="AB8" s="311">
        <f t="shared" si="3"/>
        <v>-2306.3789999999999</v>
      </c>
      <c r="AC8" s="311">
        <f t="shared" si="3"/>
        <v>-2306.3789999999999</v>
      </c>
      <c r="AD8" s="311">
        <f t="shared" si="3"/>
        <v>-20306.379000000001</v>
      </c>
      <c r="AE8" s="311">
        <f t="shared" si="3"/>
        <v>-20306.379000000001</v>
      </c>
      <c r="AF8" s="311">
        <f t="shared" si="3"/>
        <v>-20306.379000000001</v>
      </c>
      <c r="AG8" s="311">
        <f t="shared" si="3"/>
        <v>-20306.379000000001</v>
      </c>
      <c r="AH8" s="215"/>
      <c r="AI8">
        <v>105000</v>
      </c>
      <c r="AJ8" s="483" t="s">
        <v>969</v>
      </c>
    </row>
    <row r="9" spans="1:36" x14ac:dyDescent="0.2">
      <c r="A9" s="56">
        <v>20000</v>
      </c>
      <c r="B9" s="215" t="s">
        <v>691</v>
      </c>
      <c r="C9" s="311">
        <f>C310</f>
        <v>-49137.868000000002</v>
      </c>
      <c r="D9" s="311">
        <f t="shared" ref="D9:AG9" si="4">D310</f>
        <v>-49137.868000000002</v>
      </c>
      <c r="E9" s="311">
        <f t="shared" si="4"/>
        <v>-49137.868000000002</v>
      </c>
      <c r="F9" s="311">
        <f t="shared" si="4"/>
        <v>-49137.868000000002</v>
      </c>
      <c r="G9" s="784">
        <f t="shared" si="4"/>
        <v>-49137.868000000002</v>
      </c>
      <c r="H9" s="311">
        <f t="shared" si="4"/>
        <v>-49137.868000000002</v>
      </c>
      <c r="I9" s="311">
        <f t="shared" si="4"/>
        <v>-49137.868000000002</v>
      </c>
      <c r="J9" s="314">
        <f t="shared" si="4"/>
        <v>-49137.868000000002</v>
      </c>
      <c r="K9" s="314">
        <f t="shared" si="4"/>
        <v>-49137.868000000002</v>
      </c>
      <c r="L9" s="311">
        <f t="shared" si="4"/>
        <v>-49137.868000000002</v>
      </c>
      <c r="M9" s="311">
        <f t="shared" si="4"/>
        <v>-49137.868000000002</v>
      </c>
      <c r="N9" s="311">
        <f t="shared" si="4"/>
        <v>-49137.868000000002</v>
      </c>
      <c r="O9" s="311">
        <f t="shared" si="4"/>
        <v>-49137.868000000002</v>
      </c>
      <c r="P9" s="629">
        <f t="shared" si="4"/>
        <v>-49137.868000000002</v>
      </c>
      <c r="Q9" s="311">
        <f t="shared" si="4"/>
        <v>-49137.868000000002</v>
      </c>
      <c r="R9" s="311">
        <f t="shared" si="4"/>
        <v>-49137.868000000002</v>
      </c>
      <c r="S9" s="311">
        <f t="shared" si="4"/>
        <v>-49137.868000000002</v>
      </c>
      <c r="T9" s="311">
        <f t="shared" si="4"/>
        <v>-49137.868000000002</v>
      </c>
      <c r="U9" s="311">
        <f t="shared" si="4"/>
        <v>-49137.868000000002</v>
      </c>
      <c r="V9" s="311">
        <f t="shared" si="4"/>
        <v>-49137.868000000002</v>
      </c>
      <c r="W9" s="311">
        <f t="shared" si="4"/>
        <v>-49137.868000000002</v>
      </c>
      <c r="X9" s="311">
        <f t="shared" si="4"/>
        <v>-49137.868000000002</v>
      </c>
      <c r="Y9" s="311">
        <f t="shared" si="4"/>
        <v>-49137.868000000002</v>
      </c>
      <c r="Z9" s="311">
        <f t="shared" si="4"/>
        <v>-49137.868000000002</v>
      </c>
      <c r="AA9" s="311">
        <f t="shared" si="4"/>
        <v>-49137.868000000002</v>
      </c>
      <c r="AB9" s="311">
        <f t="shared" si="4"/>
        <v>-49137.868000000002</v>
      </c>
      <c r="AC9" s="311">
        <f t="shared" si="4"/>
        <v>-80160.868000000002</v>
      </c>
      <c r="AD9" s="311">
        <f t="shared" si="4"/>
        <v>-80160.868000000002</v>
      </c>
      <c r="AE9" s="311">
        <f t="shared" si="4"/>
        <v>-95847.868000000002</v>
      </c>
      <c r="AF9" s="311">
        <f t="shared" si="4"/>
        <v>-95847.868000000002</v>
      </c>
      <c r="AG9" s="311">
        <f t="shared" si="4"/>
        <v>-95847.868000000002</v>
      </c>
      <c r="AH9" s="215"/>
    </row>
    <row r="10" spans="1:36" x14ac:dyDescent="0.2">
      <c r="A10" s="1" t="s">
        <v>692</v>
      </c>
      <c r="B10" s="451" t="s">
        <v>132</v>
      </c>
      <c r="C10" s="452">
        <f>C11+C12+C13</f>
        <v>2102</v>
      </c>
      <c r="D10" s="452">
        <f t="shared" ref="D10:AG10" si="5">D11+D12+D13</f>
        <v>0</v>
      </c>
      <c r="E10" s="452">
        <f t="shared" si="5"/>
        <v>8478</v>
      </c>
      <c r="F10" s="452">
        <f t="shared" si="5"/>
        <v>0</v>
      </c>
      <c r="G10" s="452">
        <f t="shared" si="5"/>
        <v>6017</v>
      </c>
      <c r="H10" s="452">
        <f t="shared" si="5"/>
        <v>2189</v>
      </c>
      <c r="I10" s="452">
        <f t="shared" si="5"/>
        <v>1100</v>
      </c>
      <c r="J10" s="454">
        <f t="shared" si="5"/>
        <v>3509</v>
      </c>
      <c r="K10" s="454">
        <f t="shared" si="5"/>
        <v>2200</v>
      </c>
      <c r="L10" s="452">
        <f t="shared" si="5"/>
        <v>22608</v>
      </c>
      <c r="M10" s="452">
        <f t="shared" si="5"/>
        <v>800</v>
      </c>
      <c r="N10" s="452">
        <f t="shared" si="5"/>
        <v>1000</v>
      </c>
      <c r="O10" s="452">
        <f t="shared" si="5"/>
        <v>7131</v>
      </c>
      <c r="P10" s="859">
        <f t="shared" si="5"/>
        <v>1840</v>
      </c>
      <c r="Q10" s="452">
        <f t="shared" si="5"/>
        <v>29117</v>
      </c>
      <c r="R10" s="452">
        <f t="shared" si="5"/>
        <v>3734</v>
      </c>
      <c r="S10" s="452">
        <f t="shared" si="5"/>
        <v>3609</v>
      </c>
      <c r="T10" s="452">
        <f t="shared" si="5"/>
        <v>2650</v>
      </c>
      <c r="U10" s="452">
        <f t="shared" si="5"/>
        <v>1200</v>
      </c>
      <c r="V10" s="452">
        <f t="shared" si="5"/>
        <v>21916</v>
      </c>
      <c r="W10" s="452">
        <f t="shared" si="5"/>
        <v>1600</v>
      </c>
      <c r="X10" s="452">
        <f t="shared" si="5"/>
        <v>4263</v>
      </c>
      <c r="Y10" s="452">
        <f t="shared" si="5"/>
        <v>1600</v>
      </c>
      <c r="Z10" s="452">
        <f t="shared" si="5"/>
        <v>5227</v>
      </c>
      <c r="AA10" s="452">
        <f t="shared" si="5"/>
        <v>32143</v>
      </c>
      <c r="AB10" s="452">
        <f t="shared" si="5"/>
        <v>1000</v>
      </c>
      <c r="AC10" s="452">
        <f t="shared" si="5"/>
        <v>3780</v>
      </c>
      <c r="AD10" s="452">
        <f t="shared" si="5"/>
        <v>1843</v>
      </c>
      <c r="AE10" s="452">
        <f t="shared" si="5"/>
        <v>4686</v>
      </c>
      <c r="AF10" s="452">
        <f t="shared" si="5"/>
        <v>88772</v>
      </c>
      <c r="AG10" s="452">
        <f t="shared" si="5"/>
        <v>0</v>
      </c>
      <c r="AH10" s="286">
        <f>SUM(C10:AG10)</f>
        <v>266114</v>
      </c>
    </row>
    <row r="11" spans="1:36" x14ac:dyDescent="0.2">
      <c r="A11" s="1"/>
      <c r="B11" s="215" t="s">
        <v>666</v>
      </c>
      <c r="C11" s="286">
        <f>C170</f>
        <v>0</v>
      </c>
      <c r="D11" s="286">
        <f t="shared" ref="D11:AG11" si="6">D170</f>
        <v>0</v>
      </c>
      <c r="E11" s="286">
        <f t="shared" si="6"/>
        <v>0</v>
      </c>
      <c r="F11" s="286">
        <f t="shared" si="6"/>
        <v>0</v>
      </c>
      <c r="G11" s="286">
        <f t="shared" si="6"/>
        <v>0</v>
      </c>
      <c r="H11" s="286">
        <f t="shared" si="6"/>
        <v>0</v>
      </c>
      <c r="I11" s="286">
        <f t="shared" si="6"/>
        <v>0</v>
      </c>
      <c r="J11" s="315">
        <f t="shared" si="6"/>
        <v>0</v>
      </c>
      <c r="K11" s="315">
        <f t="shared" si="6"/>
        <v>0</v>
      </c>
      <c r="L11" s="286">
        <f t="shared" si="6"/>
        <v>0</v>
      </c>
      <c r="M11" s="286">
        <f t="shared" si="6"/>
        <v>0</v>
      </c>
      <c r="N11" s="286">
        <f t="shared" si="6"/>
        <v>0</v>
      </c>
      <c r="O11" s="286">
        <f t="shared" si="6"/>
        <v>0</v>
      </c>
      <c r="P11" s="308">
        <f t="shared" si="6"/>
        <v>0</v>
      </c>
      <c r="Q11" s="286">
        <f t="shared" si="6"/>
        <v>0</v>
      </c>
      <c r="R11" s="286">
        <f t="shared" si="6"/>
        <v>0</v>
      </c>
      <c r="S11" s="286">
        <f t="shared" si="6"/>
        <v>0</v>
      </c>
      <c r="T11" s="286">
        <f t="shared" si="6"/>
        <v>0</v>
      </c>
      <c r="U11" s="286">
        <f t="shared" si="6"/>
        <v>0</v>
      </c>
      <c r="V11" s="286">
        <f t="shared" si="6"/>
        <v>0</v>
      </c>
      <c r="W11" s="286">
        <f t="shared" si="6"/>
        <v>0</v>
      </c>
      <c r="X11" s="286">
        <f t="shared" si="6"/>
        <v>0</v>
      </c>
      <c r="Y11" s="286">
        <f t="shared" si="6"/>
        <v>0</v>
      </c>
      <c r="Z11" s="286">
        <f t="shared" si="6"/>
        <v>0</v>
      </c>
      <c r="AA11" s="286">
        <f t="shared" si="6"/>
        <v>11838</v>
      </c>
      <c r="AB11" s="286">
        <f t="shared" si="6"/>
        <v>0</v>
      </c>
      <c r="AC11" s="286">
        <f t="shared" si="6"/>
        <v>0</v>
      </c>
      <c r="AD11" s="286">
        <f t="shared" si="6"/>
        <v>0</v>
      </c>
      <c r="AE11" s="286">
        <f t="shared" si="6"/>
        <v>0</v>
      </c>
      <c r="AF11" s="286">
        <f t="shared" si="6"/>
        <v>11854</v>
      </c>
      <c r="AG11" s="286">
        <f t="shared" si="6"/>
        <v>0</v>
      </c>
      <c r="AH11" s="215"/>
    </row>
    <row r="12" spans="1:36" x14ac:dyDescent="0.2">
      <c r="A12" s="1"/>
      <c r="B12" s="215" t="s">
        <v>667</v>
      </c>
      <c r="C12" s="286">
        <f>C233</f>
        <v>1500</v>
      </c>
      <c r="D12" s="286">
        <f t="shared" ref="D12:AG12" si="7">D233</f>
        <v>0</v>
      </c>
      <c r="E12" s="286">
        <f t="shared" si="7"/>
        <v>7315</v>
      </c>
      <c r="F12" s="286">
        <f t="shared" si="7"/>
        <v>0</v>
      </c>
      <c r="G12" s="286">
        <f t="shared" si="7"/>
        <v>4017</v>
      </c>
      <c r="H12" s="286">
        <f t="shared" si="7"/>
        <v>2189</v>
      </c>
      <c r="I12" s="286">
        <f t="shared" si="7"/>
        <v>0</v>
      </c>
      <c r="J12" s="315">
        <f t="shared" si="7"/>
        <v>3509</v>
      </c>
      <c r="K12" s="315">
        <f t="shared" si="7"/>
        <v>1600</v>
      </c>
      <c r="L12" s="286">
        <f t="shared" si="7"/>
        <v>18408</v>
      </c>
      <c r="M12" s="286">
        <f t="shared" si="7"/>
        <v>0</v>
      </c>
      <c r="N12" s="286">
        <f t="shared" si="7"/>
        <v>1000</v>
      </c>
      <c r="O12" s="286">
        <f t="shared" si="7"/>
        <v>1500</v>
      </c>
      <c r="P12" s="308">
        <f t="shared" si="7"/>
        <v>0</v>
      </c>
      <c r="Q12" s="286">
        <f t="shared" si="7"/>
        <v>13062</v>
      </c>
      <c r="R12" s="286">
        <f t="shared" si="7"/>
        <v>0</v>
      </c>
      <c r="S12" s="286">
        <f t="shared" si="7"/>
        <v>2929</v>
      </c>
      <c r="T12" s="286">
        <f t="shared" si="7"/>
        <v>993</v>
      </c>
      <c r="U12" s="286">
        <f t="shared" si="7"/>
        <v>0</v>
      </c>
      <c r="V12" s="286">
        <f t="shared" si="7"/>
        <v>9858</v>
      </c>
      <c r="W12" s="286">
        <f t="shared" si="7"/>
        <v>0</v>
      </c>
      <c r="X12" s="286">
        <f t="shared" si="7"/>
        <v>1500</v>
      </c>
      <c r="Y12" s="286">
        <f t="shared" si="7"/>
        <v>0</v>
      </c>
      <c r="Z12" s="286">
        <f t="shared" si="7"/>
        <v>3100</v>
      </c>
      <c r="AA12" s="286">
        <f t="shared" si="7"/>
        <v>2015</v>
      </c>
      <c r="AB12" s="286">
        <f t="shared" si="7"/>
        <v>0</v>
      </c>
      <c r="AC12" s="286">
        <f t="shared" si="7"/>
        <v>0</v>
      </c>
      <c r="AD12" s="286">
        <f t="shared" si="7"/>
        <v>0</v>
      </c>
      <c r="AE12" s="286">
        <f t="shared" si="7"/>
        <v>0</v>
      </c>
      <c r="AF12" s="286">
        <f t="shared" si="7"/>
        <v>29473</v>
      </c>
      <c r="AG12" s="286">
        <f t="shared" si="7"/>
        <v>0</v>
      </c>
      <c r="AH12" s="215"/>
    </row>
    <row r="13" spans="1:36" x14ac:dyDescent="0.2">
      <c r="A13" s="1"/>
      <c r="B13" s="215" t="s">
        <v>691</v>
      </c>
      <c r="C13" s="286">
        <f>C297</f>
        <v>602</v>
      </c>
      <c r="D13" s="286">
        <f t="shared" ref="D13:AG13" si="8">D297</f>
        <v>0</v>
      </c>
      <c r="E13" s="286">
        <f t="shared" si="8"/>
        <v>1163</v>
      </c>
      <c r="F13" s="286">
        <f t="shared" si="8"/>
        <v>0</v>
      </c>
      <c r="G13" s="286">
        <f t="shared" si="8"/>
        <v>2000</v>
      </c>
      <c r="H13" s="286">
        <f t="shared" si="8"/>
        <v>0</v>
      </c>
      <c r="I13" s="286">
        <f t="shared" si="8"/>
        <v>1100</v>
      </c>
      <c r="J13" s="315">
        <f t="shared" si="8"/>
        <v>0</v>
      </c>
      <c r="K13" s="315">
        <f t="shared" si="8"/>
        <v>600</v>
      </c>
      <c r="L13" s="286">
        <f t="shared" si="8"/>
        <v>4200</v>
      </c>
      <c r="M13" s="286">
        <f t="shared" si="8"/>
        <v>800</v>
      </c>
      <c r="N13" s="286">
        <f t="shared" si="8"/>
        <v>0</v>
      </c>
      <c r="O13" s="286">
        <f t="shared" si="8"/>
        <v>5631</v>
      </c>
      <c r="P13" s="308">
        <f t="shared" si="8"/>
        <v>1840</v>
      </c>
      <c r="Q13" s="286">
        <f t="shared" si="8"/>
        <v>16055</v>
      </c>
      <c r="R13" s="286">
        <f t="shared" si="8"/>
        <v>3734</v>
      </c>
      <c r="S13" s="286">
        <f t="shared" si="8"/>
        <v>680</v>
      </c>
      <c r="T13" s="286">
        <f t="shared" si="8"/>
        <v>1657</v>
      </c>
      <c r="U13" s="286">
        <f t="shared" si="8"/>
        <v>1200</v>
      </c>
      <c r="V13" s="286">
        <f t="shared" si="8"/>
        <v>12058</v>
      </c>
      <c r="W13" s="286">
        <f t="shared" si="8"/>
        <v>1600</v>
      </c>
      <c r="X13" s="286">
        <f t="shared" si="8"/>
        <v>2763</v>
      </c>
      <c r="Y13" s="286">
        <f t="shared" si="8"/>
        <v>1600</v>
      </c>
      <c r="Z13" s="286">
        <f t="shared" si="8"/>
        <v>2127</v>
      </c>
      <c r="AA13" s="286">
        <f t="shared" si="8"/>
        <v>18290</v>
      </c>
      <c r="AB13" s="286">
        <f t="shared" si="8"/>
        <v>1000</v>
      </c>
      <c r="AC13" s="286">
        <f t="shared" si="8"/>
        <v>3780</v>
      </c>
      <c r="AD13" s="286">
        <f t="shared" si="8"/>
        <v>1843</v>
      </c>
      <c r="AE13" s="286">
        <f t="shared" si="8"/>
        <v>4686</v>
      </c>
      <c r="AF13" s="286">
        <f t="shared" si="8"/>
        <v>47445</v>
      </c>
      <c r="AG13" s="286">
        <f t="shared" si="8"/>
        <v>0</v>
      </c>
      <c r="AH13" s="215"/>
    </row>
    <row r="14" spans="1:36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-287246.47900000005</v>
      </c>
    </row>
    <row r="15" spans="1:36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902">
        <f>AH14-105000</f>
        <v>-392246.47900000005</v>
      </c>
    </row>
    <row r="16" spans="1:36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15"/>
    </row>
    <row r="17" spans="1:34" x14ac:dyDescent="0.2">
      <c r="A17" s="265"/>
      <c r="B17" s="266" t="s">
        <v>37</v>
      </c>
      <c r="C17" s="266"/>
      <c r="D17" s="266"/>
      <c r="E17" s="267" t="s">
        <v>396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215"/>
    </row>
    <row r="18" spans="1:34" x14ac:dyDescent="0.2">
      <c r="A18" s="265"/>
      <c r="B18" s="266"/>
      <c r="C18" s="266"/>
      <c r="D18" s="268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215"/>
    </row>
    <row r="19" spans="1:34" x14ac:dyDescent="0.2">
      <c r="A19" s="769"/>
      <c r="B19" s="268"/>
      <c r="C19" s="268"/>
      <c r="D19" s="267">
        <v>42132</v>
      </c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4" x14ac:dyDescent="0.2">
      <c r="A20" s="769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4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4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4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4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4" x14ac:dyDescent="0.2">
      <c r="A25" s="265" t="s">
        <v>0</v>
      </c>
      <c r="B25" s="274">
        <v>-357435.82500000001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4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4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4" x14ac:dyDescent="0.2">
      <c r="A28" s="265" t="s">
        <v>1</v>
      </c>
      <c r="B28" s="274">
        <f>B29+B30+B31</f>
        <v>0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4" x14ac:dyDescent="0.2">
      <c r="A29" s="265" t="s">
        <v>38</v>
      </c>
      <c r="B29" s="274">
        <f>C82</f>
        <v>0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4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4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4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x14ac:dyDescent="0.2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x14ac:dyDescent="0.2">
      <c r="A34" s="265" t="s">
        <v>4</v>
      </c>
      <c r="B34" s="274">
        <f>B25+B28</f>
        <v>-357435.82500000001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3.5" thickBot="1" x14ac:dyDescent="0.25">
      <c r="A35" s="275"/>
      <c r="B35" s="27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15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15"/>
    </row>
    <row r="37" spans="1:40" x14ac:dyDescent="0.2">
      <c r="A37" s="265" t="s">
        <v>913</v>
      </c>
      <c r="B37" s="274">
        <f>C119</f>
        <v>0</v>
      </c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15"/>
    </row>
    <row r="38" spans="1:40" ht="13.5" thickBot="1" x14ac:dyDescent="0.25">
      <c r="A38" s="275"/>
      <c r="B38" s="276"/>
      <c r="C38" s="266"/>
      <c r="D38" s="266"/>
      <c r="E38" s="269"/>
      <c r="F38" s="266"/>
      <c r="G38" s="266"/>
      <c r="H38" s="266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15"/>
    </row>
    <row r="39" spans="1:40" x14ac:dyDescent="0.2">
      <c r="A39" s="263"/>
      <c r="B39" s="278"/>
      <c r="C39" s="266"/>
      <c r="D39" s="269"/>
      <c r="E39" s="269"/>
      <c r="G39" s="267"/>
      <c r="H39" s="266"/>
      <c r="I39" s="266"/>
      <c r="J39" s="266"/>
      <c r="K39" s="266"/>
      <c r="L39" s="266"/>
      <c r="M39" s="266"/>
      <c r="N39" s="266"/>
      <c r="O39" s="330"/>
      <c r="P39" s="281"/>
      <c r="Q39" s="707"/>
      <c r="R39" s="266"/>
      <c r="S39" s="269"/>
      <c r="T39" s="266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15"/>
    </row>
    <row r="40" spans="1:40" x14ac:dyDescent="0.2">
      <c r="A40" s="265" t="s">
        <v>5</v>
      </c>
      <c r="B40" s="274">
        <f>B34-B37</f>
        <v>-357435.82500000001</v>
      </c>
      <c r="C40" s="406" t="s">
        <v>166</v>
      </c>
      <c r="D40" s="269"/>
      <c r="E40" s="269"/>
      <c r="G40" s="269"/>
      <c r="H40" s="269"/>
      <c r="I40" s="269"/>
      <c r="J40" s="269"/>
      <c r="K40" s="269"/>
      <c r="L40" s="568"/>
      <c r="M40" s="281"/>
      <c r="N40" s="281"/>
      <c r="O40" s="269"/>
      <c r="P40" s="281"/>
      <c r="Q40" s="568"/>
      <c r="R40" s="269"/>
      <c r="S40" s="281"/>
      <c r="T40" s="281"/>
      <c r="U40" s="281"/>
      <c r="V40" s="269"/>
      <c r="W40" s="281"/>
      <c r="X40" s="269"/>
      <c r="Y40" s="281"/>
      <c r="Z40" s="281"/>
      <c r="AA40" s="281"/>
      <c r="AB40" s="281"/>
      <c r="AC40" s="709"/>
      <c r="AD40" s="407"/>
      <c r="AE40" s="407"/>
      <c r="AF40" s="281"/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</f>
        <v>0</v>
      </c>
      <c r="D43" s="288">
        <f t="shared" ref="D43:AG43" si="10">D44+D45+D48+D52+D51+D49+D50+D46+D47</f>
        <v>0</v>
      </c>
      <c r="E43" s="288">
        <f t="shared" si="10"/>
        <v>0</v>
      </c>
      <c r="F43" s="288">
        <f t="shared" si="10"/>
        <v>0</v>
      </c>
      <c r="G43" s="288">
        <f t="shared" si="10"/>
        <v>0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0</v>
      </c>
      <c r="M43" s="288">
        <f t="shared" si="10"/>
        <v>0</v>
      </c>
      <c r="N43" s="288">
        <f t="shared" si="10"/>
        <v>0</v>
      </c>
      <c r="O43" s="288">
        <f t="shared" si="10"/>
        <v>0</v>
      </c>
      <c r="P43" s="865">
        <f>P44+P45+P48+P52+P51+P49+P50+P46+P47</f>
        <v>0</v>
      </c>
      <c r="Q43" s="288">
        <f t="shared" si="10"/>
        <v>0</v>
      </c>
      <c r="R43" s="288">
        <f t="shared" si="10"/>
        <v>0</v>
      </c>
      <c r="S43" s="288">
        <f t="shared" si="10"/>
        <v>0</v>
      </c>
      <c r="T43" s="288">
        <f t="shared" si="10"/>
        <v>0</v>
      </c>
      <c r="U43" s="288">
        <f t="shared" si="10"/>
        <v>0</v>
      </c>
      <c r="V43" s="288">
        <f t="shared" si="10"/>
        <v>0</v>
      </c>
      <c r="W43" s="288">
        <f t="shared" si="10"/>
        <v>0</v>
      </c>
      <c r="X43" s="288">
        <f t="shared" si="10"/>
        <v>0</v>
      </c>
      <c r="Y43" s="288">
        <f t="shared" si="10"/>
        <v>0</v>
      </c>
      <c r="Z43" s="288">
        <f t="shared" si="10"/>
        <v>0</v>
      </c>
      <c r="AA43" s="288">
        <f t="shared" si="10"/>
        <v>11440.171999999999</v>
      </c>
      <c r="AB43" s="288">
        <f t="shared" si="10"/>
        <v>0</v>
      </c>
      <c r="AC43" s="288">
        <f t="shared" si="10"/>
        <v>0</v>
      </c>
      <c r="AD43" s="288">
        <f t="shared" si="10"/>
        <v>0</v>
      </c>
      <c r="AE43" s="288">
        <f t="shared" si="10"/>
        <v>0</v>
      </c>
      <c r="AF43" s="288">
        <f t="shared" si="10"/>
        <v>0</v>
      </c>
      <c r="AG43" s="288">
        <f t="shared" si="10"/>
        <v>0</v>
      </c>
      <c r="AH43" s="286">
        <f t="shared" si="9"/>
        <v>11440.171999999999</v>
      </c>
    </row>
    <row r="44" spans="1:40" x14ac:dyDescent="0.2">
      <c r="A44" s="287" t="s">
        <v>8</v>
      </c>
      <c r="B44" s="266"/>
      <c r="C44" s="289"/>
      <c r="D44" s="290"/>
      <c r="E44" s="291"/>
      <c r="F44" s="290"/>
      <c r="G44" s="295"/>
      <c r="H44" s="290"/>
      <c r="I44" s="290"/>
      <c r="J44" s="290"/>
      <c r="K44" s="290"/>
      <c r="L44" s="295"/>
      <c r="M44" s="292"/>
      <c r="N44" s="292"/>
      <c r="O44" s="839"/>
      <c r="P44" s="292"/>
      <c r="Q44" s="295"/>
      <c r="R44" s="295"/>
      <c r="S44" s="295"/>
      <c r="T44" s="295"/>
      <c r="U44" s="581"/>
      <c r="V44" s="295"/>
      <c r="W44" s="295"/>
      <c r="X44" s="295"/>
      <c r="Y44" s="581"/>
      <c r="Z44" s="295"/>
      <c r="AA44" s="295"/>
      <c r="AB44" s="295"/>
      <c r="AC44" s="581"/>
      <c r="AD44" s="295"/>
      <c r="AE44" s="295"/>
      <c r="AF44" s="295"/>
      <c r="AG44" s="295"/>
      <c r="AH44" s="286">
        <f t="shared" si="9"/>
        <v>0</v>
      </c>
      <c r="AN44" s="25">
        <v>9918.1650000000009</v>
      </c>
    </row>
    <row r="45" spans="1:40" x14ac:dyDescent="0.2">
      <c r="A45" s="287" t="s">
        <v>703</v>
      </c>
      <c r="B45" s="266"/>
      <c r="C45" s="291"/>
      <c r="D45" s="290"/>
      <c r="E45" s="291"/>
      <c r="F45" s="290"/>
      <c r="G45" s="290"/>
      <c r="H45" s="290"/>
      <c r="I45" s="290"/>
      <c r="J45" s="290"/>
      <c r="K45" s="290"/>
      <c r="L45" s="295"/>
      <c r="M45" s="290"/>
      <c r="N45" s="290"/>
      <c r="O45" s="295"/>
      <c r="P45" s="292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>
        <f>16792-5351.828</f>
        <v>11440.171999999999</v>
      </c>
      <c r="AB45" s="295"/>
      <c r="AC45" s="295"/>
      <c r="AD45" s="295"/>
      <c r="AE45" s="295"/>
      <c r="AF45" s="295"/>
      <c r="AG45" s="295"/>
      <c r="AH45" s="286">
        <f t="shared" si="9"/>
        <v>11440.171999999999</v>
      </c>
      <c r="AI45" s="42">
        <f>+AH45+AH44</f>
        <v>11440.171999999999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291"/>
      <c r="F46" s="290"/>
      <c r="G46" s="290"/>
      <c r="H46" s="290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86">
        <f t="shared" si="9"/>
        <v>0</v>
      </c>
      <c r="AN46" s="25"/>
    </row>
    <row r="47" spans="1:40" x14ac:dyDescent="0.2">
      <c r="A47" s="287" t="s">
        <v>705</v>
      </c>
      <c r="B47" s="266"/>
      <c r="C47" s="291"/>
      <c r="D47" s="290"/>
      <c r="E47" s="291"/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3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86">
        <f t="shared" si="9"/>
        <v>0</v>
      </c>
      <c r="AN47" s="25"/>
    </row>
    <row r="48" spans="1:40" s="360" customFormat="1" x14ac:dyDescent="0.2">
      <c r="A48" s="662" t="s">
        <v>10</v>
      </c>
      <c r="B48" s="663"/>
      <c r="C48" s="664"/>
      <c r="D48" s="380"/>
      <c r="E48" s="664"/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560"/>
      <c r="Q48" s="380"/>
      <c r="R48" s="380"/>
      <c r="S48" s="380"/>
      <c r="T48" s="380"/>
      <c r="U48" s="380"/>
      <c r="V48" s="665"/>
      <c r="W48" s="380"/>
      <c r="X48" s="380"/>
      <c r="Y48" s="380"/>
      <c r="Z48" s="380"/>
      <c r="AA48" s="380"/>
      <c r="AB48" s="380"/>
      <c r="AC48" s="708"/>
      <c r="AD48" s="380"/>
      <c r="AE48" s="380"/>
      <c r="AF48" s="380"/>
      <c r="AG48" s="380"/>
      <c r="AH48" s="379">
        <f t="shared" si="9"/>
        <v>0</v>
      </c>
      <c r="AI48" s="666"/>
      <c r="AJ48" s="360">
        <v>16499.96</v>
      </c>
      <c r="AN48" s="667">
        <v>6347.85</v>
      </c>
    </row>
    <row r="49" spans="1:40" s="360" customFormat="1" x14ac:dyDescent="0.2">
      <c r="A49" s="662" t="s">
        <v>356</v>
      </c>
      <c r="B49" s="668"/>
      <c r="C49" s="565">
        <v>156010</v>
      </c>
      <c r="D49" s="380"/>
      <c r="E49" s="565"/>
      <c r="F49" s="560"/>
      <c r="G49" s="560"/>
      <c r="H49" s="560"/>
      <c r="I49" s="560"/>
      <c r="J49" s="560"/>
      <c r="K49" s="560"/>
      <c r="L49" s="560"/>
      <c r="M49" s="560"/>
      <c r="N49" s="38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379">
        <f t="shared" si="9"/>
        <v>156010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0"/>
      <c r="AG50" s="290"/>
      <c r="AH50" s="286">
        <f t="shared" si="9"/>
        <v>0</v>
      </c>
      <c r="AN50" s="25">
        <v>2246.556</v>
      </c>
    </row>
    <row r="51" spans="1:40" x14ac:dyDescent="0.2">
      <c r="A51" s="287" t="s">
        <v>41</v>
      </c>
      <c r="B51" s="266"/>
      <c r="C51" s="289"/>
      <c r="D51" s="291"/>
      <c r="E51" s="362"/>
      <c r="F51" s="290"/>
      <c r="G51" s="295"/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/>
      <c r="AG51" s="290"/>
      <c r="AH51" s="286">
        <f t="shared" si="9"/>
        <v>0</v>
      </c>
      <c r="AN51" s="25"/>
    </row>
    <row r="52" spans="1:40" x14ac:dyDescent="0.2">
      <c r="A52" s="287" t="s">
        <v>11</v>
      </c>
      <c r="B52" s="266"/>
      <c r="C52" s="289">
        <v>-156010</v>
      </c>
      <c r="D52" s="289"/>
      <c r="E52" s="289"/>
      <c r="F52" s="754"/>
      <c r="G52" s="292"/>
      <c r="H52" s="292"/>
      <c r="I52" s="292"/>
      <c r="J52" s="754"/>
      <c r="K52" s="292"/>
      <c r="L52" s="292"/>
      <c r="M52" s="292"/>
      <c r="N52" s="754"/>
      <c r="O52" s="292"/>
      <c r="P52" s="292"/>
      <c r="Q52" s="292"/>
      <c r="R52" s="292"/>
      <c r="S52" s="292"/>
      <c r="T52" s="292"/>
      <c r="U52" s="292"/>
      <c r="V52" s="455"/>
      <c r="W52" s="292"/>
      <c r="X52" s="292"/>
      <c r="Y52" s="292"/>
      <c r="Z52" s="292"/>
      <c r="AA52" s="937"/>
      <c r="AB52" s="295"/>
      <c r="AC52" s="295"/>
      <c r="AD52" s="295"/>
      <c r="AE52" s="292"/>
      <c r="AF52" s="292"/>
      <c r="AG52" s="292"/>
      <c r="AH52" s="286">
        <f t="shared" si="9"/>
        <v>-156010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2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5"/>
      <c r="AC53" s="295"/>
      <c r="AD53" s="290"/>
      <c r="AE53" s="290"/>
      <c r="AF53" s="290"/>
      <c r="AG53" s="290"/>
      <c r="AH53" s="286">
        <f t="shared" si="9"/>
        <v>0</v>
      </c>
      <c r="AI53" s="42"/>
      <c r="AJ53" s="360">
        <v>11032.8</v>
      </c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>
        <v>7819.6</v>
      </c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288"/>
      <c r="N55" s="288"/>
      <c r="O55" s="288"/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 t="shared" si="11"/>
        <v>0</v>
      </c>
      <c r="T55" s="288">
        <f t="shared" si="11"/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J55">
        <f>AJ48+AJ53+AJ54</f>
        <v>35352.36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J56">
        <f>AJ55*2</f>
        <v>70704.72</v>
      </c>
      <c r="AN56" s="25">
        <v>673.17700000000002</v>
      </c>
    </row>
    <row r="57" spans="1:40" x14ac:dyDescent="0.2">
      <c r="A57" s="287" t="s">
        <v>215</v>
      </c>
      <c r="B57" s="266"/>
      <c r="C57" s="289">
        <v>2612</v>
      </c>
      <c r="D57" s="291">
        <v>1000</v>
      </c>
      <c r="E57" s="362">
        <v>5047</v>
      </c>
      <c r="F57" s="290">
        <v>1200</v>
      </c>
      <c r="G57" s="295">
        <v>4418</v>
      </c>
      <c r="H57" s="292">
        <v>4042</v>
      </c>
      <c r="I57" s="290">
        <v>5044</v>
      </c>
      <c r="J57" s="290">
        <v>7065</v>
      </c>
      <c r="K57" s="290">
        <v>6451</v>
      </c>
      <c r="L57" s="290">
        <v>41749</v>
      </c>
      <c r="M57" s="290">
        <v>2012</v>
      </c>
      <c r="N57" s="290">
        <v>2939</v>
      </c>
      <c r="O57" s="290">
        <v>3324</v>
      </c>
      <c r="P57" s="292"/>
      <c r="Q57" s="290">
        <v>35804</v>
      </c>
      <c r="R57" s="290">
        <v>14055</v>
      </c>
      <c r="S57" s="290">
        <v>2389</v>
      </c>
      <c r="T57" s="290">
        <v>1631</v>
      </c>
      <c r="U57" s="290"/>
      <c r="V57" s="290">
        <v>32339</v>
      </c>
      <c r="W57" s="290">
        <v>5685</v>
      </c>
      <c r="X57" s="290">
        <v>1789</v>
      </c>
      <c r="Y57" s="290"/>
      <c r="Z57" s="290">
        <v>7535</v>
      </c>
      <c r="AA57" s="292">
        <v>3060</v>
      </c>
      <c r="AB57" s="290"/>
      <c r="AC57" s="290">
        <v>1631</v>
      </c>
      <c r="AD57" s="290">
        <v>6279</v>
      </c>
      <c r="AE57" s="290">
        <v>3150</v>
      </c>
      <c r="AF57" s="290">
        <v>110965</v>
      </c>
      <c r="AG57" s="290"/>
      <c r="AH57" s="286">
        <f t="shared" si="9"/>
        <v>313215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N59" s="25">
        <v>1850.7819999999999</v>
      </c>
    </row>
    <row r="60" spans="1:40" x14ac:dyDescent="0.2">
      <c r="A60" s="287" t="s">
        <v>915</v>
      </c>
      <c r="B60" s="266"/>
      <c r="C60" s="300">
        <f t="shared" ref="C60:AG60" si="12">C55-C43</f>
        <v>0</v>
      </c>
      <c r="D60" s="300">
        <f t="shared" si="12"/>
        <v>0</v>
      </c>
      <c r="E60" s="300">
        <f t="shared" si="12"/>
        <v>0</v>
      </c>
      <c r="F60" s="300">
        <f t="shared" si="12"/>
        <v>0</v>
      </c>
      <c r="G60" s="300">
        <f t="shared" si="12"/>
        <v>0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0</v>
      </c>
      <c r="M60" s="300">
        <f t="shared" si="12"/>
        <v>0</v>
      </c>
      <c r="N60" s="300">
        <f t="shared" si="12"/>
        <v>0</v>
      </c>
      <c r="O60" s="300">
        <f t="shared" si="12"/>
        <v>0</v>
      </c>
      <c r="P60" s="867">
        <f t="shared" si="12"/>
        <v>0</v>
      </c>
      <c r="Q60" s="300">
        <f t="shared" si="12"/>
        <v>0</v>
      </c>
      <c r="R60" s="300">
        <f t="shared" si="12"/>
        <v>0</v>
      </c>
      <c r="S60" s="300">
        <f t="shared" si="12"/>
        <v>0</v>
      </c>
      <c r="T60" s="300">
        <f t="shared" si="12"/>
        <v>0</v>
      </c>
      <c r="U60" s="300">
        <f t="shared" si="12"/>
        <v>0</v>
      </c>
      <c r="V60" s="300">
        <f t="shared" si="12"/>
        <v>0</v>
      </c>
      <c r="W60" s="300">
        <f t="shared" si="12"/>
        <v>0</v>
      </c>
      <c r="X60" s="300">
        <f t="shared" si="12"/>
        <v>0</v>
      </c>
      <c r="Y60" s="300">
        <f t="shared" si="12"/>
        <v>0</v>
      </c>
      <c r="Z60" s="300">
        <f t="shared" si="12"/>
        <v>0</v>
      </c>
      <c r="AA60" s="300">
        <f t="shared" si="12"/>
        <v>-11440.171999999999</v>
      </c>
      <c r="AB60" s="300">
        <f t="shared" si="12"/>
        <v>0</v>
      </c>
      <c r="AC60" s="300">
        <f t="shared" si="12"/>
        <v>0</v>
      </c>
      <c r="AD60" s="300">
        <f t="shared" si="12"/>
        <v>0</v>
      </c>
      <c r="AE60" s="300">
        <f t="shared" si="12"/>
        <v>0</v>
      </c>
      <c r="AF60" s="300">
        <f t="shared" si="12"/>
        <v>0</v>
      </c>
      <c r="AG60" s="300">
        <f t="shared" si="12"/>
        <v>0</v>
      </c>
      <c r="AH60" s="215"/>
      <c r="AL60" s="42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-357435.82500000001</v>
      </c>
      <c r="D63" s="291">
        <f>C70+D60</f>
        <v>-357435.82500000001</v>
      </c>
      <c r="E63" s="291">
        <f t="shared" ref="E63:AG63" si="13">D70+E60</f>
        <v>-357435.82500000001</v>
      </c>
      <c r="F63" s="291">
        <f t="shared" si="13"/>
        <v>-357435.82500000001</v>
      </c>
      <c r="G63" s="291">
        <f t="shared" si="13"/>
        <v>-357435.82500000001</v>
      </c>
      <c r="H63" s="291">
        <f t="shared" si="13"/>
        <v>-357435.82500000001</v>
      </c>
      <c r="I63" s="291">
        <f t="shared" si="13"/>
        <v>-357435.82500000001</v>
      </c>
      <c r="J63" s="291">
        <f t="shared" si="13"/>
        <v>-357435.82500000001</v>
      </c>
      <c r="K63" s="291">
        <f t="shared" si="13"/>
        <v>-357435.82500000001</v>
      </c>
      <c r="L63" s="291">
        <f t="shared" si="13"/>
        <v>-357435.82500000001</v>
      </c>
      <c r="M63" s="291">
        <f t="shared" si="13"/>
        <v>-357435.82500000001</v>
      </c>
      <c r="N63" s="291">
        <f t="shared" si="13"/>
        <v>-357435.82500000001</v>
      </c>
      <c r="O63" s="291">
        <f t="shared" si="13"/>
        <v>-357435.82500000001</v>
      </c>
      <c r="P63" s="289">
        <f>O70+P60</f>
        <v>-357435.82500000001</v>
      </c>
      <c r="Q63" s="291">
        <f t="shared" si="13"/>
        <v>-357435.82500000001</v>
      </c>
      <c r="R63" s="291">
        <f t="shared" si="13"/>
        <v>-357435.82500000001</v>
      </c>
      <c r="S63" s="291">
        <f t="shared" si="13"/>
        <v>-357435.82500000001</v>
      </c>
      <c r="T63" s="291">
        <f t="shared" si="13"/>
        <v>-357435.82500000001</v>
      </c>
      <c r="U63" s="291">
        <f t="shared" si="13"/>
        <v>-357435.82500000001</v>
      </c>
      <c r="V63" s="291">
        <f t="shared" si="13"/>
        <v>-357435.82500000001</v>
      </c>
      <c r="W63" s="291">
        <f t="shared" si="13"/>
        <v>-357435.82500000001</v>
      </c>
      <c r="X63" s="291">
        <f t="shared" si="13"/>
        <v>-357435.82500000001</v>
      </c>
      <c r="Y63" s="291">
        <f t="shared" si="13"/>
        <v>-357435.82500000001</v>
      </c>
      <c r="Z63" s="291">
        <f t="shared" si="13"/>
        <v>-357435.82500000001</v>
      </c>
      <c r="AA63" s="291">
        <f t="shared" si="13"/>
        <v>-368875.99700000003</v>
      </c>
      <c r="AB63" s="291">
        <f t="shared" si="13"/>
        <v>-368875.99700000003</v>
      </c>
      <c r="AC63" s="291">
        <f t="shared" si="13"/>
        <v>-368875.99700000003</v>
      </c>
      <c r="AD63" s="291">
        <f t="shared" si="13"/>
        <v>-368875.99700000003</v>
      </c>
      <c r="AE63" s="291">
        <f t="shared" si="13"/>
        <v>-368875.99700000003</v>
      </c>
      <c r="AF63" s="291">
        <f t="shared" si="13"/>
        <v>-368875.99700000003</v>
      </c>
      <c r="AG63" s="291">
        <f t="shared" si="13"/>
        <v>-368875.99700000003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-357435.82500000001</v>
      </c>
      <c r="D70" s="291">
        <f t="shared" ref="D70:AG70" si="15">D63+D66+D67</f>
        <v>-357435.82500000001</v>
      </c>
      <c r="E70" s="291">
        <f t="shared" si="15"/>
        <v>-357435.82500000001</v>
      </c>
      <c r="F70" s="291">
        <f t="shared" si="15"/>
        <v>-357435.82500000001</v>
      </c>
      <c r="G70" s="291">
        <f t="shared" si="15"/>
        <v>-357435.82500000001</v>
      </c>
      <c r="H70" s="291">
        <f t="shared" si="15"/>
        <v>-357435.82500000001</v>
      </c>
      <c r="I70" s="291">
        <f t="shared" si="15"/>
        <v>-357435.82500000001</v>
      </c>
      <c r="J70" s="291">
        <f t="shared" si="15"/>
        <v>-357435.82500000001</v>
      </c>
      <c r="K70" s="291">
        <f t="shared" si="15"/>
        <v>-357435.82500000001</v>
      </c>
      <c r="L70" s="291">
        <f t="shared" si="15"/>
        <v>-357435.82500000001</v>
      </c>
      <c r="M70" s="291">
        <f t="shared" si="15"/>
        <v>-357435.82500000001</v>
      </c>
      <c r="N70" s="291">
        <f t="shared" si="15"/>
        <v>-357435.82500000001</v>
      </c>
      <c r="O70" s="291">
        <f t="shared" si="15"/>
        <v>-357435.82500000001</v>
      </c>
      <c r="P70" s="289">
        <f>P63+P66+P67</f>
        <v>-357435.82500000001</v>
      </c>
      <c r="Q70" s="291">
        <f t="shared" si="15"/>
        <v>-357435.82500000001</v>
      </c>
      <c r="R70" s="291">
        <f t="shared" si="15"/>
        <v>-357435.82500000001</v>
      </c>
      <c r="S70" s="291">
        <f t="shared" si="15"/>
        <v>-357435.82500000001</v>
      </c>
      <c r="T70" s="291">
        <f t="shared" si="15"/>
        <v>-357435.82500000001</v>
      </c>
      <c r="U70" s="291">
        <f t="shared" si="15"/>
        <v>-357435.82500000001</v>
      </c>
      <c r="V70" s="291">
        <f t="shared" si="15"/>
        <v>-357435.82500000001</v>
      </c>
      <c r="W70" s="291">
        <f t="shared" si="15"/>
        <v>-357435.82500000001</v>
      </c>
      <c r="X70" s="291">
        <f t="shared" si="15"/>
        <v>-357435.82500000001</v>
      </c>
      <c r="Y70" s="291">
        <f t="shared" si="15"/>
        <v>-357435.82500000001</v>
      </c>
      <c r="Z70" s="291">
        <f t="shared" si="15"/>
        <v>-357435.82500000001</v>
      </c>
      <c r="AA70" s="291">
        <f t="shared" si="15"/>
        <v>-368875.99700000003</v>
      </c>
      <c r="AB70" s="291">
        <f t="shared" si="15"/>
        <v>-368875.99700000003</v>
      </c>
      <c r="AC70" s="291">
        <f t="shared" si="15"/>
        <v>-368875.99700000003</v>
      </c>
      <c r="AD70" s="291">
        <f t="shared" si="15"/>
        <v>-368875.99700000003</v>
      </c>
      <c r="AE70" s="291">
        <f t="shared" si="15"/>
        <v>-368875.99700000003</v>
      </c>
      <c r="AF70" s="291">
        <f t="shared" si="15"/>
        <v>-368875.99700000003</v>
      </c>
      <c r="AG70" s="291">
        <f t="shared" si="15"/>
        <v>-368875.99700000003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5"/>
      <c r="E74" s="290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>
        <f>P57</f>
        <v>0</v>
      </c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SUM(C84:C120)</f>
        <v>0</v>
      </c>
      <c r="D82" s="286"/>
      <c r="E82" s="470"/>
      <c r="F82" s="286"/>
      <c r="G82" s="317"/>
      <c r="H82" s="315"/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/>
      <c r="G83" s="319"/>
      <c r="H83" s="215"/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>
        <v>42124</v>
      </c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41673</v>
      </c>
      <c r="C85" s="318"/>
      <c r="D85" s="309"/>
      <c r="E85" s="215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41673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41673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42122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42123</v>
      </c>
      <c r="C89" s="501"/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42124</v>
      </c>
      <c r="C90" s="325"/>
      <c r="D90" s="323"/>
      <c r="E90" s="353"/>
      <c r="F90" s="215"/>
      <c r="G90" s="326"/>
      <c r="H90" s="215"/>
      <c r="I90" s="215"/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42118</v>
      </c>
      <c r="C91" s="325"/>
      <c r="D91" s="323"/>
      <c r="E91" s="323"/>
      <c r="F91" s="215"/>
      <c r="G91" s="326"/>
      <c r="H91" s="215"/>
      <c r="I91" s="215"/>
      <c r="J91" s="215"/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42121</v>
      </c>
      <c r="C92" s="323"/>
      <c r="D92" s="323"/>
      <c r="E92" s="323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42102</v>
      </c>
      <c r="C93" s="325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42016</v>
      </c>
      <c r="C94" s="840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42114</v>
      </c>
      <c r="C95" s="840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42115</v>
      </c>
      <c r="C96" s="808"/>
      <c r="D96" s="323"/>
      <c r="E96" s="323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>
        <v>42115</v>
      </c>
      <c r="D97" s="323"/>
      <c r="E97" s="323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42116</v>
      </c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42117</v>
      </c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42116</v>
      </c>
      <c r="C100" s="324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42117</v>
      </c>
      <c r="C101" s="324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42118</v>
      </c>
      <c r="C102" s="324"/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42119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42120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42124</v>
      </c>
      <c r="C105" s="324"/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42122</v>
      </c>
      <c r="C106" s="324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320">
        <v>42123</v>
      </c>
      <c r="C107" s="324"/>
      <c r="D107" s="323"/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 t="s">
        <v>436</v>
      </c>
      <c r="B108" s="320"/>
      <c r="C108" s="325"/>
      <c r="D108" s="323"/>
      <c r="E108" s="215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</row>
    <row r="109" spans="1:42" x14ac:dyDescent="0.2">
      <c r="A109" s="327" t="s">
        <v>32</v>
      </c>
      <c r="B109" s="320">
        <v>42124</v>
      </c>
      <c r="C109" s="318"/>
      <c r="D109" s="323"/>
      <c r="E109" s="215"/>
      <c r="F109" s="215"/>
      <c r="G109" s="470"/>
      <c r="H109" s="323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>
        <v>222914.55799999999</v>
      </c>
    </row>
    <row r="110" spans="1:42" x14ac:dyDescent="0.2">
      <c r="A110" s="327" t="s">
        <v>33</v>
      </c>
      <c r="B110" s="320">
        <v>42124</v>
      </c>
      <c r="C110" s="318"/>
      <c r="D110" s="323"/>
      <c r="E110" s="318"/>
      <c r="F110" s="311"/>
      <c r="G110" s="215"/>
      <c r="H110" s="215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</row>
    <row r="111" spans="1:42" x14ac:dyDescent="0.2">
      <c r="A111" s="327" t="s">
        <v>32</v>
      </c>
      <c r="B111" s="320">
        <v>42122</v>
      </c>
      <c r="C111" s="318"/>
      <c r="D111" s="215"/>
      <c r="E111" s="320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</row>
    <row r="112" spans="1:42" x14ac:dyDescent="0.2">
      <c r="A112" s="327" t="s">
        <v>33</v>
      </c>
      <c r="B112" s="320">
        <v>42122</v>
      </c>
      <c r="C112" s="318"/>
      <c r="D112" s="215"/>
      <c r="E112" s="215"/>
      <c r="F112" s="215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</row>
    <row r="113" spans="1:34" x14ac:dyDescent="0.2">
      <c r="A113" s="327" t="s">
        <v>33</v>
      </c>
      <c r="B113" s="320">
        <v>42024</v>
      </c>
      <c r="C113" s="318"/>
      <c r="D113" s="215"/>
      <c r="E113" s="323"/>
      <c r="F113" s="215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32</v>
      </c>
      <c r="B114" s="320">
        <v>41918</v>
      </c>
      <c r="C114" s="318"/>
      <c r="D114" s="323"/>
      <c r="E114" s="323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32</v>
      </c>
      <c r="B115" s="320">
        <v>41673</v>
      </c>
      <c r="C115" s="318"/>
      <c r="D115" s="215"/>
      <c r="E115" s="215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32</v>
      </c>
      <c r="B116" s="320">
        <v>41673</v>
      </c>
      <c r="C116" s="318"/>
      <c r="D116" s="215"/>
      <c r="E116" s="323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32</v>
      </c>
      <c r="B117" s="320">
        <v>41673</v>
      </c>
      <c r="C117" s="318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33</v>
      </c>
      <c r="B118" s="320">
        <v>41673</v>
      </c>
      <c r="C118" s="318"/>
      <c r="D118" s="215"/>
      <c r="E118" s="500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33</v>
      </c>
      <c r="B119" s="320">
        <v>41673</v>
      </c>
      <c r="C119" s="316"/>
      <c r="D119" s="215"/>
      <c r="E119" s="323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215"/>
      <c r="B120" s="321"/>
      <c r="C120" s="318"/>
      <c r="D120" s="215"/>
      <c r="E120" s="215"/>
      <c r="F120" s="215"/>
      <c r="G120" s="323"/>
      <c r="H120" s="323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215"/>
      <c r="B121" s="320"/>
      <c r="C121" s="262"/>
      <c r="D121" s="215"/>
      <c r="E121" s="215"/>
      <c r="F121" s="215"/>
      <c r="G121" s="323"/>
      <c r="H121" s="215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215"/>
      <c r="B122" s="320"/>
      <c r="C122" s="215"/>
      <c r="D122" s="215"/>
      <c r="E122" s="215"/>
      <c r="F122" s="215"/>
      <c r="G122" s="215"/>
      <c r="H122" s="316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310"/>
      <c r="B124" s="320"/>
      <c r="C124" s="262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310"/>
      <c r="B125" s="320"/>
      <c r="C125" s="262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215"/>
      <c r="B126" s="215"/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ht="13.5" thickBot="1" x14ac:dyDescent="0.25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x14ac:dyDescent="0.2">
      <c r="A131" s="263"/>
      <c r="B131" s="264"/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860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15"/>
    </row>
    <row r="132" spans="1:34" x14ac:dyDescent="0.2">
      <c r="A132" s="265"/>
      <c r="B132" s="266" t="s">
        <v>37</v>
      </c>
      <c r="C132" s="266"/>
      <c r="D132" s="266"/>
      <c r="E132" s="267"/>
      <c r="F132" s="268" t="s">
        <v>95</v>
      </c>
      <c r="G132" s="269" t="s">
        <v>6</v>
      </c>
      <c r="H132" s="268"/>
      <c r="I132" s="268"/>
      <c r="J132" s="268"/>
      <c r="K132" s="268"/>
      <c r="L132" s="268"/>
      <c r="M132" s="268"/>
      <c r="N132" s="268"/>
      <c r="O132" s="268"/>
      <c r="P132" s="861"/>
      <c r="Q132" s="268"/>
      <c r="R132" s="268"/>
      <c r="S132" s="268"/>
      <c r="T132" s="268"/>
      <c r="U132" s="268"/>
      <c r="V132" s="268"/>
      <c r="W132" s="268"/>
      <c r="X132" s="268"/>
      <c r="Y132" s="268"/>
      <c r="Z132" s="268"/>
      <c r="AA132" s="268"/>
      <c r="AB132" s="268"/>
      <c r="AC132" s="268"/>
      <c r="AD132" s="268"/>
      <c r="AE132" s="268"/>
      <c r="AF132" s="268"/>
      <c r="AG132" s="268"/>
      <c r="AH132" s="215"/>
    </row>
    <row r="133" spans="1:34" x14ac:dyDescent="0.2">
      <c r="A133" s="265"/>
      <c r="B133" s="266"/>
      <c r="C133" s="266"/>
      <c r="D133" s="268">
        <v>42133</v>
      </c>
      <c r="E133" s="266"/>
      <c r="F133" s="266"/>
      <c r="G133" s="266"/>
      <c r="H133" s="266"/>
      <c r="I133" s="266"/>
      <c r="J133" s="266"/>
      <c r="K133" s="266"/>
      <c r="L133" s="266"/>
      <c r="M133" s="266"/>
      <c r="N133" s="266"/>
      <c r="O133" s="266"/>
      <c r="P133" s="279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C133" s="266"/>
      <c r="AD133" s="266"/>
      <c r="AE133" s="266"/>
      <c r="AF133" s="266"/>
      <c r="AG133" s="266"/>
      <c r="AH133" s="215"/>
    </row>
    <row r="134" spans="1:34" x14ac:dyDescent="0.2">
      <c r="A134" s="328"/>
      <c r="B134" s="266"/>
      <c r="C134" s="268"/>
      <c r="D134" s="268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79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C134" s="266"/>
      <c r="AD134" s="266"/>
      <c r="AE134" s="266"/>
      <c r="AF134" s="266"/>
      <c r="AG134" s="266"/>
      <c r="AH134" s="215"/>
    </row>
    <row r="135" spans="1:34" x14ac:dyDescent="0.2">
      <c r="A135" s="265"/>
      <c r="B135" s="266"/>
      <c r="C135" s="268"/>
      <c r="D135" s="268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ht="13.5" thickBot="1" x14ac:dyDescent="0.25">
      <c r="A136" s="265"/>
      <c r="B136" s="266"/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ht="13.5" thickBot="1" x14ac:dyDescent="0.25">
      <c r="A137" s="265"/>
      <c r="B137" s="266"/>
      <c r="C137" s="270"/>
      <c r="D137" s="271" t="s">
        <v>16</v>
      </c>
      <c r="E137" s="271"/>
      <c r="F137" s="271"/>
      <c r="G137" s="271"/>
      <c r="H137" s="271"/>
      <c r="I137" s="271"/>
      <c r="J137" s="271"/>
      <c r="K137" s="271"/>
      <c r="L137" s="271"/>
      <c r="M137" s="271"/>
      <c r="N137" s="271"/>
      <c r="O137" s="271"/>
      <c r="P137" s="862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  <c r="AA137" s="271"/>
      <c r="AB137" s="271"/>
      <c r="AC137" s="271"/>
      <c r="AD137" s="271"/>
      <c r="AE137" s="271"/>
      <c r="AF137" s="271"/>
      <c r="AG137" s="271"/>
      <c r="AH137" s="215"/>
    </row>
    <row r="138" spans="1:34" ht="13.5" thickBot="1" x14ac:dyDescent="0.25">
      <c r="A138" s="265"/>
      <c r="B138" s="266"/>
      <c r="C138" s="272" t="s">
        <v>452</v>
      </c>
      <c r="D138" s="272" t="s">
        <v>453</v>
      </c>
      <c r="E138" s="272" t="s">
        <v>434</v>
      </c>
      <c r="F138" s="272" t="s">
        <v>390</v>
      </c>
      <c r="G138" s="272" t="s">
        <v>454</v>
      </c>
      <c r="H138" s="272" t="s">
        <v>455</v>
      </c>
      <c r="I138" s="272" t="s">
        <v>456</v>
      </c>
      <c r="J138" s="272" t="s">
        <v>457</v>
      </c>
      <c r="K138" s="272" t="s">
        <v>458</v>
      </c>
      <c r="L138" s="272" t="s">
        <v>216</v>
      </c>
      <c r="M138" s="272" t="s">
        <v>459</v>
      </c>
      <c r="N138" s="272" t="s">
        <v>297</v>
      </c>
      <c r="O138" s="272" t="s">
        <v>211</v>
      </c>
      <c r="P138" s="863" t="s">
        <v>270</v>
      </c>
      <c r="Q138" s="272">
        <v>15</v>
      </c>
      <c r="R138" s="272">
        <v>16</v>
      </c>
      <c r="S138" s="272" t="s">
        <v>461</v>
      </c>
      <c r="T138" s="272" t="s">
        <v>442</v>
      </c>
      <c r="U138" s="272" t="s">
        <v>462</v>
      </c>
      <c r="V138" s="272" t="s">
        <v>470</v>
      </c>
      <c r="W138" s="272" t="s">
        <v>471</v>
      </c>
      <c r="X138" s="272" t="s">
        <v>472</v>
      </c>
      <c r="Y138" s="272" t="s">
        <v>463</v>
      </c>
      <c r="Z138" s="272" t="s">
        <v>465</v>
      </c>
      <c r="AA138" s="272" t="s">
        <v>466</v>
      </c>
      <c r="AB138" s="272" t="s">
        <v>435</v>
      </c>
      <c r="AC138" s="272" t="s">
        <v>467</v>
      </c>
      <c r="AD138" s="272" t="s">
        <v>464</v>
      </c>
      <c r="AE138" s="272" t="s">
        <v>429</v>
      </c>
      <c r="AF138" s="272" t="s">
        <v>149</v>
      </c>
      <c r="AG138" s="272" t="s">
        <v>210</v>
      </c>
      <c r="AH138" s="215"/>
    </row>
    <row r="139" spans="1:34" x14ac:dyDescent="0.2">
      <c r="A139" s="263"/>
      <c r="B139" s="273"/>
      <c r="C139" s="266"/>
      <c r="D139" s="266"/>
      <c r="E139" s="266"/>
      <c r="F139" s="266"/>
      <c r="G139" s="266"/>
      <c r="H139" s="266"/>
      <c r="I139" s="266"/>
      <c r="J139" s="266"/>
      <c r="K139" s="266"/>
      <c r="L139" s="266"/>
      <c r="M139" s="266"/>
      <c r="N139" s="266"/>
      <c r="O139" s="266"/>
      <c r="P139" s="279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C139" s="266"/>
      <c r="AD139" s="266"/>
      <c r="AE139" s="266"/>
      <c r="AF139" s="266"/>
      <c r="AG139" s="266"/>
      <c r="AH139" s="215"/>
    </row>
    <row r="140" spans="1:34" x14ac:dyDescent="0.2">
      <c r="A140" s="265" t="s">
        <v>0</v>
      </c>
      <c r="B140" s="274">
        <v>-24255.235000000001</v>
      </c>
      <c r="C140" s="266"/>
      <c r="D140" s="266"/>
      <c r="E140" s="266"/>
      <c r="F140" s="266"/>
      <c r="G140" s="266"/>
      <c r="H140" s="266"/>
      <c r="I140" s="266"/>
      <c r="J140" s="266"/>
      <c r="K140" s="266"/>
      <c r="L140" s="266"/>
      <c r="M140" s="266"/>
      <c r="N140" s="266"/>
      <c r="O140" s="266"/>
      <c r="P140" s="279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266"/>
      <c r="AE140" s="266"/>
      <c r="AF140" s="266"/>
      <c r="AG140" s="266"/>
      <c r="AH140" s="215"/>
    </row>
    <row r="141" spans="1:34" ht="13.5" thickBot="1" x14ac:dyDescent="0.25">
      <c r="A141" s="275"/>
      <c r="B141" s="276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x14ac:dyDescent="0.2">
      <c r="A142" s="263"/>
      <c r="B142" s="278"/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x14ac:dyDescent="0.2">
      <c r="A143" s="265" t="s">
        <v>1</v>
      </c>
      <c r="B143" s="274">
        <f>B144+B145+B146</f>
        <v>0</v>
      </c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5" t="s">
        <v>38</v>
      </c>
      <c r="B144" s="274">
        <f>C194</f>
        <v>0</v>
      </c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39</v>
      </c>
      <c r="B145" s="274">
        <f>C214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</v>
      </c>
      <c r="B146" s="274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ht="13.5" thickBot="1" x14ac:dyDescent="0.25">
      <c r="A147" s="275"/>
      <c r="B147" s="276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x14ac:dyDescent="0.2">
      <c r="A148" s="263"/>
      <c r="B148" s="278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x14ac:dyDescent="0.2">
      <c r="A149" s="265" t="s">
        <v>4</v>
      </c>
      <c r="B149" s="274">
        <f>B140+B143</f>
        <v>-24255.235000000001</v>
      </c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ht="13.5" thickBot="1" x14ac:dyDescent="0.25">
      <c r="A150" s="275"/>
      <c r="B150" s="276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x14ac:dyDescent="0.2">
      <c r="A151" s="263"/>
      <c r="B151" s="278"/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x14ac:dyDescent="0.2">
      <c r="A152" s="265" t="s">
        <v>17</v>
      </c>
      <c r="B152" s="274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ht="13.5" thickBot="1" x14ac:dyDescent="0.25">
      <c r="A153" s="275"/>
      <c r="B153" s="276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79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x14ac:dyDescent="0.2">
      <c r="A154" s="263"/>
      <c r="B154" s="278"/>
      <c r="C154" s="266"/>
      <c r="D154" s="802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802"/>
      <c r="AD154" s="266"/>
      <c r="AF154" s="266"/>
      <c r="AH154" s="215"/>
    </row>
    <row r="155" spans="1:34" x14ac:dyDescent="0.2">
      <c r="A155" s="265" t="s">
        <v>5</v>
      </c>
      <c r="B155" s="274">
        <f>B149-B152</f>
        <v>-24255.235000000001</v>
      </c>
      <c r="C155" s="269"/>
      <c r="D155" s="802"/>
      <c r="E155" s="269"/>
      <c r="F155" s="266"/>
      <c r="G155" s="269"/>
      <c r="H155" s="269" t="s">
        <v>712</v>
      </c>
      <c r="I155" s="269"/>
      <c r="J155" s="266"/>
      <c r="K155" s="266"/>
      <c r="L155" s="707"/>
      <c r="M155" s="266"/>
      <c r="N155" s="266"/>
      <c r="O155" s="269"/>
      <c r="P155" s="281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707"/>
      <c r="AB155" s="269"/>
      <c r="AC155" s="802"/>
      <c r="AD155" s="269"/>
      <c r="AH155" s="215"/>
    </row>
    <row r="156" spans="1:34" ht="13.5" thickBot="1" x14ac:dyDescent="0.25">
      <c r="A156" s="275"/>
      <c r="B156" s="276"/>
      <c r="C156" s="266"/>
      <c r="D156" s="266"/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81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15"/>
    </row>
    <row r="157" spans="1:34" x14ac:dyDescent="0.2">
      <c r="A157" s="282"/>
      <c r="B157" s="266"/>
      <c r="C157" s="283"/>
      <c r="D157" s="285"/>
      <c r="E157" s="285"/>
      <c r="F157" s="284"/>
      <c r="G157" s="284"/>
      <c r="H157" s="284"/>
      <c r="I157" s="284"/>
      <c r="J157" s="284"/>
      <c r="K157" s="284"/>
      <c r="L157" s="284"/>
      <c r="M157" s="284"/>
      <c r="N157" s="284"/>
      <c r="O157" s="284"/>
      <c r="P157" s="86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  <c r="AA157" s="284"/>
      <c r="AB157" s="284"/>
      <c r="AC157" s="284"/>
      <c r="AD157" s="284"/>
      <c r="AE157" s="284"/>
      <c r="AF157" s="284"/>
      <c r="AG157" s="284"/>
      <c r="AH157" s="215"/>
    </row>
    <row r="158" spans="1:34" ht="13.5" thickBot="1" x14ac:dyDescent="0.25">
      <c r="A158" s="287" t="s">
        <v>7</v>
      </c>
      <c r="B158" s="266"/>
      <c r="C158" s="288">
        <f>C159+C160+C161+C165+C164+C162+C163</f>
        <v>0</v>
      </c>
      <c r="D158" s="288">
        <f t="shared" ref="D158:AE158" si="16">D159+D160+D161+D165+D164+D162+D163</f>
        <v>0</v>
      </c>
      <c r="E158" s="288">
        <f t="shared" si="16"/>
        <v>0</v>
      </c>
      <c r="F158" s="288">
        <f t="shared" si="16"/>
        <v>0</v>
      </c>
      <c r="G158" s="288">
        <f t="shared" si="16"/>
        <v>0</v>
      </c>
      <c r="H158" s="288">
        <f t="shared" si="16"/>
        <v>0</v>
      </c>
      <c r="I158" s="288">
        <f t="shared" si="16"/>
        <v>0</v>
      </c>
      <c r="J158" s="288">
        <f t="shared" si="16"/>
        <v>0</v>
      </c>
      <c r="K158" s="288">
        <f t="shared" si="16"/>
        <v>0</v>
      </c>
      <c r="L158" s="288">
        <f t="shared" si="16"/>
        <v>0</v>
      </c>
      <c r="M158" s="288">
        <f t="shared" si="16"/>
        <v>0</v>
      </c>
      <c r="N158" s="288">
        <f t="shared" si="16"/>
        <v>0</v>
      </c>
      <c r="O158" s="288">
        <f t="shared" si="16"/>
        <v>0</v>
      </c>
      <c r="P158" s="865">
        <f t="shared" si="16"/>
        <v>0</v>
      </c>
      <c r="Q158" s="288">
        <f t="shared" si="16"/>
        <v>0</v>
      </c>
      <c r="R158" s="288">
        <f t="shared" si="16"/>
        <v>0</v>
      </c>
      <c r="S158" s="288">
        <f t="shared" si="16"/>
        <v>0</v>
      </c>
      <c r="T158" s="288">
        <f t="shared" si="16"/>
        <v>0</v>
      </c>
      <c r="U158" s="288">
        <f t="shared" si="16"/>
        <v>0</v>
      </c>
      <c r="V158" s="288">
        <f t="shared" si="16"/>
        <v>0</v>
      </c>
      <c r="W158" s="288">
        <f t="shared" si="16"/>
        <v>0</v>
      </c>
      <c r="X158" s="288">
        <f t="shared" si="16"/>
        <v>0</v>
      </c>
      <c r="Y158" s="288">
        <f t="shared" si="16"/>
        <v>0</v>
      </c>
      <c r="Z158" s="288">
        <f t="shared" si="16"/>
        <v>0</v>
      </c>
      <c r="AA158" s="288">
        <f t="shared" si="16"/>
        <v>0</v>
      </c>
      <c r="AB158" s="288">
        <f t="shared" si="16"/>
        <v>0</v>
      </c>
      <c r="AC158" s="288">
        <f t="shared" si="16"/>
        <v>0</v>
      </c>
      <c r="AD158" s="288">
        <f t="shared" si="16"/>
        <v>0</v>
      </c>
      <c r="AE158" s="288">
        <f t="shared" si="16"/>
        <v>0</v>
      </c>
      <c r="AF158" s="288">
        <f>AF159+AF160+AF161+AF165+AF164+AF162+AF163</f>
        <v>35561</v>
      </c>
      <c r="AG158" s="288">
        <f>AG159+AG160+AG161+AG165+AG164+AG162+AG163</f>
        <v>8514</v>
      </c>
      <c r="AH158" s="286">
        <f t="shared" ref="AH158:AH166" si="17">SUM(C158:AG158)</f>
        <v>44075</v>
      </c>
    </row>
    <row r="159" spans="1:34" x14ac:dyDescent="0.2">
      <c r="A159" s="287" t="s">
        <v>8</v>
      </c>
      <c r="B159" s="266"/>
      <c r="C159" s="291"/>
      <c r="D159" s="291"/>
      <c r="E159" s="291"/>
      <c r="F159" s="290"/>
      <c r="G159" s="290"/>
      <c r="H159" s="290"/>
      <c r="I159" s="290"/>
      <c r="J159" s="290"/>
      <c r="K159" s="290"/>
      <c r="L159" s="290"/>
      <c r="M159" s="290"/>
      <c r="N159" s="290"/>
      <c r="O159" s="290"/>
      <c r="P159" s="292"/>
      <c r="Q159" s="290"/>
      <c r="R159" s="290"/>
      <c r="S159" s="290"/>
      <c r="T159" s="290"/>
      <c r="U159" s="290"/>
      <c r="V159" s="290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86">
        <f t="shared" si="17"/>
        <v>0</v>
      </c>
    </row>
    <row r="160" spans="1:34" x14ac:dyDescent="0.2">
      <c r="A160" s="287" t="s">
        <v>9</v>
      </c>
      <c r="B160" s="266"/>
      <c r="C160" s="291"/>
      <c r="D160" s="291"/>
      <c r="E160" s="291"/>
      <c r="F160" s="290"/>
      <c r="G160" s="290"/>
      <c r="H160" s="290"/>
      <c r="I160" s="290"/>
      <c r="J160" s="290"/>
      <c r="K160" s="290"/>
      <c r="L160" s="290"/>
      <c r="M160" s="290"/>
      <c r="N160" s="290"/>
      <c r="O160" s="290"/>
      <c r="P160" s="292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86">
        <f t="shared" si="17"/>
        <v>0</v>
      </c>
    </row>
    <row r="161" spans="1:35" s="360" customFormat="1" x14ac:dyDescent="0.2">
      <c r="A161" s="662" t="s">
        <v>10</v>
      </c>
      <c r="B161" s="669"/>
      <c r="C161" s="664"/>
      <c r="D161" s="565"/>
      <c r="E161" s="565"/>
      <c r="F161" s="560"/>
      <c r="G161" s="560"/>
      <c r="H161" s="560"/>
      <c r="I161" s="560"/>
      <c r="J161" s="560"/>
      <c r="K161" s="560"/>
      <c r="L161" s="708"/>
      <c r="M161" s="560"/>
      <c r="N161" s="560"/>
      <c r="O161" s="560"/>
      <c r="P161" s="560"/>
      <c r="Q161" s="560"/>
      <c r="R161" s="560"/>
      <c r="S161" s="560"/>
      <c r="T161" s="560"/>
      <c r="U161" s="560"/>
      <c r="V161" s="560"/>
      <c r="W161" s="560"/>
      <c r="X161" s="560"/>
      <c r="Y161" s="560"/>
      <c r="Z161" s="560"/>
      <c r="AA161" s="708"/>
      <c r="AB161" s="560"/>
      <c r="AC161" s="560"/>
      <c r="AD161" s="560"/>
      <c r="AE161" s="803"/>
      <c r="AF161" s="560"/>
      <c r="AG161" s="560">
        <v>8514</v>
      </c>
      <c r="AH161" s="379">
        <f t="shared" si="17"/>
        <v>8514</v>
      </c>
    </row>
    <row r="162" spans="1:35" s="360" customFormat="1" x14ac:dyDescent="0.2">
      <c r="A162" s="662" t="s">
        <v>356</v>
      </c>
      <c r="B162" s="669"/>
      <c r="C162" s="565"/>
      <c r="D162" s="565"/>
      <c r="E162" s="565"/>
      <c r="F162" s="560"/>
      <c r="G162" s="560"/>
      <c r="H162" s="560">
        <v>132689</v>
      </c>
      <c r="I162" s="560"/>
      <c r="J162" s="560"/>
      <c r="K162" s="560"/>
      <c r="L162" s="560"/>
      <c r="M162" s="560"/>
      <c r="N162" s="560"/>
      <c r="O162" s="560"/>
      <c r="P162" s="560"/>
      <c r="Q162" s="560"/>
      <c r="R162" s="560"/>
      <c r="S162" s="560"/>
      <c r="T162" s="560"/>
      <c r="U162" s="560"/>
      <c r="V162" s="560"/>
      <c r="W162" s="560"/>
      <c r="X162" s="560"/>
      <c r="Y162" s="560"/>
      <c r="Z162" s="560"/>
      <c r="AA162" s="560"/>
      <c r="AB162" s="560"/>
      <c r="AC162" s="560"/>
      <c r="AD162" s="560"/>
      <c r="AE162" s="560"/>
      <c r="AF162" s="560">
        <f>22979+12582</f>
        <v>35561</v>
      </c>
      <c r="AG162" s="560"/>
      <c r="AH162" s="379">
        <f t="shared" si="17"/>
        <v>168250</v>
      </c>
    </row>
    <row r="163" spans="1:35" x14ac:dyDescent="0.2">
      <c r="A163" s="287" t="s">
        <v>357</v>
      </c>
      <c r="B163" s="266"/>
      <c r="C163" s="289"/>
      <c r="D163" s="291"/>
      <c r="E163" s="289"/>
      <c r="F163" s="290"/>
      <c r="G163" s="290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86">
        <f t="shared" si="17"/>
        <v>0</v>
      </c>
    </row>
    <row r="164" spans="1:35" x14ac:dyDescent="0.2">
      <c r="A164" s="287" t="s">
        <v>41</v>
      </c>
      <c r="B164" s="266"/>
      <c r="C164" s="289"/>
      <c r="D164" s="291"/>
      <c r="E164" s="289"/>
      <c r="F164" s="290"/>
      <c r="G164" s="290"/>
      <c r="H164" s="292">
        <v>-132689</v>
      </c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86">
        <f t="shared" si="17"/>
        <v>-132689</v>
      </c>
    </row>
    <row r="165" spans="1:35" x14ac:dyDescent="0.2">
      <c r="A165" s="287" t="s">
        <v>11</v>
      </c>
      <c r="B165" s="266"/>
      <c r="C165" s="291"/>
      <c r="D165" s="289"/>
      <c r="E165" s="289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ht="13.5" thickBot="1" x14ac:dyDescent="0.25">
      <c r="A166" s="296"/>
      <c r="B166" s="266"/>
      <c r="C166" s="291"/>
      <c r="D166" s="291"/>
      <c r="E166" s="291"/>
      <c r="F166" s="290"/>
      <c r="G166" s="290"/>
      <c r="H166" s="290"/>
      <c r="I166" s="290"/>
      <c r="J166" s="290"/>
      <c r="K166" s="290"/>
      <c r="L166" s="290"/>
      <c r="M166" s="290"/>
      <c r="N166" s="290"/>
      <c r="O166" s="290"/>
      <c r="P166" s="292"/>
      <c r="Q166" s="290"/>
      <c r="R166" s="290"/>
      <c r="S166" s="290"/>
      <c r="T166" s="290"/>
      <c r="U166" s="290"/>
      <c r="V166" s="290"/>
      <c r="W166" s="290"/>
      <c r="X166" s="290"/>
      <c r="Y166" s="290"/>
      <c r="Z166" s="290"/>
      <c r="AA166" s="290"/>
      <c r="AB166" s="290"/>
      <c r="AC166" s="290"/>
      <c r="AD166" s="290"/>
      <c r="AE166" s="290"/>
      <c r="AF166" s="290"/>
      <c r="AG166" s="290"/>
      <c r="AH166" s="286">
        <f t="shared" si="17"/>
        <v>0</v>
      </c>
    </row>
    <row r="167" spans="1:35" x14ac:dyDescent="0.2">
      <c r="A167" s="282"/>
      <c r="B167" s="266"/>
      <c r="C167" s="297"/>
      <c r="D167" s="298"/>
      <c r="E167" s="298"/>
      <c r="F167" s="299"/>
      <c r="G167" s="299"/>
      <c r="H167" s="299"/>
      <c r="I167" s="299"/>
      <c r="J167" s="299"/>
      <c r="K167" s="299"/>
      <c r="L167" s="299"/>
      <c r="M167" s="299"/>
      <c r="N167" s="299"/>
      <c r="O167" s="299"/>
      <c r="P167" s="866"/>
      <c r="Q167" s="299"/>
      <c r="R167" s="299"/>
      <c r="S167" s="299"/>
      <c r="T167" s="299"/>
      <c r="U167" s="299"/>
      <c r="V167" s="299"/>
      <c r="W167" s="299"/>
      <c r="X167" s="299"/>
      <c r="Y167" s="299"/>
      <c r="Z167" s="299"/>
      <c r="AA167" s="299"/>
      <c r="AB167" s="299"/>
      <c r="AC167" s="299"/>
      <c r="AD167" s="299"/>
      <c r="AE167" s="299"/>
      <c r="AF167" s="299"/>
      <c r="AG167" s="299"/>
      <c r="AH167" s="215"/>
    </row>
    <row r="168" spans="1:35" ht="13.5" thickBot="1" x14ac:dyDescent="0.25">
      <c r="A168" s="287" t="s">
        <v>12</v>
      </c>
      <c r="B168" s="266"/>
      <c r="C168" s="288">
        <f t="shared" ref="C168:AG168" si="18">C169</f>
        <v>0</v>
      </c>
      <c r="D168" s="288">
        <f t="shared" si="18"/>
        <v>0</v>
      </c>
      <c r="E168" s="288">
        <f t="shared" si="18"/>
        <v>0</v>
      </c>
      <c r="F168" s="288">
        <f t="shared" si="18"/>
        <v>0</v>
      </c>
      <c r="G168" s="288">
        <f t="shared" si="18"/>
        <v>0</v>
      </c>
      <c r="H168" s="288">
        <f t="shared" si="18"/>
        <v>0</v>
      </c>
      <c r="I168" s="288">
        <f t="shared" si="18"/>
        <v>0</v>
      </c>
      <c r="J168" s="288">
        <f t="shared" si="18"/>
        <v>0</v>
      </c>
      <c r="K168" s="288">
        <f t="shared" si="18"/>
        <v>0</v>
      </c>
      <c r="L168" s="288">
        <f t="shared" si="18"/>
        <v>0</v>
      </c>
      <c r="M168" s="288">
        <f t="shared" si="18"/>
        <v>0</v>
      </c>
      <c r="N168" s="288">
        <f t="shared" si="18"/>
        <v>0</v>
      </c>
      <c r="O168" s="288">
        <f t="shared" si="18"/>
        <v>0</v>
      </c>
      <c r="P168" s="865">
        <f t="shared" si="18"/>
        <v>0</v>
      </c>
      <c r="Q168" s="288">
        <f t="shared" si="18"/>
        <v>0</v>
      </c>
      <c r="R168" s="288">
        <f t="shared" si="18"/>
        <v>0</v>
      </c>
      <c r="S168" s="288">
        <f t="shared" si="18"/>
        <v>0</v>
      </c>
      <c r="T168" s="288">
        <f t="shared" si="18"/>
        <v>0</v>
      </c>
      <c r="U168" s="288">
        <f t="shared" si="18"/>
        <v>0</v>
      </c>
      <c r="V168" s="288">
        <f t="shared" si="18"/>
        <v>0</v>
      </c>
      <c r="W168" s="288">
        <f t="shared" si="18"/>
        <v>0</v>
      </c>
      <c r="X168" s="288">
        <f t="shared" si="18"/>
        <v>0</v>
      </c>
      <c r="Y168" s="288">
        <f t="shared" si="18"/>
        <v>0</v>
      </c>
      <c r="Z168" s="288">
        <f t="shared" si="18"/>
        <v>0</v>
      </c>
      <c r="AA168" s="288">
        <f t="shared" si="18"/>
        <v>0</v>
      </c>
      <c r="AB168" s="288">
        <f t="shared" si="18"/>
        <v>0</v>
      </c>
      <c r="AC168" s="288">
        <f t="shared" si="18"/>
        <v>0</v>
      </c>
      <c r="AD168" s="288">
        <f t="shared" si="18"/>
        <v>0</v>
      </c>
      <c r="AE168" s="288">
        <f t="shared" si="18"/>
        <v>0</v>
      </c>
      <c r="AF168" s="288">
        <f t="shared" si="18"/>
        <v>0</v>
      </c>
      <c r="AG168" s="288">
        <f t="shared" si="18"/>
        <v>0</v>
      </c>
      <c r="AH168" s="215"/>
    </row>
    <row r="169" spans="1:35" x14ac:dyDescent="0.2">
      <c r="A169" s="287" t="s">
        <v>8</v>
      </c>
      <c r="B169" s="266"/>
      <c r="C169" s="291"/>
      <c r="D169" s="291"/>
      <c r="E169" s="291"/>
      <c r="F169" s="290"/>
      <c r="G169" s="290"/>
      <c r="H169" s="290"/>
      <c r="I169" s="290"/>
      <c r="J169" s="290"/>
      <c r="K169" s="290"/>
      <c r="L169" s="290"/>
      <c r="M169" s="290"/>
      <c r="N169" s="290"/>
      <c r="O169" s="290"/>
      <c r="P169" s="292"/>
      <c r="Q169" s="290"/>
      <c r="R169" s="290"/>
      <c r="S169" s="290"/>
      <c r="T169" s="290"/>
      <c r="U169" s="290"/>
      <c r="V169" s="290"/>
      <c r="W169" s="290"/>
      <c r="X169" s="290"/>
      <c r="Y169" s="290"/>
      <c r="Z169" s="290"/>
      <c r="AA169" s="290"/>
      <c r="AB169" s="290"/>
      <c r="AC169" s="290"/>
      <c r="AD169" s="290"/>
      <c r="AE169" s="290"/>
      <c r="AF169" s="290"/>
      <c r="AG169" s="290"/>
      <c r="AH169" s="215"/>
    </row>
    <row r="170" spans="1:35" x14ac:dyDescent="0.2">
      <c r="A170" s="287" t="s">
        <v>775</v>
      </c>
      <c r="B170" s="266"/>
      <c r="C170" s="291"/>
      <c r="D170" s="291"/>
      <c r="E170" s="291"/>
      <c r="F170" s="290"/>
      <c r="G170" s="290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>
        <v>11838</v>
      </c>
      <c r="AB170" s="292"/>
      <c r="AC170" s="292"/>
      <c r="AD170" s="292"/>
      <c r="AE170" s="292"/>
      <c r="AF170" s="290">
        <v>11854</v>
      </c>
      <c r="AG170" s="290"/>
      <c r="AH170" s="286">
        <f>SUM(C170:AG170)</f>
        <v>23692</v>
      </c>
    </row>
    <row r="171" spans="1:35" ht="13.5" thickBot="1" x14ac:dyDescent="0.25">
      <c r="A171" s="296"/>
      <c r="B171" s="266"/>
      <c r="C171" s="291"/>
      <c r="D171" s="291"/>
      <c r="E171" s="291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2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15"/>
    </row>
    <row r="172" spans="1:35" x14ac:dyDescent="0.2">
      <c r="A172" s="282"/>
      <c r="B172" s="266"/>
      <c r="C172" s="297"/>
      <c r="D172" s="298"/>
      <c r="E172" s="298"/>
      <c r="F172" s="299"/>
      <c r="G172" s="299"/>
      <c r="H172" s="299"/>
      <c r="I172" s="299"/>
      <c r="J172" s="299"/>
      <c r="K172" s="299"/>
      <c r="L172" s="299"/>
      <c r="M172" s="299"/>
      <c r="N172" s="299"/>
      <c r="O172" s="299"/>
      <c r="P172" s="866"/>
      <c r="Q172" s="299"/>
      <c r="R172" s="299"/>
      <c r="S172" s="299"/>
      <c r="T172" s="299"/>
      <c r="U172" s="299"/>
      <c r="V172" s="299"/>
      <c r="W172" s="299"/>
      <c r="X172" s="299"/>
      <c r="Y172" s="299"/>
      <c r="Z172" s="299"/>
      <c r="AA172" s="299"/>
      <c r="AB172" s="299"/>
      <c r="AC172" s="299"/>
      <c r="AD172" s="299"/>
      <c r="AE172" s="299"/>
      <c r="AF172" s="299"/>
      <c r="AG172" s="299"/>
      <c r="AH172" s="215"/>
    </row>
    <row r="173" spans="1:35" x14ac:dyDescent="0.2">
      <c r="A173" s="287" t="s">
        <v>13</v>
      </c>
      <c r="B173" s="266"/>
      <c r="C173" s="300">
        <f t="shared" ref="C173:AE173" si="19">C168-C158</f>
        <v>0</v>
      </c>
      <c r="D173" s="300">
        <f t="shared" si="19"/>
        <v>0</v>
      </c>
      <c r="E173" s="300">
        <f t="shared" si="19"/>
        <v>0</v>
      </c>
      <c r="F173" s="300">
        <f t="shared" si="19"/>
        <v>0</v>
      </c>
      <c r="G173" s="300">
        <f t="shared" si="19"/>
        <v>0</v>
      </c>
      <c r="H173" s="300">
        <f t="shared" si="19"/>
        <v>0</v>
      </c>
      <c r="I173" s="300">
        <f t="shared" si="19"/>
        <v>0</v>
      </c>
      <c r="J173" s="300">
        <f t="shared" si="19"/>
        <v>0</v>
      </c>
      <c r="K173" s="300">
        <f t="shared" si="19"/>
        <v>0</v>
      </c>
      <c r="L173" s="300">
        <f t="shared" si="19"/>
        <v>0</v>
      </c>
      <c r="M173" s="300">
        <f t="shared" si="19"/>
        <v>0</v>
      </c>
      <c r="N173" s="300">
        <f t="shared" si="19"/>
        <v>0</v>
      </c>
      <c r="O173" s="300">
        <f t="shared" si="19"/>
        <v>0</v>
      </c>
      <c r="P173" s="867">
        <f t="shared" si="19"/>
        <v>0</v>
      </c>
      <c r="Q173" s="300">
        <f t="shared" si="19"/>
        <v>0</v>
      </c>
      <c r="R173" s="300">
        <f t="shared" si="19"/>
        <v>0</v>
      </c>
      <c r="S173" s="300">
        <f t="shared" si="19"/>
        <v>0</v>
      </c>
      <c r="T173" s="300">
        <f t="shared" si="19"/>
        <v>0</v>
      </c>
      <c r="U173" s="300">
        <f t="shared" si="19"/>
        <v>0</v>
      </c>
      <c r="V173" s="300">
        <f t="shared" si="19"/>
        <v>0</v>
      </c>
      <c r="W173" s="300">
        <f t="shared" si="19"/>
        <v>0</v>
      </c>
      <c r="X173" s="300">
        <f t="shared" si="19"/>
        <v>0</v>
      </c>
      <c r="Y173" s="300">
        <f t="shared" si="19"/>
        <v>0</v>
      </c>
      <c r="Z173" s="300">
        <f t="shared" si="19"/>
        <v>0</v>
      </c>
      <c r="AA173" s="300">
        <f t="shared" si="19"/>
        <v>0</v>
      </c>
      <c r="AB173" s="300">
        <f t="shared" si="19"/>
        <v>0</v>
      </c>
      <c r="AC173" s="300">
        <f t="shared" si="19"/>
        <v>0</v>
      </c>
      <c r="AD173" s="300">
        <f t="shared" si="19"/>
        <v>0</v>
      </c>
      <c r="AE173" s="300">
        <f t="shared" si="19"/>
        <v>0</v>
      </c>
      <c r="AF173" s="300">
        <f>AF168-AF158</f>
        <v>-35561</v>
      </c>
      <c r="AG173" s="300">
        <f>AG168-AG158</f>
        <v>-8514</v>
      </c>
      <c r="AH173" s="215"/>
    </row>
    <row r="174" spans="1:35" ht="13.5" thickBot="1" x14ac:dyDescent="0.25">
      <c r="A174" s="287"/>
      <c r="B174" s="266"/>
      <c r="C174" s="300"/>
      <c r="D174" s="291"/>
      <c r="E174" s="291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2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15"/>
      <c r="AI174" t="s">
        <v>813</v>
      </c>
    </row>
    <row r="175" spans="1:35" x14ac:dyDescent="0.2">
      <c r="A175" s="263"/>
      <c r="B175" s="264"/>
      <c r="C175" s="301"/>
      <c r="D175" s="298"/>
      <c r="E175" s="298"/>
      <c r="F175" s="299"/>
      <c r="G175" s="299"/>
      <c r="H175" s="299"/>
      <c r="I175" s="299"/>
      <c r="J175" s="299"/>
      <c r="K175" s="299"/>
      <c r="L175" s="299"/>
      <c r="M175" s="299"/>
      <c r="N175" s="299"/>
      <c r="O175" s="299"/>
      <c r="P175" s="866"/>
      <c r="Q175" s="299"/>
      <c r="R175" s="299"/>
      <c r="S175" s="299"/>
      <c r="T175" s="299"/>
      <c r="U175" s="299"/>
      <c r="V175" s="299"/>
      <c r="W175" s="299"/>
      <c r="X175" s="299"/>
      <c r="Y175" s="299"/>
      <c r="Z175" s="299"/>
      <c r="AA175" s="299"/>
      <c r="AB175" s="299"/>
      <c r="AC175" s="299"/>
      <c r="AD175" s="299"/>
      <c r="AE175" s="299"/>
      <c r="AF175" s="299"/>
      <c r="AG175" s="299"/>
      <c r="AH175" s="215"/>
    </row>
    <row r="176" spans="1:35" x14ac:dyDescent="0.2">
      <c r="A176" s="265" t="s">
        <v>15</v>
      </c>
      <c r="B176" s="266"/>
      <c r="C176" s="291">
        <f>B155+C173</f>
        <v>-24255.235000000001</v>
      </c>
      <c r="D176" s="291">
        <f t="shared" ref="D176:AE176" si="20">C183+D173</f>
        <v>-24255.235000000001</v>
      </c>
      <c r="E176" s="291">
        <f t="shared" si="20"/>
        <v>-24255.235000000001</v>
      </c>
      <c r="F176" s="291">
        <f t="shared" si="20"/>
        <v>-24255.235000000001</v>
      </c>
      <c r="G176" s="291">
        <f t="shared" si="20"/>
        <v>-24255.235000000001</v>
      </c>
      <c r="H176" s="291">
        <f t="shared" si="20"/>
        <v>-24255.235000000001</v>
      </c>
      <c r="I176" s="291">
        <f t="shared" si="20"/>
        <v>-24255.235000000001</v>
      </c>
      <c r="J176" s="291">
        <f t="shared" si="20"/>
        <v>-24255.235000000001</v>
      </c>
      <c r="K176" s="291">
        <f t="shared" si="20"/>
        <v>-24255.235000000001</v>
      </c>
      <c r="L176" s="291">
        <f t="shared" si="20"/>
        <v>-24255.235000000001</v>
      </c>
      <c r="M176" s="291">
        <f t="shared" si="20"/>
        <v>-24255.235000000001</v>
      </c>
      <c r="N176" s="291">
        <f t="shared" si="20"/>
        <v>-24255.235000000001</v>
      </c>
      <c r="O176" s="291">
        <f t="shared" si="20"/>
        <v>-24255.235000000001</v>
      </c>
      <c r="P176" s="289">
        <f t="shared" si="20"/>
        <v>-24255.235000000001</v>
      </c>
      <c r="Q176" s="291">
        <f t="shared" si="20"/>
        <v>-24255.235000000001</v>
      </c>
      <c r="R176" s="291">
        <f>Q183+R173</f>
        <v>-24255.235000000001</v>
      </c>
      <c r="S176" s="291">
        <f>R183+S173</f>
        <v>-24255.235000000001</v>
      </c>
      <c r="T176" s="291">
        <f>S183+T173</f>
        <v>-24255.235000000001</v>
      </c>
      <c r="U176" s="291">
        <f>T183+U173</f>
        <v>-24255.235000000001</v>
      </c>
      <c r="V176" s="291">
        <f>U183+V173</f>
        <v>-24255.235000000001</v>
      </c>
      <c r="W176" s="291">
        <f t="shared" si="20"/>
        <v>-24255.235000000001</v>
      </c>
      <c r="X176" s="291">
        <f t="shared" si="20"/>
        <v>-24255.235000000001</v>
      </c>
      <c r="Y176" s="291">
        <f t="shared" si="20"/>
        <v>-24255.235000000001</v>
      </c>
      <c r="Z176" s="291">
        <f t="shared" si="20"/>
        <v>-24255.235000000001</v>
      </c>
      <c r="AA176" s="291">
        <f t="shared" si="20"/>
        <v>-24255.235000000001</v>
      </c>
      <c r="AB176" s="291">
        <f t="shared" si="20"/>
        <v>-24255.235000000001</v>
      </c>
      <c r="AC176" s="291">
        <f t="shared" si="20"/>
        <v>-24255.235000000001</v>
      </c>
      <c r="AD176" s="291">
        <f t="shared" si="20"/>
        <v>-24255.235000000001</v>
      </c>
      <c r="AE176" s="291">
        <f t="shared" si="20"/>
        <v>-24255.235000000001</v>
      </c>
      <c r="AF176" s="291">
        <f>AE183+AF173</f>
        <v>-59816.235000000001</v>
      </c>
      <c r="AG176" s="291">
        <f>AF183+AG173</f>
        <v>-68330.235000000001</v>
      </c>
      <c r="AH176" s="215"/>
    </row>
    <row r="177" spans="1:34" ht="13.5" thickBot="1" x14ac:dyDescent="0.25">
      <c r="A177" s="275"/>
      <c r="B177" s="302"/>
      <c r="C177" s="303"/>
      <c r="D177" s="303"/>
      <c r="E177" s="303"/>
      <c r="F177" s="304"/>
      <c r="G177" s="304"/>
      <c r="H177" s="304"/>
      <c r="I177" s="304"/>
      <c r="J177" s="304"/>
      <c r="K177" s="304"/>
      <c r="L177" s="304"/>
      <c r="M177" s="304"/>
      <c r="N177" s="304"/>
      <c r="O177" s="304"/>
      <c r="P177" s="868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4"/>
      <c r="AC177" s="304"/>
      <c r="AD177" s="304"/>
      <c r="AE177" s="304"/>
      <c r="AF177" s="304"/>
      <c r="AG177" s="304"/>
      <c r="AH177" s="215"/>
    </row>
    <row r="178" spans="1:34" x14ac:dyDescent="0.2">
      <c r="A178" s="263"/>
      <c r="B178" s="264"/>
      <c r="C178" s="298"/>
      <c r="D178" s="298"/>
      <c r="E178" s="298"/>
      <c r="F178" s="299"/>
      <c r="G178" s="299"/>
      <c r="H178" s="299"/>
      <c r="I178" s="299"/>
      <c r="J178" s="299"/>
      <c r="K178" s="299"/>
      <c r="L178" s="299"/>
      <c r="M178" s="299"/>
      <c r="N178" s="299"/>
      <c r="O178" s="299"/>
      <c r="P178" s="866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  <c r="AA178" s="299"/>
      <c r="AB178" s="299"/>
      <c r="AC178" s="299"/>
      <c r="AD178" s="299"/>
      <c r="AE178" s="299"/>
      <c r="AF178" s="299"/>
      <c r="AG178" s="299"/>
      <c r="AH178" s="215"/>
    </row>
    <row r="179" spans="1:34" x14ac:dyDescent="0.2">
      <c r="A179" s="265" t="s">
        <v>82</v>
      </c>
      <c r="B179" s="266"/>
      <c r="C179" s="291">
        <f t="shared" ref="C179:AE180" si="21">C187</f>
        <v>0</v>
      </c>
      <c r="D179" s="291">
        <f t="shared" si="21"/>
        <v>0</v>
      </c>
      <c r="E179" s="291">
        <f t="shared" si="21"/>
        <v>0</v>
      </c>
      <c r="F179" s="291">
        <f t="shared" si="21"/>
        <v>0</v>
      </c>
      <c r="G179" s="291">
        <f t="shared" si="21"/>
        <v>0</v>
      </c>
      <c r="H179" s="291">
        <f t="shared" si="21"/>
        <v>0</v>
      </c>
      <c r="I179" s="291">
        <f t="shared" si="21"/>
        <v>0</v>
      </c>
      <c r="J179" s="291">
        <f t="shared" si="21"/>
        <v>0</v>
      </c>
      <c r="K179" s="291">
        <f t="shared" si="21"/>
        <v>0</v>
      </c>
      <c r="L179" s="291">
        <f t="shared" si="21"/>
        <v>0</v>
      </c>
      <c r="M179" s="291">
        <f t="shared" si="21"/>
        <v>0</v>
      </c>
      <c r="N179" s="291">
        <f t="shared" si="21"/>
        <v>0</v>
      </c>
      <c r="O179" s="291">
        <f t="shared" si="21"/>
        <v>0</v>
      </c>
      <c r="P179" s="289">
        <f t="shared" si="21"/>
        <v>0</v>
      </c>
      <c r="Q179" s="291">
        <f t="shared" si="21"/>
        <v>0</v>
      </c>
      <c r="R179" s="291">
        <f t="shared" si="21"/>
        <v>0</v>
      </c>
      <c r="S179" s="291">
        <f t="shared" si="21"/>
        <v>0</v>
      </c>
      <c r="T179" s="291">
        <f t="shared" si="21"/>
        <v>0</v>
      </c>
      <c r="U179" s="291">
        <f t="shared" si="21"/>
        <v>0</v>
      </c>
      <c r="V179" s="291">
        <f t="shared" si="21"/>
        <v>0</v>
      </c>
      <c r="W179" s="291">
        <f t="shared" si="21"/>
        <v>0</v>
      </c>
      <c r="X179" s="291">
        <f t="shared" si="21"/>
        <v>0</v>
      </c>
      <c r="Y179" s="291">
        <f t="shared" si="21"/>
        <v>0</v>
      </c>
      <c r="Z179" s="291">
        <f t="shared" si="21"/>
        <v>0</v>
      </c>
      <c r="AA179" s="291">
        <f t="shared" si="21"/>
        <v>0</v>
      </c>
      <c r="AB179" s="291">
        <f t="shared" si="21"/>
        <v>0</v>
      </c>
      <c r="AC179" s="291">
        <f t="shared" si="21"/>
        <v>0</v>
      </c>
      <c r="AD179" s="291">
        <f t="shared" si="21"/>
        <v>0</v>
      </c>
      <c r="AE179" s="291">
        <f t="shared" si="21"/>
        <v>0</v>
      </c>
      <c r="AF179" s="291">
        <f>AF187</f>
        <v>0</v>
      </c>
      <c r="AG179" s="291">
        <f>AG187</f>
        <v>0</v>
      </c>
      <c r="AH179" s="215"/>
    </row>
    <row r="180" spans="1:34" x14ac:dyDescent="0.2">
      <c r="A180" s="265" t="s">
        <v>83</v>
      </c>
      <c r="B180" s="266"/>
      <c r="C180" s="289">
        <f t="shared" si="21"/>
        <v>0</v>
      </c>
      <c r="D180" s="289">
        <f t="shared" si="21"/>
        <v>0</v>
      </c>
      <c r="E180" s="289">
        <f t="shared" si="21"/>
        <v>0</v>
      </c>
      <c r="F180" s="289">
        <f t="shared" si="21"/>
        <v>0</v>
      </c>
      <c r="G180" s="289">
        <f t="shared" si="21"/>
        <v>0</v>
      </c>
      <c r="H180" s="289">
        <f t="shared" si="21"/>
        <v>0</v>
      </c>
      <c r="I180" s="289">
        <f t="shared" si="21"/>
        <v>0</v>
      </c>
      <c r="J180" s="289">
        <f t="shared" si="21"/>
        <v>0</v>
      </c>
      <c r="K180" s="289">
        <f t="shared" si="21"/>
        <v>0</v>
      </c>
      <c r="L180" s="289">
        <f t="shared" si="21"/>
        <v>0</v>
      </c>
      <c r="M180" s="289">
        <f t="shared" si="21"/>
        <v>0</v>
      </c>
      <c r="N180" s="289">
        <f t="shared" si="21"/>
        <v>0</v>
      </c>
      <c r="O180" s="289">
        <f t="shared" si="21"/>
        <v>0</v>
      </c>
      <c r="P180" s="289">
        <f t="shared" si="21"/>
        <v>0</v>
      </c>
      <c r="Q180" s="289">
        <f t="shared" si="21"/>
        <v>0</v>
      </c>
      <c r="R180" s="289">
        <f t="shared" si="21"/>
        <v>0</v>
      </c>
      <c r="S180" s="289">
        <f t="shared" si="21"/>
        <v>0</v>
      </c>
      <c r="T180" s="289">
        <f t="shared" si="21"/>
        <v>0</v>
      </c>
      <c r="U180" s="289">
        <f t="shared" si="21"/>
        <v>0</v>
      </c>
      <c r="V180" s="289">
        <f t="shared" si="21"/>
        <v>0</v>
      </c>
      <c r="W180" s="289">
        <f t="shared" si="21"/>
        <v>0</v>
      </c>
      <c r="X180" s="289">
        <f t="shared" si="21"/>
        <v>0</v>
      </c>
      <c r="Y180" s="289">
        <f t="shared" si="21"/>
        <v>0</v>
      </c>
      <c r="Z180" s="289">
        <f t="shared" si="21"/>
        <v>0</v>
      </c>
      <c r="AA180" s="289">
        <f t="shared" si="21"/>
        <v>0</v>
      </c>
      <c r="AB180" s="289">
        <f t="shared" si="21"/>
        <v>0</v>
      </c>
      <c r="AC180" s="289">
        <f t="shared" si="21"/>
        <v>0</v>
      </c>
      <c r="AD180" s="289">
        <f t="shared" si="21"/>
        <v>0</v>
      </c>
      <c r="AE180" s="289">
        <f t="shared" si="21"/>
        <v>0</v>
      </c>
      <c r="AF180" s="289">
        <f>AF188</f>
        <v>0</v>
      </c>
      <c r="AG180" s="289">
        <f>AG188</f>
        <v>0</v>
      </c>
      <c r="AH180" s="215"/>
    </row>
    <row r="181" spans="1:34" ht="13.5" thickBot="1" x14ac:dyDescent="0.25">
      <c r="A181" s="275"/>
      <c r="B181" s="302"/>
      <c r="C181" s="303"/>
      <c r="D181" s="303"/>
      <c r="E181" s="303"/>
      <c r="F181" s="304"/>
      <c r="G181" s="304"/>
      <c r="H181" s="304"/>
      <c r="I181" s="304"/>
      <c r="J181" s="304"/>
      <c r="K181" s="304"/>
      <c r="L181" s="304"/>
      <c r="M181" s="304"/>
      <c r="N181" s="304"/>
      <c r="O181" s="304"/>
      <c r="P181" s="868"/>
      <c r="Q181" s="304"/>
      <c r="R181" s="304"/>
      <c r="S181" s="304"/>
      <c r="T181" s="304"/>
      <c r="U181" s="304"/>
      <c r="V181" s="304"/>
      <c r="W181" s="304"/>
      <c r="X181" s="304"/>
      <c r="Y181" s="304"/>
      <c r="Z181" s="304"/>
      <c r="AA181" s="304"/>
      <c r="AB181" s="304"/>
      <c r="AC181" s="304"/>
      <c r="AD181" s="304"/>
      <c r="AE181" s="304"/>
      <c r="AF181" s="304"/>
      <c r="AG181" s="304"/>
      <c r="AH181" s="215"/>
    </row>
    <row r="182" spans="1:34" x14ac:dyDescent="0.2">
      <c r="A182" s="265"/>
      <c r="B182" s="266"/>
      <c r="C182" s="291"/>
      <c r="D182" s="291"/>
      <c r="E182" s="291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2"/>
      <c r="Q182" s="290"/>
      <c r="R182" s="290"/>
      <c r="S182" s="290"/>
      <c r="T182" s="290"/>
      <c r="U182" s="290"/>
      <c r="V182" s="290"/>
      <c r="W182" s="290"/>
      <c r="X182" s="290"/>
      <c r="Y182" s="290"/>
      <c r="Z182" s="290"/>
      <c r="AA182" s="290"/>
      <c r="AB182" s="290"/>
      <c r="AC182" s="290"/>
      <c r="AD182" s="290"/>
      <c r="AE182" s="290"/>
      <c r="AF182" s="290"/>
      <c r="AG182" s="290"/>
      <c r="AH182" s="309"/>
    </row>
    <row r="183" spans="1:34" x14ac:dyDescent="0.2">
      <c r="A183" s="265" t="s">
        <v>14</v>
      </c>
      <c r="B183" s="266"/>
      <c r="C183" s="291">
        <f t="shared" ref="C183:AE183" si="22">C176+C179+C180</f>
        <v>-24255.235000000001</v>
      </c>
      <c r="D183" s="291">
        <f t="shared" si="22"/>
        <v>-24255.235000000001</v>
      </c>
      <c r="E183" s="291">
        <f t="shared" si="22"/>
        <v>-24255.235000000001</v>
      </c>
      <c r="F183" s="291">
        <f t="shared" si="22"/>
        <v>-24255.235000000001</v>
      </c>
      <c r="G183" s="291">
        <f t="shared" si="22"/>
        <v>-24255.235000000001</v>
      </c>
      <c r="H183" s="291">
        <f t="shared" si="22"/>
        <v>-24255.235000000001</v>
      </c>
      <c r="I183" s="291">
        <f t="shared" si="22"/>
        <v>-24255.235000000001</v>
      </c>
      <c r="J183" s="291">
        <f t="shared" si="22"/>
        <v>-24255.235000000001</v>
      </c>
      <c r="K183" s="291">
        <f t="shared" si="22"/>
        <v>-24255.235000000001</v>
      </c>
      <c r="L183" s="291">
        <f t="shared" si="22"/>
        <v>-24255.235000000001</v>
      </c>
      <c r="M183" s="291">
        <f t="shared" si="22"/>
        <v>-24255.235000000001</v>
      </c>
      <c r="N183" s="291">
        <f t="shared" si="22"/>
        <v>-24255.235000000001</v>
      </c>
      <c r="O183" s="291">
        <f t="shared" si="22"/>
        <v>-24255.235000000001</v>
      </c>
      <c r="P183" s="289">
        <f t="shared" si="22"/>
        <v>-24255.235000000001</v>
      </c>
      <c r="Q183" s="291">
        <f t="shared" si="22"/>
        <v>-24255.235000000001</v>
      </c>
      <c r="R183" s="291">
        <f t="shared" si="22"/>
        <v>-24255.235000000001</v>
      </c>
      <c r="S183" s="291">
        <f t="shared" si="22"/>
        <v>-24255.235000000001</v>
      </c>
      <c r="T183" s="291">
        <f t="shared" si="22"/>
        <v>-24255.235000000001</v>
      </c>
      <c r="U183" s="291">
        <f t="shared" si="22"/>
        <v>-24255.235000000001</v>
      </c>
      <c r="V183" s="291">
        <f t="shared" si="22"/>
        <v>-24255.235000000001</v>
      </c>
      <c r="W183" s="291">
        <f t="shared" si="22"/>
        <v>-24255.235000000001</v>
      </c>
      <c r="X183" s="291">
        <f t="shared" si="22"/>
        <v>-24255.235000000001</v>
      </c>
      <c r="Y183" s="291">
        <f t="shared" si="22"/>
        <v>-24255.235000000001</v>
      </c>
      <c r="Z183" s="291">
        <f t="shared" si="22"/>
        <v>-24255.235000000001</v>
      </c>
      <c r="AA183" s="291">
        <f t="shared" si="22"/>
        <v>-24255.235000000001</v>
      </c>
      <c r="AB183" s="291">
        <f t="shared" si="22"/>
        <v>-24255.235000000001</v>
      </c>
      <c r="AC183" s="291">
        <f t="shared" si="22"/>
        <v>-24255.235000000001</v>
      </c>
      <c r="AD183" s="291">
        <f t="shared" si="22"/>
        <v>-24255.235000000001</v>
      </c>
      <c r="AE183" s="291">
        <f t="shared" si="22"/>
        <v>-24255.235000000001</v>
      </c>
      <c r="AF183" s="291">
        <f>AF176+AF179+AF180</f>
        <v>-59816.235000000001</v>
      </c>
      <c r="AG183" s="291">
        <f>AG176+AG179+AG180</f>
        <v>-68330.235000000001</v>
      </c>
      <c r="AH183" s="308"/>
    </row>
    <row r="184" spans="1:34" x14ac:dyDescent="0.2">
      <c r="A184" s="265"/>
      <c r="B184" s="266"/>
      <c r="C184" s="291"/>
      <c r="D184" s="291"/>
      <c r="E184" s="291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2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309"/>
    </row>
    <row r="185" spans="1:34" ht="13.5" thickBot="1" x14ac:dyDescent="0.25">
      <c r="A185" s="275"/>
      <c r="B185" s="302"/>
      <c r="C185" s="306"/>
      <c r="D185" s="306"/>
      <c r="E185" s="306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869"/>
      <c r="Q185" s="307"/>
      <c r="R185" s="307"/>
      <c r="S185" s="307"/>
      <c r="T185" s="307"/>
      <c r="U185" s="307"/>
      <c r="V185" s="307"/>
      <c r="W185" s="307"/>
      <c r="X185" s="307"/>
      <c r="Y185" s="307"/>
      <c r="Z185" s="307"/>
      <c r="AA185" s="307"/>
      <c r="AB185" s="307"/>
      <c r="AC185" s="307"/>
      <c r="AD185" s="307"/>
      <c r="AE185" s="307"/>
      <c r="AF185" s="307"/>
      <c r="AG185" s="307"/>
      <c r="AH185" s="309"/>
    </row>
    <row r="186" spans="1:34" x14ac:dyDescent="0.2">
      <c r="A186" s="310"/>
      <c r="B186" s="215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308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309"/>
    </row>
    <row r="187" spans="1:34" x14ac:dyDescent="0.2">
      <c r="A187" s="312"/>
      <c r="B187" s="475"/>
      <c r="C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  <c r="N187" s="311"/>
      <c r="O187" s="629"/>
      <c r="P187" s="629"/>
      <c r="Q187" s="311"/>
      <c r="R187" s="311"/>
      <c r="S187" s="311"/>
      <c r="T187" s="311"/>
      <c r="U187" s="311"/>
      <c r="V187" s="311"/>
      <c r="W187" s="311"/>
      <c r="X187" s="311"/>
      <c r="Y187" s="311"/>
      <c r="Z187" s="311"/>
      <c r="AA187" s="408"/>
      <c r="AB187" s="311"/>
      <c r="AC187" s="311"/>
      <c r="AD187" s="311"/>
      <c r="AE187" s="311"/>
      <c r="AF187" s="311"/>
      <c r="AG187" s="311"/>
      <c r="AH187" s="308"/>
    </row>
    <row r="188" spans="1:34" x14ac:dyDescent="0.2">
      <c r="A188" s="310"/>
      <c r="B188" s="215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  <c r="O188" s="311"/>
      <c r="P188" s="629"/>
      <c r="Q188" s="311"/>
      <c r="R188" s="311"/>
      <c r="S188" s="311"/>
      <c r="T188" s="311"/>
      <c r="U188" s="311"/>
      <c r="V188" s="311"/>
      <c r="W188" s="311"/>
      <c r="X188" s="311"/>
      <c r="Y188" s="311"/>
      <c r="Z188" s="311"/>
      <c r="AA188" s="311"/>
      <c r="AB188" s="311"/>
      <c r="AC188" s="311"/>
      <c r="AD188" s="311"/>
      <c r="AE188" s="311"/>
      <c r="AF188" s="311"/>
      <c r="AG188" s="311"/>
      <c r="AH188" s="308"/>
    </row>
    <row r="189" spans="1:34" x14ac:dyDescent="0.2">
      <c r="A189" s="358" t="s">
        <v>415</v>
      </c>
      <c r="B189" s="359">
        <f>SUM(B190:B193)</f>
        <v>375000</v>
      </c>
      <c r="C189" s="215"/>
      <c r="D189" s="215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309"/>
      <c r="Q189" s="215"/>
      <c r="R189" s="215"/>
      <c r="S189" s="215"/>
      <c r="T189" s="456"/>
      <c r="U189" s="262"/>
      <c r="V189" s="215"/>
      <c r="W189" s="215"/>
      <c r="X189" s="215"/>
      <c r="Y189" s="215"/>
      <c r="Z189" s="215"/>
      <c r="AA189" s="408"/>
      <c r="AB189" s="215"/>
      <c r="AC189" s="215"/>
      <c r="AD189" s="215"/>
      <c r="AE189" s="215"/>
      <c r="AF189" s="215"/>
      <c r="AG189" s="215"/>
      <c r="AH189" s="215"/>
    </row>
    <row r="190" spans="1:34" x14ac:dyDescent="0.2">
      <c r="A190" s="327" t="s">
        <v>414</v>
      </c>
      <c r="B190" s="311">
        <v>25000</v>
      </c>
      <c r="C190" s="215"/>
      <c r="D190" s="308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309"/>
      <c r="Q190" s="215"/>
      <c r="R190" s="215"/>
      <c r="S190" s="311"/>
      <c r="T190" s="320"/>
      <c r="U190" s="215"/>
      <c r="V190" s="215"/>
      <c r="W190" s="215"/>
      <c r="X190" s="215"/>
      <c r="Y190" s="215"/>
      <c r="Z190" s="215"/>
      <c r="AA190" s="215"/>
      <c r="AB190" s="215"/>
      <c r="AC190" s="215"/>
      <c r="AD190" s="215"/>
      <c r="AE190" s="215"/>
      <c r="AF190" s="215"/>
      <c r="AG190" s="215"/>
      <c r="AH190" s="215"/>
    </row>
    <row r="191" spans="1:34" x14ac:dyDescent="0.2">
      <c r="A191" s="327" t="s">
        <v>287</v>
      </c>
      <c r="B191" s="311">
        <v>200000</v>
      </c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311"/>
      <c r="T191" s="320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10" t="s">
        <v>413</v>
      </c>
      <c r="B192" s="329">
        <v>75000</v>
      </c>
      <c r="C192" s="215"/>
      <c r="D192" s="215"/>
      <c r="E192" s="215"/>
      <c r="F192" s="215"/>
      <c r="G192" s="215"/>
      <c r="H192" s="215"/>
      <c r="I192" s="215"/>
      <c r="J192" s="215"/>
      <c r="K192" s="215"/>
      <c r="L192" s="286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10" t="s">
        <v>441</v>
      </c>
      <c r="B193" s="311">
        <v>75000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309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215"/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309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ht="13.5" thickBot="1" x14ac:dyDescent="0.25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x14ac:dyDescent="0.2">
      <c r="A196" s="263"/>
      <c r="B196" s="264"/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4"/>
      <c r="N196" s="264"/>
      <c r="O196" s="264"/>
      <c r="P196" s="860"/>
      <c r="Q196" s="264"/>
      <c r="R196" s="264"/>
      <c r="S196" s="264"/>
      <c r="T196" s="264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15"/>
    </row>
    <row r="197" spans="1:34" x14ac:dyDescent="0.2">
      <c r="A197" s="265"/>
      <c r="B197" s="266" t="s">
        <v>37</v>
      </c>
      <c r="C197" s="266"/>
      <c r="D197" s="266"/>
      <c r="E197" s="267"/>
      <c r="F197" s="268" t="s">
        <v>96</v>
      </c>
      <c r="G197" s="269"/>
      <c r="H197" s="268"/>
      <c r="I197" s="268"/>
      <c r="J197" s="268"/>
      <c r="K197" s="268"/>
      <c r="L197" s="268"/>
      <c r="M197" s="268"/>
      <c r="N197" s="268"/>
      <c r="O197" s="268"/>
      <c r="P197" s="861"/>
      <c r="Q197" s="268"/>
      <c r="R197" s="268"/>
      <c r="S197" s="268"/>
      <c r="T197" s="268"/>
      <c r="U197" s="268"/>
      <c r="V197" s="268"/>
      <c r="W197" s="268"/>
      <c r="X197" s="268"/>
      <c r="Y197" s="268"/>
      <c r="Z197" s="268"/>
      <c r="AA197" s="268"/>
      <c r="AB197" s="268"/>
      <c r="AC197" s="268"/>
      <c r="AD197" s="268"/>
      <c r="AE197" s="268"/>
      <c r="AF197" s="268"/>
      <c r="AG197" s="268"/>
      <c r="AH197" s="215"/>
    </row>
    <row r="198" spans="1:34" x14ac:dyDescent="0.2">
      <c r="A198" s="265"/>
      <c r="B198" s="266"/>
      <c r="C198" s="266"/>
      <c r="D198" s="268">
        <v>42132</v>
      </c>
      <c r="E198" s="266"/>
      <c r="F198" s="266"/>
      <c r="G198" s="266"/>
      <c r="H198" s="266"/>
      <c r="I198" s="266"/>
      <c r="J198" s="266"/>
      <c r="K198" s="266"/>
      <c r="L198" s="266"/>
      <c r="M198" s="266"/>
      <c r="N198" s="266"/>
      <c r="O198" s="266"/>
      <c r="P198" s="279"/>
      <c r="Q198" s="266"/>
      <c r="R198" s="266"/>
      <c r="S198" s="266"/>
      <c r="T198" s="266"/>
      <c r="U198" s="266"/>
      <c r="V198" s="266"/>
      <c r="W198" s="266"/>
      <c r="X198" s="266"/>
      <c r="Y198" s="266"/>
      <c r="Z198" s="266"/>
      <c r="AA198" s="266"/>
      <c r="AB198" s="266"/>
      <c r="AC198" s="266"/>
      <c r="AD198" s="266"/>
      <c r="AE198" s="266"/>
      <c r="AF198" s="266"/>
      <c r="AG198" s="266"/>
      <c r="AH198" s="215"/>
    </row>
    <row r="199" spans="1:34" x14ac:dyDescent="0.2">
      <c r="A199" s="265"/>
      <c r="B199" s="266"/>
      <c r="C199" s="268"/>
      <c r="D199" s="268"/>
      <c r="E199" s="266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79"/>
      <c r="Q199" s="266"/>
      <c r="R199" s="266"/>
      <c r="S199" s="266"/>
      <c r="T199" s="266"/>
      <c r="U199" s="266"/>
      <c r="V199" s="266"/>
      <c r="W199" s="266"/>
      <c r="X199" s="266"/>
      <c r="Y199" s="266"/>
      <c r="Z199" s="266"/>
      <c r="AA199" s="266"/>
      <c r="AB199" s="266"/>
      <c r="AC199" s="266"/>
      <c r="AD199" s="266"/>
      <c r="AE199" s="266"/>
      <c r="AF199" s="266"/>
      <c r="AG199" s="266"/>
      <c r="AH199" s="215"/>
    </row>
    <row r="200" spans="1:34" x14ac:dyDescent="0.2">
      <c r="A200" s="265"/>
      <c r="B200" s="266"/>
      <c r="C200" s="268"/>
      <c r="D200" s="268"/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ht="13.5" thickBot="1" x14ac:dyDescent="0.25">
      <c r="A201" s="265"/>
      <c r="B201" s="266"/>
      <c r="C201" s="266"/>
      <c r="D201" s="266"/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ht="13.5" thickBot="1" x14ac:dyDescent="0.25">
      <c r="A202" s="265"/>
      <c r="B202" s="266"/>
      <c r="C202" s="270"/>
      <c r="D202" s="271" t="s">
        <v>16</v>
      </c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  <c r="O202" s="271"/>
      <c r="P202" s="862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  <c r="AA202" s="271"/>
      <c r="AB202" s="271"/>
      <c r="AC202" s="271"/>
      <c r="AD202" s="271"/>
      <c r="AE202" s="271"/>
      <c r="AF202" s="271"/>
      <c r="AG202" s="271"/>
      <c r="AH202" s="215"/>
    </row>
    <row r="203" spans="1:34" ht="13.5" thickBot="1" x14ac:dyDescent="0.25">
      <c r="A203" s="265"/>
      <c r="B203" s="266"/>
      <c r="C203" s="272" t="s">
        <v>452</v>
      </c>
      <c r="D203" s="272" t="s">
        <v>453</v>
      </c>
      <c r="E203" s="272" t="s">
        <v>434</v>
      </c>
      <c r="F203" s="272" t="s">
        <v>390</v>
      </c>
      <c r="G203" s="272" t="s">
        <v>454</v>
      </c>
      <c r="H203" s="272" t="s">
        <v>455</v>
      </c>
      <c r="I203" s="272" t="s">
        <v>456</v>
      </c>
      <c r="J203" s="272" t="s">
        <v>457</v>
      </c>
      <c r="K203" s="272" t="s">
        <v>458</v>
      </c>
      <c r="L203" s="272" t="s">
        <v>216</v>
      </c>
      <c r="M203" s="272" t="s">
        <v>459</v>
      </c>
      <c r="N203" s="272" t="s">
        <v>297</v>
      </c>
      <c r="O203" s="272" t="s">
        <v>211</v>
      </c>
      <c r="P203" s="863" t="s">
        <v>270</v>
      </c>
      <c r="Q203" s="272"/>
      <c r="R203" s="272" t="s">
        <v>469</v>
      </c>
      <c r="S203" s="272" t="s">
        <v>461</v>
      </c>
      <c r="T203" s="272" t="s">
        <v>442</v>
      </c>
      <c r="U203" s="272" t="s">
        <v>462</v>
      </c>
      <c r="V203" s="272" t="s">
        <v>470</v>
      </c>
      <c r="W203" s="272" t="s">
        <v>471</v>
      </c>
      <c r="X203" s="272" t="s">
        <v>472</v>
      </c>
      <c r="Y203" s="272" t="s">
        <v>463</v>
      </c>
      <c r="Z203" s="272" t="s">
        <v>465</v>
      </c>
      <c r="AA203" s="272" t="s">
        <v>466</v>
      </c>
      <c r="AB203" s="272" t="s">
        <v>435</v>
      </c>
      <c r="AC203" s="272" t="s">
        <v>467</v>
      </c>
      <c r="AD203" s="272" t="s">
        <v>464</v>
      </c>
      <c r="AE203" s="272" t="s">
        <v>429</v>
      </c>
      <c r="AF203" s="272" t="s">
        <v>149</v>
      </c>
      <c r="AG203" s="272" t="s">
        <v>210</v>
      </c>
      <c r="AH203" s="215"/>
    </row>
    <row r="204" spans="1:34" x14ac:dyDescent="0.2">
      <c r="A204" s="263"/>
      <c r="B204" s="273"/>
      <c r="C204" s="266"/>
      <c r="D204" s="266"/>
      <c r="E204" s="266"/>
      <c r="F204" s="266"/>
      <c r="G204" s="266"/>
      <c r="H204" s="266"/>
      <c r="I204" s="266"/>
      <c r="J204" s="266"/>
      <c r="K204" s="266"/>
      <c r="L204" s="266"/>
      <c r="M204" s="266"/>
      <c r="N204" s="266"/>
      <c r="O204" s="266"/>
      <c r="P204" s="279"/>
      <c r="Q204" s="266"/>
      <c r="R204" s="266"/>
      <c r="S204" s="266"/>
      <c r="T204" s="266"/>
      <c r="U204" s="266"/>
      <c r="V204" s="266"/>
      <c r="W204" s="266"/>
      <c r="X204" s="266"/>
      <c r="Y204" s="266"/>
      <c r="Z204" s="266"/>
      <c r="AA204" s="266"/>
      <c r="AB204" s="266"/>
      <c r="AC204" s="266"/>
      <c r="AD204" s="266"/>
      <c r="AE204" s="266"/>
      <c r="AF204" s="266"/>
      <c r="AG204" s="266"/>
      <c r="AH204" s="215"/>
    </row>
    <row r="205" spans="1:34" x14ac:dyDescent="0.2">
      <c r="A205" s="265" t="s">
        <v>0</v>
      </c>
      <c r="B205" s="274">
        <v>-2306.3789999999999</v>
      </c>
      <c r="C205" s="266"/>
      <c r="D205" s="266"/>
      <c r="E205" s="266"/>
      <c r="F205" s="266"/>
      <c r="G205" s="266"/>
      <c r="H205" s="266"/>
      <c r="I205" s="266"/>
      <c r="J205" s="266"/>
      <c r="K205" s="266"/>
      <c r="L205" s="266"/>
      <c r="M205" s="266"/>
      <c r="N205" s="266"/>
      <c r="O205" s="266"/>
      <c r="P205" s="279"/>
      <c r="Q205" s="266"/>
      <c r="R205" s="266"/>
      <c r="S205" s="266"/>
      <c r="T205" s="266"/>
      <c r="U205" s="266"/>
      <c r="V205" s="266"/>
      <c r="W205" s="266"/>
      <c r="X205" s="266"/>
      <c r="Y205" s="266"/>
      <c r="Z205" s="266"/>
      <c r="AA205" s="266"/>
      <c r="AB205" s="266"/>
      <c r="AC205" s="266"/>
      <c r="AD205" s="266"/>
      <c r="AE205" s="266"/>
      <c r="AF205" s="266"/>
      <c r="AG205" s="266"/>
      <c r="AH205" s="215"/>
    </row>
    <row r="206" spans="1:34" ht="13.5" thickBot="1" x14ac:dyDescent="0.25">
      <c r="A206" s="275"/>
      <c r="B206" s="276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x14ac:dyDescent="0.2">
      <c r="A207" s="263"/>
      <c r="B207" s="278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x14ac:dyDescent="0.2">
      <c r="A208" s="265" t="s">
        <v>1</v>
      </c>
      <c r="B208" s="274">
        <f>B209+B210+B211</f>
        <v>0</v>
      </c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5" t="s">
        <v>38</v>
      </c>
      <c r="B209" s="274">
        <f>C257</f>
        <v>0</v>
      </c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39</v>
      </c>
      <c r="B210" s="274">
        <f>C279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</v>
      </c>
      <c r="B211" s="274"/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ht="13.5" thickBot="1" x14ac:dyDescent="0.25">
      <c r="A212" s="275"/>
      <c r="B212" s="276"/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x14ac:dyDescent="0.2">
      <c r="A213" s="263"/>
      <c r="B213" s="278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x14ac:dyDescent="0.2">
      <c r="A214" s="265" t="s">
        <v>4</v>
      </c>
      <c r="B214" s="274">
        <f>B205-B208</f>
        <v>-2306.3789999999999</v>
      </c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ht="13.5" thickBot="1" x14ac:dyDescent="0.25">
      <c r="A215" s="275"/>
      <c r="B215" s="276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x14ac:dyDescent="0.2">
      <c r="A216" s="263"/>
      <c r="B216" s="278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x14ac:dyDescent="0.2">
      <c r="A217" s="265" t="s">
        <v>17</v>
      </c>
      <c r="B217" s="274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ht="13.5" thickBot="1" x14ac:dyDescent="0.25">
      <c r="A218" s="275"/>
      <c r="B218" s="276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330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x14ac:dyDescent="0.2">
      <c r="A219" s="263"/>
      <c r="B219" s="278"/>
      <c r="D219" s="269"/>
      <c r="E219" s="266"/>
      <c r="F219" s="266"/>
      <c r="G219" s="266"/>
      <c r="H219" s="266"/>
      <c r="I219" s="266"/>
      <c r="J219" s="269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266"/>
      <c r="Y219" s="266"/>
      <c r="Z219" s="266"/>
      <c r="AA219" s="266"/>
      <c r="AB219" s="266"/>
      <c r="AC219" s="810"/>
      <c r="AD219" s="802" t="s">
        <v>319</v>
      </c>
      <c r="AE219" s="269"/>
      <c r="AF219" s="267"/>
      <c r="AH219" s="215"/>
    </row>
    <row r="220" spans="1:34" x14ac:dyDescent="0.2">
      <c r="A220" s="265" t="s">
        <v>5</v>
      </c>
      <c r="B220" s="274">
        <f>B214-B217</f>
        <v>-2306.3789999999999</v>
      </c>
      <c r="D220" s="269"/>
      <c r="E220" s="269"/>
      <c r="G220" s="269"/>
      <c r="H220" s="269"/>
      <c r="I220" s="269"/>
      <c r="J220" s="269"/>
      <c r="K220" s="281"/>
      <c r="L220" s="269"/>
      <c r="M220" s="269"/>
      <c r="N220" s="281"/>
      <c r="O220" s="269"/>
      <c r="P220" s="279"/>
      <c r="Q220" s="281"/>
      <c r="R220" s="266"/>
      <c r="S220" s="269"/>
      <c r="T220" s="269"/>
      <c r="U220" s="269"/>
      <c r="V220" s="269"/>
      <c r="W220" s="266"/>
      <c r="X220" s="710"/>
      <c r="Y220" s="269"/>
      <c r="Z220" s="266"/>
      <c r="AA220" s="269"/>
      <c r="AB220" s="269"/>
      <c r="AC220" s="810"/>
      <c r="AD220" s="802"/>
      <c r="AE220" s="269"/>
      <c r="AF220" s="269"/>
      <c r="AH220" s="215"/>
    </row>
    <row r="221" spans="1:34" ht="13.5" thickBot="1" x14ac:dyDescent="0.25">
      <c r="A221" s="275"/>
      <c r="B221" s="276"/>
      <c r="D221" s="266"/>
      <c r="E221" s="266"/>
      <c r="F221" s="266"/>
      <c r="G221" s="266"/>
      <c r="H221" s="266"/>
      <c r="I221" s="266"/>
      <c r="J221" s="269"/>
      <c r="K221" s="266"/>
      <c r="L221" s="266"/>
      <c r="M221" s="266"/>
      <c r="N221" s="266"/>
      <c r="O221" s="266"/>
      <c r="P221" s="279"/>
      <c r="Q221" s="266"/>
      <c r="R221" s="266"/>
      <c r="S221" s="266"/>
      <c r="T221" s="266"/>
      <c r="U221" s="269"/>
      <c r="V221" s="266"/>
      <c r="W221" s="266"/>
      <c r="X221" s="266"/>
      <c r="Y221" s="266"/>
      <c r="Z221" s="266"/>
      <c r="AA221" s="266"/>
      <c r="AB221" s="266"/>
      <c r="AC221" s="266"/>
      <c r="AD221" s="266"/>
      <c r="AE221" s="266"/>
      <c r="AF221" s="266"/>
      <c r="AG221" s="266"/>
      <c r="AH221" s="215"/>
    </row>
    <row r="222" spans="1:34" x14ac:dyDescent="0.2">
      <c r="A222" s="282"/>
      <c r="B222" s="266"/>
      <c r="C222" s="283"/>
      <c r="D222" s="285"/>
      <c r="E222" s="284"/>
      <c r="F222" s="284"/>
      <c r="G222" s="284"/>
      <c r="H222" s="284"/>
      <c r="I222" s="284"/>
      <c r="J222" s="284"/>
      <c r="K222" s="284"/>
      <c r="L222" s="284"/>
      <c r="M222" s="284"/>
      <c r="N222" s="284"/>
      <c r="O222" s="284"/>
      <c r="P222" s="864"/>
      <c r="Q222" s="284"/>
      <c r="R222" s="284"/>
      <c r="S222" s="284"/>
      <c r="T222" s="284"/>
      <c r="U222" s="284"/>
      <c r="V222" s="284"/>
      <c r="W222" s="284"/>
      <c r="X222" s="284"/>
      <c r="Y222" s="284"/>
      <c r="Z222" s="284"/>
      <c r="AA222" s="284"/>
      <c r="AB222" s="284"/>
      <c r="AC222" s="284"/>
      <c r="AD222" s="284"/>
      <c r="AE222" s="284"/>
      <c r="AF222" s="284"/>
      <c r="AG222" s="284"/>
      <c r="AH222" s="215"/>
    </row>
    <row r="223" spans="1:34" ht="13.5" thickBot="1" x14ac:dyDescent="0.25">
      <c r="A223" s="287" t="s">
        <v>7</v>
      </c>
      <c r="B223" s="266"/>
      <c r="C223" s="288">
        <f>C224+C225+C226+C228+C227</f>
        <v>0</v>
      </c>
      <c r="D223" s="288">
        <f>D224+D225+D226+D228+D227</f>
        <v>0</v>
      </c>
      <c r="E223" s="288">
        <f>E224+E225+E226+E228+E227</f>
        <v>0</v>
      </c>
      <c r="F223" s="288">
        <f>F224+F225+F226+F228+F227</f>
        <v>0</v>
      </c>
      <c r="G223" s="288">
        <f>G224+G225+G226+G228+G227</f>
        <v>0</v>
      </c>
      <c r="H223" s="288">
        <f t="shared" ref="H223:AG223" si="23">H224+H225+H226+H228+H227</f>
        <v>0</v>
      </c>
      <c r="I223" s="288">
        <f t="shared" si="23"/>
        <v>0</v>
      </c>
      <c r="J223" s="288">
        <f t="shared" si="23"/>
        <v>0</v>
      </c>
      <c r="K223" s="288">
        <f t="shared" si="23"/>
        <v>0</v>
      </c>
      <c r="L223" s="288">
        <f t="shared" si="23"/>
        <v>0</v>
      </c>
      <c r="M223" s="288">
        <f t="shared" si="23"/>
        <v>0</v>
      </c>
      <c r="N223" s="288">
        <f t="shared" si="23"/>
        <v>0</v>
      </c>
      <c r="O223" s="288">
        <f t="shared" si="23"/>
        <v>0</v>
      </c>
      <c r="P223" s="865">
        <f t="shared" si="23"/>
        <v>0</v>
      </c>
      <c r="Q223" s="288">
        <f t="shared" si="23"/>
        <v>0</v>
      </c>
      <c r="R223" s="288">
        <f t="shared" si="23"/>
        <v>0</v>
      </c>
      <c r="S223" s="288">
        <f t="shared" si="23"/>
        <v>0</v>
      </c>
      <c r="T223" s="288">
        <f t="shared" si="23"/>
        <v>0</v>
      </c>
      <c r="U223" s="288">
        <f t="shared" si="23"/>
        <v>0</v>
      </c>
      <c r="V223" s="288">
        <f t="shared" si="23"/>
        <v>0</v>
      </c>
      <c r="W223" s="288">
        <f t="shared" si="23"/>
        <v>0</v>
      </c>
      <c r="X223" s="288">
        <f t="shared" si="23"/>
        <v>0</v>
      </c>
      <c r="Y223" s="288">
        <f t="shared" si="23"/>
        <v>0</v>
      </c>
      <c r="Z223" s="288">
        <f t="shared" si="23"/>
        <v>0</v>
      </c>
      <c r="AA223" s="288">
        <f t="shared" si="23"/>
        <v>0</v>
      </c>
      <c r="AB223" s="288">
        <f t="shared" si="23"/>
        <v>0</v>
      </c>
      <c r="AC223" s="288">
        <f t="shared" si="23"/>
        <v>0</v>
      </c>
      <c r="AD223" s="288">
        <f>AD224+AD225+AD226+AD228+AD227</f>
        <v>18000</v>
      </c>
      <c r="AE223" s="288">
        <f t="shared" si="23"/>
        <v>0</v>
      </c>
      <c r="AF223" s="288">
        <f t="shared" si="23"/>
        <v>0</v>
      </c>
      <c r="AG223" s="288">
        <f t="shared" si="23"/>
        <v>0</v>
      </c>
      <c r="AH223" s="286">
        <f>SUM(C223:AG223)</f>
        <v>18000</v>
      </c>
    </row>
    <row r="224" spans="1:34" x14ac:dyDescent="0.2">
      <c r="A224" s="287" t="s">
        <v>8</v>
      </c>
      <c r="B224" s="331"/>
      <c r="C224" s="291"/>
      <c r="D224" s="291"/>
      <c r="E224" s="290"/>
      <c r="F224" s="290"/>
      <c r="G224" s="290"/>
      <c r="H224" s="290"/>
      <c r="I224" s="290"/>
      <c r="J224" s="290"/>
      <c r="K224" s="290"/>
      <c r="L224" s="290"/>
      <c r="M224" s="290"/>
      <c r="N224" s="290"/>
      <c r="O224" s="290"/>
      <c r="P224" s="292"/>
      <c r="Q224" s="290"/>
      <c r="R224" s="290"/>
      <c r="S224" s="290"/>
      <c r="T224" s="290"/>
      <c r="U224" s="290"/>
      <c r="V224" s="290"/>
      <c r="W224" s="290"/>
      <c r="X224" s="290"/>
      <c r="Y224" s="290"/>
      <c r="Z224" s="290"/>
      <c r="AA224" s="290"/>
      <c r="AB224" s="290"/>
      <c r="AC224" s="290"/>
      <c r="AD224" s="290"/>
      <c r="AE224" s="290"/>
      <c r="AF224" s="290"/>
      <c r="AG224" s="290"/>
      <c r="AH224" s="286">
        <f>SUM(C224:AG224)</f>
        <v>0</v>
      </c>
    </row>
    <row r="225" spans="1:34" x14ac:dyDescent="0.2">
      <c r="A225" s="287" t="s">
        <v>9</v>
      </c>
      <c r="B225" s="331"/>
      <c r="C225" s="291"/>
      <c r="D225" s="291"/>
      <c r="E225" s="290"/>
      <c r="F225" s="290"/>
      <c r="G225" s="290"/>
      <c r="H225" s="290"/>
      <c r="I225" s="290"/>
      <c r="J225" s="290"/>
      <c r="K225" s="290"/>
      <c r="L225" s="290"/>
      <c r="M225" s="295"/>
      <c r="N225" s="290"/>
      <c r="O225" s="290"/>
      <c r="P225" s="292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  <c r="AA225" s="290"/>
      <c r="AB225" s="290"/>
      <c r="AC225" s="290"/>
      <c r="AD225" s="290"/>
      <c r="AE225" s="290"/>
      <c r="AF225" s="290"/>
      <c r="AG225" s="290"/>
      <c r="AH225" s="286">
        <f>SUM(C225:AG225)</f>
        <v>0</v>
      </c>
    </row>
    <row r="226" spans="1:34" s="360" customFormat="1" x14ac:dyDescent="0.2">
      <c r="A226" s="662" t="s">
        <v>10</v>
      </c>
      <c r="B226" s="669"/>
      <c r="C226" s="565"/>
      <c r="D226" s="565"/>
      <c r="E226" s="560"/>
      <c r="F226" s="560"/>
      <c r="G226" s="560"/>
      <c r="H226" s="560"/>
      <c r="I226" s="560"/>
      <c r="J226" s="560"/>
      <c r="K226" s="560"/>
      <c r="L226" s="380"/>
      <c r="M226" s="560"/>
      <c r="N226" s="560"/>
      <c r="O226" s="560"/>
      <c r="P226" s="560"/>
      <c r="Q226" s="560"/>
      <c r="R226" s="560"/>
      <c r="S226" s="560"/>
      <c r="T226" s="560"/>
      <c r="U226" s="560"/>
      <c r="V226" s="560"/>
      <c r="W226" s="560"/>
      <c r="X226" s="708"/>
      <c r="Y226" s="560"/>
      <c r="Z226" s="560"/>
      <c r="AA226" s="560"/>
      <c r="AB226" s="560"/>
      <c r="AC226" s="811"/>
      <c r="AD226" s="803"/>
      <c r="AE226" s="560"/>
      <c r="AF226" s="560"/>
      <c r="AG226" s="560"/>
      <c r="AH226" s="379">
        <f>SUM(C226:AG226)</f>
        <v>0</v>
      </c>
    </row>
    <row r="227" spans="1:34" s="360" customFormat="1" x14ac:dyDescent="0.2">
      <c r="A227" s="662" t="s">
        <v>356</v>
      </c>
      <c r="B227" s="669"/>
      <c r="C227" s="565"/>
      <c r="D227" s="565"/>
      <c r="E227" s="565"/>
      <c r="F227" s="560"/>
      <c r="G227" s="560"/>
      <c r="H227" s="560"/>
      <c r="I227" s="560"/>
      <c r="J227" s="560"/>
      <c r="K227" s="560"/>
      <c r="L227" s="560"/>
      <c r="M227" s="560"/>
      <c r="N227" s="560"/>
      <c r="O227" s="560"/>
      <c r="P227" s="560"/>
      <c r="Q227" s="560"/>
      <c r="R227" s="560"/>
      <c r="S227" s="560"/>
      <c r="T227" s="560"/>
      <c r="U227" s="560"/>
      <c r="V227" s="560"/>
      <c r="W227" s="560"/>
      <c r="X227" s="560"/>
      <c r="Y227" s="560"/>
      <c r="Z227" s="560"/>
      <c r="AA227" s="560"/>
      <c r="AB227" s="560"/>
      <c r="AC227" s="560"/>
      <c r="AD227" s="560">
        <v>18000</v>
      </c>
      <c r="AE227" s="560"/>
      <c r="AF227" s="560"/>
      <c r="AG227" s="560"/>
      <c r="AH227" s="379">
        <f>SUM(C227:AG227)</f>
        <v>18000</v>
      </c>
    </row>
    <row r="228" spans="1:34" x14ac:dyDescent="0.2">
      <c r="A228" s="287" t="s">
        <v>11</v>
      </c>
      <c r="B228" s="266"/>
      <c r="C228" s="291"/>
      <c r="D228" s="289"/>
      <c r="E228" s="289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15"/>
    </row>
    <row r="229" spans="1:34" ht="13.5" thickBot="1" x14ac:dyDescent="0.25">
      <c r="A229" s="296"/>
      <c r="B229" s="266"/>
      <c r="C229" s="291"/>
      <c r="D229" s="291"/>
      <c r="E229" s="291"/>
      <c r="F229" s="290"/>
      <c r="G229" s="290"/>
      <c r="H229" s="290"/>
      <c r="I229" s="290"/>
      <c r="J229" s="290"/>
      <c r="K229" s="290"/>
      <c r="L229" s="290"/>
      <c r="M229" s="290"/>
      <c r="N229" s="290"/>
      <c r="O229" s="290"/>
      <c r="P229" s="292"/>
      <c r="Q229" s="290"/>
      <c r="R229" s="290"/>
      <c r="S229" s="290"/>
      <c r="T229" s="290"/>
      <c r="U229" s="290"/>
      <c r="V229" s="290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15"/>
    </row>
    <row r="230" spans="1:34" x14ac:dyDescent="0.2">
      <c r="A230" s="282"/>
      <c r="B230" s="266"/>
      <c r="C230" s="297"/>
      <c r="D230" s="298"/>
      <c r="E230" s="298"/>
      <c r="F230" s="299"/>
      <c r="G230" s="299"/>
      <c r="H230" s="299"/>
      <c r="I230" s="299"/>
      <c r="J230" s="299"/>
      <c r="K230" s="299"/>
      <c r="L230" s="299"/>
      <c r="M230" s="299"/>
      <c r="N230" s="299"/>
      <c r="O230" s="299"/>
      <c r="P230" s="866"/>
      <c r="Q230" s="299"/>
      <c r="R230" s="299"/>
      <c r="S230" s="299"/>
      <c r="T230" s="299"/>
      <c r="U230" s="299"/>
      <c r="V230" s="299"/>
      <c r="W230" s="299"/>
      <c r="X230" s="299"/>
      <c r="Y230" s="299"/>
      <c r="Z230" s="299"/>
      <c r="AA230" s="299"/>
      <c r="AB230" s="299"/>
      <c r="AC230" s="299"/>
      <c r="AD230" s="299"/>
      <c r="AE230" s="299"/>
      <c r="AF230" s="299"/>
      <c r="AG230" s="299"/>
      <c r="AH230" s="215"/>
    </row>
    <row r="231" spans="1:34" ht="13.5" thickBot="1" x14ac:dyDescent="0.25">
      <c r="A231" s="287" t="s">
        <v>12</v>
      </c>
      <c r="B231" s="266"/>
      <c r="C231" s="288">
        <f>C232</f>
        <v>0</v>
      </c>
      <c r="D231" s="288">
        <f t="shared" ref="D231:AG231" si="24">D232</f>
        <v>0</v>
      </c>
      <c r="E231" s="288">
        <f t="shared" si="24"/>
        <v>0</v>
      </c>
      <c r="F231" s="288">
        <f t="shared" si="24"/>
        <v>0</v>
      </c>
      <c r="G231" s="288">
        <f t="shared" si="24"/>
        <v>0</v>
      </c>
      <c r="H231" s="288">
        <f t="shared" si="24"/>
        <v>0</v>
      </c>
      <c r="I231" s="288">
        <f t="shared" si="24"/>
        <v>0</v>
      </c>
      <c r="J231" s="288">
        <f t="shared" si="24"/>
        <v>0</v>
      </c>
      <c r="K231" s="288">
        <f t="shared" si="24"/>
        <v>0</v>
      </c>
      <c r="L231" s="288">
        <f t="shared" si="24"/>
        <v>0</v>
      </c>
      <c r="M231" s="288">
        <f t="shared" si="24"/>
        <v>0</v>
      </c>
      <c r="N231" s="288">
        <f t="shared" si="24"/>
        <v>0</v>
      </c>
      <c r="O231" s="288">
        <f t="shared" si="24"/>
        <v>0</v>
      </c>
      <c r="P231" s="865">
        <f t="shared" si="24"/>
        <v>0</v>
      </c>
      <c r="Q231" s="288">
        <f t="shared" si="24"/>
        <v>0</v>
      </c>
      <c r="R231" s="288">
        <f t="shared" si="24"/>
        <v>0</v>
      </c>
      <c r="S231" s="288">
        <f t="shared" si="24"/>
        <v>0</v>
      </c>
      <c r="T231" s="288">
        <f t="shared" si="24"/>
        <v>0</v>
      </c>
      <c r="U231" s="288">
        <f t="shared" si="24"/>
        <v>0</v>
      </c>
      <c r="V231" s="288">
        <f t="shared" si="24"/>
        <v>0</v>
      </c>
      <c r="W231" s="288">
        <f t="shared" si="24"/>
        <v>0</v>
      </c>
      <c r="X231" s="288">
        <f t="shared" si="24"/>
        <v>0</v>
      </c>
      <c r="Y231" s="288">
        <f t="shared" si="24"/>
        <v>0</v>
      </c>
      <c r="Z231" s="288">
        <f t="shared" si="24"/>
        <v>0</v>
      </c>
      <c r="AA231" s="288">
        <f t="shared" si="24"/>
        <v>0</v>
      </c>
      <c r="AB231" s="288">
        <f t="shared" si="24"/>
        <v>0</v>
      </c>
      <c r="AC231" s="288">
        <f t="shared" si="24"/>
        <v>0</v>
      </c>
      <c r="AD231" s="288">
        <f t="shared" si="24"/>
        <v>0</v>
      </c>
      <c r="AE231" s="288">
        <f t="shared" si="24"/>
        <v>0</v>
      </c>
      <c r="AF231" s="288">
        <f t="shared" si="24"/>
        <v>0</v>
      </c>
      <c r="AG231" s="288">
        <f t="shared" si="24"/>
        <v>0</v>
      </c>
      <c r="AH231" s="215"/>
    </row>
    <row r="232" spans="1:34" x14ac:dyDescent="0.2">
      <c r="A232" s="287" t="s">
        <v>8</v>
      </c>
      <c r="B232" s="266"/>
      <c r="C232" s="291"/>
      <c r="D232" s="291"/>
      <c r="E232" s="291"/>
      <c r="F232" s="290"/>
      <c r="G232" s="290"/>
      <c r="H232" s="290"/>
      <c r="I232" s="290"/>
      <c r="J232" s="290"/>
      <c r="K232" s="290"/>
      <c r="L232" s="290"/>
      <c r="M232" s="290"/>
      <c r="N232" s="290"/>
      <c r="O232" s="290"/>
      <c r="P232" s="292"/>
      <c r="Q232" s="290"/>
      <c r="R232" s="290"/>
      <c r="S232" s="290"/>
      <c r="T232" s="290"/>
      <c r="U232" s="290"/>
      <c r="V232" s="290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15"/>
    </row>
    <row r="233" spans="1:34" x14ac:dyDescent="0.2">
      <c r="A233" s="287" t="s">
        <v>775</v>
      </c>
      <c r="B233" s="266"/>
      <c r="C233" s="291">
        <v>1500</v>
      </c>
      <c r="D233" s="291"/>
      <c r="E233" s="291">
        <v>7315</v>
      </c>
      <c r="F233" s="290"/>
      <c r="G233" s="290">
        <v>4017</v>
      </c>
      <c r="H233" s="290">
        <v>2189</v>
      </c>
      <c r="I233" s="290"/>
      <c r="J233" s="290">
        <v>3509</v>
      </c>
      <c r="K233" s="290">
        <v>1600</v>
      </c>
      <c r="L233" s="290">
        <v>18408</v>
      </c>
      <c r="M233" s="290"/>
      <c r="N233" s="290">
        <v>1000</v>
      </c>
      <c r="O233" s="290">
        <v>1500</v>
      </c>
      <c r="P233" s="292"/>
      <c r="Q233" s="290">
        <v>13062</v>
      </c>
      <c r="R233" s="290"/>
      <c r="S233" s="290">
        <v>2929</v>
      </c>
      <c r="T233" s="290">
        <v>993</v>
      </c>
      <c r="U233" s="290"/>
      <c r="V233" s="290">
        <v>9858</v>
      </c>
      <c r="W233" s="290"/>
      <c r="X233" s="290">
        <v>1500</v>
      </c>
      <c r="Y233" s="290"/>
      <c r="Z233" s="290">
        <v>3100</v>
      </c>
      <c r="AA233" s="290">
        <v>2015</v>
      </c>
      <c r="AB233" s="290"/>
      <c r="AC233" s="290"/>
      <c r="AD233" s="290"/>
      <c r="AE233" s="290"/>
      <c r="AF233" s="290">
        <v>29473</v>
      </c>
      <c r="AG233" s="290"/>
      <c r="AH233" s="286">
        <f>SUM(C233:AG233)</f>
        <v>103968</v>
      </c>
    </row>
    <row r="234" spans="1:34" ht="13.5" thickBot="1" x14ac:dyDescent="0.25">
      <c r="A234" s="296"/>
      <c r="B234" s="266"/>
      <c r="C234" s="291"/>
      <c r="D234" s="291"/>
      <c r="E234" s="291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2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15"/>
    </row>
    <row r="235" spans="1:34" x14ac:dyDescent="0.2">
      <c r="A235" s="282"/>
      <c r="B235" s="266"/>
      <c r="C235" s="297"/>
      <c r="D235" s="298"/>
      <c r="E235" s="298"/>
      <c r="F235" s="299"/>
      <c r="G235" s="299"/>
      <c r="H235" s="299"/>
      <c r="I235" s="299"/>
      <c r="J235" s="299"/>
      <c r="K235" s="299"/>
      <c r="L235" s="299"/>
      <c r="M235" s="299"/>
      <c r="N235" s="299"/>
      <c r="O235" s="299"/>
      <c r="P235" s="866"/>
      <c r="Q235" s="299"/>
      <c r="R235" s="299"/>
      <c r="S235" s="299"/>
      <c r="T235" s="299"/>
      <c r="U235" s="299"/>
      <c r="V235" s="299"/>
      <c r="W235" s="299"/>
      <c r="X235" s="299"/>
      <c r="Y235" s="299"/>
      <c r="Z235" s="299"/>
      <c r="AA235" s="299"/>
      <c r="AB235" s="299"/>
      <c r="AC235" s="299"/>
      <c r="AD235" s="299"/>
      <c r="AE235" s="299"/>
      <c r="AF235" s="299"/>
      <c r="AG235" s="299"/>
      <c r="AH235" s="215"/>
    </row>
    <row r="236" spans="1:34" x14ac:dyDescent="0.2">
      <c r="A236" s="287" t="s">
        <v>13</v>
      </c>
      <c r="B236" s="266"/>
      <c r="C236" s="300">
        <f>C231-C223</f>
        <v>0</v>
      </c>
      <c r="D236" s="300">
        <f>D231-D223</f>
        <v>0</v>
      </c>
      <c r="E236" s="300">
        <f>E231-E223</f>
        <v>0</v>
      </c>
      <c r="F236" s="300">
        <f>F231-F223</f>
        <v>0</v>
      </c>
      <c r="G236" s="300">
        <f>G231-G223</f>
        <v>0</v>
      </c>
      <c r="H236" s="300">
        <f t="shared" ref="H236:AG236" si="25">H231-H223</f>
        <v>0</v>
      </c>
      <c r="I236" s="300">
        <f t="shared" si="25"/>
        <v>0</v>
      </c>
      <c r="J236" s="300">
        <f t="shared" si="25"/>
        <v>0</v>
      </c>
      <c r="K236" s="300">
        <f t="shared" si="25"/>
        <v>0</v>
      </c>
      <c r="L236" s="300">
        <f t="shared" si="25"/>
        <v>0</v>
      </c>
      <c r="M236" s="300">
        <f t="shared" si="25"/>
        <v>0</v>
      </c>
      <c r="N236" s="300">
        <f t="shared" si="25"/>
        <v>0</v>
      </c>
      <c r="O236" s="300">
        <f t="shared" si="25"/>
        <v>0</v>
      </c>
      <c r="P236" s="867">
        <f t="shared" si="25"/>
        <v>0</v>
      </c>
      <c r="Q236" s="300">
        <f t="shared" si="25"/>
        <v>0</v>
      </c>
      <c r="R236" s="300">
        <f t="shared" si="25"/>
        <v>0</v>
      </c>
      <c r="S236" s="300">
        <f t="shared" si="25"/>
        <v>0</v>
      </c>
      <c r="T236" s="300">
        <f t="shared" si="25"/>
        <v>0</v>
      </c>
      <c r="U236" s="300">
        <f t="shared" si="25"/>
        <v>0</v>
      </c>
      <c r="V236" s="300">
        <f t="shared" si="25"/>
        <v>0</v>
      </c>
      <c r="W236" s="300">
        <f t="shared" si="25"/>
        <v>0</v>
      </c>
      <c r="X236" s="300">
        <f t="shared" si="25"/>
        <v>0</v>
      </c>
      <c r="Y236" s="300">
        <f t="shared" si="25"/>
        <v>0</v>
      </c>
      <c r="Z236" s="300">
        <f t="shared" si="25"/>
        <v>0</v>
      </c>
      <c r="AA236" s="300">
        <f t="shared" si="25"/>
        <v>0</v>
      </c>
      <c r="AB236" s="300">
        <f t="shared" si="25"/>
        <v>0</v>
      </c>
      <c r="AC236" s="300">
        <f t="shared" si="25"/>
        <v>0</v>
      </c>
      <c r="AD236" s="300">
        <f t="shared" si="25"/>
        <v>-18000</v>
      </c>
      <c r="AE236" s="300">
        <f t="shared" si="25"/>
        <v>0</v>
      </c>
      <c r="AF236" s="300">
        <f t="shared" si="25"/>
        <v>0</v>
      </c>
      <c r="AG236" s="300">
        <f t="shared" si="25"/>
        <v>0</v>
      </c>
      <c r="AH236" s="215"/>
    </row>
    <row r="237" spans="1:34" ht="13.5" thickBot="1" x14ac:dyDescent="0.25">
      <c r="A237" s="287"/>
      <c r="B237" s="266"/>
      <c r="C237" s="300"/>
      <c r="D237" s="291"/>
      <c r="E237" s="291"/>
      <c r="F237" s="290"/>
      <c r="G237" s="290"/>
      <c r="H237" s="290"/>
      <c r="I237" s="290"/>
      <c r="J237" s="290"/>
      <c r="K237" s="290"/>
      <c r="L237" s="290"/>
      <c r="M237" s="290"/>
      <c r="N237" s="290"/>
      <c r="O237" s="290"/>
      <c r="P237" s="292"/>
      <c r="Q237" s="290"/>
      <c r="R237" s="290"/>
      <c r="S237" s="290"/>
      <c r="T237" s="290"/>
      <c r="U237" s="290"/>
      <c r="V237" s="290"/>
      <c r="W237" s="290"/>
      <c r="X237" s="290"/>
      <c r="Y237" s="290"/>
      <c r="Z237" s="290"/>
      <c r="AA237" s="290"/>
      <c r="AB237" s="290"/>
      <c r="AC237" s="290"/>
      <c r="AD237" s="290"/>
      <c r="AE237" s="290"/>
      <c r="AF237" s="290"/>
      <c r="AG237" s="290"/>
      <c r="AH237" s="215"/>
    </row>
    <row r="238" spans="1:34" x14ac:dyDescent="0.2">
      <c r="A238" s="263"/>
      <c r="B238" s="264"/>
      <c r="C238" s="301"/>
      <c r="D238" s="298"/>
      <c r="E238" s="298"/>
      <c r="F238" s="299"/>
      <c r="G238" s="299"/>
      <c r="H238" s="299"/>
      <c r="I238" s="299"/>
      <c r="J238" s="299"/>
      <c r="K238" s="299"/>
      <c r="L238" s="299"/>
      <c r="M238" s="299"/>
      <c r="N238" s="299"/>
      <c r="O238" s="299"/>
      <c r="P238" s="866"/>
      <c r="Q238" s="299"/>
      <c r="R238" s="299"/>
      <c r="S238" s="299"/>
      <c r="T238" s="299"/>
      <c r="U238" s="299"/>
      <c r="V238" s="299"/>
      <c r="W238" s="299"/>
      <c r="X238" s="299"/>
      <c r="Y238" s="299"/>
      <c r="Z238" s="299"/>
      <c r="AA238" s="299"/>
      <c r="AB238" s="299"/>
      <c r="AC238" s="299"/>
      <c r="AD238" s="299"/>
      <c r="AE238" s="299"/>
      <c r="AF238" s="299"/>
      <c r="AG238" s="299"/>
      <c r="AH238" s="215"/>
    </row>
    <row r="239" spans="1:34" x14ac:dyDescent="0.2">
      <c r="A239" s="265" t="s">
        <v>15</v>
      </c>
      <c r="B239" s="266"/>
      <c r="C239" s="291">
        <f>B220+C236</f>
        <v>-2306.3789999999999</v>
      </c>
      <c r="D239" s="291">
        <f t="shared" ref="D239:AG239" si="26">C246+D236</f>
        <v>-2306.3789999999999</v>
      </c>
      <c r="E239" s="291">
        <f t="shared" si="26"/>
        <v>-2306.3789999999999</v>
      </c>
      <c r="F239" s="291">
        <f t="shared" si="26"/>
        <v>-2306.3789999999999</v>
      </c>
      <c r="G239" s="291">
        <f t="shared" si="26"/>
        <v>-2306.3789999999999</v>
      </c>
      <c r="H239" s="291">
        <f t="shared" si="26"/>
        <v>-2306.3789999999999</v>
      </c>
      <c r="I239" s="291">
        <f t="shared" si="26"/>
        <v>-2306.3789999999999</v>
      </c>
      <c r="J239" s="291">
        <f t="shared" si="26"/>
        <v>-2306.3789999999999</v>
      </c>
      <c r="K239" s="291">
        <f t="shared" si="26"/>
        <v>-2306.3789999999999</v>
      </c>
      <c r="L239" s="291">
        <f t="shared" si="26"/>
        <v>-2306.3789999999999</v>
      </c>
      <c r="M239" s="291">
        <f t="shared" si="26"/>
        <v>-2306.3789999999999</v>
      </c>
      <c r="N239" s="291">
        <f t="shared" si="26"/>
        <v>-2306.3789999999999</v>
      </c>
      <c r="O239" s="291">
        <f t="shared" si="26"/>
        <v>-2306.3789999999999</v>
      </c>
      <c r="P239" s="289">
        <f t="shared" si="26"/>
        <v>-2306.3789999999999</v>
      </c>
      <c r="Q239" s="291">
        <f t="shared" si="26"/>
        <v>-2306.3789999999999</v>
      </c>
      <c r="R239" s="291">
        <f t="shared" si="26"/>
        <v>-2306.3789999999999</v>
      </c>
      <c r="S239" s="291">
        <f t="shared" si="26"/>
        <v>-2306.3789999999999</v>
      </c>
      <c r="T239" s="291">
        <f t="shared" si="26"/>
        <v>-2306.3789999999999</v>
      </c>
      <c r="U239" s="291">
        <f t="shared" si="26"/>
        <v>-2306.3789999999999</v>
      </c>
      <c r="V239" s="291">
        <f t="shared" si="26"/>
        <v>-2306.3789999999999</v>
      </c>
      <c r="W239" s="291">
        <f t="shared" si="26"/>
        <v>-2306.3789999999999</v>
      </c>
      <c r="X239" s="291">
        <f t="shared" si="26"/>
        <v>-2306.3789999999999</v>
      </c>
      <c r="Y239" s="291">
        <f t="shared" si="26"/>
        <v>-2306.3789999999999</v>
      </c>
      <c r="Z239" s="291">
        <f t="shared" si="26"/>
        <v>-2306.3789999999999</v>
      </c>
      <c r="AA239" s="291">
        <f t="shared" si="26"/>
        <v>-2306.3789999999999</v>
      </c>
      <c r="AB239" s="291">
        <f t="shared" si="26"/>
        <v>-2306.3789999999999</v>
      </c>
      <c r="AC239" s="291">
        <f t="shared" si="26"/>
        <v>-2306.3789999999999</v>
      </c>
      <c r="AD239" s="291">
        <f t="shared" si="26"/>
        <v>-20306.379000000001</v>
      </c>
      <c r="AE239" s="291">
        <f t="shared" si="26"/>
        <v>-20306.379000000001</v>
      </c>
      <c r="AF239" s="291">
        <f t="shared" si="26"/>
        <v>-20306.379000000001</v>
      </c>
      <c r="AG239" s="291">
        <f t="shared" si="26"/>
        <v>-20306.379000000001</v>
      </c>
      <c r="AH239" s="215"/>
    </row>
    <row r="240" spans="1:34" ht="13.5" thickBot="1" x14ac:dyDescent="0.25">
      <c r="A240" s="275"/>
      <c r="B240" s="302"/>
      <c r="C240" s="303"/>
      <c r="D240" s="303"/>
      <c r="E240" s="303"/>
      <c r="F240" s="304"/>
      <c r="G240" s="304"/>
      <c r="H240" s="304"/>
      <c r="I240" s="304"/>
      <c r="J240" s="304"/>
      <c r="K240" s="304"/>
      <c r="L240" s="304"/>
      <c r="M240" s="304"/>
      <c r="N240" s="304"/>
      <c r="O240" s="304"/>
      <c r="P240" s="868"/>
      <c r="Q240" s="304"/>
      <c r="R240" s="304"/>
      <c r="S240" s="304"/>
      <c r="T240" s="304"/>
      <c r="U240" s="304"/>
      <c r="V240" s="304"/>
      <c r="W240" s="304"/>
      <c r="X240" s="304"/>
      <c r="Y240" s="304"/>
      <c r="Z240" s="304"/>
      <c r="AA240" s="304"/>
      <c r="AB240" s="304"/>
      <c r="AC240" s="304"/>
      <c r="AD240" s="304"/>
      <c r="AE240" s="304"/>
      <c r="AF240" s="304"/>
      <c r="AG240" s="304"/>
      <c r="AH240" s="215"/>
    </row>
    <row r="241" spans="1:34" x14ac:dyDescent="0.2">
      <c r="A241" s="263"/>
      <c r="B241" s="264"/>
      <c r="C241" s="298"/>
      <c r="D241" s="298"/>
      <c r="E241" s="298"/>
      <c r="F241" s="299"/>
      <c r="G241" s="299"/>
      <c r="H241" s="299"/>
      <c r="I241" s="299"/>
      <c r="J241" s="299"/>
      <c r="K241" s="299"/>
      <c r="L241" s="299"/>
      <c r="M241" s="299"/>
      <c r="N241" s="299"/>
      <c r="O241" s="299"/>
      <c r="P241" s="866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  <c r="AB241" s="299"/>
      <c r="AC241" s="299"/>
      <c r="AD241" s="299"/>
      <c r="AE241" s="299"/>
      <c r="AF241" s="299"/>
      <c r="AG241" s="299"/>
      <c r="AH241" s="215"/>
    </row>
    <row r="242" spans="1:34" x14ac:dyDescent="0.2">
      <c r="A242" s="265" t="s">
        <v>82</v>
      </c>
      <c r="B242" s="266"/>
      <c r="C242" s="291">
        <f t="shared" ref="C242:AG243" si="27">C250</f>
        <v>0</v>
      </c>
      <c r="D242" s="291">
        <f t="shared" si="27"/>
        <v>0</v>
      </c>
      <c r="E242" s="291">
        <f t="shared" si="27"/>
        <v>0</v>
      </c>
      <c r="F242" s="291">
        <f t="shared" si="27"/>
        <v>0</v>
      </c>
      <c r="G242" s="291">
        <f t="shared" si="27"/>
        <v>0</v>
      </c>
      <c r="H242" s="291">
        <f t="shared" si="27"/>
        <v>0</v>
      </c>
      <c r="I242" s="291">
        <f t="shared" si="27"/>
        <v>0</v>
      </c>
      <c r="J242" s="291">
        <f t="shared" si="27"/>
        <v>0</v>
      </c>
      <c r="K242" s="291">
        <f t="shared" si="27"/>
        <v>0</v>
      </c>
      <c r="L242" s="291">
        <f t="shared" si="27"/>
        <v>0</v>
      </c>
      <c r="M242" s="291">
        <f t="shared" si="27"/>
        <v>0</v>
      </c>
      <c r="N242" s="291">
        <f t="shared" si="27"/>
        <v>0</v>
      </c>
      <c r="O242" s="291">
        <f t="shared" si="27"/>
        <v>0</v>
      </c>
      <c r="P242" s="289">
        <f t="shared" si="27"/>
        <v>0</v>
      </c>
      <c r="Q242" s="291">
        <f t="shared" si="27"/>
        <v>0</v>
      </c>
      <c r="R242" s="291">
        <f t="shared" si="27"/>
        <v>0</v>
      </c>
      <c r="S242" s="291">
        <f t="shared" si="27"/>
        <v>0</v>
      </c>
      <c r="T242" s="291">
        <f t="shared" si="27"/>
        <v>0</v>
      </c>
      <c r="U242" s="291">
        <f t="shared" si="27"/>
        <v>0</v>
      </c>
      <c r="V242" s="291">
        <f t="shared" si="27"/>
        <v>0</v>
      </c>
      <c r="W242" s="291">
        <f t="shared" si="27"/>
        <v>0</v>
      </c>
      <c r="X242" s="291">
        <f t="shared" si="27"/>
        <v>0</v>
      </c>
      <c r="Y242" s="291">
        <f t="shared" si="27"/>
        <v>0</v>
      </c>
      <c r="Z242" s="291">
        <f t="shared" si="27"/>
        <v>0</v>
      </c>
      <c r="AA242" s="291">
        <f t="shared" si="27"/>
        <v>0</v>
      </c>
      <c r="AB242" s="291">
        <f t="shared" si="27"/>
        <v>0</v>
      </c>
      <c r="AC242" s="291">
        <f t="shared" si="27"/>
        <v>0</v>
      </c>
      <c r="AD242" s="291">
        <f t="shared" si="27"/>
        <v>0</v>
      </c>
      <c r="AE242" s="291">
        <f t="shared" si="27"/>
        <v>0</v>
      </c>
      <c r="AF242" s="291">
        <f t="shared" si="27"/>
        <v>0</v>
      </c>
      <c r="AG242" s="291">
        <f t="shared" si="27"/>
        <v>0</v>
      </c>
      <c r="AH242" s="215"/>
    </row>
    <row r="243" spans="1:34" x14ac:dyDescent="0.2">
      <c r="A243" s="265" t="s">
        <v>83</v>
      </c>
      <c r="B243" s="266"/>
      <c r="C243" s="289">
        <f t="shared" si="27"/>
        <v>0</v>
      </c>
      <c r="D243" s="289">
        <f t="shared" si="27"/>
        <v>0</v>
      </c>
      <c r="E243" s="289">
        <f t="shared" si="27"/>
        <v>0</v>
      </c>
      <c r="F243" s="289">
        <f t="shared" si="27"/>
        <v>0</v>
      </c>
      <c r="G243" s="289">
        <f t="shared" si="27"/>
        <v>0</v>
      </c>
      <c r="H243" s="289">
        <f t="shared" si="27"/>
        <v>0</v>
      </c>
      <c r="I243" s="289">
        <f t="shared" si="27"/>
        <v>0</v>
      </c>
      <c r="J243" s="289">
        <f t="shared" si="27"/>
        <v>0</v>
      </c>
      <c r="K243" s="289">
        <f t="shared" si="27"/>
        <v>0</v>
      </c>
      <c r="L243" s="289">
        <f t="shared" si="27"/>
        <v>0</v>
      </c>
      <c r="M243" s="289">
        <f t="shared" si="27"/>
        <v>0</v>
      </c>
      <c r="N243" s="289">
        <f t="shared" si="27"/>
        <v>0</v>
      </c>
      <c r="O243" s="289">
        <f t="shared" si="27"/>
        <v>0</v>
      </c>
      <c r="P243" s="289">
        <f t="shared" si="27"/>
        <v>0</v>
      </c>
      <c r="Q243" s="289">
        <f t="shared" si="27"/>
        <v>0</v>
      </c>
      <c r="R243" s="289">
        <f t="shared" si="27"/>
        <v>0</v>
      </c>
      <c r="S243" s="289">
        <f t="shared" si="27"/>
        <v>0</v>
      </c>
      <c r="T243" s="289">
        <f t="shared" si="27"/>
        <v>0</v>
      </c>
      <c r="U243" s="289">
        <f t="shared" si="27"/>
        <v>0</v>
      </c>
      <c r="V243" s="289">
        <f t="shared" si="27"/>
        <v>0</v>
      </c>
      <c r="W243" s="289">
        <f t="shared" si="27"/>
        <v>0</v>
      </c>
      <c r="X243" s="289">
        <f t="shared" si="27"/>
        <v>0</v>
      </c>
      <c r="Y243" s="289">
        <f t="shared" si="27"/>
        <v>0</v>
      </c>
      <c r="Z243" s="289">
        <f t="shared" si="27"/>
        <v>0</v>
      </c>
      <c r="AA243" s="289">
        <f t="shared" si="27"/>
        <v>0</v>
      </c>
      <c r="AB243" s="289">
        <f t="shared" si="27"/>
        <v>0</v>
      </c>
      <c r="AC243" s="289">
        <f t="shared" si="27"/>
        <v>0</v>
      </c>
      <c r="AD243" s="289">
        <f t="shared" si="27"/>
        <v>0</v>
      </c>
      <c r="AE243" s="289">
        <f t="shared" si="27"/>
        <v>0</v>
      </c>
      <c r="AF243" s="289">
        <f t="shared" si="27"/>
        <v>0</v>
      </c>
      <c r="AG243" s="289">
        <f t="shared" si="27"/>
        <v>0</v>
      </c>
      <c r="AH243" s="215"/>
    </row>
    <row r="244" spans="1:34" ht="13.5" thickBot="1" x14ac:dyDescent="0.25">
      <c r="A244" s="275"/>
      <c r="B244" s="302"/>
      <c r="C244" s="303"/>
      <c r="D244" s="303"/>
      <c r="E244" s="303"/>
      <c r="F244" s="304"/>
      <c r="G244" s="304"/>
      <c r="H244" s="304"/>
      <c r="I244" s="304"/>
      <c r="J244" s="304"/>
      <c r="K244" s="304"/>
      <c r="L244" s="304"/>
      <c r="M244" s="304"/>
      <c r="N244" s="304"/>
      <c r="O244" s="304"/>
      <c r="P244" s="868"/>
      <c r="Q244" s="304"/>
      <c r="R244" s="304"/>
      <c r="S244" s="304"/>
      <c r="T244" s="304"/>
      <c r="U244" s="304"/>
      <c r="V244" s="304"/>
      <c r="W244" s="304"/>
      <c r="X244" s="304"/>
      <c r="Y244" s="304"/>
      <c r="Z244" s="304"/>
      <c r="AA244" s="304"/>
      <c r="AB244" s="304"/>
      <c r="AC244" s="304"/>
      <c r="AD244" s="304"/>
      <c r="AE244" s="304"/>
      <c r="AF244" s="304"/>
      <c r="AG244" s="304"/>
      <c r="AH244" s="215"/>
    </row>
    <row r="245" spans="1:34" x14ac:dyDescent="0.2">
      <c r="A245" s="265"/>
      <c r="B245" s="266"/>
      <c r="C245" s="291"/>
      <c r="D245" s="291"/>
      <c r="E245" s="291"/>
      <c r="F245" s="290"/>
      <c r="G245" s="290"/>
      <c r="H245" s="290"/>
      <c r="I245" s="290"/>
      <c r="J245" s="290"/>
      <c r="K245" s="290"/>
      <c r="L245" s="290"/>
      <c r="M245" s="290"/>
      <c r="N245" s="290"/>
      <c r="O245" s="290"/>
      <c r="P245" s="292"/>
      <c r="Q245" s="290"/>
      <c r="R245" s="290"/>
      <c r="S245" s="290"/>
      <c r="T245" s="290"/>
      <c r="U245" s="290"/>
      <c r="V245" s="290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15"/>
    </row>
    <row r="246" spans="1:34" x14ac:dyDescent="0.2">
      <c r="A246" s="265" t="s">
        <v>14</v>
      </c>
      <c r="B246" s="266"/>
      <c r="C246" s="291">
        <f>C239+C242+C243</f>
        <v>-2306.3789999999999</v>
      </c>
      <c r="D246" s="291">
        <f>D239+D242+D243</f>
        <v>-2306.3789999999999</v>
      </c>
      <c r="E246" s="291">
        <f>E239+E242+E243</f>
        <v>-2306.3789999999999</v>
      </c>
      <c r="F246" s="291">
        <f>F239+F242+F243</f>
        <v>-2306.3789999999999</v>
      </c>
      <c r="G246" s="291">
        <f>G239+G242+G243</f>
        <v>-2306.3789999999999</v>
      </c>
      <c r="H246" s="291">
        <f t="shared" ref="H246:AG246" si="28">H239+H242+H243</f>
        <v>-2306.3789999999999</v>
      </c>
      <c r="I246" s="291">
        <f t="shared" si="28"/>
        <v>-2306.3789999999999</v>
      </c>
      <c r="J246" s="291">
        <f t="shared" si="28"/>
        <v>-2306.3789999999999</v>
      </c>
      <c r="K246" s="291">
        <f t="shared" si="28"/>
        <v>-2306.3789999999999</v>
      </c>
      <c r="L246" s="291">
        <f t="shared" si="28"/>
        <v>-2306.3789999999999</v>
      </c>
      <c r="M246" s="291">
        <f t="shared" si="28"/>
        <v>-2306.3789999999999</v>
      </c>
      <c r="N246" s="291">
        <f t="shared" si="28"/>
        <v>-2306.3789999999999</v>
      </c>
      <c r="O246" s="291">
        <f t="shared" si="28"/>
        <v>-2306.3789999999999</v>
      </c>
      <c r="P246" s="289">
        <f t="shared" si="28"/>
        <v>-2306.3789999999999</v>
      </c>
      <c r="Q246" s="291">
        <f t="shared" si="28"/>
        <v>-2306.3789999999999</v>
      </c>
      <c r="R246" s="291">
        <f t="shared" si="28"/>
        <v>-2306.3789999999999</v>
      </c>
      <c r="S246" s="291">
        <f t="shared" si="28"/>
        <v>-2306.3789999999999</v>
      </c>
      <c r="T246" s="291">
        <f t="shared" si="28"/>
        <v>-2306.3789999999999</v>
      </c>
      <c r="U246" s="291">
        <f t="shared" si="28"/>
        <v>-2306.3789999999999</v>
      </c>
      <c r="V246" s="291">
        <f t="shared" si="28"/>
        <v>-2306.3789999999999</v>
      </c>
      <c r="W246" s="291">
        <f t="shared" si="28"/>
        <v>-2306.3789999999999</v>
      </c>
      <c r="X246" s="291">
        <f t="shared" si="28"/>
        <v>-2306.3789999999999</v>
      </c>
      <c r="Y246" s="291">
        <f t="shared" si="28"/>
        <v>-2306.3789999999999</v>
      </c>
      <c r="Z246" s="291">
        <f t="shared" si="28"/>
        <v>-2306.3789999999999</v>
      </c>
      <c r="AA246" s="291">
        <f t="shared" si="28"/>
        <v>-2306.3789999999999</v>
      </c>
      <c r="AB246" s="291">
        <f t="shared" si="28"/>
        <v>-2306.3789999999999</v>
      </c>
      <c r="AC246" s="291">
        <f t="shared" si="28"/>
        <v>-2306.3789999999999</v>
      </c>
      <c r="AD246" s="291">
        <f t="shared" si="28"/>
        <v>-20306.379000000001</v>
      </c>
      <c r="AE246" s="291">
        <f t="shared" si="28"/>
        <v>-20306.379000000001</v>
      </c>
      <c r="AF246" s="291">
        <f t="shared" si="28"/>
        <v>-20306.379000000001</v>
      </c>
      <c r="AG246" s="291">
        <f t="shared" si="28"/>
        <v>-20306.379000000001</v>
      </c>
      <c r="AH246" s="215"/>
    </row>
    <row r="247" spans="1:34" x14ac:dyDescent="0.2">
      <c r="A247" s="265"/>
      <c r="B247" s="266"/>
      <c r="C247" s="291"/>
      <c r="D247" s="291"/>
      <c r="E247" s="291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2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15"/>
    </row>
    <row r="248" spans="1:34" ht="13.5" thickBot="1" x14ac:dyDescent="0.25">
      <c r="A248" s="275"/>
      <c r="B248" s="302"/>
      <c r="C248" s="306"/>
      <c r="D248" s="306"/>
      <c r="E248" s="306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869"/>
      <c r="Q248" s="307"/>
      <c r="R248" s="307"/>
      <c r="S248" s="307"/>
      <c r="T248" s="307"/>
      <c r="U248" s="307"/>
      <c r="V248" s="307"/>
      <c r="W248" s="307"/>
      <c r="X248" s="307"/>
      <c r="Y248" s="307"/>
      <c r="Z248" s="307"/>
      <c r="AA248" s="307"/>
      <c r="AB248" s="307"/>
      <c r="AC248" s="307"/>
      <c r="AD248" s="307"/>
      <c r="AE248" s="307"/>
      <c r="AF248" s="307"/>
      <c r="AG248" s="307"/>
      <c r="AH248" s="215"/>
    </row>
    <row r="249" spans="1:34" x14ac:dyDescent="0.2">
      <c r="A249" s="310"/>
      <c r="B249" s="215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308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  <c r="AA249" s="286"/>
      <c r="AB249" s="286"/>
      <c r="AC249" s="286"/>
      <c r="AD249" s="286"/>
      <c r="AE249" s="286"/>
      <c r="AF249" s="286"/>
      <c r="AG249" s="286"/>
      <c r="AH249" s="286">
        <f>SUM(C249:AG249)</f>
        <v>0</v>
      </c>
    </row>
    <row r="250" spans="1:34" x14ac:dyDescent="0.2">
      <c r="A250" s="310"/>
      <c r="B250" s="215"/>
      <c r="C250" s="311"/>
      <c r="D250" s="311"/>
      <c r="E250" s="311"/>
      <c r="F250" s="311"/>
      <c r="G250" s="314"/>
      <c r="H250" s="311"/>
      <c r="I250" s="311"/>
      <c r="J250" s="311"/>
      <c r="K250" s="311"/>
      <c r="L250" s="314"/>
      <c r="M250" s="314"/>
      <c r="N250" s="629"/>
      <c r="O250" s="314"/>
      <c r="P250" s="629"/>
      <c r="Q250" s="311"/>
      <c r="R250" s="311"/>
      <c r="S250" s="311"/>
      <c r="T250" s="311"/>
      <c r="U250" s="311"/>
      <c r="V250" s="629"/>
      <c r="W250" s="311"/>
      <c r="X250" s="311"/>
      <c r="Y250" s="311"/>
      <c r="Z250" s="311"/>
      <c r="AA250" s="408"/>
      <c r="AB250" s="311"/>
      <c r="AC250" s="311"/>
      <c r="AD250" s="314"/>
      <c r="AE250" s="311"/>
      <c r="AF250" s="629"/>
      <c r="AG250" s="311"/>
      <c r="AH250" s="262"/>
    </row>
    <row r="251" spans="1:34" x14ac:dyDescent="0.2">
      <c r="A251" s="215"/>
      <c r="B251" s="215"/>
      <c r="C251" s="215"/>
      <c r="D251" s="311"/>
      <c r="E251" s="317"/>
      <c r="F251" s="215"/>
      <c r="G251" s="215"/>
      <c r="H251" s="215"/>
      <c r="I251" s="215"/>
      <c r="J251" s="215"/>
      <c r="K251" s="215"/>
      <c r="L251" s="215"/>
      <c r="M251" s="215"/>
      <c r="N251" s="215"/>
      <c r="O251" s="215"/>
      <c r="P251" s="309"/>
      <c r="Q251" s="286"/>
      <c r="R251" s="215"/>
      <c r="S251" s="262"/>
      <c r="T251" s="215"/>
      <c r="U251" s="215"/>
      <c r="V251" s="215"/>
      <c r="W251" s="215"/>
      <c r="X251" s="215"/>
      <c r="Y251" s="262"/>
      <c r="Z251" s="262"/>
      <c r="AA251" s="262"/>
      <c r="AB251" s="262"/>
      <c r="AC251" s="262"/>
      <c r="AD251" s="262"/>
      <c r="AE251" s="262"/>
      <c r="AF251" s="262"/>
      <c r="AG251" s="262"/>
      <c r="AH251" s="286">
        <f>SUM(C251:AG251)</f>
        <v>0</v>
      </c>
    </row>
    <row r="252" spans="1:34" x14ac:dyDescent="0.2">
      <c r="A252" s="358" t="s">
        <v>415</v>
      </c>
      <c r="B252" s="359">
        <f>B253+B254+B256</f>
        <v>425000</v>
      </c>
      <c r="C252" s="215"/>
      <c r="D252" s="215"/>
      <c r="E252" s="215"/>
      <c r="F252" s="215"/>
      <c r="G252" s="215"/>
      <c r="H252" s="215"/>
      <c r="I252" s="215"/>
      <c r="J252" s="215"/>
      <c r="K252" s="409"/>
      <c r="L252" s="215"/>
      <c r="M252" s="215"/>
      <c r="N252" s="215"/>
      <c r="O252" s="215"/>
      <c r="P252" s="309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  <c r="AA252" s="408"/>
      <c r="AB252" s="215"/>
      <c r="AC252" s="215"/>
      <c r="AD252" s="215"/>
      <c r="AE252" s="215"/>
      <c r="AF252" s="215"/>
      <c r="AG252" s="215"/>
      <c r="AH252" s="215"/>
    </row>
    <row r="253" spans="1:34" x14ac:dyDescent="0.2">
      <c r="A253" s="327" t="s">
        <v>414</v>
      </c>
      <c r="B253" s="311">
        <v>25000</v>
      </c>
      <c r="C253" s="215"/>
      <c r="D253" s="215"/>
      <c r="E253" s="286"/>
      <c r="F253" s="286"/>
      <c r="G253" s="286"/>
      <c r="H253" s="215"/>
      <c r="I253" s="215"/>
      <c r="J253" s="215"/>
      <c r="K253" s="215"/>
      <c r="L253" s="215"/>
      <c r="M253" s="215"/>
      <c r="N253" s="215"/>
      <c r="O253" s="215"/>
      <c r="P253" s="309"/>
      <c r="Q253" s="215"/>
      <c r="R253" s="215"/>
      <c r="S253" s="215"/>
      <c r="T253" s="215"/>
      <c r="U253" s="286"/>
      <c r="V253" s="215"/>
      <c r="W253" s="215"/>
      <c r="X253" s="215"/>
      <c r="Y253" s="215"/>
      <c r="Z253" s="215"/>
      <c r="AA253" s="323"/>
      <c r="AB253" s="215"/>
      <c r="AC253" s="215"/>
      <c r="AD253" s="215"/>
      <c r="AE253" s="215"/>
      <c r="AF253" s="215"/>
      <c r="AG253" s="286"/>
      <c r="AH253" s="215"/>
    </row>
    <row r="254" spans="1:34" x14ac:dyDescent="0.2">
      <c r="A254" s="327" t="s">
        <v>287</v>
      </c>
      <c r="B254" s="311">
        <v>300000</v>
      </c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5"/>
      <c r="N254" s="215"/>
      <c r="O254" s="215"/>
      <c r="P254" s="309"/>
      <c r="Q254" s="215"/>
      <c r="R254" s="215"/>
      <c r="S254" s="215"/>
      <c r="T254" s="215"/>
      <c r="U254" s="286"/>
      <c r="V254" s="215"/>
      <c r="W254" s="215"/>
      <c r="X254" s="215"/>
      <c r="Y254" s="215"/>
      <c r="Z254" s="215"/>
      <c r="AA254" s="215"/>
      <c r="AB254" s="215"/>
      <c r="AC254" s="215"/>
      <c r="AD254" s="215"/>
      <c r="AE254" s="215"/>
      <c r="AF254" s="409"/>
      <c r="AG254" s="215"/>
      <c r="AH254" s="215"/>
    </row>
    <row r="255" spans="1:34" x14ac:dyDescent="0.2">
      <c r="A255" s="310" t="s">
        <v>413</v>
      </c>
      <c r="B255" s="311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  <c r="AA255" s="215"/>
      <c r="AB255" s="215"/>
      <c r="AC255" s="215"/>
      <c r="AD255" s="215"/>
      <c r="AE255" s="215"/>
      <c r="AF255" s="215"/>
      <c r="AG255" s="215"/>
      <c r="AH255" s="215"/>
    </row>
    <row r="256" spans="1:34" x14ac:dyDescent="0.2">
      <c r="A256" s="310" t="s">
        <v>441</v>
      </c>
      <c r="B256" s="311">
        <v>100000</v>
      </c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215"/>
      <c r="AG256" s="215"/>
      <c r="AH256" s="215"/>
    </row>
    <row r="257" spans="1:34" x14ac:dyDescent="0.2">
      <c r="A257" s="215"/>
      <c r="B257" s="215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ht="13.5" thickBot="1" x14ac:dyDescent="0.25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x14ac:dyDescent="0.2">
      <c r="A260" s="263"/>
      <c r="B260" s="264"/>
      <c r="C260" s="264"/>
      <c r="D260" s="264"/>
      <c r="E260" s="264"/>
      <c r="F260" s="264"/>
      <c r="G260" s="264"/>
      <c r="H260" s="264"/>
      <c r="I260" s="264"/>
      <c r="J260" s="264"/>
      <c r="K260" s="264"/>
      <c r="L260" s="264"/>
      <c r="M260" s="264"/>
      <c r="N260" s="264"/>
      <c r="O260" s="264"/>
      <c r="P260" s="860"/>
      <c r="Q260" s="264"/>
      <c r="R260" s="264"/>
      <c r="S260" s="264"/>
      <c r="T260" s="264"/>
      <c r="U260" s="264"/>
      <c r="V260" s="264"/>
      <c r="W260" s="264"/>
      <c r="X260" s="264"/>
      <c r="Y260" s="264"/>
      <c r="Z260" s="264"/>
      <c r="AA260" s="264"/>
      <c r="AB260" s="264"/>
      <c r="AC260" s="264"/>
      <c r="AD260" s="264"/>
      <c r="AE260" s="264"/>
      <c r="AF260" s="264"/>
      <c r="AG260" s="264"/>
      <c r="AH260" s="215"/>
    </row>
    <row r="261" spans="1:34" x14ac:dyDescent="0.2">
      <c r="A261" s="265"/>
      <c r="B261" s="266" t="s">
        <v>37</v>
      </c>
      <c r="C261" s="266"/>
      <c r="D261" s="266"/>
      <c r="E261" s="267"/>
      <c r="F261" s="268" t="s">
        <v>340</v>
      </c>
      <c r="G261" s="269"/>
      <c r="H261" s="268"/>
      <c r="I261" s="268"/>
      <c r="J261" s="268"/>
      <c r="K261" s="268"/>
      <c r="L261" s="268"/>
      <c r="M261" s="268"/>
      <c r="N261" s="268"/>
      <c r="O261" s="268"/>
      <c r="P261" s="861"/>
      <c r="Q261" s="268"/>
      <c r="R261" s="268"/>
      <c r="S261" s="268"/>
      <c r="T261" s="268"/>
      <c r="U261" s="268"/>
      <c r="V261" s="268"/>
      <c r="W261" s="268"/>
      <c r="X261" s="268"/>
      <c r="Y261" s="268"/>
      <c r="Z261" s="268"/>
      <c r="AA261" s="268"/>
      <c r="AB261" s="268"/>
      <c r="AC261" s="268"/>
      <c r="AD261" s="268"/>
      <c r="AE261" s="268"/>
      <c r="AF261" s="268"/>
      <c r="AG261" s="268"/>
      <c r="AH261" s="215"/>
    </row>
    <row r="262" spans="1:34" x14ac:dyDescent="0.2">
      <c r="A262" s="265"/>
      <c r="B262" s="266"/>
      <c r="C262" s="266"/>
      <c r="D262" s="266"/>
      <c r="E262" s="266"/>
      <c r="F262" s="266"/>
      <c r="G262" s="266"/>
      <c r="H262" s="266"/>
      <c r="I262" s="266"/>
      <c r="J262" s="266"/>
      <c r="K262" s="266"/>
      <c r="L262" s="266"/>
      <c r="M262" s="266"/>
      <c r="N262" s="266"/>
      <c r="O262" s="266"/>
      <c r="P262" s="279"/>
      <c r="Q262" s="266"/>
      <c r="R262" s="266"/>
      <c r="S262" s="266"/>
      <c r="T262" s="266"/>
      <c r="U262" s="266"/>
      <c r="V262" s="266"/>
      <c r="W262" s="266"/>
      <c r="X262" s="266"/>
      <c r="Y262" s="266"/>
      <c r="Z262" s="266"/>
      <c r="AA262" s="266"/>
      <c r="AB262" s="266"/>
      <c r="AC262" s="266"/>
      <c r="AD262" s="266"/>
      <c r="AE262" s="266"/>
      <c r="AF262" s="266"/>
      <c r="AG262" s="266"/>
      <c r="AH262" s="215"/>
    </row>
    <row r="263" spans="1:34" x14ac:dyDescent="0.2">
      <c r="A263" s="265"/>
      <c r="B263" s="266"/>
      <c r="C263" s="268"/>
      <c r="D263" s="268">
        <v>42133</v>
      </c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79"/>
      <c r="Q263" s="266"/>
      <c r="R263" s="266"/>
      <c r="S263" s="266"/>
      <c r="T263" s="266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266"/>
      <c r="AE263" s="266"/>
      <c r="AF263" s="266"/>
      <c r="AG263" s="266"/>
      <c r="AH263" s="215"/>
    </row>
    <row r="264" spans="1:34" x14ac:dyDescent="0.2">
      <c r="A264" s="265"/>
      <c r="B264" s="266"/>
      <c r="C264" s="268"/>
      <c r="D264" s="268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ht="13.5" thickBot="1" x14ac:dyDescent="0.25">
      <c r="A265" s="265"/>
      <c r="B265" s="266"/>
      <c r="C265" s="266"/>
      <c r="D265" s="266"/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ht="13.5" thickBot="1" x14ac:dyDescent="0.25">
      <c r="A266" s="265"/>
      <c r="B266" s="266"/>
      <c r="C266" s="270"/>
      <c r="D266" s="271" t="s">
        <v>16</v>
      </c>
      <c r="E266" s="271"/>
      <c r="F266" s="271"/>
      <c r="G266" s="271"/>
      <c r="H266" s="271"/>
      <c r="I266" s="271"/>
      <c r="J266" s="271"/>
      <c r="K266" s="271"/>
      <c r="L266" s="271"/>
      <c r="M266" s="271"/>
      <c r="N266" s="271"/>
      <c r="O266" s="271"/>
      <c r="P266" s="862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  <c r="AA266" s="271"/>
      <c r="AB266" s="271"/>
      <c r="AC266" s="271"/>
      <c r="AD266" s="271"/>
      <c r="AE266" s="271"/>
      <c r="AF266" s="271"/>
      <c r="AG266" s="271"/>
      <c r="AH266" s="215"/>
    </row>
    <row r="267" spans="1:34" ht="13.5" thickBot="1" x14ac:dyDescent="0.25">
      <c r="A267" s="265"/>
      <c r="B267" s="266"/>
      <c r="C267" s="272" t="s">
        <v>452</v>
      </c>
      <c r="D267" s="272" t="s">
        <v>453</v>
      </c>
      <c r="E267" s="272" t="s">
        <v>434</v>
      </c>
      <c r="F267" s="272" t="s">
        <v>390</v>
      </c>
      <c r="G267" s="272" t="s">
        <v>454</v>
      </c>
      <c r="H267" s="272" t="s">
        <v>455</v>
      </c>
      <c r="I267" s="272" t="s">
        <v>456</v>
      </c>
      <c r="J267" s="272" t="s">
        <v>457</v>
      </c>
      <c r="K267" s="272" t="s">
        <v>458</v>
      </c>
      <c r="L267" s="272" t="s">
        <v>216</v>
      </c>
      <c r="M267" s="272" t="s">
        <v>459</v>
      </c>
      <c r="N267" s="272" t="s">
        <v>297</v>
      </c>
      <c r="O267" s="272" t="s">
        <v>211</v>
      </c>
      <c r="P267" s="863" t="s">
        <v>270</v>
      </c>
      <c r="Q267" s="272">
        <v>15</v>
      </c>
      <c r="R267" s="272">
        <v>16</v>
      </c>
      <c r="S267" s="272" t="s">
        <v>461</v>
      </c>
      <c r="T267" s="272" t="s">
        <v>442</v>
      </c>
      <c r="U267" s="272" t="s">
        <v>462</v>
      </c>
      <c r="V267" s="272" t="s">
        <v>470</v>
      </c>
      <c r="W267" s="272" t="s">
        <v>471</v>
      </c>
      <c r="X267" s="272" t="s">
        <v>472</v>
      </c>
      <c r="Y267" s="272" t="s">
        <v>463</v>
      </c>
      <c r="Z267" s="272" t="s">
        <v>465</v>
      </c>
      <c r="AA267" s="272" t="s">
        <v>466</v>
      </c>
      <c r="AB267" s="272" t="s">
        <v>435</v>
      </c>
      <c r="AC267" s="272" t="s">
        <v>467</v>
      </c>
      <c r="AD267" s="272" t="s">
        <v>464</v>
      </c>
      <c r="AE267" s="272" t="s">
        <v>429</v>
      </c>
      <c r="AF267" s="272" t="s">
        <v>149</v>
      </c>
      <c r="AG267" s="272" t="s">
        <v>210</v>
      </c>
      <c r="AH267" s="215"/>
    </row>
    <row r="268" spans="1:34" x14ac:dyDescent="0.2">
      <c r="A268" s="263"/>
      <c r="B268" s="273"/>
      <c r="C268" s="266"/>
      <c r="D268" s="266"/>
      <c r="E268" s="266"/>
      <c r="F268" s="266"/>
      <c r="G268" s="266"/>
      <c r="H268" s="266"/>
      <c r="I268" s="266"/>
      <c r="J268" s="266"/>
      <c r="K268" s="266"/>
      <c r="L268" s="266"/>
      <c r="M268" s="266"/>
      <c r="N268" s="266"/>
      <c r="O268" s="266"/>
      <c r="P268" s="279"/>
      <c r="Q268" s="266"/>
      <c r="R268" s="266"/>
      <c r="S268" s="266"/>
      <c r="T268" s="266"/>
      <c r="U268" s="266"/>
      <c r="V268" s="266"/>
      <c r="W268" s="266"/>
      <c r="X268" s="266"/>
      <c r="Y268" s="266"/>
      <c r="Z268" s="266"/>
      <c r="AA268" s="266"/>
      <c r="AB268" s="266"/>
      <c r="AC268" s="266"/>
      <c r="AD268" s="266"/>
      <c r="AE268" s="266"/>
      <c r="AF268" s="266"/>
      <c r="AG268" s="266"/>
      <c r="AH268" s="215"/>
    </row>
    <row r="269" spans="1:34" x14ac:dyDescent="0.2">
      <c r="A269" s="265" t="s">
        <v>0</v>
      </c>
      <c r="B269" s="274">
        <v>-49137.868000000002</v>
      </c>
      <c r="C269" s="266"/>
      <c r="D269" s="266"/>
      <c r="E269" s="266"/>
      <c r="F269" s="266"/>
      <c r="G269" s="266"/>
      <c r="H269" s="266"/>
      <c r="I269" s="266"/>
      <c r="J269" s="266"/>
      <c r="K269" s="266"/>
      <c r="L269" s="266"/>
      <c r="M269" s="266"/>
      <c r="N269" s="266"/>
      <c r="O269" s="266"/>
      <c r="P269" s="279"/>
      <c r="Q269" s="266"/>
      <c r="R269" s="266"/>
      <c r="S269" s="266"/>
      <c r="T269" s="266"/>
      <c r="U269" s="266"/>
      <c r="V269" s="266"/>
      <c r="W269" s="266"/>
      <c r="X269" s="266"/>
      <c r="Y269" s="266"/>
      <c r="Z269" s="266"/>
      <c r="AA269" s="266"/>
      <c r="AB269" s="266"/>
      <c r="AC269" s="266"/>
      <c r="AD269" s="266"/>
      <c r="AE269" s="266"/>
      <c r="AF269" s="266"/>
      <c r="AG269" s="266"/>
      <c r="AH269" s="215"/>
    </row>
    <row r="270" spans="1:34" ht="13.5" thickBot="1" x14ac:dyDescent="0.25">
      <c r="A270" s="275"/>
      <c r="B270" s="276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x14ac:dyDescent="0.2">
      <c r="A271" s="263"/>
      <c r="B271" s="278"/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x14ac:dyDescent="0.2">
      <c r="A272" s="265" t="s">
        <v>1</v>
      </c>
      <c r="B272" s="274">
        <f>B273+B274+B275</f>
        <v>0</v>
      </c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5" t="s">
        <v>38</v>
      </c>
      <c r="B273" s="274">
        <f>C321</f>
        <v>0</v>
      </c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39</v>
      </c>
      <c r="B274" s="274">
        <f>C344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</v>
      </c>
      <c r="B275" s="274"/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ht="13.5" thickBot="1" x14ac:dyDescent="0.25">
      <c r="A276" s="275"/>
      <c r="B276" s="276"/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x14ac:dyDescent="0.2">
      <c r="A277" s="263"/>
      <c r="B277" s="278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x14ac:dyDescent="0.2">
      <c r="A278" s="265" t="s">
        <v>4</v>
      </c>
      <c r="B278" s="274">
        <f>B269-B272</f>
        <v>-49137.868000000002</v>
      </c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ht="13.5" thickBot="1" x14ac:dyDescent="0.25">
      <c r="A279" s="275"/>
      <c r="B279" s="276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x14ac:dyDescent="0.2">
      <c r="A280" s="263"/>
      <c r="B280" s="278"/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x14ac:dyDescent="0.2">
      <c r="A281" s="265" t="s">
        <v>17</v>
      </c>
      <c r="B281" s="274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ht="13.5" thickBot="1" x14ac:dyDescent="0.25">
      <c r="A282" s="275"/>
      <c r="B282" s="276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330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x14ac:dyDescent="0.2">
      <c r="A283" s="263"/>
      <c r="B283" s="278"/>
      <c r="D283" s="266"/>
      <c r="E283" s="269"/>
      <c r="F283" s="266"/>
      <c r="G283" s="266"/>
      <c r="H283" s="266"/>
      <c r="I283" s="266"/>
      <c r="J283" s="266"/>
      <c r="K283" s="330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269"/>
      <c r="Y283" s="266"/>
      <c r="Z283" s="269"/>
      <c r="AA283" s="266"/>
      <c r="AB283" s="266"/>
      <c r="AC283" s="266"/>
      <c r="AD283" s="266"/>
      <c r="AE283" s="266"/>
      <c r="AF283" s="266"/>
      <c r="AG283" s="266"/>
      <c r="AH283" s="215"/>
    </row>
    <row r="284" spans="1:34" x14ac:dyDescent="0.2">
      <c r="A284" s="265" t="s">
        <v>5</v>
      </c>
      <c r="B284" s="274">
        <f>B278-B281</f>
        <v>-49137.868000000002</v>
      </c>
      <c r="C284" s="911"/>
      <c r="D284" s="269"/>
      <c r="E284" s="794"/>
      <c r="F284" s="269"/>
      <c r="G284" s="269"/>
      <c r="H284" s="269"/>
      <c r="I284" s="269"/>
      <c r="J284" s="269"/>
      <c r="K284" s="768"/>
      <c r="L284" s="269"/>
      <c r="M284" s="269"/>
      <c r="N284" s="269"/>
      <c r="O284" s="269"/>
      <c r="P284" s="279"/>
      <c r="Q284" s="269"/>
      <c r="R284" s="269"/>
      <c r="S284" s="281"/>
      <c r="T284" s="269"/>
      <c r="U284" s="266"/>
      <c r="V284" s="269"/>
      <c r="W284" s="266"/>
      <c r="X284" s="269"/>
      <c r="Y284" s="269"/>
      <c r="Z284" s="281"/>
      <c r="AA284" s="281"/>
      <c r="AB284" s="281"/>
      <c r="AC284" s="796" t="s">
        <v>923</v>
      </c>
      <c r="AD284" s="796"/>
      <c r="AE284" s="269" t="s">
        <v>172</v>
      </c>
      <c r="AF284" s="269"/>
      <c r="AG284" s="705"/>
      <c r="AH284" s="215"/>
    </row>
    <row r="285" spans="1:34" ht="13.5" thickBot="1" x14ac:dyDescent="0.25">
      <c r="A285" s="275"/>
      <c r="B285" s="276"/>
      <c r="C285" s="266"/>
      <c r="D285" s="266"/>
      <c r="E285" s="266"/>
      <c r="F285" s="266"/>
      <c r="G285" s="266"/>
      <c r="H285" s="266"/>
      <c r="I285" s="266"/>
      <c r="J285" s="266"/>
      <c r="K285" s="266"/>
      <c r="L285" s="266"/>
      <c r="M285" s="266"/>
      <c r="N285" s="266"/>
      <c r="O285" s="266"/>
      <c r="P285" s="279"/>
      <c r="Q285" s="266"/>
      <c r="R285" s="266"/>
      <c r="S285" s="266"/>
      <c r="T285" s="266"/>
      <c r="U285" s="266"/>
      <c r="V285" s="266"/>
      <c r="W285" s="266"/>
      <c r="X285" s="266"/>
      <c r="Y285" s="266"/>
      <c r="Z285" s="266"/>
      <c r="AA285" s="266"/>
      <c r="AB285" s="266"/>
      <c r="AC285" s="266"/>
      <c r="AD285" s="266"/>
      <c r="AE285" s="266"/>
      <c r="AF285" s="266"/>
      <c r="AG285" s="266"/>
      <c r="AH285" s="215"/>
    </row>
    <row r="286" spans="1:34" x14ac:dyDescent="0.2">
      <c r="A286" s="282"/>
      <c r="B286" s="266"/>
      <c r="C286" s="283"/>
      <c r="D286" s="285"/>
      <c r="E286" s="285"/>
      <c r="F286" s="284"/>
      <c r="G286" s="284"/>
      <c r="H286" s="284"/>
      <c r="I286" s="284"/>
      <c r="J286" s="284"/>
      <c r="K286" s="284"/>
      <c r="L286" s="284"/>
      <c r="M286" s="284"/>
      <c r="N286" s="284"/>
      <c r="O286" s="284"/>
      <c r="P286" s="864"/>
      <c r="Q286" s="284"/>
      <c r="R286" s="284"/>
      <c r="S286" s="284"/>
      <c r="T286" s="284"/>
      <c r="U286" s="284"/>
      <c r="V286" s="284"/>
      <c r="W286" s="284"/>
      <c r="X286" s="284"/>
      <c r="Y286" s="284"/>
      <c r="Z286" s="284"/>
      <c r="AA286" s="284"/>
      <c r="AB286" s="284"/>
      <c r="AC286" s="284"/>
      <c r="AD286" s="284"/>
      <c r="AE286" s="284"/>
      <c r="AF286" s="284"/>
      <c r="AG286" s="284"/>
      <c r="AH286" s="215"/>
    </row>
    <row r="287" spans="1:34" ht="13.5" thickBot="1" x14ac:dyDescent="0.25">
      <c r="A287" s="287" t="s">
        <v>7</v>
      </c>
      <c r="B287" s="266"/>
      <c r="C287" s="288">
        <f>C288+C289+C290+C292+C291</f>
        <v>0</v>
      </c>
      <c r="D287" s="288">
        <f>D288+D289+D290+D292+D291</f>
        <v>0</v>
      </c>
      <c r="E287" s="288">
        <f>E288+E289+E290+E292+E291</f>
        <v>0</v>
      </c>
      <c r="F287" s="288">
        <f>F288+F289+F290+F292+F291</f>
        <v>0</v>
      </c>
      <c r="G287" s="288">
        <f>G288+G289+G290+G292+G291</f>
        <v>0</v>
      </c>
      <c r="H287" s="288">
        <f t="shared" ref="H287:AF287" si="29">H288+H289+H290+H292+H291</f>
        <v>0</v>
      </c>
      <c r="I287" s="288">
        <f t="shared" si="29"/>
        <v>0</v>
      </c>
      <c r="J287" s="288">
        <f t="shared" si="29"/>
        <v>0</v>
      </c>
      <c r="K287" s="288">
        <f t="shared" si="29"/>
        <v>0</v>
      </c>
      <c r="L287" s="288">
        <f t="shared" si="29"/>
        <v>0</v>
      </c>
      <c r="M287" s="288">
        <f t="shared" si="29"/>
        <v>0</v>
      </c>
      <c r="N287" s="288">
        <f t="shared" si="29"/>
        <v>0</v>
      </c>
      <c r="O287" s="288">
        <f t="shared" si="29"/>
        <v>0</v>
      </c>
      <c r="P287" s="865">
        <f t="shared" si="29"/>
        <v>0</v>
      </c>
      <c r="Q287" s="288">
        <f t="shared" si="29"/>
        <v>0</v>
      </c>
      <c r="R287" s="288">
        <f t="shared" si="29"/>
        <v>0</v>
      </c>
      <c r="S287" s="288">
        <f t="shared" si="29"/>
        <v>0</v>
      </c>
      <c r="T287" s="288">
        <f t="shared" si="29"/>
        <v>0</v>
      </c>
      <c r="U287" s="288">
        <f t="shared" si="29"/>
        <v>0</v>
      </c>
      <c r="V287" s="288">
        <f t="shared" si="29"/>
        <v>0</v>
      </c>
      <c r="W287" s="288">
        <f t="shared" si="29"/>
        <v>0</v>
      </c>
      <c r="X287" s="288">
        <f t="shared" si="29"/>
        <v>0</v>
      </c>
      <c r="Y287" s="288">
        <f t="shared" si="29"/>
        <v>0</v>
      </c>
      <c r="Z287" s="288">
        <f t="shared" si="29"/>
        <v>0</v>
      </c>
      <c r="AA287" s="288">
        <f t="shared" si="29"/>
        <v>0</v>
      </c>
      <c r="AB287" s="288">
        <f t="shared" si="29"/>
        <v>0</v>
      </c>
      <c r="AC287" s="288">
        <f t="shared" si="29"/>
        <v>31023</v>
      </c>
      <c r="AD287" s="288">
        <f t="shared" si="29"/>
        <v>0</v>
      </c>
      <c r="AE287" s="288">
        <f t="shared" si="29"/>
        <v>15687</v>
      </c>
      <c r="AF287" s="288">
        <f t="shared" si="29"/>
        <v>0</v>
      </c>
      <c r="AG287" s="288">
        <f>AG288+AG289+AG290+AG292+AG291</f>
        <v>0</v>
      </c>
      <c r="AH287" s="286">
        <f>SUM(C287:AG287)</f>
        <v>46710</v>
      </c>
    </row>
    <row r="288" spans="1:34" x14ac:dyDescent="0.2">
      <c r="A288" s="287" t="s">
        <v>8</v>
      </c>
      <c r="B288" s="331"/>
      <c r="C288" s="291"/>
      <c r="D288" s="291"/>
      <c r="E288" s="362"/>
      <c r="F288" s="290"/>
      <c r="G288" s="290"/>
      <c r="H288" s="290"/>
      <c r="I288" s="295"/>
      <c r="J288" s="290"/>
      <c r="K288" s="290"/>
      <c r="L288" s="290"/>
      <c r="M288" s="290"/>
      <c r="N288" s="290"/>
      <c r="O288" s="290"/>
      <c r="P288" s="292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  <c r="AA288" s="290"/>
      <c r="AB288" s="290"/>
      <c r="AC288" s="290"/>
      <c r="AD288" s="290"/>
      <c r="AE288" s="290"/>
      <c r="AF288" s="290"/>
      <c r="AG288" s="290"/>
      <c r="AH288" s="286">
        <f>SUM(C288:AG288)</f>
        <v>0</v>
      </c>
    </row>
    <row r="289" spans="1:34" x14ac:dyDescent="0.2">
      <c r="A289" s="287" t="s">
        <v>9</v>
      </c>
      <c r="B289" s="331"/>
      <c r="C289" s="291"/>
      <c r="D289" s="291"/>
      <c r="E289" s="362"/>
      <c r="F289" s="290"/>
      <c r="G289" s="290"/>
      <c r="H289" s="290"/>
      <c r="I289" s="290"/>
      <c r="J289" s="290"/>
      <c r="K289" s="290"/>
      <c r="L289" s="290"/>
      <c r="M289" s="290"/>
      <c r="N289" s="290"/>
      <c r="O289" s="295"/>
      <c r="P289" s="292"/>
      <c r="Q289" s="290"/>
      <c r="R289" s="290"/>
      <c r="S289" s="290"/>
      <c r="T289" s="290"/>
      <c r="U289" s="290"/>
      <c r="V289" s="295"/>
      <c r="W289" s="295"/>
      <c r="X289" s="295"/>
      <c r="Y289" s="295"/>
      <c r="Z289" s="295"/>
      <c r="AA289" s="295"/>
      <c r="AB289" s="295"/>
      <c r="AC289" s="295"/>
      <c r="AD289" s="295"/>
      <c r="AE289" s="290"/>
      <c r="AF289" s="290"/>
      <c r="AG289" s="290"/>
      <c r="AH289" s="286">
        <f>SUM(C289:AG289)</f>
        <v>0</v>
      </c>
    </row>
    <row r="290" spans="1:34" s="360" customFormat="1" x14ac:dyDescent="0.2">
      <c r="A290" s="662" t="s">
        <v>10</v>
      </c>
      <c r="B290" s="669"/>
      <c r="C290" s="795"/>
      <c r="D290" s="565"/>
      <c r="E290" s="565"/>
      <c r="F290" s="560"/>
      <c r="G290" s="560"/>
      <c r="H290" s="560"/>
      <c r="I290" s="560"/>
      <c r="J290" s="560"/>
      <c r="K290" s="380"/>
      <c r="L290" s="560"/>
      <c r="M290" s="560"/>
      <c r="N290" s="560"/>
      <c r="O290" s="560"/>
      <c r="P290" s="560"/>
      <c r="Q290" s="560"/>
      <c r="R290" s="560"/>
      <c r="S290" s="560"/>
      <c r="T290" s="560"/>
      <c r="U290" s="560"/>
      <c r="V290" s="560"/>
      <c r="W290" s="560"/>
      <c r="X290" s="560"/>
      <c r="Y290" s="560"/>
      <c r="Z290" s="665"/>
      <c r="AA290" s="560"/>
      <c r="AB290" s="560"/>
      <c r="AC290" s="560">
        <v>31023</v>
      </c>
      <c r="AD290" s="708"/>
      <c r="AE290" s="560">
        <v>15687</v>
      </c>
      <c r="AF290" s="560"/>
      <c r="AG290" s="747"/>
      <c r="AH290" s="379">
        <f>SUM(C290:AG290)</f>
        <v>46710</v>
      </c>
    </row>
    <row r="291" spans="1:34" s="360" customFormat="1" x14ac:dyDescent="0.2">
      <c r="A291" s="662" t="s">
        <v>356</v>
      </c>
      <c r="B291" s="669"/>
      <c r="C291" s="565"/>
      <c r="D291" s="565"/>
      <c r="E291" s="565"/>
      <c r="F291" s="560"/>
      <c r="G291" s="380"/>
      <c r="H291" s="560"/>
      <c r="I291" s="380"/>
      <c r="J291" s="560"/>
      <c r="K291" s="560"/>
      <c r="L291" s="560"/>
      <c r="M291" s="560"/>
      <c r="N291" s="380"/>
      <c r="O291" s="560"/>
      <c r="P291" s="560"/>
      <c r="Q291" s="560"/>
      <c r="R291" s="560"/>
      <c r="S291" s="560"/>
      <c r="T291" s="560"/>
      <c r="U291" s="560"/>
      <c r="V291" s="560"/>
      <c r="W291" s="560"/>
      <c r="X291" s="380"/>
      <c r="Y291" s="560"/>
      <c r="Z291" s="560"/>
      <c r="AA291" s="560"/>
      <c r="AB291" s="380"/>
      <c r="AC291" s="380"/>
      <c r="AD291" s="560"/>
      <c r="AE291" s="560"/>
      <c r="AF291" s="560"/>
      <c r="AG291" s="560"/>
      <c r="AH291" s="379">
        <f>SUM(C291:AG291)</f>
        <v>0</v>
      </c>
    </row>
    <row r="292" spans="1:34" x14ac:dyDescent="0.2">
      <c r="A292" s="287" t="s">
        <v>11</v>
      </c>
      <c r="B292" s="266"/>
      <c r="C292" s="291"/>
      <c r="D292" s="289"/>
      <c r="E292" s="294"/>
      <c r="F292" s="292"/>
      <c r="G292" s="292"/>
      <c r="H292" s="292"/>
      <c r="I292" s="292"/>
      <c r="J292" s="295"/>
      <c r="K292" s="292"/>
      <c r="L292" s="292"/>
      <c r="M292" s="292"/>
      <c r="N292" s="292"/>
      <c r="O292" s="292"/>
      <c r="P292" s="455"/>
      <c r="Q292" s="292"/>
      <c r="R292" s="292"/>
      <c r="S292" s="292"/>
      <c r="T292" s="292"/>
      <c r="U292" s="292"/>
      <c r="V292" s="295"/>
      <c r="W292" s="295"/>
      <c r="X292" s="295"/>
      <c r="Y292" s="455"/>
      <c r="Z292" s="295"/>
      <c r="AA292" s="295"/>
      <c r="AB292" s="295"/>
      <c r="AC292" s="292"/>
      <c r="AD292" s="295"/>
      <c r="AE292" s="292"/>
      <c r="AF292" s="292"/>
      <c r="AG292" s="292"/>
      <c r="AH292" s="215"/>
    </row>
    <row r="293" spans="1:34" ht="13.5" thickBot="1" x14ac:dyDescent="0.25">
      <c r="A293" s="296"/>
      <c r="B293" s="266"/>
      <c r="C293" s="291"/>
      <c r="D293" s="291"/>
      <c r="E293" s="291"/>
      <c r="F293" s="290"/>
      <c r="G293" s="290"/>
      <c r="H293" s="290"/>
      <c r="I293" s="290"/>
      <c r="J293" s="290"/>
      <c r="K293" s="290"/>
      <c r="L293" s="290"/>
      <c r="M293" s="290"/>
      <c r="N293" s="290"/>
      <c r="O293" s="290"/>
      <c r="P293" s="292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  <c r="AA293" s="290"/>
      <c r="AB293" s="290"/>
      <c r="AC293" s="290"/>
      <c r="AD293" s="290"/>
      <c r="AE293" s="290"/>
      <c r="AF293" s="290"/>
      <c r="AG293" s="290"/>
      <c r="AH293" s="215"/>
    </row>
    <row r="294" spans="1:34" x14ac:dyDescent="0.2">
      <c r="A294" s="282"/>
      <c r="B294" s="266"/>
      <c r="C294" s="297"/>
      <c r="D294" s="298"/>
      <c r="E294" s="298"/>
      <c r="F294" s="299"/>
      <c r="G294" s="299"/>
      <c r="H294" s="299"/>
      <c r="I294" s="299"/>
      <c r="J294" s="299"/>
      <c r="K294" s="299"/>
      <c r="L294" s="299"/>
      <c r="M294" s="299"/>
      <c r="N294" s="299"/>
      <c r="O294" s="299"/>
      <c r="P294" s="866"/>
      <c r="Q294" s="299"/>
      <c r="R294" s="299"/>
      <c r="S294" s="299"/>
      <c r="T294" s="299"/>
      <c r="U294" s="299"/>
      <c r="V294" s="299"/>
      <c r="W294" s="299"/>
      <c r="X294" s="299"/>
      <c r="Y294" s="299"/>
      <c r="Z294" s="299"/>
      <c r="AA294" s="299"/>
      <c r="AB294" s="299"/>
      <c r="AC294" s="299"/>
      <c r="AD294" s="299"/>
      <c r="AE294" s="299"/>
      <c r="AF294" s="299"/>
      <c r="AG294" s="299"/>
      <c r="AH294" s="215"/>
    </row>
    <row r="295" spans="1:34" ht="13.5" thickBot="1" x14ac:dyDescent="0.25">
      <c r="A295" s="287" t="s">
        <v>12</v>
      </c>
      <c r="B295" s="266"/>
      <c r="C295" s="288">
        <f t="shared" ref="C295:AG295" si="30">C296</f>
        <v>0</v>
      </c>
      <c r="D295" s="288">
        <f t="shared" si="30"/>
        <v>0</v>
      </c>
      <c r="E295" s="288">
        <f t="shared" si="30"/>
        <v>0</v>
      </c>
      <c r="F295" s="288">
        <f t="shared" si="30"/>
        <v>0</v>
      </c>
      <c r="G295" s="288">
        <f t="shared" si="30"/>
        <v>0</v>
      </c>
      <c r="H295" s="288">
        <f t="shared" si="30"/>
        <v>0</v>
      </c>
      <c r="I295" s="288">
        <f t="shared" si="30"/>
        <v>0</v>
      </c>
      <c r="J295" s="288">
        <f t="shared" si="30"/>
        <v>0</v>
      </c>
      <c r="K295" s="288">
        <f t="shared" si="30"/>
        <v>0</v>
      </c>
      <c r="L295" s="288">
        <f t="shared" si="30"/>
        <v>0</v>
      </c>
      <c r="M295" s="288">
        <f t="shared" si="30"/>
        <v>0</v>
      </c>
      <c r="N295" s="288">
        <f t="shared" si="30"/>
        <v>0</v>
      </c>
      <c r="O295" s="288">
        <f t="shared" si="30"/>
        <v>0</v>
      </c>
      <c r="P295" s="865">
        <f t="shared" si="30"/>
        <v>0</v>
      </c>
      <c r="Q295" s="288">
        <f t="shared" si="30"/>
        <v>0</v>
      </c>
      <c r="R295" s="288">
        <f t="shared" si="30"/>
        <v>0</v>
      </c>
      <c r="S295" s="288">
        <f t="shared" si="30"/>
        <v>0</v>
      </c>
      <c r="T295" s="288">
        <f t="shared" si="30"/>
        <v>0</v>
      </c>
      <c r="U295" s="288">
        <f t="shared" si="30"/>
        <v>0</v>
      </c>
      <c r="V295" s="288">
        <f t="shared" si="30"/>
        <v>0</v>
      </c>
      <c r="W295" s="288">
        <f t="shared" si="30"/>
        <v>0</v>
      </c>
      <c r="X295" s="288">
        <f t="shared" si="30"/>
        <v>0</v>
      </c>
      <c r="Y295" s="288">
        <f t="shared" si="30"/>
        <v>0</v>
      </c>
      <c r="Z295" s="288">
        <f t="shared" si="30"/>
        <v>0</v>
      </c>
      <c r="AA295" s="288">
        <f t="shared" si="30"/>
        <v>0</v>
      </c>
      <c r="AB295" s="288">
        <f t="shared" si="30"/>
        <v>0</v>
      </c>
      <c r="AC295" s="288">
        <f t="shared" si="30"/>
        <v>0</v>
      </c>
      <c r="AD295" s="288">
        <f t="shared" si="30"/>
        <v>0</v>
      </c>
      <c r="AE295" s="288">
        <f t="shared" si="30"/>
        <v>0</v>
      </c>
      <c r="AF295" s="288">
        <f t="shared" si="30"/>
        <v>0</v>
      </c>
      <c r="AG295" s="288">
        <f t="shared" si="30"/>
        <v>0</v>
      </c>
      <c r="AH295" s="215"/>
    </row>
    <row r="296" spans="1:34" x14ac:dyDescent="0.2">
      <c r="A296" s="287" t="s">
        <v>8</v>
      </c>
      <c r="B296" s="266"/>
      <c r="C296" s="291"/>
      <c r="D296" s="291"/>
      <c r="E296" s="291"/>
      <c r="F296" s="290"/>
      <c r="G296" s="290"/>
      <c r="H296" s="290"/>
      <c r="I296" s="290"/>
      <c r="J296" s="290"/>
      <c r="K296" s="290"/>
      <c r="L296" s="290"/>
      <c r="M296" s="290"/>
      <c r="N296" s="290"/>
      <c r="O296" s="290"/>
      <c r="P296" s="292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  <c r="AA296" s="290"/>
      <c r="AB296" s="290"/>
      <c r="AC296" s="290"/>
      <c r="AD296" s="290"/>
      <c r="AE296" s="290"/>
      <c r="AF296" s="290"/>
      <c r="AG296" s="290"/>
      <c r="AH296" s="215"/>
    </row>
    <row r="297" spans="1:34" x14ac:dyDescent="0.2">
      <c r="A297" s="287" t="s">
        <v>775</v>
      </c>
      <c r="B297" s="266"/>
      <c r="C297" s="291">
        <v>602</v>
      </c>
      <c r="D297" s="291"/>
      <c r="E297" s="291">
        <v>1163</v>
      </c>
      <c r="F297" s="290"/>
      <c r="G297" s="290">
        <v>2000</v>
      </c>
      <c r="H297" s="290"/>
      <c r="I297" s="290">
        <v>1100</v>
      </c>
      <c r="J297" s="290"/>
      <c r="K297" s="290">
        <v>600</v>
      </c>
      <c r="L297" s="290">
        <v>4200</v>
      </c>
      <c r="M297" s="290">
        <v>800</v>
      </c>
      <c r="N297" s="290"/>
      <c r="O297" s="290">
        <v>5631</v>
      </c>
      <c r="P297" s="292">
        <v>1840</v>
      </c>
      <c r="Q297" s="290">
        <v>16055</v>
      </c>
      <c r="R297" s="290">
        <v>3734</v>
      </c>
      <c r="S297" s="290">
        <v>680</v>
      </c>
      <c r="T297" s="290">
        <v>1657</v>
      </c>
      <c r="U297" s="290">
        <v>1200</v>
      </c>
      <c r="V297" s="290">
        <v>12058</v>
      </c>
      <c r="W297" s="290">
        <v>1600</v>
      </c>
      <c r="X297" s="290">
        <v>2763</v>
      </c>
      <c r="Y297" s="290">
        <v>1600</v>
      </c>
      <c r="Z297" s="290">
        <v>2127</v>
      </c>
      <c r="AA297" s="290">
        <v>18290</v>
      </c>
      <c r="AB297" s="290">
        <v>1000</v>
      </c>
      <c r="AC297" s="290">
        <v>3780</v>
      </c>
      <c r="AD297" s="290">
        <v>1843</v>
      </c>
      <c r="AE297" s="290">
        <v>4686</v>
      </c>
      <c r="AF297" s="290">
        <v>47445</v>
      </c>
      <c r="AG297" s="290"/>
      <c r="AH297" s="286">
        <f>SUM(C297:AG297)</f>
        <v>138454</v>
      </c>
    </row>
    <row r="298" spans="1:34" ht="13.5" thickBot="1" x14ac:dyDescent="0.25">
      <c r="A298" s="296"/>
      <c r="B298" s="266"/>
      <c r="C298" s="291"/>
      <c r="D298" s="291"/>
      <c r="E298" s="291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2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15"/>
    </row>
    <row r="299" spans="1:34" x14ac:dyDescent="0.2">
      <c r="A299" s="282"/>
      <c r="B299" s="266"/>
      <c r="C299" s="297"/>
      <c r="D299" s="298"/>
      <c r="E299" s="298"/>
      <c r="F299" s="299"/>
      <c r="G299" s="299"/>
      <c r="H299" s="299"/>
      <c r="I299" s="299"/>
      <c r="J299" s="299"/>
      <c r="K299" s="299"/>
      <c r="L299" s="299"/>
      <c r="M299" s="299"/>
      <c r="N299" s="299"/>
      <c r="O299" s="299"/>
      <c r="P299" s="866"/>
      <c r="Q299" s="299"/>
      <c r="R299" s="299"/>
      <c r="S299" s="299"/>
      <c r="T299" s="299"/>
      <c r="U299" s="299"/>
      <c r="V299" s="299"/>
      <c r="W299" s="299"/>
      <c r="X299" s="299"/>
      <c r="Y299" s="299"/>
      <c r="Z299" s="299"/>
      <c r="AA299" s="299"/>
      <c r="AB299" s="299"/>
      <c r="AC299" s="299"/>
      <c r="AD299" s="299"/>
      <c r="AE299" s="299"/>
      <c r="AF299" s="299"/>
      <c r="AG299" s="299"/>
      <c r="AH299" s="215"/>
    </row>
    <row r="300" spans="1:34" x14ac:dyDescent="0.2">
      <c r="A300" s="287" t="s">
        <v>13</v>
      </c>
      <c r="B300" s="266"/>
      <c r="C300" s="300">
        <f>C295-C287</f>
        <v>0</v>
      </c>
      <c r="D300" s="300">
        <f>D295-D287</f>
        <v>0</v>
      </c>
      <c r="E300" s="300">
        <f>E295-E287</f>
        <v>0</v>
      </c>
      <c r="F300" s="300">
        <f>F295-F287</f>
        <v>0</v>
      </c>
      <c r="G300" s="300">
        <f>G295-G287</f>
        <v>0</v>
      </c>
      <c r="H300" s="300">
        <f t="shared" ref="H300:AG300" si="31">H295-H287</f>
        <v>0</v>
      </c>
      <c r="I300" s="300">
        <f t="shared" si="31"/>
        <v>0</v>
      </c>
      <c r="J300" s="300">
        <f t="shared" si="31"/>
        <v>0</v>
      </c>
      <c r="K300" s="300">
        <f t="shared" si="31"/>
        <v>0</v>
      </c>
      <c r="L300" s="300">
        <f t="shared" si="31"/>
        <v>0</v>
      </c>
      <c r="M300" s="300">
        <f t="shared" si="31"/>
        <v>0</v>
      </c>
      <c r="N300" s="300">
        <f t="shared" si="31"/>
        <v>0</v>
      </c>
      <c r="O300" s="300">
        <f t="shared" si="31"/>
        <v>0</v>
      </c>
      <c r="P300" s="867">
        <f t="shared" si="31"/>
        <v>0</v>
      </c>
      <c r="Q300" s="300">
        <f t="shared" si="31"/>
        <v>0</v>
      </c>
      <c r="R300" s="300">
        <f t="shared" si="31"/>
        <v>0</v>
      </c>
      <c r="S300" s="300">
        <f t="shared" si="31"/>
        <v>0</v>
      </c>
      <c r="T300" s="300">
        <f t="shared" si="31"/>
        <v>0</v>
      </c>
      <c r="U300" s="300">
        <f t="shared" si="31"/>
        <v>0</v>
      </c>
      <c r="V300" s="300">
        <f t="shared" si="31"/>
        <v>0</v>
      </c>
      <c r="W300" s="300">
        <f t="shared" si="31"/>
        <v>0</v>
      </c>
      <c r="X300" s="300">
        <f t="shared" si="31"/>
        <v>0</v>
      </c>
      <c r="Y300" s="300">
        <f t="shared" si="31"/>
        <v>0</v>
      </c>
      <c r="Z300" s="300">
        <f t="shared" si="31"/>
        <v>0</v>
      </c>
      <c r="AA300" s="300">
        <f t="shared" si="31"/>
        <v>0</v>
      </c>
      <c r="AB300" s="300">
        <f t="shared" si="31"/>
        <v>0</v>
      </c>
      <c r="AC300" s="300">
        <f t="shared" si="31"/>
        <v>-31023</v>
      </c>
      <c r="AD300" s="300">
        <f t="shared" si="31"/>
        <v>0</v>
      </c>
      <c r="AE300" s="300">
        <f t="shared" si="31"/>
        <v>-15687</v>
      </c>
      <c r="AF300" s="300">
        <f t="shared" si="31"/>
        <v>0</v>
      </c>
      <c r="AG300" s="300">
        <f t="shared" si="31"/>
        <v>0</v>
      </c>
      <c r="AH300" s="215"/>
    </row>
    <row r="301" spans="1:34" ht="13.5" thickBot="1" x14ac:dyDescent="0.25">
      <c r="A301" s="287"/>
      <c r="B301" s="266"/>
      <c r="C301" s="300"/>
      <c r="D301" s="291"/>
      <c r="E301" s="291"/>
      <c r="F301" s="290"/>
      <c r="G301" s="290"/>
      <c r="H301" s="290"/>
      <c r="I301" s="290"/>
      <c r="J301" s="290"/>
      <c r="K301" s="290"/>
      <c r="L301" s="290"/>
      <c r="M301" s="290"/>
      <c r="N301" s="290"/>
      <c r="O301" s="290"/>
      <c r="P301" s="292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  <c r="AA301" s="290"/>
      <c r="AB301" s="290"/>
      <c r="AC301" s="290"/>
      <c r="AD301" s="290"/>
      <c r="AE301" s="290"/>
      <c r="AF301" s="290"/>
      <c r="AG301" s="290"/>
      <c r="AH301" s="215"/>
    </row>
    <row r="302" spans="1:34" x14ac:dyDescent="0.2">
      <c r="A302" s="263"/>
      <c r="B302" s="264"/>
      <c r="C302" s="301"/>
      <c r="D302" s="298"/>
      <c r="E302" s="298"/>
      <c r="F302" s="299"/>
      <c r="G302" s="299"/>
      <c r="H302" s="299"/>
      <c r="I302" s="299"/>
      <c r="J302" s="299"/>
      <c r="K302" s="299"/>
      <c r="L302" s="299"/>
      <c r="M302" s="299"/>
      <c r="N302" s="299"/>
      <c r="O302" s="299"/>
      <c r="P302" s="866"/>
      <c r="Q302" s="299"/>
      <c r="R302" s="299"/>
      <c r="S302" s="299"/>
      <c r="T302" s="299"/>
      <c r="U302" s="299"/>
      <c r="V302" s="299"/>
      <c r="W302" s="299"/>
      <c r="X302" s="299"/>
      <c r="Y302" s="299"/>
      <c r="Z302" s="299"/>
      <c r="AA302" s="299"/>
      <c r="AB302" s="299"/>
      <c r="AC302" s="299"/>
      <c r="AD302" s="299"/>
      <c r="AE302" s="299"/>
      <c r="AF302" s="299"/>
      <c r="AG302" s="299"/>
      <c r="AH302" s="215"/>
    </row>
    <row r="303" spans="1:34" x14ac:dyDescent="0.2">
      <c r="A303" s="265" t="s">
        <v>15</v>
      </c>
      <c r="B303" s="266"/>
      <c r="C303" s="291">
        <f>B284+C300</f>
        <v>-49137.868000000002</v>
      </c>
      <c r="D303" s="291">
        <f t="shared" ref="D303:AG303" si="32">C310+D300</f>
        <v>-49137.868000000002</v>
      </c>
      <c r="E303" s="291">
        <f t="shared" si="32"/>
        <v>-49137.868000000002</v>
      </c>
      <c r="F303" s="291">
        <f t="shared" si="32"/>
        <v>-49137.868000000002</v>
      </c>
      <c r="G303" s="291">
        <f t="shared" si="32"/>
        <v>-49137.868000000002</v>
      </c>
      <c r="H303" s="291">
        <f t="shared" si="32"/>
        <v>-49137.868000000002</v>
      </c>
      <c r="I303" s="291">
        <f t="shared" si="32"/>
        <v>-49137.868000000002</v>
      </c>
      <c r="J303" s="291">
        <f t="shared" si="32"/>
        <v>-49137.868000000002</v>
      </c>
      <c r="K303" s="291">
        <f t="shared" si="32"/>
        <v>-49137.868000000002</v>
      </c>
      <c r="L303" s="291">
        <f t="shared" si="32"/>
        <v>-49137.868000000002</v>
      </c>
      <c r="M303" s="291">
        <f t="shared" si="32"/>
        <v>-49137.868000000002</v>
      </c>
      <c r="N303" s="291">
        <f t="shared" si="32"/>
        <v>-49137.868000000002</v>
      </c>
      <c r="O303" s="291">
        <f t="shared" si="32"/>
        <v>-49137.868000000002</v>
      </c>
      <c r="P303" s="289">
        <f t="shared" si="32"/>
        <v>-49137.868000000002</v>
      </c>
      <c r="Q303" s="291">
        <f t="shared" si="32"/>
        <v>-49137.868000000002</v>
      </c>
      <c r="R303" s="291">
        <f t="shared" si="32"/>
        <v>-49137.868000000002</v>
      </c>
      <c r="S303" s="291">
        <f t="shared" si="32"/>
        <v>-49137.868000000002</v>
      </c>
      <c r="T303" s="291">
        <f t="shared" si="32"/>
        <v>-49137.868000000002</v>
      </c>
      <c r="U303" s="291">
        <f t="shared" si="32"/>
        <v>-49137.868000000002</v>
      </c>
      <c r="V303" s="291">
        <f t="shared" si="32"/>
        <v>-49137.868000000002</v>
      </c>
      <c r="W303" s="291">
        <f t="shared" si="32"/>
        <v>-49137.868000000002</v>
      </c>
      <c r="X303" s="291">
        <f t="shared" si="32"/>
        <v>-49137.868000000002</v>
      </c>
      <c r="Y303" s="291">
        <f t="shared" si="32"/>
        <v>-49137.868000000002</v>
      </c>
      <c r="Z303" s="291">
        <f t="shared" si="32"/>
        <v>-49137.868000000002</v>
      </c>
      <c r="AA303" s="291">
        <f t="shared" si="32"/>
        <v>-49137.868000000002</v>
      </c>
      <c r="AB303" s="291">
        <f t="shared" si="32"/>
        <v>-49137.868000000002</v>
      </c>
      <c r="AC303" s="291">
        <f t="shared" si="32"/>
        <v>-80160.868000000002</v>
      </c>
      <c r="AD303" s="291">
        <f t="shared" si="32"/>
        <v>-80160.868000000002</v>
      </c>
      <c r="AE303" s="291">
        <f t="shared" si="32"/>
        <v>-95847.868000000002</v>
      </c>
      <c r="AF303" s="291">
        <f t="shared" si="32"/>
        <v>-95847.868000000002</v>
      </c>
      <c r="AG303" s="291">
        <f t="shared" si="32"/>
        <v>-95847.868000000002</v>
      </c>
      <c r="AH303" s="215"/>
    </row>
    <row r="304" spans="1:34" ht="13.5" thickBot="1" x14ac:dyDescent="0.25">
      <c r="A304" s="275"/>
      <c r="B304" s="302"/>
      <c r="C304" s="303"/>
      <c r="D304" s="303"/>
      <c r="E304" s="303"/>
      <c r="F304" s="304"/>
      <c r="G304" s="304"/>
      <c r="H304" s="304"/>
      <c r="I304" s="304"/>
      <c r="J304" s="304"/>
      <c r="K304" s="304"/>
      <c r="L304" s="304"/>
      <c r="M304" s="304"/>
      <c r="N304" s="304"/>
      <c r="O304" s="304"/>
      <c r="P304" s="868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4"/>
      <c r="AC304" s="304"/>
      <c r="AD304" s="304"/>
      <c r="AE304" s="304"/>
      <c r="AF304" s="304"/>
      <c r="AG304" s="304"/>
      <c r="AH304" s="215"/>
    </row>
    <row r="305" spans="1:34" x14ac:dyDescent="0.2">
      <c r="A305" s="263"/>
      <c r="B305" s="264"/>
      <c r="C305" s="298"/>
      <c r="D305" s="298"/>
      <c r="E305" s="298"/>
      <c r="F305" s="299"/>
      <c r="G305" s="299"/>
      <c r="H305" s="299"/>
      <c r="I305" s="299"/>
      <c r="J305" s="299"/>
      <c r="K305" s="299"/>
      <c r="L305" s="299"/>
      <c r="M305" s="299"/>
      <c r="N305" s="299"/>
      <c r="O305" s="299"/>
      <c r="P305" s="866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15"/>
    </row>
    <row r="306" spans="1:34" x14ac:dyDescent="0.2">
      <c r="A306" s="265" t="s">
        <v>82</v>
      </c>
      <c r="B306" s="266"/>
      <c r="C306" s="291">
        <f t="shared" ref="C306:AG307" si="33">C314</f>
        <v>0</v>
      </c>
      <c r="D306" s="291">
        <f t="shared" si="33"/>
        <v>0</v>
      </c>
      <c r="E306" s="291">
        <f t="shared" si="33"/>
        <v>0</v>
      </c>
      <c r="F306" s="291">
        <f t="shared" si="33"/>
        <v>0</v>
      </c>
      <c r="G306" s="291">
        <f t="shared" si="33"/>
        <v>0</v>
      </c>
      <c r="H306" s="291">
        <f t="shared" si="33"/>
        <v>0</v>
      </c>
      <c r="I306" s="291">
        <f t="shared" si="33"/>
        <v>0</v>
      </c>
      <c r="J306" s="291">
        <f t="shared" si="33"/>
        <v>0</v>
      </c>
      <c r="K306" s="291">
        <f t="shared" si="33"/>
        <v>0</v>
      </c>
      <c r="L306" s="291">
        <f t="shared" si="33"/>
        <v>0</v>
      </c>
      <c r="M306" s="291">
        <f t="shared" si="33"/>
        <v>0</v>
      </c>
      <c r="N306" s="291">
        <f t="shared" si="33"/>
        <v>0</v>
      </c>
      <c r="O306" s="291">
        <f t="shared" si="33"/>
        <v>0</v>
      </c>
      <c r="P306" s="289">
        <f t="shared" si="33"/>
        <v>0</v>
      </c>
      <c r="Q306" s="291">
        <f t="shared" si="33"/>
        <v>0</v>
      </c>
      <c r="R306" s="291">
        <f t="shared" si="33"/>
        <v>0</v>
      </c>
      <c r="S306" s="291">
        <f t="shared" si="33"/>
        <v>0</v>
      </c>
      <c r="T306" s="291">
        <f t="shared" si="33"/>
        <v>0</v>
      </c>
      <c r="U306" s="291">
        <f t="shared" si="33"/>
        <v>0</v>
      </c>
      <c r="V306" s="291">
        <f t="shared" si="33"/>
        <v>0</v>
      </c>
      <c r="W306" s="291">
        <f t="shared" si="33"/>
        <v>0</v>
      </c>
      <c r="X306" s="291">
        <f t="shared" si="33"/>
        <v>0</v>
      </c>
      <c r="Y306" s="291">
        <f t="shared" si="33"/>
        <v>0</v>
      </c>
      <c r="Z306" s="291">
        <f t="shared" si="33"/>
        <v>0</v>
      </c>
      <c r="AA306" s="291">
        <f>AA314</f>
        <v>0</v>
      </c>
      <c r="AB306" s="291">
        <f t="shared" si="33"/>
        <v>0</v>
      </c>
      <c r="AC306" s="291">
        <f t="shared" si="33"/>
        <v>0</v>
      </c>
      <c r="AD306" s="291">
        <f t="shared" si="33"/>
        <v>0</v>
      </c>
      <c r="AE306" s="291">
        <f t="shared" si="33"/>
        <v>0</v>
      </c>
      <c r="AF306" s="291">
        <f t="shared" si="33"/>
        <v>0</v>
      </c>
      <c r="AG306" s="291">
        <f t="shared" si="33"/>
        <v>0</v>
      </c>
      <c r="AH306" s="215"/>
    </row>
    <row r="307" spans="1:34" x14ac:dyDescent="0.2">
      <c r="A307" s="265" t="s">
        <v>83</v>
      </c>
      <c r="B307" s="266"/>
      <c r="C307" s="289">
        <f t="shared" si="33"/>
        <v>0</v>
      </c>
      <c r="D307" s="289">
        <f t="shared" si="33"/>
        <v>0</v>
      </c>
      <c r="E307" s="289">
        <f t="shared" si="33"/>
        <v>0</v>
      </c>
      <c r="F307" s="289">
        <f t="shared" si="33"/>
        <v>0</v>
      </c>
      <c r="G307" s="289">
        <f t="shared" si="33"/>
        <v>0</v>
      </c>
      <c r="H307" s="289">
        <f t="shared" si="33"/>
        <v>0</v>
      </c>
      <c r="I307" s="289">
        <f t="shared" si="33"/>
        <v>0</v>
      </c>
      <c r="J307" s="289">
        <f t="shared" si="33"/>
        <v>0</v>
      </c>
      <c r="K307" s="289">
        <f t="shared" si="33"/>
        <v>0</v>
      </c>
      <c r="L307" s="289">
        <f t="shared" si="33"/>
        <v>0</v>
      </c>
      <c r="M307" s="289">
        <f t="shared" si="33"/>
        <v>0</v>
      </c>
      <c r="N307" s="289">
        <f t="shared" si="33"/>
        <v>0</v>
      </c>
      <c r="O307" s="289">
        <f t="shared" si="33"/>
        <v>0</v>
      </c>
      <c r="P307" s="289">
        <f t="shared" si="33"/>
        <v>0</v>
      </c>
      <c r="Q307" s="289">
        <f t="shared" si="33"/>
        <v>0</v>
      </c>
      <c r="R307" s="289">
        <f t="shared" si="33"/>
        <v>0</v>
      </c>
      <c r="S307" s="289">
        <f t="shared" si="33"/>
        <v>0</v>
      </c>
      <c r="T307" s="289">
        <f t="shared" si="33"/>
        <v>0</v>
      </c>
      <c r="U307" s="289">
        <f t="shared" si="33"/>
        <v>0</v>
      </c>
      <c r="V307" s="289">
        <f t="shared" si="33"/>
        <v>0</v>
      </c>
      <c r="W307" s="289">
        <f t="shared" si="33"/>
        <v>0</v>
      </c>
      <c r="X307" s="289">
        <f t="shared" si="33"/>
        <v>0</v>
      </c>
      <c r="Y307" s="289">
        <f t="shared" si="33"/>
        <v>0</v>
      </c>
      <c r="Z307" s="289">
        <f t="shared" si="33"/>
        <v>0</v>
      </c>
      <c r="AA307" s="289">
        <f t="shared" si="33"/>
        <v>0</v>
      </c>
      <c r="AB307" s="289">
        <f t="shared" si="33"/>
        <v>0</v>
      </c>
      <c r="AC307" s="289">
        <f t="shared" si="33"/>
        <v>0</v>
      </c>
      <c r="AD307" s="289">
        <f t="shared" si="33"/>
        <v>0</v>
      </c>
      <c r="AE307" s="289">
        <f t="shared" si="33"/>
        <v>0</v>
      </c>
      <c r="AF307" s="289">
        <f t="shared" si="33"/>
        <v>0</v>
      </c>
      <c r="AG307" s="289">
        <f t="shared" si="33"/>
        <v>0</v>
      </c>
      <c r="AH307" s="215"/>
    </row>
    <row r="308" spans="1:34" ht="13.5" thickBot="1" x14ac:dyDescent="0.25">
      <c r="A308" s="275"/>
      <c r="B308" s="302"/>
      <c r="C308" s="303"/>
      <c r="D308" s="303"/>
      <c r="E308" s="303"/>
      <c r="F308" s="304"/>
      <c r="G308" s="304"/>
      <c r="H308" s="304"/>
      <c r="I308" s="304"/>
      <c r="J308" s="304"/>
      <c r="K308" s="304"/>
      <c r="L308" s="304"/>
      <c r="M308" s="304"/>
      <c r="N308" s="304"/>
      <c r="O308" s="304"/>
      <c r="P308" s="868"/>
      <c r="Q308" s="304"/>
      <c r="R308" s="304"/>
      <c r="S308" s="304"/>
      <c r="T308" s="304"/>
      <c r="U308" s="304"/>
      <c r="V308" s="304"/>
      <c r="W308" s="304"/>
      <c r="X308" s="304"/>
      <c r="Y308" s="304"/>
      <c r="Z308" s="304"/>
      <c r="AA308" s="304"/>
      <c r="AB308" s="304"/>
      <c r="AC308" s="304"/>
      <c r="AD308" s="304"/>
      <c r="AE308" s="304"/>
      <c r="AF308" s="304"/>
      <c r="AG308" s="304"/>
      <c r="AH308" s="215"/>
    </row>
    <row r="309" spans="1:34" x14ac:dyDescent="0.2">
      <c r="A309" s="265"/>
      <c r="B309" s="266"/>
      <c r="C309" s="291"/>
      <c r="D309" s="291"/>
      <c r="E309" s="291"/>
      <c r="F309" s="290"/>
      <c r="G309" s="290"/>
      <c r="H309" s="290"/>
      <c r="I309" s="290"/>
      <c r="J309" s="290"/>
      <c r="K309" s="290"/>
      <c r="L309" s="290"/>
      <c r="M309" s="290"/>
      <c r="N309" s="290"/>
      <c r="O309" s="290"/>
      <c r="P309" s="292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  <c r="AA309" s="290"/>
      <c r="AB309" s="290"/>
      <c r="AC309" s="290"/>
      <c r="AD309" s="290"/>
      <c r="AE309" s="290"/>
      <c r="AF309" s="290"/>
      <c r="AG309" s="290"/>
      <c r="AH309" s="215"/>
    </row>
    <row r="310" spans="1:34" x14ac:dyDescent="0.2">
      <c r="A310" s="265" t="s">
        <v>14</v>
      </c>
      <c r="B310" s="266"/>
      <c r="C310" s="291">
        <f>C303+C306+C307</f>
        <v>-49137.868000000002</v>
      </c>
      <c r="D310" s="291">
        <f>D303+D306+D307</f>
        <v>-49137.868000000002</v>
      </c>
      <c r="E310" s="291">
        <f>E303+E306+E307</f>
        <v>-49137.868000000002</v>
      </c>
      <c r="F310" s="291">
        <f>F303+F306+F307</f>
        <v>-49137.868000000002</v>
      </c>
      <c r="G310" s="291">
        <f>G303+G306+G307</f>
        <v>-49137.868000000002</v>
      </c>
      <c r="H310" s="291">
        <f t="shared" ref="H310:AG310" si="34">H303+H306+H307</f>
        <v>-49137.868000000002</v>
      </c>
      <c r="I310" s="291">
        <f t="shared" si="34"/>
        <v>-49137.868000000002</v>
      </c>
      <c r="J310" s="291">
        <f t="shared" si="34"/>
        <v>-49137.868000000002</v>
      </c>
      <c r="K310" s="291">
        <f t="shared" si="34"/>
        <v>-49137.868000000002</v>
      </c>
      <c r="L310" s="291">
        <f t="shared" si="34"/>
        <v>-49137.868000000002</v>
      </c>
      <c r="M310" s="291">
        <f t="shared" si="34"/>
        <v>-49137.868000000002</v>
      </c>
      <c r="N310" s="291">
        <f t="shared" si="34"/>
        <v>-49137.868000000002</v>
      </c>
      <c r="O310" s="291">
        <f t="shared" si="34"/>
        <v>-49137.868000000002</v>
      </c>
      <c r="P310" s="289">
        <f t="shared" si="34"/>
        <v>-49137.868000000002</v>
      </c>
      <c r="Q310" s="291">
        <f t="shared" si="34"/>
        <v>-49137.868000000002</v>
      </c>
      <c r="R310" s="291">
        <f t="shared" si="34"/>
        <v>-49137.868000000002</v>
      </c>
      <c r="S310" s="291">
        <f t="shared" si="34"/>
        <v>-49137.868000000002</v>
      </c>
      <c r="T310" s="291">
        <f t="shared" si="34"/>
        <v>-49137.868000000002</v>
      </c>
      <c r="U310" s="291">
        <f t="shared" si="34"/>
        <v>-49137.868000000002</v>
      </c>
      <c r="V310" s="291">
        <f t="shared" si="34"/>
        <v>-49137.868000000002</v>
      </c>
      <c r="W310" s="291">
        <f t="shared" si="34"/>
        <v>-49137.868000000002</v>
      </c>
      <c r="X310" s="291">
        <f t="shared" si="34"/>
        <v>-49137.868000000002</v>
      </c>
      <c r="Y310" s="291">
        <f t="shared" si="34"/>
        <v>-49137.868000000002</v>
      </c>
      <c r="Z310" s="291">
        <f t="shared" si="34"/>
        <v>-49137.868000000002</v>
      </c>
      <c r="AA310" s="291">
        <f t="shared" si="34"/>
        <v>-49137.868000000002</v>
      </c>
      <c r="AB310" s="291">
        <f t="shared" si="34"/>
        <v>-49137.868000000002</v>
      </c>
      <c r="AC310" s="291">
        <f t="shared" si="34"/>
        <v>-80160.868000000002</v>
      </c>
      <c r="AD310" s="291">
        <f t="shared" si="34"/>
        <v>-80160.868000000002</v>
      </c>
      <c r="AE310" s="291">
        <f t="shared" si="34"/>
        <v>-95847.868000000002</v>
      </c>
      <c r="AF310" s="291">
        <f t="shared" si="34"/>
        <v>-95847.868000000002</v>
      </c>
      <c r="AG310" s="291">
        <f t="shared" si="34"/>
        <v>-95847.868000000002</v>
      </c>
      <c r="AH310" s="215"/>
    </row>
    <row r="311" spans="1:34" x14ac:dyDescent="0.2">
      <c r="A311" s="265"/>
      <c r="B311" s="266"/>
      <c r="C311" s="291"/>
      <c r="D311" s="291"/>
      <c r="E311" s="291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2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  <c r="AE311" s="290"/>
      <c r="AF311" s="290"/>
      <c r="AG311" s="290"/>
      <c r="AH311" s="215"/>
    </row>
    <row r="312" spans="1:34" ht="13.5" thickBot="1" x14ac:dyDescent="0.25">
      <c r="A312" s="275"/>
      <c r="B312" s="302"/>
      <c r="C312" s="306"/>
      <c r="D312" s="306"/>
      <c r="E312" s="306"/>
      <c r="F312" s="307"/>
      <c r="G312" s="307"/>
      <c r="H312" s="307"/>
      <c r="I312" s="307"/>
      <c r="J312" s="307"/>
      <c r="K312" s="307"/>
      <c r="L312" s="307"/>
      <c r="M312" s="307"/>
      <c r="N312" s="307"/>
      <c r="O312" s="307"/>
      <c r="P312" s="869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307"/>
      <c r="AB312" s="307"/>
      <c r="AC312" s="307"/>
      <c r="AD312" s="307"/>
      <c r="AE312" s="307"/>
      <c r="AF312" s="307"/>
      <c r="AG312" s="307"/>
      <c r="AH312" s="215"/>
    </row>
    <row r="313" spans="1:34" x14ac:dyDescent="0.2">
      <c r="A313" s="310"/>
      <c r="B313" s="215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308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>
        <f>SUM(C313:AG313)</f>
        <v>0</v>
      </c>
    </row>
    <row r="314" spans="1:34" x14ac:dyDescent="0.2">
      <c r="A314" s="312"/>
      <c r="B314" s="475"/>
      <c r="C314" s="311"/>
      <c r="D314" s="629"/>
      <c r="E314" s="371"/>
      <c r="F314" s="311"/>
      <c r="G314" s="311"/>
      <c r="H314" s="314"/>
      <c r="I314" s="311"/>
      <c r="J314" s="311"/>
      <c r="K314" s="311"/>
      <c r="L314" s="311"/>
      <c r="M314" s="314"/>
      <c r="N314" s="314"/>
      <c r="O314" s="314"/>
      <c r="P314" s="629"/>
      <c r="Q314" s="311"/>
      <c r="R314" s="311"/>
      <c r="S314" s="311"/>
      <c r="T314" s="311"/>
      <c r="U314" s="311"/>
      <c r="V314" s="311"/>
      <c r="W314" s="314"/>
      <c r="X314" s="314"/>
      <c r="Y314" s="314"/>
      <c r="Z314" s="314"/>
      <c r="AA314" s="314"/>
      <c r="AB314" s="314"/>
      <c r="AC314" s="314"/>
      <c r="AD314" s="629"/>
      <c r="AE314" s="311"/>
      <c r="AF314" s="311"/>
      <c r="AG314" s="311"/>
      <c r="AH314" s="286"/>
    </row>
    <row r="315" spans="1:34" x14ac:dyDescent="0.2">
      <c r="A315" s="215"/>
      <c r="B315" s="215"/>
      <c r="C315" s="215"/>
      <c r="D315" s="215"/>
      <c r="E315" s="317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309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15"/>
      <c r="AE315" s="215"/>
      <c r="AF315" s="215"/>
      <c r="AG315" s="215"/>
      <c r="AH315" s="286"/>
    </row>
    <row r="316" spans="1:34" x14ac:dyDescent="0.2">
      <c r="A316" s="358" t="s">
        <v>415</v>
      </c>
      <c r="B316" s="359">
        <f>B317+B318+B320+B319</f>
        <v>1020000</v>
      </c>
      <c r="C316" s="316"/>
      <c r="D316" s="215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309"/>
      <c r="Q316" s="215"/>
      <c r="R316" s="215"/>
      <c r="S316" s="215"/>
      <c r="T316" s="215"/>
      <c r="U316" s="457"/>
      <c r="V316" s="314"/>
      <c r="W316" s="286"/>
      <c r="X316" s="215"/>
      <c r="Y316" s="215"/>
      <c r="Z316" s="215"/>
      <c r="AA316" s="408"/>
      <c r="AB316" s="215"/>
      <c r="AC316" s="215"/>
      <c r="AD316" s="215"/>
      <c r="AE316" s="215"/>
      <c r="AF316" s="215"/>
      <c r="AG316" s="215"/>
      <c r="AH316" s="215"/>
    </row>
    <row r="317" spans="1:34" x14ac:dyDescent="0.2">
      <c r="A317" s="327" t="s">
        <v>414</v>
      </c>
      <c r="B317" s="311">
        <v>20000</v>
      </c>
      <c r="C317" s="215"/>
      <c r="D317" s="215"/>
      <c r="E317" s="286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313"/>
      <c r="V317" s="313"/>
      <c r="W317" s="215"/>
      <c r="X317" s="215"/>
      <c r="Y317" s="215"/>
      <c r="Z317" s="215"/>
      <c r="AA317" s="215"/>
      <c r="AB317" s="215"/>
      <c r="AC317" s="286"/>
      <c r="AD317" s="286"/>
      <c r="AE317" s="215"/>
      <c r="AF317" s="215"/>
      <c r="AG317" s="215"/>
      <c r="AH317" s="215"/>
    </row>
    <row r="318" spans="1:34" x14ac:dyDescent="0.2">
      <c r="A318" s="327" t="s">
        <v>287</v>
      </c>
      <c r="B318" s="311">
        <v>600000</v>
      </c>
      <c r="C318" s="215"/>
      <c r="D318" s="215"/>
      <c r="E318" s="215"/>
      <c r="F318" s="215"/>
      <c r="G318" s="215"/>
      <c r="H318" s="215"/>
      <c r="I318" s="215"/>
      <c r="J318" s="215"/>
      <c r="K318" s="286"/>
      <c r="L318" s="215"/>
      <c r="M318" s="215"/>
      <c r="N318" s="215"/>
      <c r="O318" s="215"/>
      <c r="P318" s="309"/>
      <c r="Q318" s="215"/>
      <c r="R318" s="215"/>
      <c r="S318" s="215"/>
      <c r="T318" s="215"/>
      <c r="U318" s="458"/>
      <c r="V318" s="313"/>
      <c r="W318" s="215"/>
      <c r="X318" s="286"/>
      <c r="Y318" s="215"/>
      <c r="Z318" s="215"/>
      <c r="AA318" s="215"/>
      <c r="AB318" s="215"/>
      <c r="AC318" s="215"/>
      <c r="AD318" s="215"/>
      <c r="AE318" s="215"/>
      <c r="AF318" s="215"/>
      <c r="AG318" s="215"/>
    </row>
    <row r="319" spans="1:34" x14ac:dyDescent="0.2">
      <c r="A319" s="310" t="s">
        <v>413</v>
      </c>
      <c r="B319" s="311">
        <v>200000</v>
      </c>
      <c r="C319" s="215"/>
      <c r="D319" s="215"/>
      <c r="E319" s="215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309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 s="215"/>
      <c r="AC319" s="215"/>
      <c r="AD319" s="215"/>
      <c r="AE319" s="215"/>
      <c r="AF319" s="215"/>
      <c r="AG319" s="215"/>
    </row>
    <row r="320" spans="1:34" x14ac:dyDescent="0.2">
      <c r="A320" s="310" t="s">
        <v>441</v>
      </c>
      <c r="B320" s="311">
        <v>200000</v>
      </c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309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215"/>
      <c r="B321" s="215"/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183" t="s">
        <v>449</v>
      </c>
      <c r="B322" s="25"/>
      <c r="L322" s="42"/>
    </row>
    <row r="323" spans="1:33" x14ac:dyDescent="0.2">
      <c r="AB323" s="42"/>
      <c r="AC323" s="42"/>
      <c r="AD323" s="42"/>
      <c r="AE323" s="42"/>
    </row>
    <row r="330" spans="1:33" ht="15" x14ac:dyDescent="0.2">
      <c r="A330" s="401"/>
      <c r="B330" s="791"/>
    </row>
    <row r="331" spans="1:33" ht="15" x14ac:dyDescent="0.2">
      <c r="A331" s="401"/>
      <c r="B331" s="791"/>
    </row>
    <row r="332" spans="1:33" ht="15" x14ac:dyDescent="0.2">
      <c r="A332" s="401"/>
      <c r="B332" s="791"/>
    </row>
    <row r="337" spans="1:2" ht="18" x14ac:dyDescent="0.25">
      <c r="A337" s="1757"/>
      <c r="B337" s="1757"/>
    </row>
    <row r="338" spans="1:2" x14ac:dyDescent="0.2">
      <c r="A338" s="54"/>
      <c r="B338" s="54"/>
    </row>
    <row r="340" spans="1:2" x14ac:dyDescent="0.2">
      <c r="A340" s="483"/>
      <c r="B340" s="25"/>
    </row>
    <row r="341" spans="1:2" x14ac:dyDescent="0.2">
      <c r="A341" s="483"/>
      <c r="B341" s="25"/>
    </row>
    <row r="342" spans="1:2" x14ac:dyDescent="0.2">
      <c r="A342" s="483"/>
      <c r="B342" s="25"/>
    </row>
    <row r="343" spans="1:2" x14ac:dyDescent="0.2">
      <c r="A343" s="483"/>
      <c r="B343" s="25"/>
    </row>
    <row r="344" spans="1:2" x14ac:dyDescent="0.2">
      <c r="A344" s="483"/>
      <c r="B344" s="25"/>
    </row>
    <row r="345" spans="1:2" x14ac:dyDescent="0.2">
      <c r="A345" s="483"/>
      <c r="B345" s="25"/>
    </row>
    <row r="346" spans="1:2" x14ac:dyDescent="0.2">
      <c r="A346" s="483"/>
      <c r="B346" s="25"/>
    </row>
    <row r="347" spans="1:2" x14ac:dyDescent="0.2">
      <c r="A347" s="483"/>
      <c r="B347" s="25"/>
    </row>
    <row r="348" spans="1:2" x14ac:dyDescent="0.2">
      <c r="A348" s="483"/>
      <c r="B348" s="25"/>
    </row>
    <row r="349" spans="1:2" x14ac:dyDescent="0.2">
      <c r="A349" s="483"/>
      <c r="B349" s="25"/>
    </row>
    <row r="350" spans="1:2" x14ac:dyDescent="0.2">
      <c r="A350" s="483"/>
      <c r="B350" s="25"/>
    </row>
    <row r="353" spans="2:2" x14ac:dyDescent="0.2">
      <c r="B353" s="25"/>
    </row>
    <row r="354" spans="2:2" x14ac:dyDescent="0.2">
      <c r="B354" s="25"/>
    </row>
    <row r="355" spans="2:2" x14ac:dyDescent="0.2">
      <c r="B355" s="25"/>
    </row>
    <row r="357" spans="2:2" x14ac:dyDescent="0.2">
      <c r="B357" s="889"/>
    </row>
  </sheetData>
  <mergeCells count="1">
    <mergeCell ref="A337:B337"/>
  </mergeCells>
  <pageMargins left="0.78740157480314965" right="0.78740157480314965" top="0.98425196850393704" bottom="0.98425196850393704" header="0.51181102362204722" footer="0.51181102362204722"/>
  <pageSetup paperSize="9" fitToHeight="2" orientation="landscape" horizontalDpi="300" verticalDpi="30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7">
    <pageSetUpPr fitToPage="1"/>
  </sheetPr>
  <dimension ref="A1:AQ359"/>
  <sheetViews>
    <sheetView topLeftCell="A22" workbookViewId="0">
      <pane ySplit="960" topLeftCell="A76" activePane="bottomLeft"/>
      <selection pane="bottomLeft" activeCell="C52" sqref="C52"/>
    </sheetView>
  </sheetViews>
  <sheetFormatPr defaultColWidth="11.42578125" defaultRowHeight="12.75" x14ac:dyDescent="0.2"/>
  <cols>
    <col min="1" max="1" width="37.42578125" customWidth="1"/>
    <col min="2" max="2" width="13.7109375" customWidth="1"/>
    <col min="3" max="3" width="14" customWidth="1"/>
    <col min="4" max="4" width="14.28515625" customWidth="1"/>
    <col min="5" max="5" width="14.42578125" bestFit="1" customWidth="1"/>
    <col min="6" max="6" width="12.7109375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1.85546875" bestFit="1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4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4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4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4" x14ac:dyDescent="0.2">
      <c r="A4" s="215"/>
      <c r="B4" s="215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81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15"/>
    </row>
    <row r="5" spans="1:34" x14ac:dyDescent="0.2">
      <c r="A5" s="1" t="s">
        <v>689</v>
      </c>
      <c r="B5" s="451" t="s">
        <v>132</v>
      </c>
      <c r="C5" s="359">
        <f>C6+C7+C8+C9</f>
        <v>-386273.54200000002</v>
      </c>
      <c r="D5" s="359">
        <f t="shared" ref="D5:AG5" si="0">D6+D7+D8+D9</f>
        <v>-386273.54200000002</v>
      </c>
      <c r="E5" s="359">
        <f t="shared" si="0"/>
        <v>-386273.54200000002</v>
      </c>
      <c r="F5" s="359">
        <f t="shared" si="0"/>
        <v>-386273.54200000002</v>
      </c>
      <c r="G5" s="359">
        <f t="shared" si="0"/>
        <v>-386273.54200000002</v>
      </c>
      <c r="H5" s="359">
        <f t="shared" si="0"/>
        <v>-386273.54200000002</v>
      </c>
      <c r="I5" s="359">
        <f t="shared" si="0"/>
        <v>-386273.54200000002</v>
      </c>
      <c r="J5" s="453">
        <f t="shared" si="0"/>
        <v>-386273.54200000002</v>
      </c>
      <c r="K5" s="453">
        <f t="shared" si="0"/>
        <v>-386273.54200000002</v>
      </c>
      <c r="L5" s="359">
        <f t="shared" si="0"/>
        <v>-386273.54200000002</v>
      </c>
      <c r="M5" s="359">
        <f t="shared" si="0"/>
        <v>-386273.54200000002</v>
      </c>
      <c r="N5" s="359">
        <f t="shared" si="0"/>
        <v>-386273.54200000002</v>
      </c>
      <c r="O5" s="359">
        <f t="shared" si="0"/>
        <v>-386273.54200000002</v>
      </c>
      <c r="P5" s="858">
        <f t="shared" si="0"/>
        <v>-386273.54200000002</v>
      </c>
      <c r="Q5" s="359">
        <f t="shared" si="0"/>
        <v>-386273.54200000002</v>
      </c>
      <c r="R5" s="359">
        <f t="shared" si="0"/>
        <v>-386273.54200000002</v>
      </c>
      <c r="S5" s="359">
        <f t="shared" si="0"/>
        <v>-386273.54200000002</v>
      </c>
      <c r="T5" s="359">
        <f t="shared" si="0"/>
        <v>-386273.54200000002</v>
      </c>
      <c r="U5" s="359">
        <f t="shared" si="0"/>
        <v>-386273.54200000002</v>
      </c>
      <c r="V5" s="359">
        <f t="shared" si="0"/>
        <v>-386273.54200000002</v>
      </c>
      <c r="W5" s="359">
        <f t="shared" si="0"/>
        <v>-386273.54200000002</v>
      </c>
      <c r="X5" s="359">
        <f t="shared" si="0"/>
        <v>-386273.54200000002</v>
      </c>
      <c r="Y5" s="359">
        <f t="shared" si="0"/>
        <v>-386273.54200000002</v>
      </c>
      <c r="Z5" s="359">
        <f t="shared" si="0"/>
        <v>-386273.54200000002</v>
      </c>
      <c r="AA5" s="359">
        <f t="shared" si="0"/>
        <v>-386273.54200000002</v>
      </c>
      <c r="AB5" s="359">
        <f t="shared" si="0"/>
        <v>-386273.54200000002</v>
      </c>
      <c r="AC5" s="359">
        <f t="shared" si="0"/>
        <v>-386273.54200000002</v>
      </c>
      <c r="AD5" s="359">
        <f t="shared" si="0"/>
        <v>-386273.54200000002</v>
      </c>
      <c r="AE5" s="359">
        <f t="shared" si="0"/>
        <v>-386273.54200000002</v>
      </c>
      <c r="AF5" s="359">
        <f t="shared" si="0"/>
        <v>-386273.54200000002</v>
      </c>
      <c r="AG5" s="359">
        <f t="shared" si="0"/>
        <v>-394787.54200000002</v>
      </c>
      <c r="AH5" s="215"/>
    </row>
    <row r="6" spans="1:34" x14ac:dyDescent="0.2">
      <c r="A6" s="56">
        <v>100000</v>
      </c>
      <c r="B6" s="215" t="s">
        <v>690</v>
      </c>
      <c r="C6" s="311">
        <f>C70</f>
        <v>-380520.424</v>
      </c>
      <c r="D6" s="311">
        <f t="shared" ref="D6:AG6" si="1">D70</f>
        <v>-380520.424</v>
      </c>
      <c r="E6" s="311">
        <f t="shared" si="1"/>
        <v>-380520.424</v>
      </c>
      <c r="F6" s="311">
        <f t="shared" si="1"/>
        <v>-380520.424</v>
      </c>
      <c r="G6" s="311">
        <f t="shared" si="1"/>
        <v>-380520.424</v>
      </c>
      <c r="H6" s="311">
        <f t="shared" si="1"/>
        <v>-380520.424</v>
      </c>
      <c r="I6" s="311">
        <f t="shared" si="1"/>
        <v>-380520.424</v>
      </c>
      <c r="J6" s="314">
        <f t="shared" si="1"/>
        <v>-380520.424</v>
      </c>
      <c r="K6" s="314">
        <f t="shared" si="1"/>
        <v>-380520.424</v>
      </c>
      <c r="L6" s="311">
        <f t="shared" si="1"/>
        <v>-380520.424</v>
      </c>
      <c r="M6" s="311">
        <f t="shared" si="1"/>
        <v>-380520.424</v>
      </c>
      <c r="N6" s="311">
        <f t="shared" si="1"/>
        <v>-380520.424</v>
      </c>
      <c r="O6" s="311">
        <f t="shared" si="1"/>
        <v>-380520.424</v>
      </c>
      <c r="P6" s="629">
        <f t="shared" si="1"/>
        <v>-380520.424</v>
      </c>
      <c r="Q6" s="311">
        <f t="shared" si="1"/>
        <v>-380520.424</v>
      </c>
      <c r="R6" s="311">
        <f t="shared" si="1"/>
        <v>-380520.424</v>
      </c>
      <c r="S6" s="311">
        <f t="shared" si="1"/>
        <v>-380520.424</v>
      </c>
      <c r="T6" s="311">
        <f t="shared" si="1"/>
        <v>-380520.424</v>
      </c>
      <c r="U6" s="311">
        <f t="shared" si="1"/>
        <v>-380520.424</v>
      </c>
      <c r="V6" s="311">
        <f t="shared" si="1"/>
        <v>-380520.424</v>
      </c>
      <c r="W6" s="311">
        <f t="shared" si="1"/>
        <v>-380520.424</v>
      </c>
      <c r="X6" s="311">
        <f t="shared" si="1"/>
        <v>-380520.424</v>
      </c>
      <c r="Y6" s="311">
        <f t="shared" si="1"/>
        <v>-380520.424</v>
      </c>
      <c r="Z6" s="311">
        <f t="shared" si="1"/>
        <v>-380520.424</v>
      </c>
      <c r="AA6" s="311">
        <f t="shared" si="1"/>
        <v>-380520.424</v>
      </c>
      <c r="AB6" s="311">
        <f t="shared" si="1"/>
        <v>-380520.424</v>
      </c>
      <c r="AC6" s="311">
        <f t="shared" si="1"/>
        <v>-380520.424</v>
      </c>
      <c r="AD6" s="311">
        <f t="shared" si="1"/>
        <v>-380520.424</v>
      </c>
      <c r="AE6" s="311">
        <f t="shared" si="1"/>
        <v>-380520.424</v>
      </c>
      <c r="AF6" s="311">
        <f t="shared" si="1"/>
        <v>-380520.424</v>
      </c>
      <c r="AG6" s="311">
        <f t="shared" si="1"/>
        <v>-380520.424</v>
      </c>
      <c r="AH6" s="215"/>
    </row>
    <row r="7" spans="1:34" x14ac:dyDescent="0.2">
      <c r="A7" s="56">
        <v>25000</v>
      </c>
      <c r="B7" s="215" t="s">
        <v>666</v>
      </c>
      <c r="C7" s="311">
        <f>C185</f>
        <v>-22298.589</v>
      </c>
      <c r="D7" s="311">
        <f t="shared" ref="D7:AG7" si="2">D185</f>
        <v>-22298.589</v>
      </c>
      <c r="E7" s="311">
        <f t="shared" si="2"/>
        <v>-22298.589</v>
      </c>
      <c r="F7" s="311">
        <f t="shared" si="2"/>
        <v>-22298.589</v>
      </c>
      <c r="G7" s="311">
        <f t="shared" si="2"/>
        <v>-22298.589</v>
      </c>
      <c r="H7" s="311">
        <f t="shared" si="2"/>
        <v>-22298.589</v>
      </c>
      <c r="I7" s="311">
        <f t="shared" si="2"/>
        <v>-22298.589</v>
      </c>
      <c r="J7" s="314">
        <f t="shared" si="2"/>
        <v>-22298.589</v>
      </c>
      <c r="K7" s="314">
        <f t="shared" si="2"/>
        <v>-22298.589</v>
      </c>
      <c r="L7" s="311">
        <f t="shared" si="2"/>
        <v>-22298.589</v>
      </c>
      <c r="M7" s="311">
        <f t="shared" si="2"/>
        <v>-22298.589</v>
      </c>
      <c r="N7" s="311">
        <f t="shared" si="2"/>
        <v>-22298.589</v>
      </c>
      <c r="O7" s="311">
        <f t="shared" si="2"/>
        <v>-22298.589</v>
      </c>
      <c r="P7" s="629">
        <f>P185</f>
        <v>-22298.589</v>
      </c>
      <c r="Q7" s="311">
        <f t="shared" si="2"/>
        <v>-22298.589</v>
      </c>
      <c r="R7" s="311">
        <f t="shared" si="2"/>
        <v>-22298.589</v>
      </c>
      <c r="S7" s="784">
        <f t="shared" si="2"/>
        <v>-22298.589</v>
      </c>
      <c r="T7" s="311">
        <f t="shared" si="2"/>
        <v>-22298.589</v>
      </c>
      <c r="U7" s="311">
        <f t="shared" si="2"/>
        <v>-22298.589</v>
      </c>
      <c r="V7" s="311">
        <f t="shared" si="2"/>
        <v>-22298.589</v>
      </c>
      <c r="W7" s="311">
        <f t="shared" si="2"/>
        <v>-22298.589</v>
      </c>
      <c r="X7" s="311">
        <f t="shared" si="2"/>
        <v>-22298.589</v>
      </c>
      <c r="Y7" s="311">
        <f t="shared" si="2"/>
        <v>-22298.589</v>
      </c>
      <c r="Z7" s="311">
        <f t="shared" si="2"/>
        <v>-22298.589</v>
      </c>
      <c r="AA7" s="311">
        <f t="shared" si="2"/>
        <v>-22298.589</v>
      </c>
      <c r="AB7" s="311">
        <f t="shared" si="2"/>
        <v>-22298.589</v>
      </c>
      <c r="AC7" s="311">
        <f t="shared" si="2"/>
        <v>-22298.589</v>
      </c>
      <c r="AD7" s="311">
        <f t="shared" si="2"/>
        <v>-22298.589</v>
      </c>
      <c r="AE7" s="311">
        <f t="shared" si="2"/>
        <v>-22298.589</v>
      </c>
      <c r="AF7" s="311">
        <f t="shared" si="2"/>
        <v>-22298.589</v>
      </c>
      <c r="AG7" s="311">
        <f t="shared" si="2"/>
        <v>-22298.589</v>
      </c>
      <c r="AH7" s="215"/>
    </row>
    <row r="8" spans="1:34" x14ac:dyDescent="0.2">
      <c r="A8" s="56">
        <v>25000</v>
      </c>
      <c r="B8" s="215" t="s">
        <v>667</v>
      </c>
      <c r="C8" s="311">
        <f>C248</f>
        <v>37934.538999999997</v>
      </c>
      <c r="D8" s="311">
        <f t="shared" ref="D8:AG8" si="3">D248</f>
        <v>37934.538999999997</v>
      </c>
      <c r="E8" s="311">
        <f t="shared" si="3"/>
        <v>37934.538999999997</v>
      </c>
      <c r="F8" s="311">
        <f t="shared" si="3"/>
        <v>37934.538999999997</v>
      </c>
      <c r="G8" s="311">
        <f t="shared" si="3"/>
        <v>37934.538999999997</v>
      </c>
      <c r="H8" s="311">
        <f t="shared" si="3"/>
        <v>37934.538999999997</v>
      </c>
      <c r="I8" s="784">
        <f t="shared" si="3"/>
        <v>37934.538999999997</v>
      </c>
      <c r="J8" s="314">
        <f t="shared" si="3"/>
        <v>37934.538999999997</v>
      </c>
      <c r="K8" s="314">
        <f t="shared" si="3"/>
        <v>37934.538999999997</v>
      </c>
      <c r="L8" s="311">
        <f t="shared" si="3"/>
        <v>37934.538999999997</v>
      </c>
      <c r="M8" s="311">
        <f t="shared" si="3"/>
        <v>37934.538999999997</v>
      </c>
      <c r="N8" s="311">
        <f t="shared" si="3"/>
        <v>37934.538999999997</v>
      </c>
      <c r="O8" s="311">
        <f t="shared" si="3"/>
        <v>37934.538999999997</v>
      </c>
      <c r="P8" s="629">
        <f t="shared" si="3"/>
        <v>37934.538999999997</v>
      </c>
      <c r="Q8" s="311">
        <f t="shared" si="3"/>
        <v>37934.538999999997</v>
      </c>
      <c r="R8" s="311">
        <f t="shared" si="3"/>
        <v>37934.538999999997</v>
      </c>
      <c r="S8" s="311">
        <f t="shared" si="3"/>
        <v>37934.538999999997</v>
      </c>
      <c r="T8" s="311">
        <f t="shared" si="3"/>
        <v>37934.538999999997</v>
      </c>
      <c r="U8" s="311">
        <f t="shared" si="3"/>
        <v>37934.538999999997</v>
      </c>
      <c r="V8" s="311">
        <f t="shared" si="3"/>
        <v>37934.538999999997</v>
      </c>
      <c r="W8" s="311">
        <f t="shared" si="3"/>
        <v>37934.538999999997</v>
      </c>
      <c r="X8" s="311">
        <f t="shared" si="3"/>
        <v>37934.538999999997</v>
      </c>
      <c r="Y8" s="311">
        <f t="shared" si="3"/>
        <v>37934.538999999997</v>
      </c>
      <c r="Z8" s="311">
        <f t="shared" si="3"/>
        <v>37934.538999999997</v>
      </c>
      <c r="AA8" s="311">
        <f t="shared" si="3"/>
        <v>37934.538999999997</v>
      </c>
      <c r="AB8" s="311">
        <f t="shared" si="3"/>
        <v>37934.538999999997</v>
      </c>
      <c r="AC8" s="311">
        <f t="shared" si="3"/>
        <v>37934.538999999997</v>
      </c>
      <c r="AD8" s="311">
        <f t="shared" si="3"/>
        <v>37934.538999999997</v>
      </c>
      <c r="AE8" s="311">
        <f t="shared" si="3"/>
        <v>37934.538999999997</v>
      </c>
      <c r="AF8" s="311">
        <f t="shared" si="3"/>
        <v>37934.538999999997</v>
      </c>
      <c r="AG8" s="311">
        <f t="shared" si="3"/>
        <v>29420.538999999997</v>
      </c>
      <c r="AH8" s="215"/>
    </row>
    <row r="9" spans="1:34" x14ac:dyDescent="0.2">
      <c r="A9" s="56">
        <v>20000</v>
      </c>
      <c r="B9" s="215" t="s">
        <v>691</v>
      </c>
      <c r="C9" s="311">
        <f>C312</f>
        <v>-21389.067999999999</v>
      </c>
      <c r="D9" s="311">
        <f t="shared" ref="D9:AG9" si="4">D312</f>
        <v>-21389.067999999999</v>
      </c>
      <c r="E9" s="311">
        <f t="shared" si="4"/>
        <v>-21389.067999999999</v>
      </c>
      <c r="F9" s="311">
        <f t="shared" si="4"/>
        <v>-21389.067999999999</v>
      </c>
      <c r="G9" s="784">
        <f t="shared" si="4"/>
        <v>-21389.067999999999</v>
      </c>
      <c r="H9" s="311">
        <f t="shared" si="4"/>
        <v>-21389.067999999999</v>
      </c>
      <c r="I9" s="311">
        <f t="shared" si="4"/>
        <v>-21389.067999999999</v>
      </c>
      <c r="J9" s="314">
        <f t="shared" si="4"/>
        <v>-21389.067999999999</v>
      </c>
      <c r="K9" s="314">
        <f t="shared" si="4"/>
        <v>-21389.067999999999</v>
      </c>
      <c r="L9" s="311">
        <f t="shared" si="4"/>
        <v>-21389.067999999999</v>
      </c>
      <c r="M9" s="311">
        <f t="shared" si="4"/>
        <v>-21389.067999999999</v>
      </c>
      <c r="N9" s="311">
        <f t="shared" si="4"/>
        <v>-21389.067999999999</v>
      </c>
      <c r="O9" s="311">
        <f t="shared" si="4"/>
        <v>-21389.067999999999</v>
      </c>
      <c r="P9" s="629">
        <f t="shared" si="4"/>
        <v>-21389.067999999999</v>
      </c>
      <c r="Q9" s="311">
        <f t="shared" si="4"/>
        <v>-21389.067999999999</v>
      </c>
      <c r="R9" s="311">
        <f t="shared" si="4"/>
        <v>-21389.067999999999</v>
      </c>
      <c r="S9" s="311">
        <f t="shared" si="4"/>
        <v>-21389.067999999999</v>
      </c>
      <c r="T9" s="311">
        <f t="shared" si="4"/>
        <v>-21389.067999999999</v>
      </c>
      <c r="U9" s="311">
        <f t="shared" si="4"/>
        <v>-21389.067999999999</v>
      </c>
      <c r="V9" s="311">
        <f t="shared" si="4"/>
        <v>-21389.067999999999</v>
      </c>
      <c r="W9" s="311">
        <f t="shared" si="4"/>
        <v>-21389.067999999999</v>
      </c>
      <c r="X9" s="311">
        <f t="shared" si="4"/>
        <v>-21389.067999999999</v>
      </c>
      <c r="Y9" s="311">
        <f t="shared" si="4"/>
        <v>-21389.067999999999</v>
      </c>
      <c r="Z9" s="311">
        <f t="shared" si="4"/>
        <v>-21389.067999999999</v>
      </c>
      <c r="AA9" s="311">
        <f t="shared" si="4"/>
        <v>-21389.067999999999</v>
      </c>
      <c r="AB9" s="311">
        <f t="shared" si="4"/>
        <v>-21389.067999999999</v>
      </c>
      <c r="AC9" s="311">
        <f t="shared" si="4"/>
        <v>-21389.067999999999</v>
      </c>
      <c r="AD9" s="311">
        <f t="shared" si="4"/>
        <v>-21389.067999999999</v>
      </c>
      <c r="AE9" s="311">
        <f t="shared" si="4"/>
        <v>-21389.067999999999</v>
      </c>
      <c r="AF9" s="311">
        <f t="shared" si="4"/>
        <v>-21389.067999999999</v>
      </c>
      <c r="AG9" s="311">
        <f t="shared" si="4"/>
        <v>-21389.067999999999</v>
      </c>
      <c r="AH9" s="215"/>
    </row>
    <row r="10" spans="1:34" x14ac:dyDescent="0.2">
      <c r="A10" s="1" t="s">
        <v>692</v>
      </c>
      <c r="B10" s="451" t="s">
        <v>132</v>
      </c>
      <c r="C10" s="452">
        <f>C11+C12+C13</f>
        <v>1571</v>
      </c>
      <c r="D10" s="452">
        <f t="shared" ref="D10:AG10" si="5">D11+D12+D13</f>
        <v>2949</v>
      </c>
      <c r="E10" s="452">
        <f t="shared" si="5"/>
        <v>1750</v>
      </c>
      <c r="F10" s="452">
        <f t="shared" si="5"/>
        <v>7264</v>
      </c>
      <c r="G10" s="452">
        <f t="shared" si="5"/>
        <v>4777</v>
      </c>
      <c r="H10" s="452">
        <f t="shared" si="5"/>
        <v>3162</v>
      </c>
      <c r="I10" s="452">
        <f t="shared" si="5"/>
        <v>0</v>
      </c>
      <c r="J10" s="454">
        <f t="shared" si="5"/>
        <v>2500</v>
      </c>
      <c r="K10" s="454">
        <f t="shared" si="5"/>
        <v>2806</v>
      </c>
      <c r="L10" s="452">
        <f t="shared" si="5"/>
        <v>39019</v>
      </c>
      <c r="M10" s="452">
        <f t="shared" si="5"/>
        <v>5705</v>
      </c>
      <c r="N10" s="452">
        <f t="shared" si="5"/>
        <v>1516</v>
      </c>
      <c r="O10" s="452">
        <f t="shared" si="5"/>
        <v>750</v>
      </c>
      <c r="P10" s="859">
        <f t="shared" si="5"/>
        <v>1472</v>
      </c>
      <c r="Q10" s="452">
        <f t="shared" si="5"/>
        <v>21757</v>
      </c>
      <c r="R10" s="452">
        <f t="shared" si="5"/>
        <v>0</v>
      </c>
      <c r="S10" s="452">
        <f t="shared" si="5"/>
        <v>2881</v>
      </c>
      <c r="T10" s="452">
        <f t="shared" si="5"/>
        <v>1120</v>
      </c>
      <c r="U10" s="452">
        <f t="shared" si="5"/>
        <v>690</v>
      </c>
      <c r="V10" s="452">
        <f t="shared" si="5"/>
        <v>24995</v>
      </c>
      <c r="W10" s="452">
        <f t="shared" si="5"/>
        <v>2218</v>
      </c>
      <c r="X10" s="452">
        <f t="shared" si="5"/>
        <v>2431</v>
      </c>
      <c r="Y10" s="452">
        <f t="shared" si="5"/>
        <v>26841</v>
      </c>
      <c r="Z10" s="452">
        <f t="shared" si="5"/>
        <v>3040</v>
      </c>
      <c r="AA10" s="452">
        <f t="shared" si="5"/>
        <v>14409</v>
      </c>
      <c r="AB10" s="452">
        <f t="shared" si="5"/>
        <v>3070</v>
      </c>
      <c r="AC10" s="452">
        <f t="shared" si="5"/>
        <v>2573</v>
      </c>
      <c r="AD10" s="452">
        <f t="shared" si="5"/>
        <v>7106</v>
      </c>
      <c r="AE10" s="452">
        <f t="shared" si="5"/>
        <v>671</v>
      </c>
      <c r="AF10" s="452">
        <f t="shared" si="5"/>
        <v>41895</v>
      </c>
      <c r="AG10" s="452">
        <f t="shared" si="5"/>
        <v>73193</v>
      </c>
      <c r="AH10" s="286">
        <f>SUM(C10:AG10)</f>
        <v>304131</v>
      </c>
    </row>
    <row r="11" spans="1:34" x14ac:dyDescent="0.2">
      <c r="A11" s="1"/>
      <c r="B11" s="215" t="s">
        <v>666</v>
      </c>
      <c r="C11" s="286">
        <f>C172</f>
        <v>0</v>
      </c>
      <c r="D11" s="286">
        <f t="shared" ref="D11:AG11" si="6">D172</f>
        <v>0</v>
      </c>
      <c r="E11" s="286">
        <f t="shared" si="6"/>
        <v>0</v>
      </c>
      <c r="F11" s="286">
        <f t="shared" si="6"/>
        <v>0</v>
      </c>
      <c r="G11" s="286">
        <f t="shared" si="6"/>
        <v>0</v>
      </c>
      <c r="H11" s="286">
        <f t="shared" si="6"/>
        <v>0</v>
      </c>
      <c r="I11" s="286">
        <f t="shared" si="6"/>
        <v>0</v>
      </c>
      <c r="J11" s="315">
        <f t="shared" si="6"/>
        <v>0</v>
      </c>
      <c r="K11" s="315">
        <f t="shared" si="6"/>
        <v>0</v>
      </c>
      <c r="L11" s="286">
        <f t="shared" si="6"/>
        <v>618</v>
      </c>
      <c r="M11" s="286">
        <f t="shared" si="6"/>
        <v>0</v>
      </c>
      <c r="N11" s="286">
        <f t="shared" si="6"/>
        <v>0</v>
      </c>
      <c r="O11" s="286">
        <f t="shared" si="6"/>
        <v>0</v>
      </c>
      <c r="P11" s="308">
        <f t="shared" si="6"/>
        <v>0</v>
      </c>
      <c r="Q11" s="286">
        <f t="shared" si="6"/>
        <v>0</v>
      </c>
      <c r="R11" s="286">
        <f t="shared" si="6"/>
        <v>0</v>
      </c>
      <c r="S11" s="286">
        <f t="shared" si="6"/>
        <v>1150</v>
      </c>
      <c r="T11" s="286">
        <f t="shared" si="6"/>
        <v>0</v>
      </c>
      <c r="U11" s="286">
        <f t="shared" si="6"/>
        <v>0</v>
      </c>
      <c r="V11" s="286">
        <f t="shared" si="6"/>
        <v>2000</v>
      </c>
      <c r="W11" s="286">
        <f t="shared" si="6"/>
        <v>0</v>
      </c>
      <c r="X11" s="286">
        <f t="shared" si="6"/>
        <v>0</v>
      </c>
      <c r="Y11" s="286">
        <f t="shared" si="6"/>
        <v>0</v>
      </c>
      <c r="Z11" s="286">
        <f t="shared" si="6"/>
        <v>0</v>
      </c>
      <c r="AA11" s="286">
        <f t="shared" si="6"/>
        <v>0</v>
      </c>
      <c r="AB11" s="286">
        <f t="shared" si="6"/>
        <v>0</v>
      </c>
      <c r="AC11" s="286">
        <f t="shared" si="6"/>
        <v>700</v>
      </c>
      <c r="AD11" s="286">
        <f t="shared" si="6"/>
        <v>0</v>
      </c>
      <c r="AE11" s="286">
        <f t="shared" si="6"/>
        <v>0</v>
      </c>
      <c r="AF11" s="286">
        <f t="shared" si="6"/>
        <v>0</v>
      </c>
      <c r="AG11" s="286">
        <f t="shared" si="6"/>
        <v>0</v>
      </c>
      <c r="AH11" s="215"/>
    </row>
    <row r="12" spans="1:34" x14ac:dyDescent="0.2">
      <c r="A12" s="1"/>
      <c r="B12" s="215" t="s">
        <v>667</v>
      </c>
      <c r="C12" s="286">
        <f>C235</f>
        <v>0</v>
      </c>
      <c r="D12" s="286">
        <f t="shared" ref="D12:AG12" si="7">D235</f>
        <v>1829</v>
      </c>
      <c r="E12" s="286">
        <f t="shared" si="7"/>
        <v>0</v>
      </c>
      <c r="F12" s="286">
        <f t="shared" si="7"/>
        <v>0</v>
      </c>
      <c r="G12" s="286">
        <f t="shared" si="7"/>
        <v>1000</v>
      </c>
      <c r="H12" s="286">
        <f t="shared" si="7"/>
        <v>1500</v>
      </c>
      <c r="I12" s="286">
        <f t="shared" si="7"/>
        <v>0</v>
      </c>
      <c r="J12" s="315">
        <f t="shared" si="7"/>
        <v>2500</v>
      </c>
      <c r="K12" s="315">
        <f t="shared" si="7"/>
        <v>0</v>
      </c>
      <c r="L12" s="286">
        <f t="shared" si="7"/>
        <v>12758</v>
      </c>
      <c r="M12" s="286">
        <f t="shared" si="7"/>
        <v>0</v>
      </c>
      <c r="N12" s="286">
        <f t="shared" si="7"/>
        <v>1516</v>
      </c>
      <c r="O12" s="286">
        <f t="shared" si="7"/>
        <v>0</v>
      </c>
      <c r="P12" s="308">
        <f t="shared" si="7"/>
        <v>1472</v>
      </c>
      <c r="Q12" s="286">
        <f t="shared" si="7"/>
        <v>854</v>
      </c>
      <c r="R12" s="286">
        <f t="shared" si="7"/>
        <v>0</v>
      </c>
      <c r="S12" s="286">
        <f t="shared" si="7"/>
        <v>0</v>
      </c>
      <c r="T12" s="286">
        <f t="shared" si="7"/>
        <v>0</v>
      </c>
      <c r="U12" s="286">
        <f t="shared" si="7"/>
        <v>0</v>
      </c>
      <c r="V12" s="286">
        <f t="shared" si="7"/>
        <v>8734</v>
      </c>
      <c r="W12" s="286">
        <f t="shared" si="7"/>
        <v>1265</v>
      </c>
      <c r="X12" s="286">
        <f t="shared" si="7"/>
        <v>1477</v>
      </c>
      <c r="Y12" s="286">
        <f t="shared" si="7"/>
        <v>0</v>
      </c>
      <c r="Z12" s="286">
        <f t="shared" si="7"/>
        <v>1350</v>
      </c>
      <c r="AA12" s="286">
        <f t="shared" si="7"/>
        <v>6074</v>
      </c>
      <c r="AB12" s="286">
        <f t="shared" si="7"/>
        <v>0</v>
      </c>
      <c r="AC12" s="286">
        <f t="shared" si="7"/>
        <v>0</v>
      </c>
      <c r="AD12" s="286">
        <f t="shared" si="7"/>
        <v>2265</v>
      </c>
      <c r="AE12" s="286">
        <f t="shared" si="7"/>
        <v>671</v>
      </c>
      <c r="AF12" s="286">
        <f t="shared" si="7"/>
        <v>20474</v>
      </c>
      <c r="AG12" s="286">
        <f t="shared" si="7"/>
        <v>2349</v>
      </c>
      <c r="AH12" s="215"/>
    </row>
    <row r="13" spans="1:34" x14ac:dyDescent="0.2">
      <c r="A13" s="1"/>
      <c r="B13" s="215" t="s">
        <v>691</v>
      </c>
      <c r="C13" s="286">
        <f>C299</f>
        <v>1571</v>
      </c>
      <c r="D13" s="286">
        <f t="shared" ref="D13:AG13" si="8">D299</f>
        <v>1120</v>
      </c>
      <c r="E13" s="286">
        <f t="shared" si="8"/>
        <v>1750</v>
      </c>
      <c r="F13" s="286">
        <f t="shared" si="8"/>
        <v>7264</v>
      </c>
      <c r="G13" s="286">
        <f t="shared" si="8"/>
        <v>3777</v>
      </c>
      <c r="H13" s="286">
        <f t="shared" si="8"/>
        <v>1662</v>
      </c>
      <c r="I13" s="286">
        <f t="shared" si="8"/>
        <v>0</v>
      </c>
      <c r="J13" s="315">
        <f t="shared" si="8"/>
        <v>0</v>
      </c>
      <c r="K13" s="315">
        <f t="shared" si="8"/>
        <v>2806</v>
      </c>
      <c r="L13" s="286">
        <f t="shared" si="8"/>
        <v>25643</v>
      </c>
      <c r="M13" s="286">
        <f t="shared" si="8"/>
        <v>5705</v>
      </c>
      <c r="N13" s="286">
        <f t="shared" si="8"/>
        <v>0</v>
      </c>
      <c r="O13" s="286">
        <f t="shared" si="8"/>
        <v>750</v>
      </c>
      <c r="P13" s="308">
        <f t="shared" si="8"/>
        <v>0</v>
      </c>
      <c r="Q13" s="286">
        <f t="shared" si="8"/>
        <v>20903</v>
      </c>
      <c r="R13" s="286">
        <f t="shared" si="8"/>
        <v>0</v>
      </c>
      <c r="S13" s="286">
        <f t="shared" si="8"/>
        <v>1731</v>
      </c>
      <c r="T13" s="286">
        <f t="shared" si="8"/>
        <v>1120</v>
      </c>
      <c r="U13" s="286">
        <f t="shared" si="8"/>
        <v>690</v>
      </c>
      <c r="V13" s="286">
        <f t="shared" si="8"/>
        <v>14261</v>
      </c>
      <c r="W13" s="286">
        <f t="shared" si="8"/>
        <v>953</v>
      </c>
      <c r="X13" s="286">
        <f t="shared" si="8"/>
        <v>954</v>
      </c>
      <c r="Y13" s="286">
        <f t="shared" si="8"/>
        <v>26841</v>
      </c>
      <c r="Z13" s="286">
        <f t="shared" si="8"/>
        <v>1690</v>
      </c>
      <c r="AA13" s="286">
        <f t="shared" si="8"/>
        <v>8335</v>
      </c>
      <c r="AB13" s="286">
        <f t="shared" si="8"/>
        <v>3070</v>
      </c>
      <c r="AC13" s="286">
        <f t="shared" si="8"/>
        <v>1873</v>
      </c>
      <c r="AD13" s="286">
        <f t="shared" si="8"/>
        <v>4841</v>
      </c>
      <c r="AE13" s="286">
        <f t="shared" si="8"/>
        <v>0</v>
      </c>
      <c r="AF13" s="286">
        <f t="shared" si="8"/>
        <v>21421</v>
      </c>
      <c r="AG13" s="286">
        <f t="shared" si="8"/>
        <v>70844</v>
      </c>
      <c r="AH13" s="215"/>
    </row>
    <row r="14" spans="1:34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-90656.542000000016</v>
      </c>
    </row>
    <row r="15" spans="1:34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</row>
    <row r="16" spans="1:34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15"/>
    </row>
    <row r="17" spans="1:34" x14ac:dyDescent="0.2">
      <c r="A17" s="265"/>
      <c r="B17" s="266" t="s">
        <v>37</v>
      </c>
      <c r="C17" s="266"/>
      <c r="D17" s="266"/>
      <c r="E17" s="267" t="s">
        <v>36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215"/>
    </row>
    <row r="18" spans="1:34" x14ac:dyDescent="0.2">
      <c r="A18" s="265"/>
      <c r="B18" s="266"/>
      <c r="C18" s="266"/>
      <c r="D18" s="268">
        <v>42128</v>
      </c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215"/>
    </row>
    <row r="19" spans="1:34" x14ac:dyDescent="0.2">
      <c r="A19" s="769"/>
      <c r="B19" s="268"/>
      <c r="C19" s="268"/>
      <c r="D19" s="267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4" x14ac:dyDescent="0.2">
      <c r="A20" s="769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4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4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4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4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4" x14ac:dyDescent="0.2">
      <c r="A25" s="265" t="s">
        <v>0</v>
      </c>
      <c r="B25" s="274">
        <v>-354860.28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4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4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4" x14ac:dyDescent="0.2">
      <c r="A28" s="265" t="s">
        <v>1</v>
      </c>
      <c r="B28" s="274">
        <f>B29+B30+B31</f>
        <v>0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4" x14ac:dyDescent="0.2">
      <c r="A29" s="265" t="s">
        <v>38</v>
      </c>
      <c r="B29" s="274">
        <f>C82</f>
        <v>0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4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4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4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x14ac:dyDescent="0.2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x14ac:dyDescent="0.2">
      <c r="A34" s="265" t="s">
        <v>4</v>
      </c>
      <c r="B34" s="274">
        <f>B25+B28</f>
        <v>-354860.28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3.5" thickBot="1" x14ac:dyDescent="0.25">
      <c r="A35" s="275"/>
      <c r="B35" s="27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15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15"/>
    </row>
    <row r="37" spans="1:40" x14ac:dyDescent="0.2">
      <c r="A37" s="265" t="s">
        <v>913</v>
      </c>
      <c r="B37" s="274">
        <f>C121</f>
        <v>0</v>
      </c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15"/>
    </row>
    <row r="38" spans="1:40" ht="13.5" thickBot="1" x14ac:dyDescent="0.25">
      <c r="A38" s="275"/>
      <c r="B38" s="276"/>
      <c r="C38" s="266"/>
      <c r="D38" s="266"/>
      <c r="E38" s="269"/>
      <c r="F38" s="266"/>
      <c r="G38" s="266"/>
      <c r="H38" s="266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15"/>
    </row>
    <row r="39" spans="1:40" x14ac:dyDescent="0.2">
      <c r="A39" s="263"/>
      <c r="B39" s="278"/>
      <c r="C39" s="266"/>
      <c r="D39" s="269"/>
      <c r="E39" s="269"/>
      <c r="F39" s="266"/>
      <c r="G39" s="267"/>
      <c r="H39" s="266"/>
      <c r="I39" s="266"/>
      <c r="J39" s="266"/>
      <c r="K39" s="266"/>
      <c r="L39" s="266"/>
      <c r="M39" s="266"/>
      <c r="N39" s="266"/>
      <c r="O39" s="330"/>
      <c r="P39" s="281"/>
      <c r="Q39" s="707"/>
      <c r="R39" s="266"/>
      <c r="S39" s="269"/>
      <c r="T39" s="266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15"/>
    </row>
    <row r="40" spans="1:40" x14ac:dyDescent="0.2">
      <c r="A40" s="265" t="s">
        <v>5</v>
      </c>
      <c r="B40" s="274">
        <f>B34-B37</f>
        <v>-354860.28</v>
      </c>
      <c r="C40" s="406"/>
      <c r="D40" s="269"/>
      <c r="E40" s="269"/>
      <c r="F40" s="269"/>
      <c r="G40" s="269"/>
      <c r="H40" s="269"/>
      <c r="I40" s="269"/>
      <c r="J40" s="269"/>
      <c r="K40" s="269"/>
      <c r="L40" s="568"/>
      <c r="M40" s="281"/>
      <c r="N40" s="281"/>
      <c r="O40" s="269"/>
      <c r="P40" s="281"/>
      <c r="Q40" s="568"/>
      <c r="R40" s="269"/>
      <c r="S40" s="281"/>
      <c r="T40" s="281"/>
      <c r="U40" s="281"/>
      <c r="V40" s="269"/>
      <c r="W40" s="281"/>
      <c r="X40" s="269"/>
      <c r="Y40" s="281"/>
      <c r="Z40" s="281"/>
      <c r="AA40" s="281"/>
      <c r="AB40" s="281"/>
      <c r="AC40" s="709"/>
      <c r="AD40" s="407"/>
      <c r="AE40" s="407"/>
      <c r="AF40" s="281"/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9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</f>
        <v>25660.144</v>
      </c>
      <c r="D43" s="288">
        <f t="shared" ref="D43:AG43" si="10">D44+D45+D48+D52+D51+D49+D50+D46+D47</f>
        <v>0</v>
      </c>
      <c r="E43" s="288">
        <f t="shared" si="10"/>
        <v>0</v>
      </c>
      <c r="F43" s="288">
        <f t="shared" si="10"/>
        <v>0</v>
      </c>
      <c r="G43" s="288">
        <f t="shared" si="10"/>
        <v>0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0</v>
      </c>
      <c r="M43" s="288">
        <f t="shared" si="10"/>
        <v>0</v>
      </c>
      <c r="N43" s="288">
        <f t="shared" si="10"/>
        <v>0</v>
      </c>
      <c r="O43" s="288">
        <f t="shared" si="10"/>
        <v>0</v>
      </c>
      <c r="P43" s="865">
        <f t="shared" si="10"/>
        <v>0</v>
      </c>
      <c r="Q43" s="288">
        <f t="shared" si="10"/>
        <v>0</v>
      </c>
      <c r="R43" s="288">
        <f t="shared" si="10"/>
        <v>0</v>
      </c>
      <c r="S43" s="288">
        <f t="shared" si="10"/>
        <v>0</v>
      </c>
      <c r="T43" s="288">
        <f t="shared" si="10"/>
        <v>0</v>
      </c>
      <c r="U43" s="288">
        <f t="shared" si="10"/>
        <v>0</v>
      </c>
      <c r="V43" s="288">
        <f t="shared" si="10"/>
        <v>0</v>
      </c>
      <c r="W43" s="288">
        <f t="shared" si="10"/>
        <v>0</v>
      </c>
      <c r="X43" s="288">
        <f t="shared" si="10"/>
        <v>0</v>
      </c>
      <c r="Y43" s="288">
        <f t="shared" si="10"/>
        <v>0</v>
      </c>
      <c r="Z43" s="288">
        <f t="shared" si="10"/>
        <v>0</v>
      </c>
      <c r="AA43" s="288">
        <f t="shared" si="10"/>
        <v>0</v>
      </c>
      <c r="AB43" s="288">
        <f t="shared" si="10"/>
        <v>0</v>
      </c>
      <c r="AC43" s="288">
        <f t="shared" si="10"/>
        <v>0</v>
      </c>
      <c r="AD43" s="288">
        <f t="shared" si="10"/>
        <v>0</v>
      </c>
      <c r="AE43" s="288">
        <f t="shared" si="10"/>
        <v>0</v>
      </c>
      <c r="AF43" s="288">
        <f t="shared" si="10"/>
        <v>0</v>
      </c>
      <c r="AG43" s="288">
        <f t="shared" si="10"/>
        <v>0</v>
      </c>
      <c r="AH43" s="286">
        <f t="shared" si="9"/>
        <v>25660.144</v>
      </c>
    </row>
    <row r="44" spans="1:40" x14ac:dyDescent="0.2">
      <c r="A44" s="287" t="s">
        <v>8</v>
      </c>
      <c r="B44" s="266"/>
      <c r="C44" s="289"/>
      <c r="D44" s="290"/>
      <c r="E44" s="291"/>
      <c r="F44" s="290"/>
      <c r="G44" s="295"/>
      <c r="H44" s="290"/>
      <c r="I44" s="290"/>
      <c r="J44" s="290"/>
      <c r="K44" s="290"/>
      <c r="L44" s="295"/>
      <c r="M44" s="292"/>
      <c r="N44" s="292"/>
      <c r="O44" s="839"/>
      <c r="P44" s="292"/>
      <c r="Q44" s="295"/>
      <c r="R44" s="295"/>
      <c r="S44" s="295"/>
      <c r="T44" s="295"/>
      <c r="U44" s="581"/>
      <c r="V44" s="295"/>
      <c r="W44" s="295"/>
      <c r="X44" s="295"/>
      <c r="Y44" s="581"/>
      <c r="Z44" s="295"/>
      <c r="AA44" s="295"/>
      <c r="AB44" s="295"/>
      <c r="AC44" s="581"/>
      <c r="AD44" s="295"/>
      <c r="AE44" s="295"/>
      <c r="AF44" s="295"/>
      <c r="AG44" s="295"/>
      <c r="AH44" s="286">
        <f t="shared" si="9"/>
        <v>0</v>
      </c>
      <c r="AN44" s="25">
        <v>9918.1650000000009</v>
      </c>
    </row>
    <row r="45" spans="1:40" x14ac:dyDescent="0.2">
      <c r="A45" s="287" t="s">
        <v>703</v>
      </c>
      <c r="B45" s="266"/>
      <c r="C45" s="291"/>
      <c r="D45" s="290"/>
      <c r="E45" s="291"/>
      <c r="F45" s="290"/>
      <c r="G45" s="290"/>
      <c r="H45" s="290"/>
      <c r="I45" s="290"/>
      <c r="J45" s="290"/>
      <c r="K45" s="290"/>
      <c r="L45" s="295"/>
      <c r="M45" s="290"/>
      <c r="N45" s="290"/>
      <c r="O45" s="295"/>
      <c r="P45" s="292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86">
        <f t="shared" si="9"/>
        <v>0</v>
      </c>
      <c r="AI45" s="42">
        <f>+AH45+AH44</f>
        <v>0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291"/>
      <c r="F46" s="290"/>
      <c r="G46" s="290"/>
      <c r="H46" s="290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86">
        <f t="shared" si="9"/>
        <v>0</v>
      </c>
      <c r="AN46" s="25"/>
    </row>
    <row r="47" spans="1:40" x14ac:dyDescent="0.2">
      <c r="A47" s="287" t="s">
        <v>705</v>
      </c>
      <c r="B47" s="266"/>
      <c r="C47" s="291"/>
      <c r="D47" s="290"/>
      <c r="E47" s="291"/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3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86">
        <f t="shared" si="9"/>
        <v>0</v>
      </c>
      <c r="AN47" s="25"/>
    </row>
    <row r="48" spans="1:40" s="360" customFormat="1" x14ac:dyDescent="0.2">
      <c r="A48" s="662" t="s">
        <v>10</v>
      </c>
      <c r="B48" s="663"/>
      <c r="C48" s="664"/>
      <c r="D48" s="380"/>
      <c r="E48" s="664"/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560"/>
      <c r="Q48" s="380"/>
      <c r="R48" s="380"/>
      <c r="S48" s="380"/>
      <c r="T48" s="380"/>
      <c r="U48" s="380"/>
      <c r="V48" s="665"/>
      <c r="W48" s="380"/>
      <c r="X48" s="380"/>
      <c r="Y48" s="380"/>
      <c r="Z48" s="380"/>
      <c r="AA48" s="380"/>
      <c r="AB48" s="380"/>
      <c r="AC48" s="708"/>
      <c r="AD48" s="380"/>
      <c r="AE48" s="380"/>
      <c r="AF48" s="380"/>
      <c r="AG48" s="380"/>
      <c r="AH48" s="379">
        <f t="shared" si="9"/>
        <v>0</v>
      </c>
      <c r="AI48" s="666"/>
      <c r="AJ48" s="360">
        <v>16499.96</v>
      </c>
      <c r="AN48" s="667">
        <v>6347.85</v>
      </c>
    </row>
    <row r="49" spans="1:40" s="360" customFormat="1" x14ac:dyDescent="0.2">
      <c r="A49" s="662" t="s">
        <v>356</v>
      </c>
      <c r="B49" s="668"/>
      <c r="C49" s="565"/>
      <c r="D49" s="380"/>
      <c r="E49" s="565"/>
      <c r="F49" s="560"/>
      <c r="G49" s="560"/>
      <c r="H49" s="560"/>
      <c r="I49" s="560"/>
      <c r="J49" s="560"/>
      <c r="K49" s="560"/>
      <c r="L49" s="560"/>
      <c r="M49" s="560"/>
      <c r="N49" s="38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379">
        <f t="shared" si="9"/>
        <v>0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0"/>
      <c r="AG50" s="290"/>
      <c r="AH50" s="286">
        <f t="shared" si="9"/>
        <v>0</v>
      </c>
      <c r="AN50" s="25">
        <v>2246.556</v>
      </c>
    </row>
    <row r="51" spans="1:40" x14ac:dyDescent="0.2">
      <c r="A51" s="287" t="s">
        <v>41</v>
      </c>
      <c r="B51" s="266"/>
      <c r="C51" s="289"/>
      <c r="D51" s="291"/>
      <c r="E51" s="362"/>
      <c r="F51" s="290"/>
      <c r="G51" s="295"/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/>
      <c r="AG51" s="290"/>
      <c r="AH51" s="286">
        <f t="shared" si="9"/>
        <v>0</v>
      </c>
      <c r="AN51" s="25"/>
    </row>
    <row r="52" spans="1:40" x14ac:dyDescent="0.2">
      <c r="A52" s="287" t="s">
        <v>11</v>
      </c>
      <c r="B52" s="266"/>
      <c r="C52" s="289">
        <f>32289-6628.856</f>
        <v>25660.144</v>
      </c>
      <c r="D52" s="289"/>
      <c r="E52" s="289"/>
      <c r="F52" s="754"/>
      <c r="G52" s="292"/>
      <c r="H52" s="292"/>
      <c r="I52" s="292"/>
      <c r="J52" s="754"/>
      <c r="K52" s="292"/>
      <c r="L52" s="292"/>
      <c r="M52" s="292"/>
      <c r="N52" s="754"/>
      <c r="O52" s="292"/>
      <c r="P52" s="292"/>
      <c r="Q52" s="292"/>
      <c r="R52" s="292"/>
      <c r="S52" s="292"/>
      <c r="T52" s="292"/>
      <c r="U52" s="292"/>
      <c r="V52" s="455"/>
      <c r="W52" s="292"/>
      <c r="X52" s="292"/>
      <c r="Y52" s="292"/>
      <c r="Z52" s="292"/>
      <c r="AA52" s="295"/>
      <c r="AB52" s="295"/>
      <c r="AC52" s="295"/>
      <c r="AD52" s="295"/>
      <c r="AE52" s="292"/>
      <c r="AF52" s="292"/>
      <c r="AG52" s="292"/>
      <c r="AH52" s="286">
        <f t="shared" si="9"/>
        <v>25660.144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2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5"/>
      <c r="AC53" s="295"/>
      <c r="AD53" s="290"/>
      <c r="AE53" s="290"/>
      <c r="AF53" s="290"/>
      <c r="AG53" s="290"/>
      <c r="AH53" s="286">
        <f t="shared" si="9"/>
        <v>0</v>
      </c>
      <c r="AI53" s="42"/>
      <c r="AJ53" s="360">
        <v>11032.8</v>
      </c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>
        <v>7819.6</v>
      </c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288">
        <f t="shared" si="11"/>
        <v>0</v>
      </c>
      <c r="N55" s="288">
        <f t="shared" si="11"/>
        <v>0</v>
      </c>
      <c r="O55" s="288">
        <f t="shared" si="11"/>
        <v>0</v>
      </c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 t="shared" si="11"/>
        <v>0</v>
      </c>
      <c r="T55" s="288">
        <f t="shared" si="11"/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J55">
        <f>AJ48+AJ53+AJ54</f>
        <v>35352.36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J56">
        <f>AJ55*2</f>
        <v>70704.72</v>
      </c>
      <c r="AN56" s="25">
        <v>673.17700000000002</v>
      </c>
    </row>
    <row r="57" spans="1:40" x14ac:dyDescent="0.2">
      <c r="A57" s="287" t="s">
        <v>215</v>
      </c>
      <c r="B57" s="266"/>
      <c r="C57" s="289">
        <v>1500</v>
      </c>
      <c r="D57" s="291">
        <v>622</v>
      </c>
      <c r="E57" s="362">
        <v>1000</v>
      </c>
      <c r="F57" s="290">
        <v>6462</v>
      </c>
      <c r="G57" s="295">
        <v>15570</v>
      </c>
      <c r="H57" s="292">
        <v>3744</v>
      </c>
      <c r="I57" s="290"/>
      <c r="J57" s="290">
        <v>17263</v>
      </c>
      <c r="K57" s="290">
        <v>1850</v>
      </c>
      <c r="L57" s="290">
        <v>26427</v>
      </c>
      <c r="M57" s="290">
        <v>3383</v>
      </c>
      <c r="N57" s="290">
        <v>10769</v>
      </c>
      <c r="O57" s="290">
        <v>6003</v>
      </c>
      <c r="P57" s="292">
        <v>1881</v>
      </c>
      <c r="Q57" s="290">
        <v>22824</v>
      </c>
      <c r="R57" s="290">
        <v>6773</v>
      </c>
      <c r="S57" s="290">
        <v>8790</v>
      </c>
      <c r="T57" s="290">
        <v>11930</v>
      </c>
      <c r="U57" s="290">
        <v>6980</v>
      </c>
      <c r="V57" s="290">
        <v>15212</v>
      </c>
      <c r="W57" s="290"/>
      <c r="X57" s="290">
        <v>4200</v>
      </c>
      <c r="Y57" s="290">
        <v>14740</v>
      </c>
      <c r="Z57" s="290">
        <v>4079</v>
      </c>
      <c r="AA57" s="292">
        <v>16514</v>
      </c>
      <c r="AB57" s="290"/>
      <c r="AC57" s="290">
        <v>8852</v>
      </c>
      <c r="AD57" s="290">
        <v>9187</v>
      </c>
      <c r="AE57" s="290"/>
      <c r="AF57" s="290">
        <v>10305</v>
      </c>
      <c r="AG57" s="290">
        <v>67690</v>
      </c>
      <c r="AH57" s="286">
        <f t="shared" si="9"/>
        <v>304550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N59" s="25">
        <v>1850.7819999999999</v>
      </c>
    </row>
    <row r="60" spans="1:40" x14ac:dyDescent="0.2">
      <c r="A60" s="287" t="s">
        <v>915</v>
      </c>
      <c r="B60" s="266"/>
      <c r="C60" s="300">
        <f t="shared" ref="C60:AG60" si="12">C55-C43</f>
        <v>-25660.144</v>
      </c>
      <c r="D60" s="300">
        <f t="shared" si="12"/>
        <v>0</v>
      </c>
      <c r="E60" s="300">
        <f t="shared" si="12"/>
        <v>0</v>
      </c>
      <c r="F60" s="300">
        <f t="shared" si="12"/>
        <v>0</v>
      </c>
      <c r="G60" s="300">
        <f t="shared" si="12"/>
        <v>0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0</v>
      </c>
      <c r="M60" s="300">
        <f t="shared" si="12"/>
        <v>0</v>
      </c>
      <c r="N60" s="300">
        <f t="shared" si="12"/>
        <v>0</v>
      </c>
      <c r="O60" s="300">
        <f t="shared" si="12"/>
        <v>0</v>
      </c>
      <c r="P60" s="867">
        <f t="shared" si="12"/>
        <v>0</v>
      </c>
      <c r="Q60" s="300">
        <f t="shared" si="12"/>
        <v>0</v>
      </c>
      <c r="R60" s="300">
        <f t="shared" si="12"/>
        <v>0</v>
      </c>
      <c r="S60" s="300">
        <f t="shared" si="12"/>
        <v>0</v>
      </c>
      <c r="T60" s="300">
        <f t="shared" si="12"/>
        <v>0</v>
      </c>
      <c r="U60" s="300">
        <f t="shared" si="12"/>
        <v>0</v>
      </c>
      <c r="V60" s="300">
        <f t="shared" si="12"/>
        <v>0</v>
      </c>
      <c r="W60" s="300">
        <f t="shared" si="12"/>
        <v>0</v>
      </c>
      <c r="X60" s="300">
        <f t="shared" si="12"/>
        <v>0</v>
      </c>
      <c r="Y60" s="300">
        <f t="shared" si="12"/>
        <v>0</v>
      </c>
      <c r="Z60" s="300">
        <f t="shared" si="12"/>
        <v>0</v>
      </c>
      <c r="AA60" s="300">
        <f t="shared" si="12"/>
        <v>0</v>
      </c>
      <c r="AB60" s="300">
        <f t="shared" si="12"/>
        <v>0</v>
      </c>
      <c r="AC60" s="300">
        <f t="shared" si="12"/>
        <v>0</v>
      </c>
      <c r="AD60" s="300">
        <f t="shared" si="12"/>
        <v>0</v>
      </c>
      <c r="AE60" s="300">
        <f t="shared" si="12"/>
        <v>0</v>
      </c>
      <c r="AF60" s="300">
        <f t="shared" si="12"/>
        <v>0</v>
      </c>
      <c r="AG60" s="300">
        <f t="shared" si="12"/>
        <v>0</v>
      </c>
      <c r="AH60" s="215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-380520.424</v>
      </c>
      <c r="D63" s="291">
        <f>C70+D60</f>
        <v>-380520.424</v>
      </c>
      <c r="E63" s="291">
        <f t="shared" ref="E63:AG63" si="13">D70+E60</f>
        <v>-380520.424</v>
      </c>
      <c r="F63" s="291">
        <f t="shared" si="13"/>
        <v>-380520.424</v>
      </c>
      <c r="G63" s="291">
        <f t="shared" si="13"/>
        <v>-380520.424</v>
      </c>
      <c r="H63" s="291">
        <f t="shared" si="13"/>
        <v>-380520.424</v>
      </c>
      <c r="I63" s="291">
        <f t="shared" si="13"/>
        <v>-380520.424</v>
      </c>
      <c r="J63" s="291">
        <f t="shared" si="13"/>
        <v>-380520.424</v>
      </c>
      <c r="K63" s="291">
        <f t="shared" si="13"/>
        <v>-380520.424</v>
      </c>
      <c r="L63" s="291">
        <f t="shared" si="13"/>
        <v>-380520.424</v>
      </c>
      <c r="M63" s="291">
        <f t="shared" si="13"/>
        <v>-380520.424</v>
      </c>
      <c r="N63" s="291">
        <f t="shared" si="13"/>
        <v>-380520.424</v>
      </c>
      <c r="O63" s="291">
        <f t="shared" si="13"/>
        <v>-380520.424</v>
      </c>
      <c r="P63" s="289">
        <f t="shared" si="13"/>
        <v>-380520.424</v>
      </c>
      <c r="Q63" s="291">
        <f t="shared" si="13"/>
        <v>-380520.424</v>
      </c>
      <c r="R63" s="291">
        <f t="shared" si="13"/>
        <v>-380520.424</v>
      </c>
      <c r="S63" s="291">
        <f t="shared" si="13"/>
        <v>-380520.424</v>
      </c>
      <c r="T63" s="291">
        <f t="shared" si="13"/>
        <v>-380520.424</v>
      </c>
      <c r="U63" s="291">
        <f t="shared" si="13"/>
        <v>-380520.424</v>
      </c>
      <c r="V63" s="291">
        <f t="shared" si="13"/>
        <v>-380520.424</v>
      </c>
      <c r="W63" s="291">
        <f t="shared" si="13"/>
        <v>-380520.424</v>
      </c>
      <c r="X63" s="291">
        <f t="shared" si="13"/>
        <v>-380520.424</v>
      </c>
      <c r="Y63" s="291">
        <f t="shared" si="13"/>
        <v>-380520.424</v>
      </c>
      <c r="Z63" s="291">
        <f t="shared" si="13"/>
        <v>-380520.424</v>
      </c>
      <c r="AA63" s="291">
        <f t="shared" si="13"/>
        <v>-380520.424</v>
      </c>
      <c r="AB63" s="291">
        <f t="shared" si="13"/>
        <v>-380520.424</v>
      </c>
      <c r="AC63" s="291">
        <f t="shared" si="13"/>
        <v>-380520.424</v>
      </c>
      <c r="AD63" s="291">
        <f t="shared" si="13"/>
        <v>-380520.424</v>
      </c>
      <c r="AE63" s="291">
        <f t="shared" si="13"/>
        <v>-380520.424</v>
      </c>
      <c r="AF63" s="291">
        <f t="shared" si="13"/>
        <v>-380520.424</v>
      </c>
      <c r="AG63" s="291">
        <f t="shared" si="13"/>
        <v>-380520.424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-380520.424</v>
      </c>
      <c r="D70" s="291">
        <f t="shared" ref="D70:AG70" si="15">D63+D66+D67</f>
        <v>-380520.424</v>
      </c>
      <c r="E70" s="291">
        <f t="shared" si="15"/>
        <v>-380520.424</v>
      </c>
      <c r="F70" s="291">
        <f t="shared" si="15"/>
        <v>-380520.424</v>
      </c>
      <c r="G70" s="291">
        <f t="shared" si="15"/>
        <v>-380520.424</v>
      </c>
      <c r="H70" s="291">
        <f t="shared" si="15"/>
        <v>-380520.424</v>
      </c>
      <c r="I70" s="291">
        <f t="shared" si="15"/>
        <v>-380520.424</v>
      </c>
      <c r="J70" s="291">
        <f t="shared" si="15"/>
        <v>-380520.424</v>
      </c>
      <c r="K70" s="291">
        <f t="shared" si="15"/>
        <v>-380520.424</v>
      </c>
      <c r="L70" s="291">
        <f t="shared" si="15"/>
        <v>-380520.424</v>
      </c>
      <c r="M70" s="291">
        <f t="shared" si="15"/>
        <v>-380520.424</v>
      </c>
      <c r="N70" s="291">
        <f t="shared" si="15"/>
        <v>-380520.424</v>
      </c>
      <c r="O70" s="291">
        <f t="shared" si="15"/>
        <v>-380520.424</v>
      </c>
      <c r="P70" s="289">
        <f t="shared" si="15"/>
        <v>-380520.424</v>
      </c>
      <c r="Q70" s="291">
        <f t="shared" si="15"/>
        <v>-380520.424</v>
      </c>
      <c r="R70" s="291">
        <f t="shared" si="15"/>
        <v>-380520.424</v>
      </c>
      <c r="S70" s="291">
        <f t="shared" si="15"/>
        <v>-380520.424</v>
      </c>
      <c r="T70" s="291">
        <f t="shared" si="15"/>
        <v>-380520.424</v>
      </c>
      <c r="U70" s="291">
        <f t="shared" si="15"/>
        <v>-380520.424</v>
      </c>
      <c r="V70" s="291">
        <f t="shared" si="15"/>
        <v>-380520.424</v>
      </c>
      <c r="W70" s="291">
        <f t="shared" si="15"/>
        <v>-380520.424</v>
      </c>
      <c r="X70" s="291">
        <f t="shared" si="15"/>
        <v>-380520.424</v>
      </c>
      <c r="Y70" s="291">
        <f t="shared" si="15"/>
        <v>-380520.424</v>
      </c>
      <c r="Z70" s="291">
        <f t="shared" si="15"/>
        <v>-380520.424</v>
      </c>
      <c r="AA70" s="291">
        <f t="shared" si="15"/>
        <v>-380520.424</v>
      </c>
      <c r="AB70" s="291">
        <f t="shared" si="15"/>
        <v>-380520.424</v>
      </c>
      <c r="AC70" s="291">
        <f t="shared" si="15"/>
        <v>-380520.424</v>
      </c>
      <c r="AD70" s="291">
        <f t="shared" si="15"/>
        <v>-380520.424</v>
      </c>
      <c r="AE70" s="291">
        <f t="shared" si="15"/>
        <v>-380520.424</v>
      </c>
      <c r="AF70" s="291">
        <f t="shared" si="15"/>
        <v>-380520.424</v>
      </c>
      <c r="AG70" s="291">
        <f t="shared" si="15"/>
        <v>-380520.424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5"/>
      <c r="E74" s="290"/>
      <c r="F74" s="295"/>
      <c r="G74" s="295"/>
      <c r="H74" s="295">
        <f>+D51</f>
        <v>0</v>
      </c>
      <c r="I74" s="295">
        <f>+E51</f>
        <v>0</v>
      </c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>
        <f>+Y51</f>
        <v>0</v>
      </c>
      <c r="AD74" s="295">
        <f>+Z51</f>
        <v>0</v>
      </c>
      <c r="AE74" s="295"/>
      <c r="AF74" s="295"/>
      <c r="AG74" s="295">
        <f>+AC51</f>
        <v>0</v>
      </c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>
        <f>+I57</f>
        <v>0</v>
      </c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>
        <f>+AB57</f>
        <v>0</v>
      </c>
      <c r="AG75" s="290"/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SUM(C84:C122)</f>
        <v>0</v>
      </c>
      <c r="D82" s="286"/>
      <c r="E82" s="470"/>
      <c r="F82" s="286"/>
      <c r="G82" s="317"/>
      <c r="H82" s="315"/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/>
      <c r="G83" s="319"/>
      <c r="H83" s="215"/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>
        <v>42094</v>
      </c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41673</v>
      </c>
      <c r="C85" s="318"/>
      <c r="D85" s="309"/>
      <c r="E85" s="215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41673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41673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42094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42090</v>
      </c>
      <c r="C89" s="501"/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42093</v>
      </c>
      <c r="C90" s="325"/>
      <c r="D90" s="323"/>
      <c r="E90" s="353"/>
      <c r="F90" s="215"/>
      <c r="G90" s="326"/>
      <c r="H90" s="215"/>
      <c r="I90" s="215"/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42087</v>
      </c>
      <c r="C91" s="325"/>
      <c r="D91" s="323"/>
      <c r="E91" s="323"/>
      <c r="F91" s="215"/>
      <c r="G91" s="326"/>
      <c r="H91" s="215"/>
      <c r="I91" s="215"/>
      <c r="J91" s="215"/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42088</v>
      </c>
      <c r="C92" s="323"/>
      <c r="D92" s="323"/>
      <c r="E92" s="323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42047</v>
      </c>
      <c r="C93" s="325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42016</v>
      </c>
      <c r="C94" s="840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42016</v>
      </c>
      <c r="C95" s="840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42069</v>
      </c>
      <c r="C96" s="808"/>
      <c r="D96" s="323"/>
      <c r="E96" s="323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/>
      <c r="C97" s="808"/>
      <c r="D97" s="323"/>
      <c r="E97" s="323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42013</v>
      </c>
      <c r="C98" s="808"/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42091</v>
      </c>
      <c r="C99" s="634"/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42067</v>
      </c>
      <c r="C100" s="324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42068</v>
      </c>
      <c r="C101" s="324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42088</v>
      </c>
      <c r="C102" s="324"/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42089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42091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42092</v>
      </c>
      <c r="C105" s="324"/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42093</v>
      </c>
      <c r="C106" s="324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320">
        <v>42094</v>
      </c>
      <c r="C107" s="324"/>
      <c r="D107" s="323"/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/>
      <c r="B108" s="320">
        <v>42083</v>
      </c>
      <c r="C108" s="324"/>
      <c r="D108" s="323"/>
      <c r="E108" s="323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  <c r="AP108" s="194"/>
    </row>
    <row r="109" spans="1:42" x14ac:dyDescent="0.2">
      <c r="A109" s="215" t="s">
        <v>436</v>
      </c>
      <c r="B109" s="320"/>
      <c r="C109" s="325"/>
      <c r="D109" s="323"/>
      <c r="E109" s="215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/>
    </row>
    <row r="110" spans="1:42" x14ac:dyDescent="0.2">
      <c r="A110" s="327" t="s">
        <v>32</v>
      </c>
      <c r="B110" s="320">
        <v>42094</v>
      </c>
      <c r="C110" s="318"/>
      <c r="D110" s="323"/>
      <c r="E110" s="215"/>
      <c r="F110" s="215"/>
      <c r="G110" s="470"/>
      <c r="H110" s="323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  <c r="AN110" s="25">
        <v>222914.55799999999</v>
      </c>
    </row>
    <row r="111" spans="1:42" x14ac:dyDescent="0.2">
      <c r="A111" s="327" t="s">
        <v>33</v>
      </c>
      <c r="B111" s="320">
        <v>42093</v>
      </c>
      <c r="C111" s="318"/>
      <c r="D111" s="323"/>
      <c r="E111" s="318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</row>
    <row r="112" spans="1:42" x14ac:dyDescent="0.2">
      <c r="A112" s="327" t="s">
        <v>32</v>
      </c>
      <c r="B112" s="320">
        <v>42090</v>
      </c>
      <c r="C112" s="318"/>
      <c r="D112" s="215"/>
      <c r="E112" s="320"/>
      <c r="F112" s="311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  <c r="AN112" s="194">
        <f>AN110-AN93</f>
        <v>55537.753999999957</v>
      </c>
    </row>
    <row r="113" spans="1:34" x14ac:dyDescent="0.2">
      <c r="A113" s="327" t="s">
        <v>33</v>
      </c>
      <c r="B113" s="320">
        <v>42090</v>
      </c>
      <c r="C113" s="318"/>
      <c r="D113" s="215"/>
      <c r="E113" s="320"/>
      <c r="F113" s="311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33</v>
      </c>
      <c r="B114" s="320">
        <v>42080</v>
      </c>
      <c r="C114" s="318"/>
      <c r="D114" s="215"/>
      <c r="E114" s="215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33</v>
      </c>
      <c r="B115" s="320">
        <v>42024</v>
      </c>
      <c r="C115" s="318"/>
      <c r="D115" s="215"/>
      <c r="E115" s="323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32</v>
      </c>
      <c r="B116" s="320">
        <v>41918</v>
      </c>
      <c r="C116" s="318"/>
      <c r="D116" s="323"/>
      <c r="E116" s="323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32</v>
      </c>
      <c r="B117" s="320">
        <v>41673</v>
      </c>
      <c r="C117" s="318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32</v>
      </c>
      <c r="B118" s="320">
        <v>41673</v>
      </c>
      <c r="C118" s="318"/>
      <c r="D118" s="215"/>
      <c r="E118" s="323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32</v>
      </c>
      <c r="B119" s="320">
        <v>41673</v>
      </c>
      <c r="C119" s="318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327" t="s">
        <v>33</v>
      </c>
      <c r="B120" s="320">
        <v>41673</v>
      </c>
      <c r="C120" s="318"/>
      <c r="D120" s="215"/>
      <c r="E120" s="500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327" t="s">
        <v>33</v>
      </c>
      <c r="B121" s="320">
        <v>41673</v>
      </c>
      <c r="C121" s="316"/>
      <c r="D121" s="215"/>
      <c r="E121" s="323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215"/>
      <c r="B122" s="321"/>
      <c r="C122" s="318"/>
      <c r="D122" s="215"/>
      <c r="E122" s="215"/>
      <c r="F122" s="215"/>
      <c r="G122" s="323"/>
      <c r="H122" s="323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62"/>
      <c r="D123" s="215"/>
      <c r="E123" s="215"/>
      <c r="F123" s="215"/>
      <c r="G123" s="323"/>
      <c r="H123" s="215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215"/>
      <c r="B124" s="320"/>
      <c r="C124" s="215"/>
      <c r="D124" s="215"/>
      <c r="E124" s="215"/>
      <c r="F124" s="215"/>
      <c r="G124" s="215"/>
      <c r="H124" s="316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215"/>
      <c r="B125" s="320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310"/>
      <c r="B126" s="320"/>
      <c r="C126" s="262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310"/>
      <c r="B127" s="320"/>
      <c r="C127" s="262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309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</row>
    <row r="132" spans="1:34" ht="13.5" thickBot="1" x14ac:dyDescent="0.25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309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</row>
    <row r="133" spans="1:34" x14ac:dyDescent="0.2">
      <c r="A133" s="263"/>
      <c r="B133" s="264"/>
      <c r="C133" s="264"/>
      <c r="D133" s="264"/>
      <c r="E133" s="264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860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15"/>
    </row>
    <row r="134" spans="1:34" x14ac:dyDescent="0.2">
      <c r="A134" s="265"/>
      <c r="B134" s="266" t="s">
        <v>37</v>
      </c>
      <c r="C134" s="266"/>
      <c r="D134" s="266"/>
      <c r="E134" s="267" t="s">
        <v>36</v>
      </c>
      <c r="F134" s="268" t="s">
        <v>95</v>
      </c>
      <c r="G134" s="269" t="s">
        <v>6</v>
      </c>
      <c r="H134" s="268"/>
      <c r="I134" s="268"/>
      <c r="J134" s="268"/>
      <c r="K134" s="268"/>
      <c r="L134" s="268"/>
      <c r="M134" s="268"/>
      <c r="N134" s="268"/>
      <c r="O134" s="268"/>
      <c r="P134" s="861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15"/>
    </row>
    <row r="135" spans="1:34" x14ac:dyDescent="0.2">
      <c r="A135" s="265"/>
      <c r="B135" s="266"/>
      <c r="C135" s="266"/>
      <c r="D135" s="268">
        <v>42100</v>
      </c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x14ac:dyDescent="0.2">
      <c r="A136" s="328"/>
      <c r="B136" s="266"/>
      <c r="C136" s="268"/>
      <c r="D136" s="268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x14ac:dyDescent="0.2">
      <c r="A137" s="265"/>
      <c r="B137" s="266"/>
      <c r="C137" s="268"/>
      <c r="D137" s="268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79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15"/>
    </row>
    <row r="138" spans="1:34" ht="13.5" thickBot="1" x14ac:dyDescent="0.25">
      <c r="A138" s="265"/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79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  <c r="AH138" s="215"/>
    </row>
    <row r="139" spans="1:34" ht="13.5" thickBot="1" x14ac:dyDescent="0.25">
      <c r="A139" s="265"/>
      <c r="B139" s="266"/>
      <c r="C139" s="270"/>
      <c r="D139" s="271" t="s">
        <v>16</v>
      </c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  <c r="O139" s="271"/>
      <c r="P139" s="862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15"/>
    </row>
    <row r="140" spans="1:34" ht="13.5" thickBot="1" x14ac:dyDescent="0.25">
      <c r="A140" s="265"/>
      <c r="B140" s="266"/>
      <c r="C140" s="272" t="s">
        <v>452</v>
      </c>
      <c r="D140" s="272" t="s">
        <v>453</v>
      </c>
      <c r="E140" s="272" t="s">
        <v>434</v>
      </c>
      <c r="F140" s="272" t="s">
        <v>390</v>
      </c>
      <c r="G140" s="272" t="s">
        <v>454</v>
      </c>
      <c r="H140" s="272" t="s">
        <v>455</v>
      </c>
      <c r="I140" s="272" t="s">
        <v>456</v>
      </c>
      <c r="J140" s="272" t="s">
        <v>457</v>
      </c>
      <c r="K140" s="272" t="s">
        <v>458</v>
      </c>
      <c r="L140" s="272" t="s">
        <v>216</v>
      </c>
      <c r="M140" s="272" t="s">
        <v>459</v>
      </c>
      <c r="N140" s="272" t="s">
        <v>297</v>
      </c>
      <c r="O140" s="272" t="s">
        <v>211</v>
      </c>
      <c r="P140" s="863" t="s">
        <v>270</v>
      </c>
      <c r="Q140" s="272">
        <v>15</v>
      </c>
      <c r="R140" s="272">
        <v>16</v>
      </c>
      <c r="S140" s="272" t="s">
        <v>461</v>
      </c>
      <c r="T140" s="272" t="s">
        <v>442</v>
      </c>
      <c r="U140" s="272" t="s">
        <v>462</v>
      </c>
      <c r="V140" s="272" t="s">
        <v>470</v>
      </c>
      <c r="W140" s="272" t="s">
        <v>471</v>
      </c>
      <c r="X140" s="272" t="s">
        <v>472</v>
      </c>
      <c r="Y140" s="272" t="s">
        <v>463</v>
      </c>
      <c r="Z140" s="272" t="s">
        <v>465</v>
      </c>
      <c r="AA140" s="272" t="s">
        <v>466</v>
      </c>
      <c r="AB140" s="272" t="s">
        <v>435</v>
      </c>
      <c r="AC140" s="272" t="s">
        <v>467</v>
      </c>
      <c r="AD140" s="272" t="s">
        <v>464</v>
      </c>
      <c r="AE140" s="272" t="s">
        <v>429</v>
      </c>
      <c r="AF140" s="272" t="s">
        <v>149</v>
      </c>
      <c r="AG140" s="272" t="s">
        <v>210</v>
      </c>
      <c r="AH140" s="215"/>
    </row>
    <row r="141" spans="1:34" x14ac:dyDescent="0.2">
      <c r="A141" s="263"/>
      <c r="B141" s="273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x14ac:dyDescent="0.2">
      <c r="A142" s="265" t="s">
        <v>0</v>
      </c>
      <c r="B142" s="274">
        <v>-22298.589</v>
      </c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ht="13.5" thickBot="1" x14ac:dyDescent="0.25">
      <c r="A143" s="275"/>
      <c r="B143" s="27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3"/>
      <c r="B144" s="278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1</v>
      </c>
      <c r="B145" s="274">
        <f>B146+B147+B148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38</v>
      </c>
      <c r="B146" s="274">
        <f>C196</f>
        <v>0</v>
      </c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x14ac:dyDescent="0.2">
      <c r="A147" s="265" t="s">
        <v>39</v>
      </c>
      <c r="B147" s="274">
        <f>C216</f>
        <v>0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x14ac:dyDescent="0.2">
      <c r="A148" s="265" t="s">
        <v>3</v>
      </c>
      <c r="B148" s="274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ht="13.5" thickBot="1" x14ac:dyDescent="0.25">
      <c r="A149" s="275"/>
      <c r="B149" s="27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x14ac:dyDescent="0.2">
      <c r="A150" s="263"/>
      <c r="B150" s="278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x14ac:dyDescent="0.2">
      <c r="A151" s="265" t="s">
        <v>4</v>
      </c>
      <c r="B151" s="274">
        <f>B142+B145</f>
        <v>-22298.589</v>
      </c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ht="13.5" thickBot="1" x14ac:dyDescent="0.25">
      <c r="A152" s="275"/>
      <c r="B152" s="276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x14ac:dyDescent="0.2">
      <c r="A153" s="263"/>
      <c r="B153" s="278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79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x14ac:dyDescent="0.2">
      <c r="A154" s="265" t="s">
        <v>17</v>
      </c>
      <c r="B154" s="274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15"/>
    </row>
    <row r="155" spans="1:34" ht="13.5" thickBot="1" x14ac:dyDescent="0.25">
      <c r="A155" s="275"/>
      <c r="B155" s="27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79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  <c r="AA155" s="266"/>
      <c r="AB155" s="266"/>
      <c r="AC155" s="266"/>
      <c r="AD155" s="266"/>
      <c r="AE155" s="266"/>
      <c r="AF155" s="266"/>
      <c r="AG155" s="266"/>
      <c r="AH155" s="215"/>
    </row>
    <row r="156" spans="1:34" x14ac:dyDescent="0.2">
      <c r="A156" s="263"/>
      <c r="B156" s="278"/>
      <c r="C156" s="266"/>
      <c r="D156" s="802"/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79"/>
      <c r="Q156" s="266"/>
      <c r="R156" s="266"/>
      <c r="S156" s="266"/>
      <c r="T156" s="266"/>
      <c r="U156" s="266"/>
      <c r="V156" s="266"/>
      <c r="W156" s="266"/>
      <c r="X156" s="269" t="s">
        <v>831</v>
      </c>
      <c r="Y156" s="266"/>
      <c r="Z156" s="266"/>
      <c r="AA156" s="266"/>
      <c r="AB156" s="266"/>
      <c r="AC156" s="802"/>
      <c r="AD156" s="266"/>
      <c r="AF156" s="266"/>
      <c r="AG156" s="266"/>
      <c r="AH156" s="215"/>
    </row>
    <row r="157" spans="1:34" x14ac:dyDescent="0.2">
      <c r="A157" s="265" t="s">
        <v>5</v>
      </c>
      <c r="B157" s="274">
        <f>B151-B154</f>
        <v>-22298.589</v>
      </c>
      <c r="C157" s="269"/>
      <c r="D157" s="802"/>
      <c r="E157" s="266"/>
      <c r="F157" s="266"/>
      <c r="G157" s="269"/>
      <c r="H157" s="269"/>
      <c r="I157" s="269"/>
      <c r="J157" s="266"/>
      <c r="K157" s="266"/>
      <c r="L157" s="707"/>
      <c r="M157" s="266"/>
      <c r="N157" s="266"/>
      <c r="O157" s="269"/>
      <c r="P157" s="281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707"/>
      <c r="AB157" s="269"/>
      <c r="AC157" s="802"/>
      <c r="AD157" s="269"/>
      <c r="AF157" s="269"/>
      <c r="AG157" s="269"/>
      <c r="AH157" s="215"/>
    </row>
    <row r="158" spans="1:34" ht="13.5" thickBot="1" x14ac:dyDescent="0.25">
      <c r="A158" s="275"/>
      <c r="B158" s="27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81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15"/>
    </row>
    <row r="159" spans="1:34" x14ac:dyDescent="0.2">
      <c r="A159" s="282"/>
      <c r="B159" s="266"/>
      <c r="C159" s="283"/>
      <c r="D159" s="285"/>
      <c r="E159" s="285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86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  <c r="AA159" s="284"/>
      <c r="AB159" s="284"/>
      <c r="AC159" s="284"/>
      <c r="AD159" s="284"/>
      <c r="AE159" s="284"/>
      <c r="AF159" s="284"/>
      <c r="AG159" s="284"/>
      <c r="AH159" s="215"/>
    </row>
    <row r="160" spans="1:34" ht="13.5" thickBot="1" x14ac:dyDescent="0.25">
      <c r="A160" s="287" t="s">
        <v>7</v>
      </c>
      <c r="B160" s="266"/>
      <c r="C160" s="288">
        <f>C161+C162+C163+C167+C166+C164+C165</f>
        <v>0</v>
      </c>
      <c r="D160" s="288">
        <f t="shared" ref="D160:AE160" si="16">D161+D162+D163+D167+D166+D164+D165</f>
        <v>0</v>
      </c>
      <c r="E160" s="288">
        <f t="shared" si="16"/>
        <v>0</v>
      </c>
      <c r="F160" s="288">
        <f t="shared" si="16"/>
        <v>0</v>
      </c>
      <c r="G160" s="288">
        <f t="shared" si="16"/>
        <v>0</v>
      </c>
      <c r="H160" s="288">
        <f t="shared" si="16"/>
        <v>0</v>
      </c>
      <c r="I160" s="288">
        <f t="shared" si="16"/>
        <v>0</v>
      </c>
      <c r="J160" s="288">
        <f t="shared" si="16"/>
        <v>0</v>
      </c>
      <c r="K160" s="288">
        <f t="shared" si="16"/>
        <v>0</v>
      </c>
      <c r="L160" s="288">
        <f t="shared" si="16"/>
        <v>0</v>
      </c>
      <c r="M160" s="288">
        <f t="shared" si="16"/>
        <v>0</v>
      </c>
      <c r="N160" s="288">
        <f t="shared" si="16"/>
        <v>0</v>
      </c>
      <c r="O160" s="288">
        <f t="shared" si="16"/>
        <v>0</v>
      </c>
      <c r="P160" s="865">
        <f t="shared" si="16"/>
        <v>0</v>
      </c>
      <c r="Q160" s="288">
        <f t="shared" si="16"/>
        <v>0</v>
      </c>
      <c r="R160" s="288">
        <f t="shared" si="16"/>
        <v>0</v>
      </c>
      <c r="S160" s="288">
        <f t="shared" si="16"/>
        <v>0</v>
      </c>
      <c r="T160" s="288">
        <f t="shared" si="16"/>
        <v>0</v>
      </c>
      <c r="U160" s="288">
        <f t="shared" si="16"/>
        <v>0</v>
      </c>
      <c r="V160" s="288">
        <f t="shared" si="16"/>
        <v>0</v>
      </c>
      <c r="W160" s="288">
        <f t="shared" si="16"/>
        <v>0</v>
      </c>
      <c r="X160" s="288">
        <f t="shared" si="16"/>
        <v>0</v>
      </c>
      <c r="Y160" s="288">
        <f t="shared" si="16"/>
        <v>0</v>
      </c>
      <c r="Z160" s="288">
        <f t="shared" si="16"/>
        <v>0</v>
      </c>
      <c r="AA160" s="288">
        <f t="shared" si="16"/>
        <v>0</v>
      </c>
      <c r="AB160" s="288">
        <f t="shared" si="16"/>
        <v>0</v>
      </c>
      <c r="AC160" s="288">
        <f t="shared" si="16"/>
        <v>0</v>
      </c>
      <c r="AD160" s="288">
        <f t="shared" si="16"/>
        <v>0</v>
      </c>
      <c r="AE160" s="288">
        <f t="shared" si="16"/>
        <v>0</v>
      </c>
      <c r="AF160" s="288">
        <f>AF161+AF162+AF163+AF167+AF166+AF164+AF165</f>
        <v>0</v>
      </c>
      <c r="AG160" s="288">
        <f>AG161+AG162+AG163+AG167+AG166+AG164+AG165</f>
        <v>0</v>
      </c>
      <c r="AH160" s="286">
        <f t="shared" ref="AH160:AH168" si="17">SUM(C160:AG160)</f>
        <v>0</v>
      </c>
    </row>
    <row r="161" spans="1:35" x14ac:dyDescent="0.2">
      <c r="A161" s="287" t="s">
        <v>8</v>
      </c>
      <c r="B161" s="266"/>
      <c r="C161" s="291"/>
      <c r="D161" s="291"/>
      <c r="E161" s="291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2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86">
        <f t="shared" si="17"/>
        <v>0</v>
      </c>
    </row>
    <row r="162" spans="1:35" x14ac:dyDescent="0.2">
      <c r="A162" s="287" t="s">
        <v>9</v>
      </c>
      <c r="B162" s="266"/>
      <c r="C162" s="291"/>
      <c r="D162" s="291"/>
      <c r="E162" s="291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2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86">
        <f t="shared" si="17"/>
        <v>0</v>
      </c>
    </row>
    <row r="163" spans="1:35" s="360" customFormat="1" x14ac:dyDescent="0.2">
      <c r="A163" s="662" t="s">
        <v>10</v>
      </c>
      <c r="B163" s="669"/>
      <c r="C163" s="664"/>
      <c r="D163" s="565"/>
      <c r="E163" s="565"/>
      <c r="F163" s="560"/>
      <c r="G163" s="560"/>
      <c r="H163" s="560"/>
      <c r="I163" s="560"/>
      <c r="J163" s="560"/>
      <c r="K163" s="560"/>
      <c r="L163" s="708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708"/>
      <c r="AB163" s="560"/>
      <c r="AC163" s="560"/>
      <c r="AD163" s="560"/>
      <c r="AE163" s="803"/>
      <c r="AF163" s="560"/>
      <c r="AG163" s="560"/>
      <c r="AH163" s="379">
        <f t="shared" si="17"/>
        <v>0</v>
      </c>
    </row>
    <row r="164" spans="1:35" s="360" customFormat="1" x14ac:dyDescent="0.2">
      <c r="A164" s="662" t="s">
        <v>356</v>
      </c>
      <c r="B164" s="669"/>
      <c r="C164" s="565"/>
      <c r="D164" s="565"/>
      <c r="E164" s="565"/>
      <c r="F164" s="560"/>
      <c r="G164" s="560"/>
      <c r="H164" s="560"/>
      <c r="I164" s="560"/>
      <c r="J164" s="560"/>
      <c r="K164" s="560"/>
      <c r="L164" s="560"/>
      <c r="M164" s="560"/>
      <c r="N164" s="560"/>
      <c r="O164" s="560"/>
      <c r="P164" s="560"/>
      <c r="Q164" s="560"/>
      <c r="R164" s="560"/>
      <c r="S164" s="560"/>
      <c r="T164" s="560"/>
      <c r="U164" s="560"/>
      <c r="V164" s="560"/>
      <c r="W164" s="560"/>
      <c r="X164" s="560"/>
      <c r="Y164" s="560"/>
      <c r="Z164" s="560"/>
      <c r="AA164" s="560"/>
      <c r="AB164" s="560"/>
      <c r="AC164" s="560"/>
      <c r="AD164" s="560"/>
      <c r="AE164" s="560"/>
      <c r="AF164" s="560"/>
      <c r="AG164" s="560"/>
      <c r="AH164" s="379">
        <f t="shared" si="17"/>
        <v>0</v>
      </c>
    </row>
    <row r="165" spans="1:35" x14ac:dyDescent="0.2">
      <c r="A165" s="287" t="s">
        <v>357</v>
      </c>
      <c r="B165" s="266"/>
      <c r="C165" s="289"/>
      <c r="D165" s="291"/>
      <c r="E165" s="289"/>
      <c r="F165" s="290"/>
      <c r="G165" s="290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x14ac:dyDescent="0.2">
      <c r="A166" s="287" t="s">
        <v>41</v>
      </c>
      <c r="B166" s="266"/>
      <c r="C166" s="289"/>
      <c r="D166" s="291"/>
      <c r="E166" s="289"/>
      <c r="F166" s="290"/>
      <c r="G166" s="290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86">
        <f t="shared" si="17"/>
        <v>0</v>
      </c>
    </row>
    <row r="167" spans="1:35" x14ac:dyDescent="0.2">
      <c r="A167" s="287" t="s">
        <v>11</v>
      </c>
      <c r="B167" s="266"/>
      <c r="C167" s="291"/>
      <c r="D167" s="289"/>
      <c r="E167" s="289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86">
        <f t="shared" si="17"/>
        <v>0</v>
      </c>
    </row>
    <row r="168" spans="1:35" ht="13.5" thickBot="1" x14ac:dyDescent="0.25">
      <c r="A168" s="296"/>
      <c r="B168" s="266"/>
      <c r="C168" s="291"/>
      <c r="D168" s="291"/>
      <c r="E168" s="291"/>
      <c r="F168" s="290"/>
      <c r="G168" s="290"/>
      <c r="H168" s="290"/>
      <c r="I168" s="290"/>
      <c r="J168" s="290"/>
      <c r="K168" s="290"/>
      <c r="L168" s="290"/>
      <c r="M168" s="290"/>
      <c r="N168" s="290"/>
      <c r="O168" s="290"/>
      <c r="P168" s="292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  <c r="AE168" s="290"/>
      <c r="AF168" s="290"/>
      <c r="AG168" s="290"/>
      <c r="AH168" s="286">
        <f t="shared" si="17"/>
        <v>0</v>
      </c>
    </row>
    <row r="169" spans="1:35" x14ac:dyDescent="0.2">
      <c r="A169" s="282"/>
      <c r="B169" s="266"/>
      <c r="C169" s="297"/>
      <c r="D169" s="298"/>
      <c r="E169" s="298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866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  <c r="AB169" s="299"/>
      <c r="AC169" s="299"/>
      <c r="AD169" s="299"/>
      <c r="AE169" s="299"/>
      <c r="AF169" s="299"/>
      <c r="AG169" s="299"/>
      <c r="AH169" s="215"/>
    </row>
    <row r="170" spans="1:35" ht="13.5" thickBot="1" x14ac:dyDescent="0.25">
      <c r="A170" s="287" t="s">
        <v>12</v>
      </c>
      <c r="B170" s="266"/>
      <c r="C170" s="288">
        <f t="shared" ref="C170:AG170" si="18">C171</f>
        <v>0</v>
      </c>
      <c r="D170" s="288">
        <f t="shared" si="18"/>
        <v>0</v>
      </c>
      <c r="E170" s="288">
        <f t="shared" si="18"/>
        <v>0</v>
      </c>
      <c r="F170" s="288">
        <f t="shared" si="18"/>
        <v>0</v>
      </c>
      <c r="G170" s="288">
        <f t="shared" si="18"/>
        <v>0</v>
      </c>
      <c r="H170" s="288">
        <f t="shared" si="18"/>
        <v>0</v>
      </c>
      <c r="I170" s="288">
        <f t="shared" si="18"/>
        <v>0</v>
      </c>
      <c r="J170" s="288">
        <f t="shared" si="18"/>
        <v>0</v>
      </c>
      <c r="K170" s="288">
        <f t="shared" si="18"/>
        <v>0</v>
      </c>
      <c r="L170" s="288">
        <f t="shared" si="18"/>
        <v>0</v>
      </c>
      <c r="M170" s="288">
        <f t="shared" si="18"/>
        <v>0</v>
      </c>
      <c r="N170" s="288">
        <f t="shared" si="18"/>
        <v>0</v>
      </c>
      <c r="O170" s="288">
        <f t="shared" si="18"/>
        <v>0</v>
      </c>
      <c r="P170" s="865">
        <f t="shared" si="18"/>
        <v>0</v>
      </c>
      <c r="Q170" s="288">
        <f t="shared" si="18"/>
        <v>0</v>
      </c>
      <c r="R170" s="288">
        <f t="shared" si="18"/>
        <v>0</v>
      </c>
      <c r="S170" s="288">
        <f t="shared" si="18"/>
        <v>0</v>
      </c>
      <c r="T170" s="288">
        <f t="shared" si="18"/>
        <v>0</v>
      </c>
      <c r="U170" s="288">
        <f t="shared" si="18"/>
        <v>0</v>
      </c>
      <c r="V170" s="288">
        <f t="shared" si="18"/>
        <v>0</v>
      </c>
      <c r="W170" s="288">
        <f t="shared" si="18"/>
        <v>0</v>
      </c>
      <c r="X170" s="288">
        <f t="shared" si="18"/>
        <v>0</v>
      </c>
      <c r="Y170" s="288">
        <f t="shared" si="18"/>
        <v>0</v>
      </c>
      <c r="Z170" s="288">
        <f t="shared" si="18"/>
        <v>0</v>
      </c>
      <c r="AA170" s="288">
        <f t="shared" si="18"/>
        <v>0</v>
      </c>
      <c r="AB170" s="288">
        <f t="shared" si="18"/>
        <v>0</v>
      </c>
      <c r="AC170" s="288">
        <f t="shared" si="18"/>
        <v>0</v>
      </c>
      <c r="AD170" s="288">
        <f t="shared" si="18"/>
        <v>0</v>
      </c>
      <c r="AE170" s="288">
        <f t="shared" si="18"/>
        <v>0</v>
      </c>
      <c r="AF170" s="288">
        <f t="shared" si="18"/>
        <v>0</v>
      </c>
      <c r="AG170" s="288">
        <f t="shared" si="18"/>
        <v>0</v>
      </c>
      <c r="AH170" s="215"/>
    </row>
    <row r="171" spans="1:35" x14ac:dyDescent="0.2">
      <c r="A171" s="287" t="s">
        <v>8</v>
      </c>
      <c r="B171" s="266"/>
      <c r="C171" s="291"/>
      <c r="D171" s="291"/>
      <c r="E171" s="291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2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15"/>
    </row>
    <row r="172" spans="1:35" x14ac:dyDescent="0.2">
      <c r="A172" s="287" t="s">
        <v>775</v>
      </c>
      <c r="B172" s="266"/>
      <c r="C172" s="291"/>
      <c r="D172" s="291"/>
      <c r="E172" s="291"/>
      <c r="F172" s="290"/>
      <c r="G172" s="290"/>
      <c r="H172" s="292"/>
      <c r="I172" s="292"/>
      <c r="J172" s="292"/>
      <c r="K172" s="292"/>
      <c r="L172" s="292">
        <v>618</v>
      </c>
      <c r="M172" s="292"/>
      <c r="N172" s="292"/>
      <c r="O172" s="292"/>
      <c r="P172" s="292"/>
      <c r="Q172" s="292"/>
      <c r="R172" s="292"/>
      <c r="S172" s="292">
        <v>1150</v>
      </c>
      <c r="T172" s="292"/>
      <c r="U172" s="292"/>
      <c r="V172" s="292">
        <v>2000</v>
      </c>
      <c r="W172" s="292"/>
      <c r="X172" s="292"/>
      <c r="Y172" s="292"/>
      <c r="Z172" s="292"/>
      <c r="AA172" s="292"/>
      <c r="AB172" s="292"/>
      <c r="AC172" s="292">
        <v>700</v>
      </c>
      <c r="AD172" s="292"/>
      <c r="AE172" s="292"/>
      <c r="AF172" s="290"/>
      <c r="AG172" s="290"/>
      <c r="AH172" s="286">
        <f>SUM(C172:AG172)</f>
        <v>4468</v>
      </c>
    </row>
    <row r="173" spans="1:35" ht="13.5" thickBot="1" x14ac:dyDescent="0.25">
      <c r="A173" s="296"/>
      <c r="B173" s="266"/>
      <c r="C173" s="291"/>
      <c r="D173" s="291"/>
      <c r="E173" s="291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2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15"/>
    </row>
    <row r="174" spans="1:35" x14ac:dyDescent="0.2">
      <c r="A174" s="282"/>
      <c r="B174" s="266"/>
      <c r="C174" s="297"/>
      <c r="D174" s="298"/>
      <c r="E174" s="298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866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  <c r="AA174" s="299"/>
      <c r="AB174" s="299"/>
      <c r="AC174" s="299"/>
      <c r="AD174" s="299"/>
      <c r="AE174" s="299"/>
      <c r="AF174" s="299"/>
      <c r="AG174" s="299"/>
      <c r="AH174" s="215"/>
    </row>
    <row r="175" spans="1:35" x14ac:dyDescent="0.2">
      <c r="A175" s="287" t="s">
        <v>13</v>
      </c>
      <c r="B175" s="266"/>
      <c r="C175" s="300">
        <f t="shared" ref="C175:AE175" si="19">C170-C160</f>
        <v>0</v>
      </c>
      <c r="D175" s="300">
        <f t="shared" si="19"/>
        <v>0</v>
      </c>
      <c r="E175" s="300">
        <f t="shared" si="19"/>
        <v>0</v>
      </c>
      <c r="F175" s="300">
        <f t="shared" si="19"/>
        <v>0</v>
      </c>
      <c r="G175" s="300">
        <f t="shared" si="19"/>
        <v>0</v>
      </c>
      <c r="H175" s="300">
        <f t="shared" si="19"/>
        <v>0</v>
      </c>
      <c r="I175" s="300">
        <f t="shared" si="19"/>
        <v>0</v>
      </c>
      <c r="J175" s="300">
        <f t="shared" si="19"/>
        <v>0</v>
      </c>
      <c r="K175" s="300">
        <f t="shared" si="19"/>
        <v>0</v>
      </c>
      <c r="L175" s="300">
        <f t="shared" si="19"/>
        <v>0</v>
      </c>
      <c r="M175" s="300">
        <f t="shared" si="19"/>
        <v>0</v>
      </c>
      <c r="N175" s="300">
        <f t="shared" si="19"/>
        <v>0</v>
      </c>
      <c r="O175" s="300">
        <f t="shared" si="19"/>
        <v>0</v>
      </c>
      <c r="P175" s="867">
        <f t="shared" si="19"/>
        <v>0</v>
      </c>
      <c r="Q175" s="300">
        <f t="shared" si="19"/>
        <v>0</v>
      </c>
      <c r="R175" s="300">
        <f t="shared" si="19"/>
        <v>0</v>
      </c>
      <c r="S175" s="300">
        <f t="shared" si="19"/>
        <v>0</v>
      </c>
      <c r="T175" s="300">
        <f t="shared" si="19"/>
        <v>0</v>
      </c>
      <c r="U175" s="300">
        <f t="shared" si="19"/>
        <v>0</v>
      </c>
      <c r="V175" s="300">
        <f t="shared" si="19"/>
        <v>0</v>
      </c>
      <c r="W175" s="300">
        <f t="shared" si="19"/>
        <v>0</v>
      </c>
      <c r="X175" s="300">
        <f t="shared" si="19"/>
        <v>0</v>
      </c>
      <c r="Y175" s="300">
        <f t="shared" si="19"/>
        <v>0</v>
      </c>
      <c r="Z175" s="300">
        <f t="shared" si="19"/>
        <v>0</v>
      </c>
      <c r="AA175" s="300">
        <f t="shared" si="19"/>
        <v>0</v>
      </c>
      <c r="AB175" s="300">
        <f t="shared" si="19"/>
        <v>0</v>
      </c>
      <c r="AC175" s="300">
        <f t="shared" si="19"/>
        <v>0</v>
      </c>
      <c r="AD175" s="300">
        <f t="shared" si="19"/>
        <v>0</v>
      </c>
      <c r="AE175" s="300">
        <f t="shared" si="19"/>
        <v>0</v>
      </c>
      <c r="AF175" s="300">
        <f>AF170-AF160</f>
        <v>0</v>
      </c>
      <c r="AG175" s="300">
        <f>AG170-AG160</f>
        <v>0</v>
      </c>
      <c r="AH175" s="215"/>
    </row>
    <row r="176" spans="1:35" ht="13.5" thickBot="1" x14ac:dyDescent="0.25">
      <c r="A176" s="287"/>
      <c r="B176" s="266"/>
      <c r="C176" s="300"/>
      <c r="D176" s="291"/>
      <c r="E176" s="291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2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15"/>
      <c r="AI176" t="s">
        <v>813</v>
      </c>
    </row>
    <row r="177" spans="1:34" x14ac:dyDescent="0.2">
      <c r="A177" s="263"/>
      <c r="B177" s="264"/>
      <c r="C177" s="301"/>
      <c r="D177" s="298"/>
      <c r="E177" s="298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866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  <c r="AB177" s="299"/>
      <c r="AC177" s="299"/>
      <c r="AD177" s="299"/>
      <c r="AE177" s="299"/>
      <c r="AF177" s="299"/>
      <c r="AG177" s="299"/>
      <c r="AH177" s="215"/>
    </row>
    <row r="178" spans="1:34" x14ac:dyDescent="0.2">
      <c r="A178" s="265" t="s">
        <v>15</v>
      </c>
      <c r="B178" s="266"/>
      <c r="C178" s="291">
        <f>B157+C175</f>
        <v>-22298.589</v>
      </c>
      <c r="D178" s="291">
        <f t="shared" ref="D178:AE178" si="20">C185+D175</f>
        <v>-22298.589</v>
      </c>
      <c r="E178" s="291">
        <f t="shared" si="20"/>
        <v>-22298.589</v>
      </c>
      <c r="F178" s="291">
        <f t="shared" si="20"/>
        <v>-22298.589</v>
      </c>
      <c r="G178" s="291">
        <f t="shared" si="20"/>
        <v>-22298.589</v>
      </c>
      <c r="H178" s="291">
        <f t="shared" si="20"/>
        <v>-22298.589</v>
      </c>
      <c r="I178" s="291">
        <f t="shared" si="20"/>
        <v>-22298.589</v>
      </c>
      <c r="J178" s="291">
        <f t="shared" si="20"/>
        <v>-22298.589</v>
      </c>
      <c r="K178" s="291">
        <f t="shared" si="20"/>
        <v>-22298.589</v>
      </c>
      <c r="L178" s="291">
        <f t="shared" si="20"/>
        <v>-22298.589</v>
      </c>
      <c r="M178" s="291">
        <f t="shared" si="20"/>
        <v>-22298.589</v>
      </c>
      <c r="N178" s="291">
        <f t="shared" si="20"/>
        <v>-22298.589</v>
      </c>
      <c r="O178" s="291">
        <f t="shared" si="20"/>
        <v>-22298.589</v>
      </c>
      <c r="P178" s="289">
        <f t="shared" si="20"/>
        <v>-22298.589</v>
      </c>
      <c r="Q178" s="291">
        <f t="shared" si="20"/>
        <v>-22298.589</v>
      </c>
      <c r="R178" s="291">
        <f>Q185+R175</f>
        <v>-22298.589</v>
      </c>
      <c r="S178" s="291">
        <f>R185+S175</f>
        <v>-22298.589</v>
      </c>
      <c r="T178" s="291">
        <f>S185+T175</f>
        <v>-22298.589</v>
      </c>
      <c r="U178" s="291">
        <f>T185+U175</f>
        <v>-22298.589</v>
      </c>
      <c r="V178" s="291">
        <f>U185+V175</f>
        <v>-22298.589</v>
      </c>
      <c r="W178" s="291">
        <f t="shared" si="20"/>
        <v>-22298.589</v>
      </c>
      <c r="X178" s="291">
        <f t="shared" si="20"/>
        <v>-22298.589</v>
      </c>
      <c r="Y178" s="291">
        <f t="shared" si="20"/>
        <v>-22298.589</v>
      </c>
      <c r="Z178" s="291">
        <f t="shared" si="20"/>
        <v>-22298.589</v>
      </c>
      <c r="AA178" s="291">
        <f t="shared" si="20"/>
        <v>-22298.589</v>
      </c>
      <c r="AB178" s="291">
        <f t="shared" si="20"/>
        <v>-22298.589</v>
      </c>
      <c r="AC178" s="291">
        <f t="shared" si="20"/>
        <v>-22298.589</v>
      </c>
      <c r="AD178" s="291">
        <f t="shared" si="20"/>
        <v>-22298.589</v>
      </c>
      <c r="AE178" s="291">
        <f t="shared" si="20"/>
        <v>-22298.589</v>
      </c>
      <c r="AF178" s="291">
        <f>AE185+AF175</f>
        <v>-22298.589</v>
      </c>
      <c r="AG178" s="291">
        <f>AF185+AG175</f>
        <v>-22298.589</v>
      </c>
      <c r="AH178" s="215"/>
    </row>
    <row r="179" spans="1:34" ht="13.5" thickBot="1" x14ac:dyDescent="0.25">
      <c r="A179" s="275"/>
      <c r="B179" s="302"/>
      <c r="C179" s="303"/>
      <c r="D179" s="303"/>
      <c r="E179" s="303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868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215"/>
    </row>
    <row r="180" spans="1:34" x14ac:dyDescent="0.2">
      <c r="A180" s="263"/>
      <c r="B180" s="264"/>
      <c r="C180" s="298"/>
      <c r="D180" s="298"/>
      <c r="E180" s="298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866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  <c r="AB180" s="299"/>
      <c r="AC180" s="299"/>
      <c r="AD180" s="299"/>
      <c r="AE180" s="299"/>
      <c r="AF180" s="299"/>
      <c r="AG180" s="299"/>
      <c r="AH180" s="215"/>
    </row>
    <row r="181" spans="1:34" x14ac:dyDescent="0.2">
      <c r="A181" s="265" t="s">
        <v>82</v>
      </c>
      <c r="B181" s="266"/>
      <c r="C181" s="291">
        <f t="shared" ref="C181:AE182" si="21">C189</f>
        <v>0</v>
      </c>
      <c r="D181" s="291">
        <f t="shared" si="21"/>
        <v>0</v>
      </c>
      <c r="E181" s="291">
        <f t="shared" si="21"/>
        <v>0</v>
      </c>
      <c r="F181" s="291">
        <f t="shared" si="21"/>
        <v>0</v>
      </c>
      <c r="G181" s="291">
        <f t="shared" si="21"/>
        <v>0</v>
      </c>
      <c r="H181" s="291">
        <f t="shared" si="21"/>
        <v>0</v>
      </c>
      <c r="I181" s="291">
        <f t="shared" si="21"/>
        <v>0</v>
      </c>
      <c r="J181" s="291">
        <f t="shared" si="21"/>
        <v>0</v>
      </c>
      <c r="K181" s="291">
        <f t="shared" si="21"/>
        <v>0</v>
      </c>
      <c r="L181" s="291">
        <f t="shared" si="21"/>
        <v>0</v>
      </c>
      <c r="M181" s="291">
        <f t="shared" si="21"/>
        <v>0</v>
      </c>
      <c r="N181" s="291">
        <f t="shared" si="21"/>
        <v>0</v>
      </c>
      <c r="O181" s="291">
        <f t="shared" si="21"/>
        <v>0</v>
      </c>
      <c r="P181" s="289">
        <f t="shared" si="21"/>
        <v>0</v>
      </c>
      <c r="Q181" s="291">
        <f t="shared" si="21"/>
        <v>0</v>
      </c>
      <c r="R181" s="291">
        <f t="shared" si="21"/>
        <v>0</v>
      </c>
      <c r="S181" s="291">
        <f t="shared" si="21"/>
        <v>0</v>
      </c>
      <c r="T181" s="291">
        <f t="shared" si="21"/>
        <v>0</v>
      </c>
      <c r="U181" s="291">
        <f t="shared" si="21"/>
        <v>0</v>
      </c>
      <c r="V181" s="291">
        <f t="shared" si="21"/>
        <v>0</v>
      </c>
      <c r="W181" s="291">
        <f t="shared" si="21"/>
        <v>0</v>
      </c>
      <c r="X181" s="291">
        <f t="shared" si="21"/>
        <v>0</v>
      </c>
      <c r="Y181" s="291">
        <f t="shared" si="21"/>
        <v>0</v>
      </c>
      <c r="Z181" s="291">
        <f t="shared" si="21"/>
        <v>0</v>
      </c>
      <c r="AA181" s="291">
        <f t="shared" si="21"/>
        <v>0</v>
      </c>
      <c r="AB181" s="291">
        <f t="shared" si="21"/>
        <v>0</v>
      </c>
      <c r="AC181" s="291">
        <f t="shared" si="21"/>
        <v>0</v>
      </c>
      <c r="AD181" s="291">
        <f t="shared" si="21"/>
        <v>0</v>
      </c>
      <c r="AE181" s="291">
        <f t="shared" si="21"/>
        <v>0</v>
      </c>
      <c r="AF181" s="291">
        <f>AF189</f>
        <v>0</v>
      </c>
      <c r="AG181" s="291">
        <f>AG189</f>
        <v>0</v>
      </c>
      <c r="AH181" s="215"/>
    </row>
    <row r="182" spans="1:34" x14ac:dyDescent="0.2">
      <c r="A182" s="265" t="s">
        <v>83</v>
      </c>
      <c r="B182" s="266"/>
      <c r="C182" s="289">
        <f t="shared" si="21"/>
        <v>0</v>
      </c>
      <c r="D182" s="289">
        <f t="shared" si="21"/>
        <v>0</v>
      </c>
      <c r="E182" s="289">
        <f t="shared" si="21"/>
        <v>0</v>
      </c>
      <c r="F182" s="289">
        <f t="shared" si="21"/>
        <v>0</v>
      </c>
      <c r="G182" s="289">
        <f t="shared" si="21"/>
        <v>0</v>
      </c>
      <c r="H182" s="289">
        <f t="shared" si="21"/>
        <v>0</v>
      </c>
      <c r="I182" s="289">
        <f t="shared" si="21"/>
        <v>0</v>
      </c>
      <c r="J182" s="289">
        <f t="shared" si="21"/>
        <v>0</v>
      </c>
      <c r="K182" s="289">
        <f t="shared" si="21"/>
        <v>0</v>
      </c>
      <c r="L182" s="289">
        <f t="shared" si="21"/>
        <v>0</v>
      </c>
      <c r="M182" s="289">
        <f t="shared" si="21"/>
        <v>0</v>
      </c>
      <c r="N182" s="289">
        <f t="shared" si="21"/>
        <v>0</v>
      </c>
      <c r="O182" s="289">
        <f t="shared" si="21"/>
        <v>0</v>
      </c>
      <c r="P182" s="289">
        <f t="shared" si="21"/>
        <v>0</v>
      </c>
      <c r="Q182" s="289">
        <f t="shared" si="21"/>
        <v>0</v>
      </c>
      <c r="R182" s="289">
        <f t="shared" si="21"/>
        <v>0</v>
      </c>
      <c r="S182" s="289">
        <f t="shared" si="21"/>
        <v>0</v>
      </c>
      <c r="T182" s="289">
        <f t="shared" si="21"/>
        <v>0</v>
      </c>
      <c r="U182" s="289">
        <f t="shared" si="21"/>
        <v>0</v>
      </c>
      <c r="V182" s="289">
        <f t="shared" si="21"/>
        <v>0</v>
      </c>
      <c r="W182" s="289">
        <f t="shared" si="21"/>
        <v>0</v>
      </c>
      <c r="X182" s="289">
        <f t="shared" si="21"/>
        <v>0</v>
      </c>
      <c r="Y182" s="289">
        <f t="shared" si="21"/>
        <v>0</v>
      </c>
      <c r="Z182" s="289">
        <f t="shared" si="21"/>
        <v>0</v>
      </c>
      <c r="AA182" s="289">
        <f t="shared" si="21"/>
        <v>0</v>
      </c>
      <c r="AB182" s="289">
        <f t="shared" si="21"/>
        <v>0</v>
      </c>
      <c r="AC182" s="289">
        <f t="shared" si="21"/>
        <v>0</v>
      </c>
      <c r="AD182" s="289">
        <f t="shared" si="21"/>
        <v>0</v>
      </c>
      <c r="AE182" s="289">
        <f t="shared" si="21"/>
        <v>0</v>
      </c>
      <c r="AF182" s="289">
        <f>AF190</f>
        <v>0</v>
      </c>
      <c r="AG182" s="289">
        <f>AG190</f>
        <v>0</v>
      </c>
      <c r="AH182" s="215"/>
    </row>
    <row r="183" spans="1:34" ht="13.5" thickBot="1" x14ac:dyDescent="0.25">
      <c r="A183" s="275"/>
      <c r="B183" s="302"/>
      <c r="C183" s="303"/>
      <c r="D183" s="303"/>
      <c r="E183" s="303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868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215"/>
    </row>
    <row r="184" spans="1:34" x14ac:dyDescent="0.2">
      <c r="A184" s="265"/>
      <c r="B184" s="266"/>
      <c r="C184" s="291"/>
      <c r="D184" s="291"/>
      <c r="E184" s="291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2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309"/>
    </row>
    <row r="185" spans="1:34" x14ac:dyDescent="0.2">
      <c r="A185" s="265" t="s">
        <v>14</v>
      </c>
      <c r="B185" s="266"/>
      <c r="C185" s="291">
        <f t="shared" ref="C185:AE185" si="22">C178+C181+C182</f>
        <v>-22298.589</v>
      </c>
      <c r="D185" s="291">
        <f t="shared" si="22"/>
        <v>-22298.589</v>
      </c>
      <c r="E185" s="291">
        <f t="shared" si="22"/>
        <v>-22298.589</v>
      </c>
      <c r="F185" s="291">
        <f t="shared" si="22"/>
        <v>-22298.589</v>
      </c>
      <c r="G185" s="291">
        <f t="shared" si="22"/>
        <v>-22298.589</v>
      </c>
      <c r="H185" s="291">
        <f t="shared" si="22"/>
        <v>-22298.589</v>
      </c>
      <c r="I185" s="291">
        <f t="shared" si="22"/>
        <v>-22298.589</v>
      </c>
      <c r="J185" s="291">
        <f t="shared" si="22"/>
        <v>-22298.589</v>
      </c>
      <c r="K185" s="291">
        <f t="shared" si="22"/>
        <v>-22298.589</v>
      </c>
      <c r="L185" s="291">
        <f t="shared" si="22"/>
        <v>-22298.589</v>
      </c>
      <c r="M185" s="291">
        <f t="shared" si="22"/>
        <v>-22298.589</v>
      </c>
      <c r="N185" s="291">
        <f t="shared" si="22"/>
        <v>-22298.589</v>
      </c>
      <c r="O185" s="291">
        <f t="shared" si="22"/>
        <v>-22298.589</v>
      </c>
      <c r="P185" s="289">
        <f t="shared" si="22"/>
        <v>-22298.589</v>
      </c>
      <c r="Q185" s="291">
        <f t="shared" si="22"/>
        <v>-22298.589</v>
      </c>
      <c r="R185" s="291">
        <f t="shared" si="22"/>
        <v>-22298.589</v>
      </c>
      <c r="S185" s="291">
        <f t="shared" si="22"/>
        <v>-22298.589</v>
      </c>
      <c r="T185" s="291">
        <f t="shared" si="22"/>
        <v>-22298.589</v>
      </c>
      <c r="U185" s="291">
        <f t="shared" si="22"/>
        <v>-22298.589</v>
      </c>
      <c r="V185" s="291">
        <f t="shared" si="22"/>
        <v>-22298.589</v>
      </c>
      <c r="W185" s="291">
        <f t="shared" si="22"/>
        <v>-22298.589</v>
      </c>
      <c r="X185" s="291">
        <f t="shared" si="22"/>
        <v>-22298.589</v>
      </c>
      <c r="Y185" s="291">
        <f t="shared" si="22"/>
        <v>-22298.589</v>
      </c>
      <c r="Z185" s="291">
        <f t="shared" si="22"/>
        <v>-22298.589</v>
      </c>
      <c r="AA185" s="291">
        <f t="shared" si="22"/>
        <v>-22298.589</v>
      </c>
      <c r="AB185" s="291">
        <f t="shared" si="22"/>
        <v>-22298.589</v>
      </c>
      <c r="AC185" s="291">
        <f t="shared" si="22"/>
        <v>-22298.589</v>
      </c>
      <c r="AD185" s="291">
        <f t="shared" si="22"/>
        <v>-22298.589</v>
      </c>
      <c r="AE185" s="291">
        <f t="shared" si="22"/>
        <v>-22298.589</v>
      </c>
      <c r="AF185" s="291">
        <f>AF178+AF181+AF182</f>
        <v>-22298.589</v>
      </c>
      <c r="AG185" s="291">
        <f>AG178+AG181+AG182</f>
        <v>-22298.589</v>
      </c>
      <c r="AH185" s="308"/>
    </row>
    <row r="186" spans="1:34" x14ac:dyDescent="0.2">
      <c r="A186" s="265"/>
      <c r="B186" s="266"/>
      <c r="C186" s="291"/>
      <c r="D186" s="291"/>
      <c r="E186" s="291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2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309"/>
    </row>
    <row r="187" spans="1:34" ht="13.5" thickBot="1" x14ac:dyDescent="0.25">
      <c r="A187" s="275"/>
      <c r="B187" s="302"/>
      <c r="C187" s="306"/>
      <c r="D187" s="306"/>
      <c r="E187" s="306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869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9"/>
    </row>
    <row r="188" spans="1:34" x14ac:dyDescent="0.2">
      <c r="A188" s="310"/>
      <c r="B188" s="215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308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309"/>
    </row>
    <row r="189" spans="1:34" x14ac:dyDescent="0.2">
      <c r="A189" s="312"/>
      <c r="B189" s="475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629"/>
      <c r="P189" s="629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408"/>
      <c r="AB189" s="311"/>
      <c r="AC189" s="311"/>
      <c r="AD189" s="311"/>
      <c r="AE189" s="311"/>
      <c r="AF189" s="311"/>
      <c r="AG189" s="311"/>
      <c r="AH189" s="308"/>
    </row>
    <row r="190" spans="1:34" x14ac:dyDescent="0.2">
      <c r="A190" s="310"/>
      <c r="B190" s="215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  <c r="O190" s="311"/>
      <c r="P190" s="629"/>
      <c r="Q190" s="311"/>
      <c r="R190" s="311"/>
      <c r="S190" s="311"/>
      <c r="T190" s="311"/>
      <c r="U190" s="311"/>
      <c r="V190" s="311"/>
      <c r="W190" s="311"/>
      <c r="X190" s="311"/>
      <c r="Y190" s="311"/>
      <c r="Z190" s="311"/>
      <c r="AA190" s="311"/>
      <c r="AB190" s="311"/>
      <c r="AC190" s="311"/>
      <c r="AD190" s="311"/>
      <c r="AE190" s="311"/>
      <c r="AF190" s="311"/>
      <c r="AG190" s="311"/>
      <c r="AH190" s="308"/>
    </row>
    <row r="191" spans="1:34" x14ac:dyDescent="0.2">
      <c r="A191" s="358" t="s">
        <v>415</v>
      </c>
      <c r="B191" s="359">
        <f>SUM(B192:B195)</f>
        <v>375000</v>
      </c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215"/>
      <c r="T191" s="456"/>
      <c r="U191" s="262"/>
      <c r="V191" s="215"/>
      <c r="W191" s="215"/>
      <c r="X191" s="215"/>
      <c r="Y191" s="215"/>
      <c r="Z191" s="215"/>
      <c r="AA191" s="408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27" t="s">
        <v>414</v>
      </c>
      <c r="B192" s="311">
        <v>25000</v>
      </c>
      <c r="C192" s="215"/>
      <c r="D192" s="30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27" t="s">
        <v>287</v>
      </c>
      <c r="B193" s="311">
        <v>200000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309"/>
      <c r="Q193" s="215"/>
      <c r="R193" s="215"/>
      <c r="S193" s="311"/>
      <c r="T193" s="320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310" t="s">
        <v>413</v>
      </c>
      <c r="B194" s="329">
        <v>75000</v>
      </c>
      <c r="C194" s="215"/>
      <c r="D194" s="215"/>
      <c r="E194" s="215"/>
      <c r="F194" s="215"/>
      <c r="G194" s="215"/>
      <c r="H194" s="215"/>
      <c r="I194" s="215"/>
      <c r="J194" s="215"/>
      <c r="K194" s="215"/>
      <c r="L194" s="286"/>
      <c r="M194" s="215"/>
      <c r="N194" s="215"/>
      <c r="O194" s="215"/>
      <c r="P194" s="309"/>
      <c r="Q194" s="215"/>
      <c r="R194" s="215"/>
      <c r="S194" s="311"/>
      <c r="T194" s="320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x14ac:dyDescent="0.2">
      <c r="A195" s="310" t="s">
        <v>441</v>
      </c>
      <c r="B195" s="311">
        <v>75000</v>
      </c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309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</row>
    <row r="197" spans="1:34" ht="13.5" thickBot="1" x14ac:dyDescent="0.25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5"/>
      <c r="O197" s="215"/>
      <c r="P197" s="309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 s="215"/>
      <c r="AC197" s="215"/>
      <c r="AD197" s="215"/>
      <c r="AE197" s="215"/>
      <c r="AF197" s="215"/>
      <c r="AG197" s="215"/>
      <c r="AH197" s="215"/>
    </row>
    <row r="198" spans="1:34" x14ac:dyDescent="0.2">
      <c r="A198" s="263"/>
      <c r="B198" s="264"/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860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15"/>
    </row>
    <row r="199" spans="1:34" x14ac:dyDescent="0.2">
      <c r="A199" s="265"/>
      <c r="B199" s="266" t="s">
        <v>37</v>
      </c>
      <c r="C199" s="266"/>
      <c r="D199" s="266"/>
      <c r="E199" s="267" t="s">
        <v>36</v>
      </c>
      <c r="F199" s="268" t="s">
        <v>96</v>
      </c>
      <c r="G199" s="269"/>
      <c r="H199" s="268"/>
      <c r="I199" s="268"/>
      <c r="J199" s="268"/>
      <c r="K199" s="268"/>
      <c r="L199" s="268"/>
      <c r="M199" s="268"/>
      <c r="N199" s="268"/>
      <c r="O199" s="268"/>
      <c r="P199" s="861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15"/>
    </row>
    <row r="200" spans="1:34" x14ac:dyDescent="0.2">
      <c r="A200" s="265"/>
      <c r="B200" s="266"/>
      <c r="C200" s="266"/>
      <c r="D200" s="268">
        <v>42111</v>
      </c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x14ac:dyDescent="0.2">
      <c r="A201" s="265"/>
      <c r="B201" s="266"/>
      <c r="C201" s="268"/>
      <c r="D201" s="268"/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x14ac:dyDescent="0.2">
      <c r="A202" s="265"/>
      <c r="B202" s="266"/>
      <c r="C202" s="268"/>
      <c r="D202" s="268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79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15"/>
    </row>
    <row r="203" spans="1:34" ht="13.5" thickBot="1" x14ac:dyDescent="0.25">
      <c r="A203" s="265"/>
      <c r="B203" s="266"/>
      <c r="C203" s="266"/>
      <c r="D203" s="266"/>
      <c r="E203" s="266"/>
      <c r="F203" s="266"/>
      <c r="G203" s="266"/>
      <c r="H203" s="266"/>
      <c r="I203" s="266"/>
      <c r="J203" s="266"/>
      <c r="K203" s="266"/>
      <c r="L203" s="266"/>
      <c r="M203" s="266"/>
      <c r="N203" s="266"/>
      <c r="O203" s="266"/>
      <c r="P203" s="279"/>
      <c r="Q203" s="266"/>
      <c r="R203" s="266"/>
      <c r="S203" s="266"/>
      <c r="T203" s="266"/>
      <c r="U203" s="266"/>
      <c r="V203" s="266"/>
      <c r="W203" s="266"/>
      <c r="X203" s="266"/>
      <c r="Y203" s="266"/>
      <c r="Z203" s="266"/>
      <c r="AA203" s="266"/>
      <c r="AB203" s="266"/>
      <c r="AC203" s="266"/>
      <c r="AD203" s="266"/>
      <c r="AE203" s="266"/>
      <c r="AF203" s="266"/>
      <c r="AG203" s="266"/>
      <c r="AH203" s="215"/>
    </row>
    <row r="204" spans="1:34" ht="13.5" thickBot="1" x14ac:dyDescent="0.25">
      <c r="A204" s="265"/>
      <c r="B204" s="266"/>
      <c r="C204" s="270"/>
      <c r="D204" s="271" t="s">
        <v>16</v>
      </c>
      <c r="E204" s="271"/>
      <c r="F204" s="271"/>
      <c r="G204" s="271"/>
      <c r="H204" s="271"/>
      <c r="I204" s="271"/>
      <c r="J204" s="271"/>
      <c r="K204" s="271"/>
      <c r="L204" s="271"/>
      <c r="M204" s="271"/>
      <c r="N204" s="271"/>
      <c r="O204" s="271"/>
      <c r="P204" s="862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  <c r="AA204" s="271"/>
      <c r="AB204" s="271"/>
      <c r="AC204" s="271"/>
      <c r="AD204" s="271"/>
      <c r="AE204" s="271"/>
      <c r="AF204" s="271"/>
      <c r="AG204" s="271"/>
      <c r="AH204" s="215"/>
    </row>
    <row r="205" spans="1:34" ht="13.5" thickBot="1" x14ac:dyDescent="0.25">
      <c r="A205" s="265"/>
      <c r="B205" s="266"/>
      <c r="C205" s="272" t="s">
        <v>452</v>
      </c>
      <c r="D205" s="272" t="s">
        <v>453</v>
      </c>
      <c r="E205" s="272" t="s">
        <v>434</v>
      </c>
      <c r="F205" s="272" t="s">
        <v>390</v>
      </c>
      <c r="G205" s="272" t="s">
        <v>454</v>
      </c>
      <c r="H205" s="272" t="s">
        <v>455</v>
      </c>
      <c r="I205" s="272" t="s">
        <v>456</v>
      </c>
      <c r="J205" s="272" t="s">
        <v>457</v>
      </c>
      <c r="K205" s="272" t="s">
        <v>458</v>
      </c>
      <c r="L205" s="272" t="s">
        <v>216</v>
      </c>
      <c r="M205" s="272" t="s">
        <v>459</v>
      </c>
      <c r="N205" s="272" t="s">
        <v>297</v>
      </c>
      <c r="O205" s="272" t="s">
        <v>211</v>
      </c>
      <c r="P205" s="863" t="s">
        <v>270</v>
      </c>
      <c r="Q205" s="272"/>
      <c r="R205" s="272" t="s">
        <v>469</v>
      </c>
      <c r="S205" s="272" t="s">
        <v>461</v>
      </c>
      <c r="T205" s="272" t="s">
        <v>442</v>
      </c>
      <c r="U205" s="272" t="s">
        <v>462</v>
      </c>
      <c r="V205" s="272" t="s">
        <v>470</v>
      </c>
      <c r="W205" s="272" t="s">
        <v>471</v>
      </c>
      <c r="X205" s="272" t="s">
        <v>472</v>
      </c>
      <c r="Y205" s="272" t="s">
        <v>463</v>
      </c>
      <c r="Z205" s="272" t="s">
        <v>465</v>
      </c>
      <c r="AA205" s="272" t="s">
        <v>466</v>
      </c>
      <c r="AB205" s="272" t="s">
        <v>435</v>
      </c>
      <c r="AC205" s="272" t="s">
        <v>467</v>
      </c>
      <c r="AD205" s="272" t="s">
        <v>464</v>
      </c>
      <c r="AE205" s="272" t="s">
        <v>429</v>
      </c>
      <c r="AF205" s="272" t="s">
        <v>149</v>
      </c>
      <c r="AG205" s="272" t="s">
        <v>210</v>
      </c>
      <c r="AH205" s="215"/>
    </row>
    <row r="206" spans="1:34" x14ac:dyDescent="0.2">
      <c r="A206" s="263"/>
      <c r="B206" s="273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x14ac:dyDescent="0.2">
      <c r="A207" s="265" t="s">
        <v>0</v>
      </c>
      <c r="B207" s="274">
        <v>37934.538999999997</v>
      </c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ht="13.5" thickBot="1" x14ac:dyDescent="0.25">
      <c r="A208" s="275"/>
      <c r="B208" s="27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3"/>
      <c r="B209" s="278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1</v>
      </c>
      <c r="B210" s="274">
        <f>B211+B212+B213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38</v>
      </c>
      <c r="B211" s="274">
        <f>C259</f>
        <v>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x14ac:dyDescent="0.2">
      <c r="A212" s="265" t="s">
        <v>39</v>
      </c>
      <c r="B212" s="274">
        <f>C281</f>
        <v>0</v>
      </c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x14ac:dyDescent="0.2">
      <c r="A213" s="265" t="s">
        <v>3</v>
      </c>
      <c r="B213" s="274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ht="13.5" thickBot="1" x14ac:dyDescent="0.25">
      <c r="A214" s="275"/>
      <c r="B214" s="27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x14ac:dyDescent="0.2">
      <c r="A215" s="263"/>
      <c r="B215" s="278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x14ac:dyDescent="0.2">
      <c r="A216" s="265" t="s">
        <v>4</v>
      </c>
      <c r="B216" s="274">
        <f>B207-B210</f>
        <v>37934.538999999997</v>
      </c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ht="13.5" thickBot="1" x14ac:dyDescent="0.25">
      <c r="A217" s="275"/>
      <c r="B217" s="276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x14ac:dyDescent="0.2">
      <c r="A218" s="263"/>
      <c r="B218" s="278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x14ac:dyDescent="0.2">
      <c r="A219" s="265" t="s">
        <v>17</v>
      </c>
      <c r="B219" s="274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266"/>
      <c r="Y219" s="266"/>
      <c r="Z219" s="266"/>
      <c r="AA219" s="266"/>
      <c r="AB219" s="266"/>
      <c r="AC219" s="266"/>
      <c r="AD219" s="266"/>
      <c r="AE219" s="266"/>
      <c r="AF219" s="266"/>
      <c r="AG219" s="266"/>
      <c r="AH219" s="215"/>
    </row>
    <row r="220" spans="1:34" ht="13.5" thickBot="1" x14ac:dyDescent="0.25">
      <c r="A220" s="275"/>
      <c r="B220" s="276"/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  <c r="N220" s="266"/>
      <c r="O220" s="266"/>
      <c r="P220" s="279"/>
      <c r="Q220" s="266"/>
      <c r="R220" s="266"/>
      <c r="S220" s="266"/>
      <c r="T220" s="266"/>
      <c r="U220" s="266"/>
      <c r="V220" s="266"/>
      <c r="W220" s="266"/>
      <c r="X220" s="330"/>
      <c r="Y220" s="266"/>
      <c r="Z220" s="266"/>
      <c r="AA220" s="266"/>
      <c r="AB220" s="266"/>
      <c r="AC220" s="266"/>
      <c r="AD220" s="266"/>
      <c r="AE220" s="266"/>
      <c r="AF220" s="266"/>
      <c r="AG220" s="266"/>
      <c r="AH220" s="215"/>
    </row>
    <row r="221" spans="1:34" x14ac:dyDescent="0.2">
      <c r="A221" s="263"/>
      <c r="B221" s="278"/>
      <c r="C221" s="55" t="s">
        <v>250</v>
      </c>
      <c r="D221" s="269"/>
      <c r="E221" s="266"/>
      <c r="F221" s="266"/>
      <c r="G221" s="266"/>
      <c r="H221" s="266"/>
      <c r="I221" s="266"/>
      <c r="J221" s="269"/>
      <c r="K221" s="266"/>
      <c r="L221" s="266"/>
      <c r="M221" s="266"/>
      <c r="N221" s="266"/>
      <c r="O221" s="266"/>
      <c r="P221" s="279"/>
      <c r="Q221" s="266"/>
      <c r="R221" s="266"/>
      <c r="S221" s="266"/>
      <c r="T221" s="266"/>
      <c r="U221" s="266"/>
      <c r="V221" s="266"/>
      <c r="W221" s="266"/>
      <c r="X221" s="266"/>
      <c r="Y221" s="266"/>
      <c r="Z221" s="266"/>
      <c r="AA221" s="266"/>
      <c r="AB221" s="266"/>
      <c r="AC221" s="810"/>
      <c r="AD221" s="802"/>
      <c r="AE221" s="269"/>
      <c r="AF221" s="268"/>
      <c r="AH221" s="215"/>
    </row>
    <row r="222" spans="1:34" x14ac:dyDescent="0.2">
      <c r="A222" s="265" t="s">
        <v>5</v>
      </c>
      <c r="B222" s="274">
        <f>B216-B219</f>
        <v>37934.538999999997</v>
      </c>
      <c r="C222" s="55" t="s">
        <v>473</v>
      </c>
      <c r="D222" s="269"/>
      <c r="E222" s="269"/>
      <c r="G222" s="269"/>
      <c r="H222" s="269"/>
      <c r="I222" s="269"/>
      <c r="J222" s="269"/>
      <c r="K222" s="281"/>
      <c r="L222" s="269"/>
      <c r="M222" s="269"/>
      <c r="N222" s="281"/>
      <c r="O222" s="269"/>
      <c r="P222" s="279"/>
      <c r="Q222" s="281" t="s">
        <v>171</v>
      </c>
      <c r="R222" s="266"/>
      <c r="S222" s="269"/>
      <c r="T222" s="269"/>
      <c r="U222" s="269"/>
      <c r="V222" s="269"/>
      <c r="W222" s="266"/>
      <c r="X222" s="710"/>
      <c r="Y222" s="269"/>
      <c r="Z222" s="266"/>
      <c r="AA222" s="269"/>
      <c r="AB222" s="269"/>
      <c r="AC222" s="810"/>
      <c r="AD222" s="802"/>
      <c r="AE222" s="269" t="s">
        <v>952</v>
      </c>
      <c r="AF222" s="269" t="s">
        <v>93</v>
      </c>
      <c r="AH222" s="215"/>
    </row>
    <row r="223" spans="1:34" ht="13.5" thickBot="1" x14ac:dyDescent="0.25">
      <c r="A223" s="275"/>
      <c r="B223" s="276"/>
      <c r="D223" s="266"/>
      <c r="E223" s="266"/>
      <c r="F223" s="266"/>
      <c r="G223" s="266"/>
      <c r="H223" s="266"/>
      <c r="I223" s="266"/>
      <c r="J223" s="269"/>
      <c r="K223" s="266"/>
      <c r="L223" s="266"/>
      <c r="M223" s="266"/>
      <c r="N223" s="266"/>
      <c r="O223" s="266"/>
      <c r="P223" s="279"/>
      <c r="Q223" s="266"/>
      <c r="R223" s="266"/>
      <c r="S223" s="266"/>
      <c r="T223" s="266"/>
      <c r="U223" s="269"/>
      <c r="V223" s="266"/>
      <c r="W223" s="266"/>
      <c r="X223" s="266"/>
      <c r="Y223" s="266"/>
      <c r="Z223" s="266"/>
      <c r="AA223" s="266"/>
      <c r="AB223" s="266"/>
      <c r="AC223" s="266"/>
      <c r="AD223" s="266"/>
      <c r="AE223" s="266"/>
      <c r="AF223" s="266"/>
      <c r="AG223" s="266"/>
      <c r="AH223" s="215"/>
    </row>
    <row r="224" spans="1:34" x14ac:dyDescent="0.2">
      <c r="A224" s="282"/>
      <c r="B224" s="266"/>
      <c r="C224" s="283"/>
      <c r="D224" s="285"/>
      <c r="E224" s="284"/>
      <c r="F224" s="284"/>
      <c r="G224" s="284"/>
      <c r="H224" s="284"/>
      <c r="I224" s="284"/>
      <c r="J224" s="284"/>
      <c r="K224" s="284"/>
      <c r="L224" s="284"/>
      <c r="M224" s="284"/>
      <c r="N224" s="284"/>
      <c r="O224" s="284"/>
      <c r="P224" s="86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15"/>
    </row>
    <row r="225" spans="1:34" ht="13.5" thickBot="1" x14ac:dyDescent="0.25">
      <c r="A225" s="287" t="s">
        <v>7</v>
      </c>
      <c r="B225" s="266"/>
      <c r="C225" s="288">
        <f>C226+C227+C228+C230+C229</f>
        <v>0</v>
      </c>
      <c r="D225" s="288">
        <f>D226+D227+D228+D230+D229</f>
        <v>0</v>
      </c>
      <c r="E225" s="288">
        <f>E226+E227+E228+E230+E229</f>
        <v>0</v>
      </c>
      <c r="F225" s="288">
        <f>F226+F227+F228+F230+F229</f>
        <v>0</v>
      </c>
      <c r="G225" s="288">
        <f>G226+G227+G228+G230+G229</f>
        <v>0</v>
      </c>
      <c r="H225" s="288">
        <f t="shared" ref="H225:AG225" si="23">H226+H227+H228+H230+H229</f>
        <v>0</v>
      </c>
      <c r="I225" s="288">
        <f t="shared" si="23"/>
        <v>0</v>
      </c>
      <c r="J225" s="288">
        <f t="shared" si="23"/>
        <v>0</v>
      </c>
      <c r="K225" s="288">
        <f t="shared" si="23"/>
        <v>0</v>
      </c>
      <c r="L225" s="288">
        <f t="shared" si="23"/>
        <v>0</v>
      </c>
      <c r="M225" s="288">
        <f t="shared" si="23"/>
        <v>0</v>
      </c>
      <c r="N225" s="288">
        <f t="shared" si="23"/>
        <v>0</v>
      </c>
      <c r="O225" s="288">
        <f t="shared" si="23"/>
        <v>0</v>
      </c>
      <c r="P225" s="865">
        <f t="shared" si="23"/>
        <v>0</v>
      </c>
      <c r="Q225" s="288">
        <f t="shared" si="23"/>
        <v>0</v>
      </c>
      <c r="R225" s="288">
        <f t="shared" si="23"/>
        <v>0</v>
      </c>
      <c r="S225" s="288">
        <f t="shared" si="23"/>
        <v>0</v>
      </c>
      <c r="T225" s="288">
        <f t="shared" si="23"/>
        <v>0</v>
      </c>
      <c r="U225" s="288">
        <f t="shared" si="23"/>
        <v>0</v>
      </c>
      <c r="V225" s="288">
        <f t="shared" si="23"/>
        <v>0</v>
      </c>
      <c r="W225" s="288">
        <f t="shared" si="23"/>
        <v>0</v>
      </c>
      <c r="X225" s="288">
        <f t="shared" si="23"/>
        <v>0</v>
      </c>
      <c r="Y225" s="288">
        <f t="shared" si="23"/>
        <v>0</v>
      </c>
      <c r="Z225" s="288">
        <f t="shared" si="23"/>
        <v>0</v>
      </c>
      <c r="AA225" s="288">
        <f t="shared" si="23"/>
        <v>0</v>
      </c>
      <c r="AB225" s="288">
        <f t="shared" si="23"/>
        <v>0</v>
      </c>
      <c r="AC225" s="288">
        <f t="shared" si="23"/>
        <v>0</v>
      </c>
      <c r="AD225" s="288">
        <f>AD226+AD227+AD228+AD230+AD229</f>
        <v>0</v>
      </c>
      <c r="AE225" s="288">
        <f t="shared" si="23"/>
        <v>0</v>
      </c>
      <c r="AF225" s="288">
        <f t="shared" si="23"/>
        <v>0</v>
      </c>
      <c r="AG225" s="288">
        <f t="shared" si="23"/>
        <v>8514</v>
      </c>
      <c r="AH225" s="286">
        <f>SUM(C225:AG225)</f>
        <v>8514</v>
      </c>
    </row>
    <row r="226" spans="1:34" x14ac:dyDescent="0.2">
      <c r="A226" s="287" t="s">
        <v>8</v>
      </c>
      <c r="B226" s="331"/>
      <c r="C226" s="291"/>
      <c r="D226" s="291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2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86">
        <f>SUM(C226:AG226)</f>
        <v>0</v>
      </c>
    </row>
    <row r="227" spans="1:34" x14ac:dyDescent="0.2">
      <c r="A227" s="287" t="s">
        <v>9</v>
      </c>
      <c r="B227" s="331"/>
      <c r="C227" s="291"/>
      <c r="D227" s="291"/>
      <c r="E227" s="290"/>
      <c r="F227" s="290"/>
      <c r="G227" s="290"/>
      <c r="H227" s="290"/>
      <c r="I227" s="290"/>
      <c r="J227" s="290"/>
      <c r="K227" s="290"/>
      <c r="L227" s="290"/>
      <c r="M227" s="295"/>
      <c r="N227" s="290"/>
      <c r="O227" s="290"/>
      <c r="P227" s="292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86">
        <f>SUM(C227:AG227)</f>
        <v>0</v>
      </c>
    </row>
    <row r="228" spans="1:34" s="360" customFormat="1" x14ac:dyDescent="0.2">
      <c r="A228" s="662" t="s">
        <v>10</v>
      </c>
      <c r="B228" s="669"/>
      <c r="C228" s="565"/>
      <c r="D228" s="565"/>
      <c r="E228" s="560"/>
      <c r="F228" s="560"/>
      <c r="G228" s="560"/>
      <c r="H228" s="560"/>
      <c r="I228" s="560"/>
      <c r="J228" s="560"/>
      <c r="K228" s="560"/>
      <c r="L228" s="380"/>
      <c r="M228" s="560"/>
      <c r="N228" s="560"/>
      <c r="O228" s="560"/>
      <c r="P228" s="560"/>
      <c r="Q228" s="560"/>
      <c r="R228" s="560"/>
      <c r="S228" s="560"/>
      <c r="T228" s="560"/>
      <c r="U228" s="560"/>
      <c r="V228" s="560"/>
      <c r="W228" s="560"/>
      <c r="X228" s="708"/>
      <c r="Y228" s="560"/>
      <c r="Z228" s="560"/>
      <c r="AA228" s="560"/>
      <c r="AB228" s="560"/>
      <c r="AC228" s="811"/>
      <c r="AD228" s="803"/>
      <c r="AE228" s="560"/>
      <c r="AF228" s="380"/>
      <c r="AG228" s="560">
        <v>8514</v>
      </c>
      <c r="AH228" s="379">
        <f>SUM(C228:AG228)</f>
        <v>8514</v>
      </c>
    </row>
    <row r="229" spans="1:34" s="360" customFormat="1" x14ac:dyDescent="0.2">
      <c r="A229" s="662" t="s">
        <v>356</v>
      </c>
      <c r="B229" s="669"/>
      <c r="C229" s="565"/>
      <c r="D229" s="565"/>
      <c r="E229" s="565"/>
      <c r="F229" s="560"/>
      <c r="G229" s="560"/>
      <c r="H229" s="560"/>
      <c r="I229" s="560"/>
      <c r="J229" s="560"/>
      <c r="K229" s="560"/>
      <c r="L229" s="560"/>
      <c r="M229" s="560"/>
      <c r="N229" s="560"/>
      <c r="O229" s="560"/>
      <c r="P229" s="560"/>
      <c r="Q229" s="560"/>
      <c r="R229" s="560"/>
      <c r="S229" s="560"/>
      <c r="T229" s="560"/>
      <c r="U229" s="560"/>
      <c r="V229" s="560"/>
      <c r="W229" s="560"/>
      <c r="X229" s="560"/>
      <c r="Y229" s="560"/>
      <c r="Z229" s="560"/>
      <c r="AA229" s="560"/>
      <c r="AB229" s="560"/>
      <c r="AC229" s="560"/>
      <c r="AD229" s="560"/>
      <c r="AE229" s="560"/>
      <c r="AF229" s="560"/>
      <c r="AG229" s="560"/>
      <c r="AH229" s="379">
        <f>SUM(C229:AG229)</f>
        <v>0</v>
      </c>
    </row>
    <row r="230" spans="1:34" x14ac:dyDescent="0.2">
      <c r="A230" s="287" t="s">
        <v>11</v>
      </c>
      <c r="B230" s="266"/>
      <c r="C230" s="291"/>
      <c r="D230" s="289"/>
      <c r="E230" s="289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15"/>
    </row>
    <row r="231" spans="1:34" ht="13.5" thickBot="1" x14ac:dyDescent="0.25">
      <c r="A231" s="296"/>
      <c r="B231" s="266"/>
      <c r="C231" s="291"/>
      <c r="D231" s="291"/>
      <c r="E231" s="291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2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15"/>
    </row>
    <row r="232" spans="1:34" x14ac:dyDescent="0.2">
      <c r="A232" s="282"/>
      <c r="B232" s="266"/>
      <c r="C232" s="297"/>
      <c r="D232" s="298"/>
      <c r="E232" s="298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866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  <c r="AA232" s="299"/>
      <c r="AB232" s="299"/>
      <c r="AC232" s="299"/>
      <c r="AD232" s="299"/>
      <c r="AE232" s="299"/>
      <c r="AF232" s="299"/>
      <c r="AG232" s="299"/>
      <c r="AH232" s="215"/>
    </row>
    <row r="233" spans="1:34" ht="13.5" thickBot="1" x14ac:dyDescent="0.25">
      <c r="A233" s="287" t="s">
        <v>12</v>
      </c>
      <c r="B233" s="266"/>
      <c r="C233" s="288">
        <f>C234</f>
        <v>0</v>
      </c>
      <c r="D233" s="288">
        <f t="shared" ref="D233:AG233" si="24">D234</f>
        <v>0</v>
      </c>
      <c r="E233" s="288">
        <f t="shared" si="24"/>
        <v>0</v>
      </c>
      <c r="F233" s="288">
        <f t="shared" si="24"/>
        <v>0</v>
      </c>
      <c r="G233" s="288">
        <f t="shared" si="24"/>
        <v>0</v>
      </c>
      <c r="H233" s="288">
        <f t="shared" si="24"/>
        <v>0</v>
      </c>
      <c r="I233" s="288">
        <f t="shared" si="24"/>
        <v>0</v>
      </c>
      <c r="J233" s="288">
        <f t="shared" si="24"/>
        <v>0</v>
      </c>
      <c r="K233" s="288">
        <f t="shared" si="24"/>
        <v>0</v>
      </c>
      <c r="L233" s="288">
        <f t="shared" si="24"/>
        <v>0</v>
      </c>
      <c r="M233" s="288">
        <f t="shared" si="24"/>
        <v>0</v>
      </c>
      <c r="N233" s="288">
        <f t="shared" si="24"/>
        <v>0</v>
      </c>
      <c r="O233" s="288">
        <f t="shared" si="24"/>
        <v>0</v>
      </c>
      <c r="P233" s="865">
        <f t="shared" si="24"/>
        <v>0</v>
      </c>
      <c r="Q233" s="288">
        <f t="shared" si="24"/>
        <v>0</v>
      </c>
      <c r="R233" s="288">
        <f t="shared" si="24"/>
        <v>0</v>
      </c>
      <c r="S233" s="288">
        <f t="shared" si="24"/>
        <v>0</v>
      </c>
      <c r="T233" s="288">
        <f t="shared" si="24"/>
        <v>0</v>
      </c>
      <c r="U233" s="288">
        <f t="shared" si="24"/>
        <v>0</v>
      </c>
      <c r="V233" s="288">
        <f t="shared" si="24"/>
        <v>0</v>
      </c>
      <c r="W233" s="288">
        <f t="shared" si="24"/>
        <v>0</v>
      </c>
      <c r="X233" s="288">
        <f t="shared" si="24"/>
        <v>0</v>
      </c>
      <c r="Y233" s="288">
        <f t="shared" si="24"/>
        <v>0</v>
      </c>
      <c r="Z233" s="288">
        <f t="shared" si="24"/>
        <v>0</v>
      </c>
      <c r="AA233" s="288">
        <f t="shared" si="24"/>
        <v>0</v>
      </c>
      <c r="AB233" s="288">
        <f t="shared" si="24"/>
        <v>0</v>
      </c>
      <c r="AC233" s="288">
        <f t="shared" si="24"/>
        <v>0</v>
      </c>
      <c r="AD233" s="288">
        <f t="shared" si="24"/>
        <v>0</v>
      </c>
      <c r="AE233" s="288">
        <f t="shared" si="24"/>
        <v>0</v>
      </c>
      <c r="AF233" s="288">
        <f t="shared" si="24"/>
        <v>0</v>
      </c>
      <c r="AG233" s="288">
        <f t="shared" si="24"/>
        <v>0</v>
      </c>
      <c r="AH233" s="215"/>
    </row>
    <row r="234" spans="1:34" x14ac:dyDescent="0.2">
      <c r="A234" s="287" t="s">
        <v>8</v>
      </c>
      <c r="B234" s="266"/>
      <c r="C234" s="291"/>
      <c r="D234" s="291"/>
      <c r="E234" s="291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2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15"/>
    </row>
    <row r="235" spans="1:34" x14ac:dyDescent="0.2">
      <c r="A235" s="287" t="s">
        <v>775</v>
      </c>
      <c r="B235" s="266"/>
      <c r="C235" s="291"/>
      <c r="D235" s="291">
        <v>1829</v>
      </c>
      <c r="E235" s="291"/>
      <c r="F235" s="290"/>
      <c r="G235" s="290">
        <v>1000</v>
      </c>
      <c r="H235" s="290">
        <v>1500</v>
      </c>
      <c r="I235" s="290"/>
      <c r="J235" s="290">
        <v>2500</v>
      </c>
      <c r="K235" s="290"/>
      <c r="L235" s="290">
        <v>12758</v>
      </c>
      <c r="M235" s="290"/>
      <c r="N235" s="290">
        <v>1516</v>
      </c>
      <c r="O235" s="290"/>
      <c r="P235" s="292">
        <v>1472</v>
      </c>
      <c r="Q235" s="290">
        <v>854</v>
      </c>
      <c r="R235" s="290"/>
      <c r="S235" s="290"/>
      <c r="T235" s="290"/>
      <c r="U235" s="290"/>
      <c r="V235" s="290">
        <v>8734</v>
      </c>
      <c r="W235" s="290">
        <v>1265</v>
      </c>
      <c r="X235" s="290">
        <v>1477</v>
      </c>
      <c r="Y235" s="290"/>
      <c r="Z235" s="290">
        <v>1350</v>
      </c>
      <c r="AA235" s="290">
        <v>6074</v>
      </c>
      <c r="AB235" s="290"/>
      <c r="AC235" s="290"/>
      <c r="AD235" s="290">
        <v>2265</v>
      </c>
      <c r="AE235" s="290">
        <v>671</v>
      </c>
      <c r="AF235" s="290">
        <v>20474</v>
      </c>
      <c r="AG235" s="290">
        <v>2349</v>
      </c>
      <c r="AH235" s="286">
        <f>SUM(C235:AG235)</f>
        <v>68088</v>
      </c>
    </row>
    <row r="236" spans="1:34" ht="13.5" thickBot="1" x14ac:dyDescent="0.25">
      <c r="A236" s="296"/>
      <c r="B236" s="266"/>
      <c r="C236" s="291"/>
      <c r="D236" s="291"/>
      <c r="E236" s="291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2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15"/>
    </row>
    <row r="237" spans="1:34" x14ac:dyDescent="0.2">
      <c r="A237" s="282"/>
      <c r="B237" s="266"/>
      <c r="C237" s="297"/>
      <c r="D237" s="298"/>
      <c r="E237" s="298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866"/>
      <c r="Q237" s="299"/>
      <c r="R237" s="299"/>
      <c r="S237" s="299"/>
      <c r="T237" s="299"/>
      <c r="U237" s="299"/>
      <c r="V237" s="299"/>
      <c r="W237" s="299"/>
      <c r="X237" s="299"/>
      <c r="Y237" s="299"/>
      <c r="Z237" s="299"/>
      <c r="AA237" s="299"/>
      <c r="AB237" s="299"/>
      <c r="AC237" s="299"/>
      <c r="AD237" s="299"/>
      <c r="AE237" s="299"/>
      <c r="AF237" s="299"/>
      <c r="AG237" s="299"/>
      <c r="AH237" s="215"/>
    </row>
    <row r="238" spans="1:34" x14ac:dyDescent="0.2">
      <c r="A238" s="287" t="s">
        <v>13</v>
      </c>
      <c r="B238" s="266"/>
      <c r="C238" s="300">
        <f>C233-C225</f>
        <v>0</v>
      </c>
      <c r="D238" s="300">
        <f>D233-D225</f>
        <v>0</v>
      </c>
      <c r="E238" s="300">
        <f>E233-E225</f>
        <v>0</v>
      </c>
      <c r="F238" s="300">
        <f>F233-F225</f>
        <v>0</v>
      </c>
      <c r="G238" s="300">
        <f>G233-G225</f>
        <v>0</v>
      </c>
      <c r="H238" s="300">
        <f t="shared" ref="H238:AG238" si="25">H233-H225</f>
        <v>0</v>
      </c>
      <c r="I238" s="300">
        <f t="shared" si="25"/>
        <v>0</v>
      </c>
      <c r="J238" s="300">
        <f t="shared" si="25"/>
        <v>0</v>
      </c>
      <c r="K238" s="300">
        <f t="shared" si="25"/>
        <v>0</v>
      </c>
      <c r="L238" s="300">
        <f t="shared" si="25"/>
        <v>0</v>
      </c>
      <c r="M238" s="300">
        <f t="shared" si="25"/>
        <v>0</v>
      </c>
      <c r="N238" s="300">
        <f t="shared" si="25"/>
        <v>0</v>
      </c>
      <c r="O238" s="300">
        <f t="shared" si="25"/>
        <v>0</v>
      </c>
      <c r="P238" s="867">
        <f t="shared" si="25"/>
        <v>0</v>
      </c>
      <c r="Q238" s="300">
        <f t="shared" si="25"/>
        <v>0</v>
      </c>
      <c r="R238" s="300">
        <f t="shared" si="25"/>
        <v>0</v>
      </c>
      <c r="S238" s="300">
        <f t="shared" si="25"/>
        <v>0</v>
      </c>
      <c r="T238" s="300">
        <f t="shared" si="25"/>
        <v>0</v>
      </c>
      <c r="U238" s="300">
        <f t="shared" si="25"/>
        <v>0</v>
      </c>
      <c r="V238" s="300">
        <f t="shared" si="25"/>
        <v>0</v>
      </c>
      <c r="W238" s="300">
        <f t="shared" si="25"/>
        <v>0</v>
      </c>
      <c r="X238" s="300">
        <f t="shared" si="25"/>
        <v>0</v>
      </c>
      <c r="Y238" s="300">
        <f t="shared" si="25"/>
        <v>0</v>
      </c>
      <c r="Z238" s="300">
        <f t="shared" si="25"/>
        <v>0</v>
      </c>
      <c r="AA238" s="300">
        <f t="shared" si="25"/>
        <v>0</v>
      </c>
      <c r="AB238" s="300">
        <f t="shared" si="25"/>
        <v>0</v>
      </c>
      <c r="AC238" s="300">
        <f t="shared" si="25"/>
        <v>0</v>
      </c>
      <c r="AD238" s="300">
        <f t="shared" si="25"/>
        <v>0</v>
      </c>
      <c r="AE238" s="300">
        <f t="shared" si="25"/>
        <v>0</v>
      </c>
      <c r="AF238" s="300">
        <f t="shared" si="25"/>
        <v>0</v>
      </c>
      <c r="AG238" s="300">
        <f t="shared" si="25"/>
        <v>-8514</v>
      </c>
      <c r="AH238" s="215"/>
    </row>
    <row r="239" spans="1:34" ht="13.5" thickBot="1" x14ac:dyDescent="0.25">
      <c r="A239" s="287"/>
      <c r="B239" s="266"/>
      <c r="C239" s="300"/>
      <c r="D239" s="291"/>
      <c r="E239" s="291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2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15"/>
    </row>
    <row r="240" spans="1:34" x14ac:dyDescent="0.2">
      <c r="A240" s="263"/>
      <c r="B240" s="264"/>
      <c r="C240" s="301"/>
      <c r="D240" s="298"/>
      <c r="E240" s="298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866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  <c r="AH240" s="215"/>
    </row>
    <row r="241" spans="1:34" x14ac:dyDescent="0.2">
      <c r="A241" s="265" t="s">
        <v>15</v>
      </c>
      <c r="B241" s="266"/>
      <c r="C241" s="291">
        <f>B222+C238</f>
        <v>37934.538999999997</v>
      </c>
      <c r="D241" s="291">
        <f t="shared" ref="D241:AG241" si="26">C248+D238</f>
        <v>37934.538999999997</v>
      </c>
      <c r="E241" s="291">
        <f t="shared" si="26"/>
        <v>37934.538999999997</v>
      </c>
      <c r="F241" s="291">
        <f t="shared" si="26"/>
        <v>37934.538999999997</v>
      </c>
      <c r="G241" s="291">
        <f t="shared" si="26"/>
        <v>37934.538999999997</v>
      </c>
      <c r="H241" s="291">
        <f t="shared" si="26"/>
        <v>37934.538999999997</v>
      </c>
      <c r="I241" s="291">
        <f t="shared" si="26"/>
        <v>37934.538999999997</v>
      </c>
      <c r="J241" s="291">
        <f t="shared" si="26"/>
        <v>37934.538999999997</v>
      </c>
      <c r="K241" s="291">
        <f t="shared" si="26"/>
        <v>37934.538999999997</v>
      </c>
      <c r="L241" s="291">
        <f t="shared" si="26"/>
        <v>37934.538999999997</v>
      </c>
      <c r="M241" s="291">
        <f t="shared" si="26"/>
        <v>37934.538999999997</v>
      </c>
      <c r="N241" s="291">
        <f t="shared" si="26"/>
        <v>37934.538999999997</v>
      </c>
      <c r="O241" s="291">
        <f t="shared" si="26"/>
        <v>37934.538999999997</v>
      </c>
      <c r="P241" s="289">
        <f t="shared" si="26"/>
        <v>37934.538999999997</v>
      </c>
      <c r="Q241" s="291">
        <f t="shared" si="26"/>
        <v>37934.538999999997</v>
      </c>
      <c r="R241" s="291">
        <f t="shared" si="26"/>
        <v>37934.538999999997</v>
      </c>
      <c r="S241" s="291">
        <f t="shared" si="26"/>
        <v>37934.538999999997</v>
      </c>
      <c r="T241" s="291">
        <f t="shared" si="26"/>
        <v>37934.538999999997</v>
      </c>
      <c r="U241" s="291">
        <f t="shared" si="26"/>
        <v>37934.538999999997</v>
      </c>
      <c r="V241" s="291">
        <f t="shared" si="26"/>
        <v>37934.538999999997</v>
      </c>
      <c r="W241" s="291">
        <f t="shared" si="26"/>
        <v>37934.538999999997</v>
      </c>
      <c r="X241" s="291">
        <f t="shared" si="26"/>
        <v>37934.538999999997</v>
      </c>
      <c r="Y241" s="291">
        <f t="shared" si="26"/>
        <v>37934.538999999997</v>
      </c>
      <c r="Z241" s="291">
        <f t="shared" si="26"/>
        <v>37934.538999999997</v>
      </c>
      <c r="AA241" s="291">
        <f t="shared" si="26"/>
        <v>37934.538999999997</v>
      </c>
      <c r="AB241" s="291">
        <f t="shared" si="26"/>
        <v>37934.538999999997</v>
      </c>
      <c r="AC241" s="291">
        <f t="shared" si="26"/>
        <v>37934.538999999997</v>
      </c>
      <c r="AD241" s="291">
        <f t="shared" si="26"/>
        <v>37934.538999999997</v>
      </c>
      <c r="AE241" s="291">
        <f t="shared" si="26"/>
        <v>37934.538999999997</v>
      </c>
      <c r="AF241" s="291">
        <f t="shared" si="26"/>
        <v>37934.538999999997</v>
      </c>
      <c r="AG241" s="291">
        <f t="shared" si="26"/>
        <v>29420.538999999997</v>
      </c>
      <c r="AH241" s="215"/>
    </row>
    <row r="242" spans="1:34" ht="13.5" thickBot="1" x14ac:dyDescent="0.25">
      <c r="A242" s="275"/>
      <c r="B242" s="302"/>
      <c r="C242" s="303"/>
      <c r="D242" s="303"/>
      <c r="E242" s="303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868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215"/>
    </row>
    <row r="243" spans="1:34" x14ac:dyDescent="0.2">
      <c r="A243" s="263"/>
      <c r="B243" s="264"/>
      <c r="C243" s="298"/>
      <c r="D243" s="298"/>
      <c r="E243" s="298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866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  <c r="AB243" s="299"/>
      <c r="AC243" s="299"/>
      <c r="AD243" s="299"/>
      <c r="AE243" s="299"/>
      <c r="AF243" s="299"/>
      <c r="AG243" s="299"/>
      <c r="AH243" s="215"/>
    </row>
    <row r="244" spans="1:34" x14ac:dyDescent="0.2">
      <c r="A244" s="265" t="s">
        <v>82</v>
      </c>
      <c r="B244" s="266"/>
      <c r="C244" s="291">
        <f t="shared" ref="C244:AG245" si="27">C252</f>
        <v>0</v>
      </c>
      <c r="D244" s="291">
        <f t="shared" si="27"/>
        <v>0</v>
      </c>
      <c r="E244" s="291">
        <f t="shared" si="27"/>
        <v>0</v>
      </c>
      <c r="F244" s="291">
        <f t="shared" si="27"/>
        <v>0</v>
      </c>
      <c r="G244" s="291">
        <f t="shared" si="27"/>
        <v>0</v>
      </c>
      <c r="H244" s="291">
        <f t="shared" si="27"/>
        <v>0</v>
      </c>
      <c r="I244" s="291">
        <f t="shared" si="27"/>
        <v>0</v>
      </c>
      <c r="J244" s="291">
        <f t="shared" si="27"/>
        <v>0</v>
      </c>
      <c r="K244" s="291">
        <f t="shared" si="27"/>
        <v>0</v>
      </c>
      <c r="L244" s="291">
        <f t="shared" si="27"/>
        <v>0</v>
      </c>
      <c r="M244" s="291">
        <f t="shared" si="27"/>
        <v>0</v>
      </c>
      <c r="N244" s="291">
        <f t="shared" si="27"/>
        <v>0</v>
      </c>
      <c r="O244" s="291">
        <f t="shared" si="27"/>
        <v>0</v>
      </c>
      <c r="P244" s="289">
        <f t="shared" si="27"/>
        <v>0</v>
      </c>
      <c r="Q244" s="291">
        <f t="shared" si="27"/>
        <v>0</v>
      </c>
      <c r="R244" s="291">
        <f t="shared" si="27"/>
        <v>0</v>
      </c>
      <c r="S244" s="291">
        <f t="shared" si="27"/>
        <v>0</v>
      </c>
      <c r="T244" s="291">
        <f t="shared" si="27"/>
        <v>0</v>
      </c>
      <c r="U244" s="291">
        <f t="shared" si="27"/>
        <v>0</v>
      </c>
      <c r="V244" s="291">
        <f t="shared" si="27"/>
        <v>0</v>
      </c>
      <c r="W244" s="291">
        <f t="shared" si="27"/>
        <v>0</v>
      </c>
      <c r="X244" s="291">
        <f t="shared" si="27"/>
        <v>0</v>
      </c>
      <c r="Y244" s="291">
        <f t="shared" si="27"/>
        <v>0</v>
      </c>
      <c r="Z244" s="291">
        <f t="shared" si="27"/>
        <v>0</v>
      </c>
      <c r="AA244" s="291">
        <f t="shared" si="27"/>
        <v>0</v>
      </c>
      <c r="AB244" s="291">
        <f t="shared" si="27"/>
        <v>0</v>
      </c>
      <c r="AC244" s="291">
        <f t="shared" si="27"/>
        <v>0</v>
      </c>
      <c r="AD244" s="291">
        <f t="shared" si="27"/>
        <v>0</v>
      </c>
      <c r="AE244" s="291">
        <f t="shared" si="27"/>
        <v>0</v>
      </c>
      <c r="AF244" s="291">
        <f t="shared" si="27"/>
        <v>0</v>
      </c>
      <c r="AG244" s="291">
        <f t="shared" si="27"/>
        <v>0</v>
      </c>
      <c r="AH244" s="215"/>
    </row>
    <row r="245" spans="1:34" x14ac:dyDescent="0.2">
      <c r="A245" s="265" t="s">
        <v>83</v>
      </c>
      <c r="B245" s="266"/>
      <c r="C245" s="289">
        <f t="shared" si="27"/>
        <v>0</v>
      </c>
      <c r="D245" s="289">
        <f t="shared" si="27"/>
        <v>0</v>
      </c>
      <c r="E245" s="289">
        <f t="shared" si="27"/>
        <v>0</v>
      </c>
      <c r="F245" s="289">
        <f t="shared" si="27"/>
        <v>0</v>
      </c>
      <c r="G245" s="289">
        <f t="shared" si="27"/>
        <v>0</v>
      </c>
      <c r="H245" s="289">
        <f t="shared" si="27"/>
        <v>0</v>
      </c>
      <c r="I245" s="289">
        <f t="shared" si="27"/>
        <v>0</v>
      </c>
      <c r="J245" s="289">
        <f t="shared" si="27"/>
        <v>0</v>
      </c>
      <c r="K245" s="289">
        <f t="shared" si="27"/>
        <v>0</v>
      </c>
      <c r="L245" s="289">
        <f t="shared" si="27"/>
        <v>0</v>
      </c>
      <c r="M245" s="289">
        <f t="shared" si="27"/>
        <v>0</v>
      </c>
      <c r="N245" s="289">
        <f t="shared" si="27"/>
        <v>0</v>
      </c>
      <c r="O245" s="289">
        <f t="shared" si="27"/>
        <v>0</v>
      </c>
      <c r="P245" s="289">
        <f t="shared" si="27"/>
        <v>0</v>
      </c>
      <c r="Q245" s="289">
        <f t="shared" si="27"/>
        <v>0</v>
      </c>
      <c r="R245" s="289">
        <f t="shared" si="27"/>
        <v>0</v>
      </c>
      <c r="S245" s="289">
        <f t="shared" si="27"/>
        <v>0</v>
      </c>
      <c r="T245" s="289">
        <f t="shared" si="27"/>
        <v>0</v>
      </c>
      <c r="U245" s="289">
        <f t="shared" si="27"/>
        <v>0</v>
      </c>
      <c r="V245" s="289">
        <f t="shared" si="27"/>
        <v>0</v>
      </c>
      <c r="W245" s="289">
        <f t="shared" si="27"/>
        <v>0</v>
      </c>
      <c r="X245" s="289">
        <f t="shared" si="27"/>
        <v>0</v>
      </c>
      <c r="Y245" s="289">
        <f t="shared" si="27"/>
        <v>0</v>
      </c>
      <c r="Z245" s="289">
        <f t="shared" si="27"/>
        <v>0</v>
      </c>
      <c r="AA245" s="289">
        <f t="shared" si="27"/>
        <v>0</v>
      </c>
      <c r="AB245" s="289">
        <f t="shared" si="27"/>
        <v>0</v>
      </c>
      <c r="AC245" s="289">
        <f t="shared" si="27"/>
        <v>0</v>
      </c>
      <c r="AD245" s="289">
        <f t="shared" si="27"/>
        <v>0</v>
      </c>
      <c r="AE245" s="289">
        <f t="shared" si="27"/>
        <v>0</v>
      </c>
      <c r="AF245" s="289">
        <f t="shared" si="27"/>
        <v>0</v>
      </c>
      <c r="AG245" s="289">
        <f t="shared" si="27"/>
        <v>0</v>
      </c>
      <c r="AH245" s="215"/>
    </row>
    <row r="246" spans="1:34" ht="13.5" thickBot="1" x14ac:dyDescent="0.25">
      <c r="A246" s="275"/>
      <c r="B246" s="302"/>
      <c r="C246" s="303"/>
      <c r="D246" s="303"/>
      <c r="E246" s="303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868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04"/>
      <c r="AF246" s="304"/>
      <c r="AG246" s="304"/>
      <c r="AH246" s="215"/>
    </row>
    <row r="247" spans="1:34" x14ac:dyDescent="0.2">
      <c r="A247" s="265"/>
      <c r="B247" s="266"/>
      <c r="C247" s="291"/>
      <c r="D247" s="291"/>
      <c r="E247" s="291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2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15"/>
    </row>
    <row r="248" spans="1:34" x14ac:dyDescent="0.2">
      <c r="A248" s="265" t="s">
        <v>14</v>
      </c>
      <c r="B248" s="266"/>
      <c r="C248" s="291">
        <f>C241+C244+C245</f>
        <v>37934.538999999997</v>
      </c>
      <c r="D248" s="291">
        <f>D241+D244+D245</f>
        <v>37934.538999999997</v>
      </c>
      <c r="E248" s="291">
        <f>E241+E244+E245</f>
        <v>37934.538999999997</v>
      </c>
      <c r="F248" s="291">
        <f>F241+F244+F245</f>
        <v>37934.538999999997</v>
      </c>
      <c r="G248" s="291">
        <f>G241+G244+G245</f>
        <v>37934.538999999997</v>
      </c>
      <c r="H248" s="291">
        <f t="shared" ref="H248:AG248" si="28">H241+H244+H245</f>
        <v>37934.538999999997</v>
      </c>
      <c r="I248" s="291">
        <f t="shared" si="28"/>
        <v>37934.538999999997</v>
      </c>
      <c r="J248" s="291">
        <f t="shared" si="28"/>
        <v>37934.538999999997</v>
      </c>
      <c r="K248" s="291">
        <f t="shared" si="28"/>
        <v>37934.538999999997</v>
      </c>
      <c r="L248" s="291">
        <f t="shared" si="28"/>
        <v>37934.538999999997</v>
      </c>
      <c r="M248" s="291">
        <f t="shared" si="28"/>
        <v>37934.538999999997</v>
      </c>
      <c r="N248" s="291">
        <f t="shared" si="28"/>
        <v>37934.538999999997</v>
      </c>
      <c r="O248" s="291">
        <f t="shared" si="28"/>
        <v>37934.538999999997</v>
      </c>
      <c r="P248" s="289">
        <f t="shared" si="28"/>
        <v>37934.538999999997</v>
      </c>
      <c r="Q248" s="291">
        <f t="shared" si="28"/>
        <v>37934.538999999997</v>
      </c>
      <c r="R248" s="291">
        <f t="shared" si="28"/>
        <v>37934.538999999997</v>
      </c>
      <c r="S248" s="291">
        <f t="shared" si="28"/>
        <v>37934.538999999997</v>
      </c>
      <c r="T248" s="291">
        <f t="shared" si="28"/>
        <v>37934.538999999997</v>
      </c>
      <c r="U248" s="291">
        <f t="shared" si="28"/>
        <v>37934.538999999997</v>
      </c>
      <c r="V248" s="291">
        <f t="shared" si="28"/>
        <v>37934.538999999997</v>
      </c>
      <c r="W248" s="291">
        <f t="shared" si="28"/>
        <v>37934.538999999997</v>
      </c>
      <c r="X248" s="291">
        <f t="shared" si="28"/>
        <v>37934.538999999997</v>
      </c>
      <c r="Y248" s="291">
        <f t="shared" si="28"/>
        <v>37934.538999999997</v>
      </c>
      <c r="Z248" s="291">
        <f t="shared" si="28"/>
        <v>37934.538999999997</v>
      </c>
      <c r="AA248" s="291">
        <f t="shared" si="28"/>
        <v>37934.538999999997</v>
      </c>
      <c r="AB248" s="291">
        <f t="shared" si="28"/>
        <v>37934.538999999997</v>
      </c>
      <c r="AC248" s="291">
        <f t="shared" si="28"/>
        <v>37934.538999999997</v>
      </c>
      <c r="AD248" s="291">
        <f t="shared" si="28"/>
        <v>37934.538999999997</v>
      </c>
      <c r="AE248" s="291">
        <f t="shared" si="28"/>
        <v>37934.538999999997</v>
      </c>
      <c r="AF248" s="291">
        <f t="shared" si="28"/>
        <v>37934.538999999997</v>
      </c>
      <c r="AG248" s="291">
        <f t="shared" si="28"/>
        <v>29420.538999999997</v>
      </c>
      <c r="AH248" s="215"/>
    </row>
    <row r="249" spans="1:34" x14ac:dyDescent="0.2">
      <c r="A249" s="265"/>
      <c r="B249" s="266"/>
      <c r="C249" s="291"/>
      <c r="D249" s="291"/>
      <c r="E249" s="291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2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  <c r="AE249" s="290"/>
      <c r="AF249" s="290"/>
      <c r="AG249" s="290"/>
      <c r="AH249" s="215"/>
    </row>
    <row r="250" spans="1:34" ht="13.5" thickBot="1" x14ac:dyDescent="0.25">
      <c r="A250" s="275"/>
      <c r="B250" s="302"/>
      <c r="C250" s="306"/>
      <c r="D250" s="306"/>
      <c r="E250" s="306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869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C250" s="307"/>
      <c r="AD250" s="307"/>
      <c r="AE250" s="307"/>
      <c r="AF250" s="307"/>
      <c r="AG250" s="307"/>
      <c r="AH250" s="215"/>
    </row>
    <row r="251" spans="1:34" x14ac:dyDescent="0.2">
      <c r="A251" s="310"/>
      <c r="B251" s="215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308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>
        <f>SUM(C251:AG251)</f>
        <v>0</v>
      </c>
    </row>
    <row r="252" spans="1:34" x14ac:dyDescent="0.2">
      <c r="A252" s="310"/>
      <c r="B252" s="215"/>
      <c r="C252" s="311"/>
      <c r="D252" s="311"/>
      <c r="E252" s="311"/>
      <c r="F252" s="311"/>
      <c r="G252" s="314"/>
      <c r="H252" s="311"/>
      <c r="I252" s="311"/>
      <c r="J252" s="311"/>
      <c r="K252" s="311"/>
      <c r="L252" s="314"/>
      <c r="M252" s="314"/>
      <c r="N252" s="629"/>
      <c r="O252" s="314"/>
      <c r="P252" s="629"/>
      <c r="Q252" s="311"/>
      <c r="R252" s="311"/>
      <c r="S252" s="311"/>
      <c r="T252" s="311"/>
      <c r="U252" s="311"/>
      <c r="V252" s="629"/>
      <c r="W252" s="311"/>
      <c r="X252" s="311"/>
      <c r="Y252" s="311"/>
      <c r="Z252" s="311"/>
      <c r="AA252" s="408"/>
      <c r="AB252" s="311"/>
      <c r="AC252" s="311"/>
      <c r="AD252" s="314"/>
      <c r="AE252" s="311"/>
      <c r="AF252" s="629"/>
      <c r="AG252" s="311"/>
      <c r="AH252" s="262"/>
    </row>
    <row r="253" spans="1:34" x14ac:dyDescent="0.2">
      <c r="A253" s="215"/>
      <c r="B253" s="215"/>
      <c r="C253" s="215"/>
      <c r="D253" s="311"/>
      <c r="E253" s="317"/>
      <c r="F253" s="215"/>
      <c r="G253" s="215"/>
      <c r="H253" s="215"/>
      <c r="I253" s="215"/>
      <c r="J253" s="215"/>
      <c r="K253" s="215"/>
      <c r="L253" s="215"/>
      <c r="M253" s="215"/>
      <c r="N253" s="215"/>
      <c r="O253" s="215"/>
      <c r="P253" s="309"/>
      <c r="Q253" s="286"/>
      <c r="R253" s="215"/>
      <c r="S253" s="262"/>
      <c r="T253" s="215"/>
      <c r="U253" s="215"/>
      <c r="V253" s="215"/>
      <c r="W253" s="215"/>
      <c r="X253" s="215"/>
      <c r="Y253" s="262"/>
      <c r="Z253" s="262"/>
      <c r="AA253" s="262"/>
      <c r="AB253" s="262"/>
      <c r="AC253" s="262"/>
      <c r="AD253" s="262"/>
      <c r="AE253" s="262"/>
      <c r="AF253" s="262"/>
      <c r="AG253" s="262"/>
      <c r="AH253" s="286">
        <f>SUM(C253:AG253)</f>
        <v>0</v>
      </c>
    </row>
    <row r="254" spans="1:34" x14ac:dyDescent="0.2">
      <c r="A254" s="358" t="s">
        <v>415</v>
      </c>
      <c r="B254" s="359">
        <f>B255+B256+B258</f>
        <v>425000</v>
      </c>
      <c r="C254" s="215"/>
      <c r="D254" s="215"/>
      <c r="E254" s="215"/>
      <c r="F254" s="215"/>
      <c r="G254" s="215"/>
      <c r="H254" s="215"/>
      <c r="I254" s="215"/>
      <c r="J254" s="215"/>
      <c r="K254" s="409"/>
      <c r="L254" s="215"/>
      <c r="M254" s="215"/>
      <c r="N254" s="215"/>
      <c r="O254" s="215"/>
      <c r="P254" s="309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408"/>
      <c r="AB254" s="215"/>
      <c r="AC254" s="215"/>
      <c r="AD254" s="215"/>
      <c r="AE254" s="215"/>
      <c r="AF254" s="215"/>
      <c r="AG254" s="215"/>
      <c r="AH254" s="215"/>
    </row>
    <row r="255" spans="1:34" x14ac:dyDescent="0.2">
      <c r="A255" s="327" t="s">
        <v>414</v>
      </c>
      <c r="B255" s="311">
        <v>25000</v>
      </c>
      <c r="C255" s="215"/>
      <c r="D255" s="215"/>
      <c r="E255" s="286"/>
      <c r="F255" s="286"/>
      <c r="G255" s="286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86"/>
      <c r="V255" s="215"/>
      <c r="W255" s="215"/>
      <c r="X255" s="215"/>
      <c r="Y255" s="215"/>
      <c r="Z255" s="215"/>
      <c r="AA255" s="323"/>
      <c r="AB255" s="215"/>
      <c r="AC255" s="215"/>
      <c r="AD255" s="215"/>
      <c r="AE255" s="215"/>
      <c r="AF255" s="215"/>
      <c r="AG255" s="286"/>
      <c r="AH255" s="215"/>
    </row>
    <row r="256" spans="1:34" x14ac:dyDescent="0.2">
      <c r="A256" s="327" t="s">
        <v>287</v>
      </c>
      <c r="B256" s="311">
        <v>300000</v>
      </c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86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409"/>
      <c r="AG256" s="215"/>
      <c r="AH256" s="215"/>
    </row>
    <row r="257" spans="1:34" x14ac:dyDescent="0.2">
      <c r="A257" s="310" t="s">
        <v>413</v>
      </c>
      <c r="B257" s="311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310" t="s">
        <v>441</v>
      </c>
      <c r="B258" s="311">
        <v>100000</v>
      </c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309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</row>
    <row r="261" spans="1:34" ht="13.5" thickBot="1" x14ac:dyDescent="0.25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309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 s="215"/>
      <c r="AC261" s="215"/>
      <c r="AD261" s="215"/>
      <c r="AE261" s="215"/>
      <c r="AF261" s="215"/>
      <c r="AG261" s="215"/>
      <c r="AH261" s="215"/>
    </row>
    <row r="262" spans="1:34" x14ac:dyDescent="0.2">
      <c r="A262" s="263"/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860"/>
      <c r="Q262" s="264"/>
      <c r="R262" s="264"/>
      <c r="S262" s="264"/>
      <c r="T262" s="264"/>
      <c r="U262" s="264"/>
      <c r="V262" s="264"/>
      <c r="W262" s="264"/>
      <c r="X262" s="264"/>
      <c r="Y262" s="264"/>
      <c r="Z262" s="264"/>
      <c r="AA262" s="264"/>
      <c r="AB262" s="264"/>
      <c r="AC262" s="264"/>
      <c r="AD262" s="264"/>
      <c r="AE262" s="264"/>
      <c r="AF262" s="264"/>
      <c r="AG262" s="264"/>
      <c r="AH262" s="215"/>
    </row>
    <row r="263" spans="1:34" x14ac:dyDescent="0.2">
      <c r="A263" s="265"/>
      <c r="B263" s="266" t="s">
        <v>37</v>
      </c>
      <c r="C263" s="266"/>
      <c r="D263" s="266"/>
      <c r="E263" s="267" t="s">
        <v>36</v>
      </c>
      <c r="F263" s="268" t="s">
        <v>340</v>
      </c>
      <c r="G263" s="269"/>
      <c r="H263" s="268"/>
      <c r="I263" s="268"/>
      <c r="J263" s="268"/>
      <c r="K263" s="268"/>
      <c r="L263" s="268"/>
      <c r="M263" s="268"/>
      <c r="N263" s="268"/>
      <c r="O263" s="268"/>
      <c r="P263" s="861"/>
      <c r="Q263" s="268"/>
      <c r="R263" s="268"/>
      <c r="S263" s="268"/>
      <c r="T263" s="268"/>
      <c r="U263" s="268"/>
      <c r="V263" s="268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15"/>
    </row>
    <row r="264" spans="1:34" x14ac:dyDescent="0.2">
      <c r="A264" s="265"/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x14ac:dyDescent="0.2">
      <c r="A265" s="265"/>
      <c r="B265" s="266"/>
      <c r="C265" s="268"/>
      <c r="D265" s="268">
        <v>42097</v>
      </c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x14ac:dyDescent="0.2">
      <c r="A266" s="265"/>
      <c r="B266" s="266"/>
      <c r="C266" s="268"/>
      <c r="D266" s="268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79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  <c r="AH266" s="215"/>
    </row>
    <row r="267" spans="1:34" ht="13.5" thickBot="1" x14ac:dyDescent="0.25">
      <c r="A267" s="265"/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  <c r="O267" s="266"/>
      <c r="P267" s="279"/>
      <c r="Q267" s="266"/>
      <c r="R267" s="266"/>
      <c r="S267" s="266"/>
      <c r="T267" s="266"/>
      <c r="U267" s="266"/>
      <c r="V267" s="266"/>
      <c r="W267" s="266"/>
      <c r="X267" s="266"/>
      <c r="Y267" s="266"/>
      <c r="Z267" s="266"/>
      <c r="AA267" s="266"/>
      <c r="AB267" s="266"/>
      <c r="AC267" s="266"/>
      <c r="AD267" s="266"/>
      <c r="AE267" s="266"/>
      <c r="AF267" s="266"/>
      <c r="AG267" s="266"/>
      <c r="AH267" s="215"/>
    </row>
    <row r="268" spans="1:34" ht="13.5" thickBot="1" x14ac:dyDescent="0.25">
      <c r="A268" s="265"/>
      <c r="B268" s="266"/>
      <c r="C268" s="270"/>
      <c r="D268" s="271" t="s">
        <v>16</v>
      </c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271"/>
      <c r="P268" s="862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  <c r="AA268" s="271"/>
      <c r="AB268" s="271"/>
      <c r="AC268" s="271"/>
      <c r="AD268" s="271"/>
      <c r="AE268" s="271"/>
      <c r="AF268" s="271"/>
      <c r="AG268" s="271"/>
      <c r="AH268" s="215"/>
    </row>
    <row r="269" spans="1:34" ht="13.5" thickBot="1" x14ac:dyDescent="0.25">
      <c r="A269" s="265"/>
      <c r="B269" s="266"/>
      <c r="C269" s="272" t="s">
        <v>452</v>
      </c>
      <c r="D269" s="272" t="s">
        <v>453</v>
      </c>
      <c r="E269" s="272" t="s">
        <v>434</v>
      </c>
      <c r="F269" s="272" t="s">
        <v>390</v>
      </c>
      <c r="G269" s="272" t="s">
        <v>454</v>
      </c>
      <c r="H269" s="272" t="s">
        <v>455</v>
      </c>
      <c r="I269" s="272" t="s">
        <v>456</v>
      </c>
      <c r="J269" s="272" t="s">
        <v>457</v>
      </c>
      <c r="K269" s="272" t="s">
        <v>458</v>
      </c>
      <c r="L269" s="272" t="s">
        <v>216</v>
      </c>
      <c r="M269" s="272" t="s">
        <v>459</v>
      </c>
      <c r="N269" s="272" t="s">
        <v>297</v>
      </c>
      <c r="O269" s="272" t="s">
        <v>211</v>
      </c>
      <c r="P269" s="863" t="s">
        <v>270</v>
      </c>
      <c r="Q269" s="272">
        <v>15</v>
      </c>
      <c r="R269" s="272">
        <v>16</v>
      </c>
      <c r="S269" s="272" t="s">
        <v>461</v>
      </c>
      <c r="T269" s="272" t="s">
        <v>442</v>
      </c>
      <c r="U269" s="272" t="s">
        <v>462</v>
      </c>
      <c r="V269" s="272" t="s">
        <v>470</v>
      </c>
      <c r="W269" s="272" t="s">
        <v>471</v>
      </c>
      <c r="X269" s="272" t="s">
        <v>472</v>
      </c>
      <c r="Y269" s="272" t="s">
        <v>463</v>
      </c>
      <c r="Z269" s="272" t="s">
        <v>465</v>
      </c>
      <c r="AA269" s="272" t="s">
        <v>466</v>
      </c>
      <c r="AB269" s="272" t="s">
        <v>435</v>
      </c>
      <c r="AC269" s="272" t="s">
        <v>467</v>
      </c>
      <c r="AD269" s="272" t="s">
        <v>464</v>
      </c>
      <c r="AE269" s="272" t="s">
        <v>429</v>
      </c>
      <c r="AF269" s="272" t="s">
        <v>149</v>
      </c>
      <c r="AG269" s="272" t="s">
        <v>210</v>
      </c>
      <c r="AH269" s="215"/>
    </row>
    <row r="270" spans="1:34" x14ac:dyDescent="0.2">
      <c r="A270" s="263"/>
      <c r="B270" s="273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x14ac:dyDescent="0.2">
      <c r="A271" s="265" t="s">
        <v>0</v>
      </c>
      <c r="B271" s="274">
        <v>-21389.067999999999</v>
      </c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ht="13.5" thickBot="1" x14ac:dyDescent="0.25">
      <c r="A272" s="275"/>
      <c r="B272" s="276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3"/>
      <c r="B273" s="278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1</v>
      </c>
      <c r="B274" s="274">
        <f>B275+B276+B277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38</v>
      </c>
      <c r="B275" s="274">
        <f>C323</f>
        <v>0</v>
      </c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x14ac:dyDescent="0.2">
      <c r="A276" s="265" t="s">
        <v>39</v>
      </c>
      <c r="B276" s="274">
        <f>C346</f>
        <v>0</v>
      </c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x14ac:dyDescent="0.2">
      <c r="A277" s="265" t="s">
        <v>3</v>
      </c>
      <c r="B277" s="274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ht="13.5" thickBot="1" x14ac:dyDescent="0.25">
      <c r="A278" s="275"/>
      <c r="B278" s="276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x14ac:dyDescent="0.2">
      <c r="A279" s="263"/>
      <c r="B279" s="278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x14ac:dyDescent="0.2">
      <c r="A280" s="265" t="s">
        <v>4</v>
      </c>
      <c r="B280" s="274">
        <f>B271-B274</f>
        <v>-21389.067999999999</v>
      </c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ht="13.5" thickBot="1" x14ac:dyDescent="0.25">
      <c r="A281" s="275"/>
      <c r="B281" s="276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x14ac:dyDescent="0.2">
      <c r="A282" s="263"/>
      <c r="B282" s="278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x14ac:dyDescent="0.2">
      <c r="A283" s="265" t="s">
        <v>17</v>
      </c>
      <c r="B283" s="274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266"/>
      <c r="Y283" s="266"/>
      <c r="Z283" s="266"/>
      <c r="AA283" s="266"/>
      <c r="AB283" s="266"/>
      <c r="AC283" s="266"/>
      <c r="AD283" s="266"/>
      <c r="AE283" s="266"/>
      <c r="AF283" s="266"/>
      <c r="AG283" s="266"/>
      <c r="AH283" s="215"/>
    </row>
    <row r="284" spans="1:34" ht="13.5" thickBot="1" x14ac:dyDescent="0.25">
      <c r="A284" s="275"/>
      <c r="B284" s="276"/>
      <c r="C284" s="266"/>
      <c r="D284" s="266"/>
      <c r="E284" s="266"/>
      <c r="F284" s="266"/>
      <c r="G284" s="266"/>
      <c r="H284" s="266"/>
      <c r="I284" s="266"/>
      <c r="J284" s="266"/>
      <c r="K284" s="266"/>
      <c r="L284" s="266"/>
      <c r="M284" s="266"/>
      <c r="N284" s="266"/>
      <c r="O284" s="266"/>
      <c r="P284" s="279"/>
      <c r="Q284" s="266"/>
      <c r="R284" s="266"/>
      <c r="S284" s="266"/>
      <c r="T284" s="266"/>
      <c r="U284" s="266"/>
      <c r="V284" s="266"/>
      <c r="W284" s="266"/>
      <c r="X284" s="330"/>
      <c r="Y284" s="266"/>
      <c r="Z284" s="266"/>
      <c r="AA284" s="266"/>
      <c r="AB284" s="266"/>
      <c r="AC284" s="266"/>
      <c r="AD284" s="266"/>
      <c r="AE284" s="266"/>
      <c r="AF284" s="266"/>
      <c r="AG284" s="266"/>
      <c r="AH284" s="215"/>
    </row>
    <row r="285" spans="1:34" x14ac:dyDescent="0.2">
      <c r="A285" s="263"/>
      <c r="B285" s="278"/>
      <c r="C285" s="269"/>
      <c r="D285" s="266"/>
      <c r="E285" s="266"/>
      <c r="F285" s="266"/>
      <c r="G285" s="266"/>
      <c r="H285" s="266"/>
      <c r="I285" s="266"/>
      <c r="J285" s="266"/>
      <c r="K285" s="330"/>
      <c r="L285" s="266"/>
      <c r="M285" s="266"/>
      <c r="N285" s="266"/>
      <c r="O285" s="266"/>
      <c r="P285" s="279"/>
      <c r="Q285" s="266"/>
      <c r="R285" s="266"/>
      <c r="S285" s="266"/>
      <c r="T285" s="266"/>
      <c r="U285" s="266"/>
      <c r="V285" s="266"/>
      <c r="W285" s="266"/>
      <c r="X285" s="269"/>
      <c r="Y285" s="266"/>
      <c r="Z285" s="269" t="s">
        <v>748</v>
      </c>
      <c r="AA285" s="266"/>
      <c r="AB285" s="266"/>
      <c r="AC285" s="266"/>
      <c r="AD285" s="266"/>
      <c r="AE285" s="266"/>
      <c r="AF285" s="266"/>
      <c r="AG285" s="266"/>
      <c r="AH285" s="215"/>
    </row>
    <row r="286" spans="1:34" x14ac:dyDescent="0.2">
      <c r="A286" s="265" t="s">
        <v>5</v>
      </c>
      <c r="B286" s="274">
        <f>B280-B283</f>
        <v>-21389.067999999999</v>
      </c>
      <c r="C286" s="794"/>
      <c r="D286" s="269"/>
      <c r="E286" s="269" t="s">
        <v>171</v>
      </c>
      <c r="F286" s="269"/>
      <c r="G286" s="269"/>
      <c r="H286" s="269"/>
      <c r="I286" s="269"/>
      <c r="J286" s="269"/>
      <c r="K286" s="768"/>
      <c r="L286" s="269"/>
      <c r="M286" s="269"/>
      <c r="N286" s="269"/>
      <c r="O286" s="269"/>
      <c r="P286" s="279"/>
      <c r="Q286" s="269"/>
      <c r="R286" s="269"/>
      <c r="S286" s="281"/>
      <c r="T286" s="269"/>
      <c r="U286" s="266"/>
      <c r="V286" s="269"/>
      <c r="W286" s="266"/>
      <c r="X286" s="269"/>
      <c r="Y286" s="269" t="s">
        <v>802</v>
      </c>
      <c r="Z286" s="281" t="s">
        <v>688</v>
      </c>
      <c r="AA286" s="281"/>
      <c r="AB286" s="281" t="s">
        <v>248</v>
      </c>
      <c r="AC286" s="796"/>
      <c r="AD286" s="709"/>
      <c r="AE286" s="269" t="s">
        <v>961</v>
      </c>
      <c r="AF286" s="269"/>
      <c r="AG286" s="705"/>
      <c r="AH286" s="215"/>
    </row>
    <row r="287" spans="1:34" ht="13.5" thickBot="1" x14ac:dyDescent="0.25">
      <c r="A287" s="275"/>
      <c r="B287" s="276"/>
      <c r="C287" s="266"/>
      <c r="D287" s="266"/>
      <c r="E287" s="266"/>
      <c r="F287" s="266"/>
      <c r="G287" s="266"/>
      <c r="H287" s="266"/>
      <c r="I287" s="266"/>
      <c r="J287" s="266"/>
      <c r="K287" s="266"/>
      <c r="L287" s="266"/>
      <c r="M287" s="266"/>
      <c r="N287" s="266"/>
      <c r="O287" s="266"/>
      <c r="P287" s="279"/>
      <c r="Q287" s="266"/>
      <c r="R287" s="266"/>
      <c r="S287" s="266"/>
      <c r="T287" s="266"/>
      <c r="U287" s="266"/>
      <c r="V287" s="266"/>
      <c r="W287" s="266"/>
      <c r="X287" s="266"/>
      <c r="Y287" s="266"/>
      <c r="Z287" s="266"/>
      <c r="AA287" s="266"/>
      <c r="AB287" s="266"/>
      <c r="AC287" s="266"/>
      <c r="AD287" s="266"/>
      <c r="AE287" s="266"/>
      <c r="AF287" s="266"/>
      <c r="AG287" s="266"/>
      <c r="AH287" s="215"/>
    </row>
    <row r="288" spans="1:34" x14ac:dyDescent="0.2">
      <c r="A288" s="282"/>
      <c r="B288" s="266"/>
      <c r="C288" s="283"/>
      <c r="D288" s="285"/>
      <c r="E288" s="285"/>
      <c r="F288" s="284"/>
      <c r="G288" s="284"/>
      <c r="H288" s="284"/>
      <c r="I288" s="284"/>
      <c r="J288" s="284"/>
      <c r="K288" s="284"/>
      <c r="L288" s="284"/>
      <c r="M288" s="284"/>
      <c r="N288" s="284"/>
      <c r="O288" s="284"/>
      <c r="P288" s="864"/>
      <c r="Q288" s="284"/>
      <c r="R288" s="284"/>
      <c r="S288" s="284"/>
      <c r="T288" s="284"/>
      <c r="U288" s="284"/>
      <c r="V288" s="284"/>
      <c r="W288" s="284"/>
      <c r="X288" s="284"/>
      <c r="Y288" s="284"/>
      <c r="Z288" s="284"/>
      <c r="AA288" s="284"/>
      <c r="AB288" s="284"/>
      <c r="AC288" s="284"/>
      <c r="AD288" s="284"/>
      <c r="AE288" s="284"/>
      <c r="AF288" s="284"/>
      <c r="AG288" s="284"/>
      <c r="AH288" s="215"/>
    </row>
    <row r="289" spans="1:34" ht="13.5" thickBot="1" x14ac:dyDescent="0.25">
      <c r="A289" s="287" t="s">
        <v>7</v>
      </c>
      <c r="B289" s="266"/>
      <c r="C289" s="288">
        <f>C290+C291+C292+C294+C293</f>
        <v>0</v>
      </c>
      <c r="D289" s="288">
        <f>D290+D291+D292+D294+D293</f>
        <v>0</v>
      </c>
      <c r="E289" s="288">
        <f>E290+E291+E292+E294+E293</f>
        <v>0</v>
      </c>
      <c r="F289" s="288">
        <f>F290+F291+F292+F294+F293</f>
        <v>0</v>
      </c>
      <c r="G289" s="288">
        <f>G290+G291+G292+G294+G293</f>
        <v>0</v>
      </c>
      <c r="H289" s="288">
        <f t="shared" ref="H289:AF289" si="29">H290+H291+H292+H294+H293</f>
        <v>0</v>
      </c>
      <c r="I289" s="288">
        <f t="shared" si="29"/>
        <v>0</v>
      </c>
      <c r="J289" s="288">
        <f t="shared" si="29"/>
        <v>0</v>
      </c>
      <c r="K289" s="288">
        <f t="shared" si="29"/>
        <v>0</v>
      </c>
      <c r="L289" s="288">
        <f t="shared" si="29"/>
        <v>0</v>
      </c>
      <c r="M289" s="288">
        <f t="shared" si="29"/>
        <v>0</v>
      </c>
      <c r="N289" s="288">
        <f t="shared" si="29"/>
        <v>0</v>
      </c>
      <c r="O289" s="288">
        <f t="shared" si="29"/>
        <v>0</v>
      </c>
      <c r="P289" s="865">
        <f t="shared" si="29"/>
        <v>0</v>
      </c>
      <c r="Q289" s="288">
        <f t="shared" si="29"/>
        <v>0</v>
      </c>
      <c r="R289" s="288">
        <f t="shared" si="29"/>
        <v>0</v>
      </c>
      <c r="S289" s="288">
        <f t="shared" si="29"/>
        <v>0</v>
      </c>
      <c r="T289" s="288">
        <f t="shared" si="29"/>
        <v>0</v>
      </c>
      <c r="U289" s="288">
        <f t="shared" si="29"/>
        <v>0</v>
      </c>
      <c r="V289" s="288">
        <f t="shared" si="29"/>
        <v>0</v>
      </c>
      <c r="W289" s="288">
        <f t="shared" si="29"/>
        <v>0</v>
      </c>
      <c r="X289" s="288">
        <f t="shared" si="29"/>
        <v>0</v>
      </c>
      <c r="Y289" s="288">
        <f t="shared" si="29"/>
        <v>0</v>
      </c>
      <c r="Z289" s="288">
        <f t="shared" si="29"/>
        <v>0</v>
      </c>
      <c r="AA289" s="288">
        <f t="shared" si="29"/>
        <v>0</v>
      </c>
      <c r="AB289" s="288">
        <f t="shared" si="29"/>
        <v>0</v>
      </c>
      <c r="AC289" s="288">
        <f t="shared" si="29"/>
        <v>0</v>
      </c>
      <c r="AD289" s="288">
        <f t="shared" si="29"/>
        <v>0</v>
      </c>
      <c r="AE289" s="288">
        <f t="shared" si="29"/>
        <v>0</v>
      </c>
      <c r="AF289" s="288">
        <f t="shared" si="29"/>
        <v>0</v>
      </c>
      <c r="AG289" s="288">
        <f>AG290+AG291+AG292+AG294+AG293</f>
        <v>0</v>
      </c>
      <c r="AH289" s="286">
        <f>SUM(C289:AG289)</f>
        <v>0</v>
      </c>
    </row>
    <row r="290" spans="1:34" x14ac:dyDescent="0.2">
      <c r="A290" s="287" t="s">
        <v>8</v>
      </c>
      <c r="B290" s="331"/>
      <c r="C290" s="291"/>
      <c r="D290" s="291"/>
      <c r="E290" s="362"/>
      <c r="F290" s="290"/>
      <c r="G290" s="290"/>
      <c r="H290" s="290"/>
      <c r="I290" s="295"/>
      <c r="J290" s="290"/>
      <c r="K290" s="290"/>
      <c r="L290" s="290"/>
      <c r="M290" s="290"/>
      <c r="N290" s="290"/>
      <c r="O290" s="290"/>
      <c r="P290" s="292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  <c r="AB290" s="290"/>
      <c r="AC290" s="290"/>
      <c r="AD290" s="290"/>
      <c r="AE290" s="290"/>
      <c r="AF290" s="290"/>
      <c r="AG290" s="290"/>
      <c r="AH290" s="286">
        <f>SUM(C290:AG290)</f>
        <v>0</v>
      </c>
    </row>
    <row r="291" spans="1:34" x14ac:dyDescent="0.2">
      <c r="A291" s="287" t="s">
        <v>9</v>
      </c>
      <c r="B291" s="331"/>
      <c r="C291" s="291"/>
      <c r="D291" s="291"/>
      <c r="E291" s="362"/>
      <c r="F291" s="290"/>
      <c r="G291" s="290"/>
      <c r="H291" s="290"/>
      <c r="I291" s="290"/>
      <c r="J291" s="290"/>
      <c r="K291" s="290"/>
      <c r="L291" s="290"/>
      <c r="M291" s="290"/>
      <c r="N291" s="290"/>
      <c r="O291" s="295"/>
      <c r="P291" s="292"/>
      <c r="Q291" s="290"/>
      <c r="R291" s="290"/>
      <c r="S291" s="290"/>
      <c r="T291" s="290"/>
      <c r="U291" s="290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0"/>
      <c r="AF291" s="290"/>
      <c r="AG291" s="290"/>
      <c r="AH291" s="286">
        <f>SUM(C291:AG291)</f>
        <v>0</v>
      </c>
    </row>
    <row r="292" spans="1:34" s="360" customFormat="1" x14ac:dyDescent="0.2">
      <c r="A292" s="662" t="s">
        <v>10</v>
      </c>
      <c r="B292" s="669"/>
      <c r="C292" s="795"/>
      <c r="D292" s="565"/>
      <c r="E292" s="565"/>
      <c r="F292" s="560"/>
      <c r="G292" s="560"/>
      <c r="H292" s="560"/>
      <c r="I292" s="560"/>
      <c r="J292" s="560"/>
      <c r="K292" s="380"/>
      <c r="L292" s="560"/>
      <c r="M292" s="560"/>
      <c r="N292" s="560"/>
      <c r="O292" s="560"/>
      <c r="P292" s="560"/>
      <c r="Q292" s="560"/>
      <c r="R292" s="560"/>
      <c r="S292" s="560"/>
      <c r="T292" s="560"/>
      <c r="U292" s="560"/>
      <c r="V292" s="560"/>
      <c r="W292" s="560"/>
      <c r="X292" s="560"/>
      <c r="Y292" s="560"/>
      <c r="Z292" s="665"/>
      <c r="AA292" s="560"/>
      <c r="AB292" s="560"/>
      <c r="AC292" s="560"/>
      <c r="AD292" s="708"/>
      <c r="AE292" s="560"/>
      <c r="AF292" s="560"/>
      <c r="AG292" s="747"/>
      <c r="AH292" s="379">
        <f>SUM(C292:AG292)</f>
        <v>0</v>
      </c>
    </row>
    <row r="293" spans="1:34" s="360" customFormat="1" x14ac:dyDescent="0.2">
      <c r="A293" s="662" t="s">
        <v>356</v>
      </c>
      <c r="B293" s="669"/>
      <c r="C293" s="565"/>
      <c r="D293" s="565"/>
      <c r="E293" s="565">
        <v>53812</v>
      </c>
      <c r="F293" s="560"/>
      <c r="G293" s="380"/>
      <c r="H293" s="560"/>
      <c r="I293" s="380"/>
      <c r="J293" s="560"/>
      <c r="K293" s="560"/>
      <c r="L293" s="560"/>
      <c r="M293" s="560"/>
      <c r="N293" s="380"/>
      <c r="O293" s="560"/>
      <c r="P293" s="560"/>
      <c r="Q293" s="560"/>
      <c r="R293" s="560"/>
      <c r="S293" s="560"/>
      <c r="T293" s="560"/>
      <c r="U293" s="560"/>
      <c r="V293" s="560"/>
      <c r="W293" s="560"/>
      <c r="X293" s="380"/>
      <c r="Y293" s="560">
        <v>60185</v>
      </c>
      <c r="Z293" s="560">
        <v>88239</v>
      </c>
      <c r="AA293" s="560"/>
      <c r="AB293" s="380"/>
      <c r="AC293" s="380"/>
      <c r="AD293" s="560"/>
      <c r="AE293" s="560"/>
      <c r="AF293" s="560"/>
      <c r="AG293" s="560"/>
      <c r="AH293" s="379">
        <f>SUM(C293:AG293)</f>
        <v>202236</v>
      </c>
    </row>
    <row r="294" spans="1:34" x14ac:dyDescent="0.2">
      <c r="A294" s="287" t="s">
        <v>11</v>
      </c>
      <c r="B294" s="266"/>
      <c r="C294" s="291"/>
      <c r="D294" s="289"/>
      <c r="E294" s="294">
        <v>-53812</v>
      </c>
      <c r="F294" s="292"/>
      <c r="G294" s="292"/>
      <c r="H294" s="292"/>
      <c r="I294" s="292"/>
      <c r="J294" s="295"/>
      <c r="K294" s="292"/>
      <c r="L294" s="292"/>
      <c r="M294" s="292"/>
      <c r="N294" s="292"/>
      <c r="O294" s="292"/>
      <c r="P294" s="455"/>
      <c r="Q294" s="292"/>
      <c r="R294" s="292"/>
      <c r="S294" s="292"/>
      <c r="T294" s="292"/>
      <c r="U294" s="292"/>
      <c r="V294" s="295"/>
      <c r="W294" s="295"/>
      <c r="X294" s="295"/>
      <c r="Y294" s="455">
        <v>-60185</v>
      </c>
      <c r="Z294" s="295">
        <v>-88239</v>
      </c>
      <c r="AA294" s="295"/>
      <c r="AB294" s="295"/>
      <c r="AC294" s="292"/>
      <c r="AD294" s="295"/>
      <c r="AE294" s="292"/>
      <c r="AF294" s="292"/>
      <c r="AG294" s="292"/>
      <c r="AH294" s="215"/>
    </row>
    <row r="295" spans="1:34" ht="13.5" thickBot="1" x14ac:dyDescent="0.25">
      <c r="A295" s="296"/>
      <c r="B295" s="266"/>
      <c r="C295" s="291"/>
      <c r="D295" s="291"/>
      <c r="E295" s="291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2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  <c r="AE295" s="290"/>
      <c r="AF295" s="290"/>
      <c r="AG295" s="290"/>
      <c r="AH295" s="215"/>
    </row>
    <row r="296" spans="1:34" x14ac:dyDescent="0.2">
      <c r="A296" s="282"/>
      <c r="B296" s="266"/>
      <c r="C296" s="297"/>
      <c r="D296" s="298"/>
      <c r="E296" s="298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866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F296" s="299"/>
      <c r="AG296" s="299"/>
      <c r="AH296" s="215"/>
    </row>
    <row r="297" spans="1:34" ht="13.5" thickBot="1" x14ac:dyDescent="0.25">
      <c r="A297" s="287" t="s">
        <v>12</v>
      </c>
      <c r="B297" s="266"/>
      <c r="C297" s="288">
        <f t="shared" ref="C297:AG297" si="30">C298</f>
        <v>0</v>
      </c>
      <c r="D297" s="288">
        <f t="shared" si="30"/>
        <v>0</v>
      </c>
      <c r="E297" s="288">
        <f t="shared" si="30"/>
        <v>0</v>
      </c>
      <c r="F297" s="288">
        <f t="shared" si="30"/>
        <v>0</v>
      </c>
      <c r="G297" s="288">
        <f t="shared" si="30"/>
        <v>0</v>
      </c>
      <c r="H297" s="288">
        <f t="shared" si="30"/>
        <v>0</v>
      </c>
      <c r="I297" s="288">
        <f t="shared" si="30"/>
        <v>0</v>
      </c>
      <c r="J297" s="288">
        <f t="shared" si="30"/>
        <v>0</v>
      </c>
      <c r="K297" s="288">
        <f t="shared" si="30"/>
        <v>0</v>
      </c>
      <c r="L297" s="288">
        <f t="shared" si="30"/>
        <v>0</v>
      </c>
      <c r="M297" s="288">
        <f t="shared" si="30"/>
        <v>0</v>
      </c>
      <c r="N297" s="288">
        <f t="shared" si="30"/>
        <v>0</v>
      </c>
      <c r="O297" s="288">
        <f t="shared" si="30"/>
        <v>0</v>
      </c>
      <c r="P297" s="865">
        <f t="shared" si="30"/>
        <v>0</v>
      </c>
      <c r="Q297" s="288">
        <f t="shared" si="30"/>
        <v>0</v>
      </c>
      <c r="R297" s="288">
        <f t="shared" si="30"/>
        <v>0</v>
      </c>
      <c r="S297" s="288">
        <f t="shared" si="30"/>
        <v>0</v>
      </c>
      <c r="T297" s="288">
        <f t="shared" si="30"/>
        <v>0</v>
      </c>
      <c r="U297" s="288">
        <f t="shared" si="30"/>
        <v>0</v>
      </c>
      <c r="V297" s="288">
        <f t="shared" si="30"/>
        <v>0</v>
      </c>
      <c r="W297" s="288">
        <f t="shared" si="30"/>
        <v>0</v>
      </c>
      <c r="X297" s="288">
        <f t="shared" si="30"/>
        <v>0</v>
      </c>
      <c r="Y297" s="288">
        <f t="shared" si="30"/>
        <v>0</v>
      </c>
      <c r="Z297" s="288">
        <f t="shared" si="30"/>
        <v>0</v>
      </c>
      <c r="AA297" s="288">
        <f t="shared" si="30"/>
        <v>0</v>
      </c>
      <c r="AB297" s="288">
        <f t="shared" si="30"/>
        <v>0</v>
      </c>
      <c r="AC297" s="288">
        <f t="shared" si="30"/>
        <v>0</v>
      </c>
      <c r="AD297" s="288">
        <f t="shared" si="30"/>
        <v>0</v>
      </c>
      <c r="AE297" s="288">
        <f t="shared" si="30"/>
        <v>0</v>
      </c>
      <c r="AF297" s="288">
        <f t="shared" si="30"/>
        <v>0</v>
      </c>
      <c r="AG297" s="288">
        <f t="shared" si="30"/>
        <v>0</v>
      </c>
      <c r="AH297" s="215"/>
    </row>
    <row r="298" spans="1:34" x14ac:dyDescent="0.2">
      <c r="A298" s="287" t="s">
        <v>8</v>
      </c>
      <c r="B298" s="266"/>
      <c r="C298" s="291"/>
      <c r="D298" s="291"/>
      <c r="E298" s="291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2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15"/>
    </row>
    <row r="299" spans="1:34" x14ac:dyDescent="0.2">
      <c r="A299" s="287" t="s">
        <v>775</v>
      </c>
      <c r="B299" s="266"/>
      <c r="C299" s="291">
        <v>1571</v>
      </c>
      <c r="D299" s="291">
        <v>1120</v>
      </c>
      <c r="E299" s="291">
        <v>1750</v>
      </c>
      <c r="F299" s="290">
        <v>7264</v>
      </c>
      <c r="G299" s="290">
        <v>3777</v>
      </c>
      <c r="H299" s="290">
        <v>1662</v>
      </c>
      <c r="I299" s="290"/>
      <c r="J299" s="290"/>
      <c r="K299" s="290">
        <v>2806</v>
      </c>
      <c r="L299" s="290">
        <v>25643</v>
      </c>
      <c r="M299" s="290">
        <v>5705</v>
      </c>
      <c r="N299" s="290"/>
      <c r="O299" s="290">
        <v>750</v>
      </c>
      <c r="P299" s="292"/>
      <c r="Q299" s="290">
        <v>20903</v>
      </c>
      <c r="R299" s="290"/>
      <c r="S299" s="290">
        <v>1731</v>
      </c>
      <c r="T299" s="290">
        <v>1120</v>
      </c>
      <c r="U299" s="290">
        <v>690</v>
      </c>
      <c r="V299" s="290">
        <v>14261</v>
      </c>
      <c r="W299" s="290">
        <v>953</v>
      </c>
      <c r="X299" s="290">
        <v>954</v>
      </c>
      <c r="Y299" s="290">
        <v>26841</v>
      </c>
      <c r="Z299" s="290">
        <v>1690</v>
      </c>
      <c r="AA299" s="290">
        <v>8335</v>
      </c>
      <c r="AB299" s="290">
        <v>3070</v>
      </c>
      <c r="AC299" s="290">
        <v>1873</v>
      </c>
      <c r="AD299" s="290">
        <v>4841</v>
      </c>
      <c r="AE299" s="290"/>
      <c r="AF299" s="290">
        <v>21421</v>
      </c>
      <c r="AG299" s="290">
        <v>70844</v>
      </c>
      <c r="AH299" s="286">
        <f>SUM(C299:AG299)</f>
        <v>231575</v>
      </c>
    </row>
    <row r="300" spans="1:34" ht="13.5" thickBot="1" x14ac:dyDescent="0.25">
      <c r="A300" s="296"/>
      <c r="B300" s="266"/>
      <c r="C300" s="291"/>
      <c r="D300" s="291"/>
      <c r="E300" s="291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2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  <c r="AE300" s="290"/>
      <c r="AF300" s="290"/>
      <c r="AG300" s="290"/>
      <c r="AH300" s="215"/>
    </row>
    <row r="301" spans="1:34" x14ac:dyDescent="0.2">
      <c r="A301" s="282"/>
      <c r="B301" s="266"/>
      <c r="C301" s="297"/>
      <c r="D301" s="298"/>
      <c r="E301" s="298"/>
      <c r="F301" s="299"/>
      <c r="G301" s="299"/>
      <c r="H301" s="299"/>
      <c r="I301" s="299"/>
      <c r="J301" s="299"/>
      <c r="K301" s="299"/>
      <c r="L301" s="299"/>
      <c r="M301" s="299"/>
      <c r="N301" s="299"/>
      <c r="O301" s="299"/>
      <c r="P301" s="866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  <c r="AB301" s="299"/>
      <c r="AC301" s="299"/>
      <c r="AD301" s="299"/>
      <c r="AE301" s="299"/>
      <c r="AF301" s="299"/>
      <c r="AG301" s="299"/>
      <c r="AH301" s="215"/>
    </row>
    <row r="302" spans="1:34" x14ac:dyDescent="0.2">
      <c r="A302" s="287" t="s">
        <v>13</v>
      </c>
      <c r="B302" s="266"/>
      <c r="C302" s="300">
        <f>C297-C289</f>
        <v>0</v>
      </c>
      <c r="D302" s="300">
        <f>D297-D289</f>
        <v>0</v>
      </c>
      <c r="E302" s="300">
        <f>E297-E289</f>
        <v>0</v>
      </c>
      <c r="F302" s="300">
        <f>F297-F289</f>
        <v>0</v>
      </c>
      <c r="G302" s="300">
        <f>G297-G289</f>
        <v>0</v>
      </c>
      <c r="H302" s="300">
        <f t="shared" ref="H302:AG302" si="31">H297-H289</f>
        <v>0</v>
      </c>
      <c r="I302" s="300">
        <f t="shared" si="31"/>
        <v>0</v>
      </c>
      <c r="J302" s="300">
        <f t="shared" si="31"/>
        <v>0</v>
      </c>
      <c r="K302" s="300">
        <f t="shared" si="31"/>
        <v>0</v>
      </c>
      <c r="L302" s="300">
        <f t="shared" si="31"/>
        <v>0</v>
      </c>
      <c r="M302" s="300">
        <f t="shared" si="31"/>
        <v>0</v>
      </c>
      <c r="N302" s="300">
        <f t="shared" si="31"/>
        <v>0</v>
      </c>
      <c r="O302" s="300">
        <f t="shared" si="31"/>
        <v>0</v>
      </c>
      <c r="P302" s="867">
        <f t="shared" si="31"/>
        <v>0</v>
      </c>
      <c r="Q302" s="300">
        <f t="shared" si="31"/>
        <v>0</v>
      </c>
      <c r="R302" s="300">
        <f t="shared" si="31"/>
        <v>0</v>
      </c>
      <c r="S302" s="300">
        <f t="shared" si="31"/>
        <v>0</v>
      </c>
      <c r="T302" s="300">
        <f t="shared" si="31"/>
        <v>0</v>
      </c>
      <c r="U302" s="300">
        <f t="shared" si="31"/>
        <v>0</v>
      </c>
      <c r="V302" s="300">
        <f t="shared" si="31"/>
        <v>0</v>
      </c>
      <c r="W302" s="300">
        <f t="shared" si="31"/>
        <v>0</v>
      </c>
      <c r="X302" s="300">
        <f t="shared" si="31"/>
        <v>0</v>
      </c>
      <c r="Y302" s="300">
        <f t="shared" si="31"/>
        <v>0</v>
      </c>
      <c r="Z302" s="300">
        <f t="shared" si="31"/>
        <v>0</v>
      </c>
      <c r="AA302" s="300">
        <f t="shared" si="31"/>
        <v>0</v>
      </c>
      <c r="AB302" s="300">
        <f t="shared" si="31"/>
        <v>0</v>
      </c>
      <c r="AC302" s="300">
        <f t="shared" si="31"/>
        <v>0</v>
      </c>
      <c r="AD302" s="300">
        <f t="shared" si="31"/>
        <v>0</v>
      </c>
      <c r="AE302" s="300">
        <f t="shared" si="31"/>
        <v>0</v>
      </c>
      <c r="AF302" s="300">
        <f t="shared" si="31"/>
        <v>0</v>
      </c>
      <c r="AG302" s="300">
        <f t="shared" si="31"/>
        <v>0</v>
      </c>
      <c r="AH302" s="215"/>
    </row>
    <row r="303" spans="1:34" ht="13.5" thickBot="1" x14ac:dyDescent="0.25">
      <c r="A303" s="287"/>
      <c r="B303" s="266"/>
      <c r="C303" s="300"/>
      <c r="D303" s="291"/>
      <c r="E303" s="291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2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15"/>
    </row>
    <row r="304" spans="1:34" x14ac:dyDescent="0.2">
      <c r="A304" s="263"/>
      <c r="B304" s="264"/>
      <c r="C304" s="301"/>
      <c r="D304" s="298"/>
      <c r="E304" s="298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866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  <c r="AB304" s="299"/>
      <c r="AC304" s="299"/>
      <c r="AD304" s="299"/>
      <c r="AE304" s="299"/>
      <c r="AF304" s="299"/>
      <c r="AG304" s="299"/>
      <c r="AH304" s="215"/>
    </row>
    <row r="305" spans="1:34" x14ac:dyDescent="0.2">
      <c r="A305" s="265" t="s">
        <v>15</v>
      </c>
      <c r="B305" s="266"/>
      <c r="C305" s="291">
        <f>B286+C302</f>
        <v>-21389.067999999999</v>
      </c>
      <c r="D305" s="291">
        <f t="shared" ref="D305:AG305" si="32">C312+D302</f>
        <v>-21389.067999999999</v>
      </c>
      <c r="E305" s="291">
        <f t="shared" si="32"/>
        <v>-21389.067999999999</v>
      </c>
      <c r="F305" s="291">
        <f t="shared" si="32"/>
        <v>-21389.067999999999</v>
      </c>
      <c r="G305" s="291">
        <f t="shared" si="32"/>
        <v>-21389.067999999999</v>
      </c>
      <c r="H305" s="291">
        <f t="shared" si="32"/>
        <v>-21389.067999999999</v>
      </c>
      <c r="I305" s="291">
        <f t="shared" si="32"/>
        <v>-21389.067999999999</v>
      </c>
      <c r="J305" s="291">
        <f t="shared" si="32"/>
        <v>-21389.067999999999</v>
      </c>
      <c r="K305" s="291">
        <f t="shared" si="32"/>
        <v>-21389.067999999999</v>
      </c>
      <c r="L305" s="291">
        <f t="shared" si="32"/>
        <v>-21389.067999999999</v>
      </c>
      <c r="M305" s="291">
        <f t="shared" si="32"/>
        <v>-21389.067999999999</v>
      </c>
      <c r="N305" s="291">
        <f t="shared" si="32"/>
        <v>-21389.067999999999</v>
      </c>
      <c r="O305" s="291">
        <f t="shared" si="32"/>
        <v>-21389.067999999999</v>
      </c>
      <c r="P305" s="289">
        <f t="shared" si="32"/>
        <v>-21389.067999999999</v>
      </c>
      <c r="Q305" s="291">
        <f t="shared" si="32"/>
        <v>-21389.067999999999</v>
      </c>
      <c r="R305" s="291">
        <f t="shared" si="32"/>
        <v>-21389.067999999999</v>
      </c>
      <c r="S305" s="291">
        <f t="shared" si="32"/>
        <v>-21389.067999999999</v>
      </c>
      <c r="T305" s="291">
        <f t="shared" si="32"/>
        <v>-21389.067999999999</v>
      </c>
      <c r="U305" s="291">
        <f t="shared" si="32"/>
        <v>-21389.067999999999</v>
      </c>
      <c r="V305" s="291">
        <f t="shared" si="32"/>
        <v>-21389.067999999999</v>
      </c>
      <c r="W305" s="291">
        <f t="shared" si="32"/>
        <v>-21389.067999999999</v>
      </c>
      <c r="X305" s="291">
        <f t="shared" si="32"/>
        <v>-21389.067999999999</v>
      </c>
      <c r="Y305" s="291">
        <f t="shared" si="32"/>
        <v>-21389.067999999999</v>
      </c>
      <c r="Z305" s="291">
        <f t="shared" si="32"/>
        <v>-21389.067999999999</v>
      </c>
      <c r="AA305" s="291">
        <f t="shared" si="32"/>
        <v>-21389.067999999999</v>
      </c>
      <c r="AB305" s="291">
        <f t="shared" si="32"/>
        <v>-21389.067999999999</v>
      </c>
      <c r="AC305" s="291">
        <f t="shared" si="32"/>
        <v>-21389.067999999999</v>
      </c>
      <c r="AD305" s="291">
        <f t="shared" si="32"/>
        <v>-21389.067999999999</v>
      </c>
      <c r="AE305" s="291">
        <f t="shared" si="32"/>
        <v>-21389.067999999999</v>
      </c>
      <c r="AF305" s="291">
        <f t="shared" si="32"/>
        <v>-21389.067999999999</v>
      </c>
      <c r="AG305" s="291">
        <f t="shared" si="32"/>
        <v>-21389.067999999999</v>
      </c>
      <c r="AH305" s="215"/>
    </row>
    <row r="306" spans="1:34" ht="13.5" thickBot="1" x14ac:dyDescent="0.25">
      <c r="A306" s="275"/>
      <c r="B306" s="302"/>
      <c r="C306" s="303"/>
      <c r="D306" s="303"/>
      <c r="E306" s="303"/>
      <c r="F306" s="304"/>
      <c r="G306" s="304"/>
      <c r="H306" s="304"/>
      <c r="I306" s="304"/>
      <c r="J306" s="304"/>
      <c r="K306" s="304"/>
      <c r="L306" s="304"/>
      <c r="M306" s="304"/>
      <c r="N306" s="304"/>
      <c r="O306" s="304"/>
      <c r="P306" s="868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4"/>
      <c r="AG306" s="304"/>
      <c r="AH306" s="215"/>
    </row>
    <row r="307" spans="1:34" x14ac:dyDescent="0.2">
      <c r="A307" s="263"/>
      <c r="B307" s="264"/>
      <c r="C307" s="298"/>
      <c r="D307" s="298"/>
      <c r="E307" s="298"/>
      <c r="F307" s="299"/>
      <c r="G307" s="299"/>
      <c r="H307" s="299"/>
      <c r="I307" s="299"/>
      <c r="J307" s="299"/>
      <c r="K307" s="299"/>
      <c r="L307" s="299"/>
      <c r="M307" s="299"/>
      <c r="N307" s="299"/>
      <c r="O307" s="299"/>
      <c r="P307" s="866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  <c r="AB307" s="299"/>
      <c r="AC307" s="299"/>
      <c r="AD307" s="299"/>
      <c r="AE307" s="299"/>
      <c r="AF307" s="299"/>
      <c r="AG307" s="299"/>
      <c r="AH307" s="215"/>
    </row>
    <row r="308" spans="1:34" x14ac:dyDescent="0.2">
      <c r="A308" s="265" t="s">
        <v>82</v>
      </c>
      <c r="B308" s="266"/>
      <c r="C308" s="291">
        <f t="shared" ref="C308:AG309" si="33">C316</f>
        <v>0</v>
      </c>
      <c r="D308" s="291">
        <f t="shared" si="33"/>
        <v>0</v>
      </c>
      <c r="E308" s="291">
        <f t="shared" si="33"/>
        <v>0</v>
      </c>
      <c r="F308" s="291">
        <f t="shared" si="33"/>
        <v>0</v>
      </c>
      <c r="G308" s="291">
        <f t="shared" si="33"/>
        <v>0</v>
      </c>
      <c r="H308" s="291">
        <f t="shared" si="33"/>
        <v>0</v>
      </c>
      <c r="I308" s="291">
        <f t="shared" si="33"/>
        <v>0</v>
      </c>
      <c r="J308" s="291">
        <f t="shared" si="33"/>
        <v>0</v>
      </c>
      <c r="K308" s="291">
        <f t="shared" si="33"/>
        <v>0</v>
      </c>
      <c r="L308" s="291">
        <f t="shared" si="33"/>
        <v>0</v>
      </c>
      <c r="M308" s="291">
        <f t="shared" si="33"/>
        <v>0</v>
      </c>
      <c r="N308" s="291">
        <f t="shared" si="33"/>
        <v>0</v>
      </c>
      <c r="O308" s="291">
        <f t="shared" si="33"/>
        <v>0</v>
      </c>
      <c r="P308" s="289">
        <f t="shared" si="33"/>
        <v>0</v>
      </c>
      <c r="Q308" s="291">
        <f t="shared" si="33"/>
        <v>0</v>
      </c>
      <c r="R308" s="291">
        <f t="shared" si="33"/>
        <v>0</v>
      </c>
      <c r="S308" s="291">
        <f t="shared" si="33"/>
        <v>0</v>
      </c>
      <c r="T308" s="291">
        <f t="shared" si="33"/>
        <v>0</v>
      </c>
      <c r="U308" s="291">
        <f t="shared" si="33"/>
        <v>0</v>
      </c>
      <c r="V308" s="291">
        <f t="shared" si="33"/>
        <v>0</v>
      </c>
      <c r="W308" s="291">
        <f t="shared" si="33"/>
        <v>0</v>
      </c>
      <c r="X308" s="291">
        <f t="shared" si="33"/>
        <v>0</v>
      </c>
      <c r="Y308" s="291">
        <f t="shared" si="33"/>
        <v>0</v>
      </c>
      <c r="Z308" s="291">
        <f t="shared" si="33"/>
        <v>0</v>
      </c>
      <c r="AA308" s="291">
        <f>AA316</f>
        <v>0</v>
      </c>
      <c r="AB308" s="291">
        <f t="shared" si="33"/>
        <v>0</v>
      </c>
      <c r="AC308" s="291">
        <f t="shared" si="33"/>
        <v>0</v>
      </c>
      <c r="AD308" s="291">
        <f t="shared" si="33"/>
        <v>0</v>
      </c>
      <c r="AE308" s="291">
        <f t="shared" si="33"/>
        <v>0</v>
      </c>
      <c r="AF308" s="291">
        <f t="shared" si="33"/>
        <v>0</v>
      </c>
      <c r="AG308" s="291">
        <f t="shared" si="33"/>
        <v>0</v>
      </c>
      <c r="AH308" s="215"/>
    </row>
    <row r="309" spans="1:34" x14ac:dyDescent="0.2">
      <c r="A309" s="265" t="s">
        <v>83</v>
      </c>
      <c r="B309" s="266"/>
      <c r="C309" s="289">
        <f t="shared" si="33"/>
        <v>0</v>
      </c>
      <c r="D309" s="289">
        <f t="shared" si="33"/>
        <v>0</v>
      </c>
      <c r="E309" s="289">
        <f t="shared" si="33"/>
        <v>0</v>
      </c>
      <c r="F309" s="289">
        <f t="shared" si="33"/>
        <v>0</v>
      </c>
      <c r="G309" s="289">
        <f t="shared" si="33"/>
        <v>0</v>
      </c>
      <c r="H309" s="289">
        <f t="shared" si="33"/>
        <v>0</v>
      </c>
      <c r="I309" s="289">
        <f t="shared" si="33"/>
        <v>0</v>
      </c>
      <c r="J309" s="289">
        <f t="shared" si="33"/>
        <v>0</v>
      </c>
      <c r="K309" s="289">
        <f t="shared" si="33"/>
        <v>0</v>
      </c>
      <c r="L309" s="289">
        <f t="shared" si="33"/>
        <v>0</v>
      </c>
      <c r="M309" s="289">
        <f t="shared" si="33"/>
        <v>0</v>
      </c>
      <c r="N309" s="289">
        <f t="shared" si="33"/>
        <v>0</v>
      </c>
      <c r="O309" s="289">
        <f t="shared" si="33"/>
        <v>0</v>
      </c>
      <c r="P309" s="289">
        <f t="shared" si="33"/>
        <v>0</v>
      </c>
      <c r="Q309" s="289">
        <f t="shared" si="33"/>
        <v>0</v>
      </c>
      <c r="R309" s="289">
        <f t="shared" si="33"/>
        <v>0</v>
      </c>
      <c r="S309" s="289">
        <f t="shared" si="33"/>
        <v>0</v>
      </c>
      <c r="T309" s="289">
        <f t="shared" si="33"/>
        <v>0</v>
      </c>
      <c r="U309" s="289">
        <f t="shared" si="33"/>
        <v>0</v>
      </c>
      <c r="V309" s="289">
        <f t="shared" si="33"/>
        <v>0</v>
      </c>
      <c r="W309" s="289">
        <f t="shared" si="33"/>
        <v>0</v>
      </c>
      <c r="X309" s="289">
        <f t="shared" si="33"/>
        <v>0</v>
      </c>
      <c r="Y309" s="289">
        <f t="shared" si="33"/>
        <v>0</v>
      </c>
      <c r="Z309" s="289">
        <f t="shared" si="33"/>
        <v>0</v>
      </c>
      <c r="AA309" s="289">
        <f t="shared" si="33"/>
        <v>0</v>
      </c>
      <c r="AB309" s="289">
        <f t="shared" si="33"/>
        <v>0</v>
      </c>
      <c r="AC309" s="289">
        <f t="shared" si="33"/>
        <v>0</v>
      </c>
      <c r="AD309" s="289">
        <f t="shared" si="33"/>
        <v>0</v>
      </c>
      <c r="AE309" s="289">
        <f t="shared" si="33"/>
        <v>0</v>
      </c>
      <c r="AF309" s="289">
        <f t="shared" si="33"/>
        <v>0</v>
      </c>
      <c r="AG309" s="289">
        <f t="shared" si="33"/>
        <v>0</v>
      </c>
      <c r="AH309" s="215"/>
    </row>
    <row r="310" spans="1:34" ht="13.5" thickBot="1" x14ac:dyDescent="0.25">
      <c r="A310" s="275"/>
      <c r="B310" s="302"/>
      <c r="C310" s="303"/>
      <c r="D310" s="303"/>
      <c r="E310" s="303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868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215"/>
    </row>
    <row r="311" spans="1:34" x14ac:dyDescent="0.2">
      <c r="A311" s="265"/>
      <c r="B311" s="266"/>
      <c r="C311" s="291"/>
      <c r="D311" s="291"/>
      <c r="E311" s="291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2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  <c r="AE311" s="290"/>
      <c r="AF311" s="290"/>
      <c r="AG311" s="290"/>
      <c r="AH311" s="215"/>
    </row>
    <row r="312" spans="1:34" x14ac:dyDescent="0.2">
      <c r="A312" s="265" t="s">
        <v>14</v>
      </c>
      <c r="B312" s="266"/>
      <c r="C312" s="291">
        <f>C305+C308+C309</f>
        <v>-21389.067999999999</v>
      </c>
      <c r="D312" s="291">
        <f>D305+D308+D309</f>
        <v>-21389.067999999999</v>
      </c>
      <c r="E312" s="291">
        <f>E305+E308+E309</f>
        <v>-21389.067999999999</v>
      </c>
      <c r="F312" s="291">
        <f>F305+F308+F309</f>
        <v>-21389.067999999999</v>
      </c>
      <c r="G312" s="291">
        <f>G305+G308+G309</f>
        <v>-21389.067999999999</v>
      </c>
      <c r="H312" s="291">
        <f t="shared" ref="H312:AG312" si="34">H305+H308+H309</f>
        <v>-21389.067999999999</v>
      </c>
      <c r="I312" s="291">
        <f t="shared" si="34"/>
        <v>-21389.067999999999</v>
      </c>
      <c r="J312" s="291">
        <f t="shared" si="34"/>
        <v>-21389.067999999999</v>
      </c>
      <c r="K312" s="291">
        <f t="shared" si="34"/>
        <v>-21389.067999999999</v>
      </c>
      <c r="L312" s="291">
        <f t="shared" si="34"/>
        <v>-21389.067999999999</v>
      </c>
      <c r="M312" s="291">
        <f t="shared" si="34"/>
        <v>-21389.067999999999</v>
      </c>
      <c r="N312" s="291">
        <f t="shared" si="34"/>
        <v>-21389.067999999999</v>
      </c>
      <c r="O312" s="291">
        <f t="shared" si="34"/>
        <v>-21389.067999999999</v>
      </c>
      <c r="P312" s="289">
        <f t="shared" si="34"/>
        <v>-21389.067999999999</v>
      </c>
      <c r="Q312" s="291">
        <f t="shared" si="34"/>
        <v>-21389.067999999999</v>
      </c>
      <c r="R312" s="291">
        <f t="shared" si="34"/>
        <v>-21389.067999999999</v>
      </c>
      <c r="S312" s="291">
        <f t="shared" si="34"/>
        <v>-21389.067999999999</v>
      </c>
      <c r="T312" s="291">
        <f t="shared" si="34"/>
        <v>-21389.067999999999</v>
      </c>
      <c r="U312" s="291">
        <f t="shared" si="34"/>
        <v>-21389.067999999999</v>
      </c>
      <c r="V312" s="291">
        <f t="shared" si="34"/>
        <v>-21389.067999999999</v>
      </c>
      <c r="W312" s="291">
        <f t="shared" si="34"/>
        <v>-21389.067999999999</v>
      </c>
      <c r="X312" s="291">
        <f t="shared" si="34"/>
        <v>-21389.067999999999</v>
      </c>
      <c r="Y312" s="291">
        <f t="shared" si="34"/>
        <v>-21389.067999999999</v>
      </c>
      <c r="Z312" s="291">
        <f t="shared" si="34"/>
        <v>-21389.067999999999</v>
      </c>
      <c r="AA312" s="291">
        <f t="shared" si="34"/>
        <v>-21389.067999999999</v>
      </c>
      <c r="AB312" s="291">
        <f t="shared" si="34"/>
        <v>-21389.067999999999</v>
      </c>
      <c r="AC312" s="291">
        <f t="shared" si="34"/>
        <v>-21389.067999999999</v>
      </c>
      <c r="AD312" s="291">
        <f t="shared" si="34"/>
        <v>-21389.067999999999</v>
      </c>
      <c r="AE312" s="291">
        <f t="shared" si="34"/>
        <v>-21389.067999999999</v>
      </c>
      <c r="AF312" s="291">
        <f t="shared" si="34"/>
        <v>-21389.067999999999</v>
      </c>
      <c r="AG312" s="291">
        <f t="shared" si="34"/>
        <v>-21389.067999999999</v>
      </c>
      <c r="AH312" s="215"/>
    </row>
    <row r="313" spans="1:34" x14ac:dyDescent="0.2">
      <c r="A313" s="265"/>
      <c r="B313" s="266"/>
      <c r="C313" s="291"/>
      <c r="D313" s="291"/>
      <c r="E313" s="291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2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  <c r="AA313" s="290"/>
      <c r="AB313" s="290"/>
      <c r="AC313" s="290"/>
      <c r="AD313" s="290"/>
      <c r="AE313" s="290"/>
      <c r="AF313" s="290"/>
      <c r="AG313" s="290"/>
      <c r="AH313" s="215"/>
    </row>
    <row r="314" spans="1:34" ht="13.5" thickBot="1" x14ac:dyDescent="0.25">
      <c r="A314" s="275"/>
      <c r="B314" s="302"/>
      <c r="C314" s="306"/>
      <c r="D314" s="306"/>
      <c r="E314" s="306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869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C314" s="307"/>
      <c r="AD314" s="307"/>
      <c r="AE314" s="307"/>
      <c r="AF314" s="307"/>
      <c r="AG314" s="307"/>
      <c r="AH314" s="215"/>
    </row>
    <row r="315" spans="1:34" x14ac:dyDescent="0.2">
      <c r="A315" s="310"/>
      <c r="B315" s="215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308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>
        <f>SUM(C315:AG315)</f>
        <v>0</v>
      </c>
    </row>
    <row r="316" spans="1:34" x14ac:dyDescent="0.2">
      <c r="A316" s="312"/>
      <c r="B316" s="475"/>
      <c r="C316" s="490"/>
      <c r="D316" s="629"/>
      <c r="E316" s="371"/>
      <c r="F316" s="311"/>
      <c r="G316" s="311"/>
      <c r="H316" s="314"/>
      <c r="I316" s="311"/>
      <c r="J316" s="311"/>
      <c r="K316" s="311"/>
      <c r="L316" s="311"/>
      <c r="M316" s="314"/>
      <c r="N316" s="314"/>
      <c r="O316" s="314"/>
      <c r="P316" s="629"/>
      <c r="Q316" s="311"/>
      <c r="R316" s="311"/>
      <c r="S316" s="311"/>
      <c r="T316" s="311"/>
      <c r="U316" s="311"/>
      <c r="V316" s="311"/>
      <c r="W316" s="314"/>
      <c r="X316" s="314"/>
      <c r="Y316" s="314"/>
      <c r="Z316" s="314"/>
      <c r="AA316" s="314"/>
      <c r="AB316" s="314"/>
      <c r="AC316" s="314"/>
      <c r="AD316" s="629"/>
      <c r="AE316" s="311"/>
      <c r="AF316" s="311"/>
      <c r="AG316" s="311"/>
      <c r="AH316" s="286"/>
    </row>
    <row r="317" spans="1:34" x14ac:dyDescent="0.2">
      <c r="A317" s="215"/>
      <c r="B317" s="215"/>
      <c r="C317" s="215"/>
      <c r="D317" s="215"/>
      <c r="E317" s="317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/>
      <c r="AF317" s="215"/>
      <c r="AG317" s="215"/>
      <c r="AH317" s="286"/>
    </row>
    <row r="318" spans="1:34" x14ac:dyDescent="0.2">
      <c r="A318" s="358" t="s">
        <v>415</v>
      </c>
      <c r="B318" s="359">
        <f>B319+B320+B322+B321</f>
        <v>1020000</v>
      </c>
      <c r="C318" s="316"/>
      <c r="D318" s="215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309"/>
      <c r="Q318" s="215"/>
      <c r="R318" s="215"/>
      <c r="S318" s="215"/>
      <c r="T318" s="215"/>
      <c r="U318" s="457"/>
      <c r="V318" s="314"/>
      <c r="W318" s="286"/>
      <c r="X318" s="215"/>
      <c r="Y318" s="215"/>
      <c r="Z318" s="215"/>
      <c r="AA318" s="408"/>
      <c r="AB318" s="215"/>
      <c r="AC318" s="215"/>
      <c r="AD318" s="215"/>
      <c r="AE318" s="215"/>
      <c r="AF318" s="215"/>
      <c r="AG318" s="215"/>
      <c r="AH318" s="215"/>
    </row>
    <row r="319" spans="1:34" x14ac:dyDescent="0.2">
      <c r="A319" s="327" t="s">
        <v>414</v>
      </c>
      <c r="B319" s="311">
        <v>20000</v>
      </c>
      <c r="C319" s="215"/>
      <c r="D319" s="215"/>
      <c r="E319" s="286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309"/>
      <c r="Q319" s="215"/>
      <c r="R319" s="215"/>
      <c r="S319" s="215"/>
      <c r="T319" s="215"/>
      <c r="U319" s="313"/>
      <c r="V319" s="313"/>
      <c r="W319" s="215"/>
      <c r="X319" s="215"/>
      <c r="Y319" s="215"/>
      <c r="Z319" s="215"/>
      <c r="AA319" s="215"/>
      <c r="AB319" s="215"/>
      <c r="AC319" s="286"/>
      <c r="AD319" s="286"/>
      <c r="AE319" s="215"/>
      <c r="AF319" s="215"/>
      <c r="AG319" s="215"/>
      <c r="AH319" s="215"/>
    </row>
    <row r="320" spans="1:34" x14ac:dyDescent="0.2">
      <c r="A320" s="327" t="s">
        <v>287</v>
      </c>
      <c r="B320" s="311">
        <v>600000</v>
      </c>
      <c r="C320" s="215"/>
      <c r="D320" s="215"/>
      <c r="E320" s="215"/>
      <c r="F320" s="215"/>
      <c r="G320" s="215"/>
      <c r="H320" s="215"/>
      <c r="I320" s="215"/>
      <c r="J320" s="215"/>
      <c r="K320" s="286"/>
      <c r="L320" s="215"/>
      <c r="M320" s="215"/>
      <c r="N320" s="215"/>
      <c r="O320" s="215"/>
      <c r="P320" s="309"/>
      <c r="Q320" s="215"/>
      <c r="R320" s="215"/>
      <c r="S320" s="215"/>
      <c r="T320" s="215"/>
      <c r="U320" s="458"/>
      <c r="V320" s="313"/>
      <c r="W320" s="215"/>
      <c r="X320" s="286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310" t="s">
        <v>413</v>
      </c>
      <c r="B321" s="311">
        <v>200000</v>
      </c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310" t="s">
        <v>441</v>
      </c>
      <c r="B322" s="311">
        <v>200000</v>
      </c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309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</row>
    <row r="323" spans="1:33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309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5"/>
      <c r="AG323" s="215"/>
    </row>
    <row r="324" spans="1:33" x14ac:dyDescent="0.2">
      <c r="A324" s="183" t="s">
        <v>449</v>
      </c>
      <c r="B324" s="25"/>
      <c r="L324" s="42"/>
    </row>
    <row r="325" spans="1:33" x14ac:dyDescent="0.2">
      <c r="AB325" s="42"/>
      <c r="AC325" s="42"/>
      <c r="AD325" s="42"/>
      <c r="AE325" s="42"/>
    </row>
    <row r="332" spans="1:33" ht="15" x14ac:dyDescent="0.2">
      <c r="A332" s="401"/>
      <c r="B332" s="791"/>
    </row>
    <row r="333" spans="1:33" ht="15" x14ac:dyDescent="0.2">
      <c r="A333" s="401"/>
      <c r="B333" s="791"/>
    </row>
    <row r="334" spans="1:33" ht="15" x14ac:dyDescent="0.2">
      <c r="A334" s="401"/>
      <c r="B334" s="791"/>
    </row>
    <row r="339" spans="1:2" ht="18" x14ac:dyDescent="0.25">
      <c r="A339" s="1757"/>
      <c r="B339" s="1757"/>
    </row>
    <row r="340" spans="1:2" x14ac:dyDescent="0.2">
      <c r="A340" s="54"/>
      <c r="B340" s="54"/>
    </row>
    <row r="342" spans="1:2" x14ac:dyDescent="0.2">
      <c r="A342" s="483"/>
      <c r="B342" s="25"/>
    </row>
    <row r="343" spans="1:2" x14ac:dyDescent="0.2">
      <c r="A343" s="483"/>
      <c r="B343" s="25"/>
    </row>
    <row r="344" spans="1:2" x14ac:dyDescent="0.2">
      <c r="A344" s="483"/>
      <c r="B344" s="25"/>
    </row>
    <row r="345" spans="1:2" x14ac:dyDescent="0.2">
      <c r="A345" s="483"/>
      <c r="B345" s="25"/>
    </row>
    <row r="346" spans="1:2" x14ac:dyDescent="0.2">
      <c r="A346" s="483"/>
      <c r="B346" s="25"/>
    </row>
    <row r="347" spans="1:2" x14ac:dyDescent="0.2">
      <c r="A347" s="483"/>
      <c r="B347" s="25"/>
    </row>
    <row r="348" spans="1:2" x14ac:dyDescent="0.2">
      <c r="A348" s="483"/>
      <c r="B348" s="25"/>
    </row>
    <row r="349" spans="1:2" x14ac:dyDescent="0.2">
      <c r="A349" s="483"/>
      <c r="B349" s="25"/>
    </row>
    <row r="350" spans="1:2" x14ac:dyDescent="0.2">
      <c r="A350" s="483"/>
      <c r="B350" s="25"/>
    </row>
    <row r="351" spans="1:2" x14ac:dyDescent="0.2">
      <c r="A351" s="483"/>
      <c r="B351" s="25"/>
    </row>
    <row r="352" spans="1:2" x14ac:dyDescent="0.2">
      <c r="A352" s="483"/>
      <c r="B352" s="25"/>
    </row>
    <row r="355" spans="2:2" x14ac:dyDescent="0.2">
      <c r="B355" s="25"/>
    </row>
    <row r="356" spans="2:2" x14ac:dyDescent="0.2">
      <c r="B356" s="25"/>
    </row>
    <row r="357" spans="2:2" x14ac:dyDescent="0.2">
      <c r="B357" s="25"/>
    </row>
    <row r="359" spans="2:2" x14ac:dyDescent="0.2">
      <c r="B359" s="889"/>
    </row>
  </sheetData>
  <mergeCells count="1">
    <mergeCell ref="A339:B339"/>
  </mergeCells>
  <pageMargins left="0.78740157480314965" right="0.78740157480314965" top="0.98425196850393704" bottom="0.98425196850393704" header="0.51181102362204722" footer="0.51181102362204722"/>
  <pageSetup paperSize="9" fitToHeight="2" orientation="landscape" horizontalDpi="300" verticalDpi="3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8">
    <pageSetUpPr fitToPage="1"/>
  </sheetPr>
  <dimension ref="A1:AQ358"/>
  <sheetViews>
    <sheetView topLeftCell="A40" workbookViewId="0">
      <selection activeCell="E74" sqref="E74"/>
    </sheetView>
  </sheetViews>
  <sheetFormatPr defaultColWidth="11.42578125" defaultRowHeight="12.75" x14ac:dyDescent="0.2"/>
  <cols>
    <col min="1" max="1" width="37.42578125" customWidth="1"/>
    <col min="2" max="2" width="13.7109375" customWidth="1"/>
    <col min="3" max="3" width="14" customWidth="1"/>
    <col min="4" max="4" width="14.28515625" customWidth="1"/>
    <col min="5" max="5" width="14.42578125" bestFit="1" customWidth="1"/>
    <col min="6" max="6" width="12.7109375" customWidth="1"/>
    <col min="7" max="7" width="13.85546875" customWidth="1"/>
    <col min="8" max="8" width="13" customWidth="1"/>
    <col min="9" max="9" width="11.7109375" customWidth="1"/>
    <col min="10" max="11" width="10.85546875" customWidth="1"/>
    <col min="12" max="12" width="11.85546875" customWidth="1"/>
    <col min="13" max="13" width="10.85546875" customWidth="1"/>
    <col min="14" max="14" width="10.28515625" customWidth="1"/>
    <col min="15" max="15" width="10.85546875" customWidth="1"/>
    <col min="16" max="16" width="10.85546875" style="58" customWidth="1"/>
    <col min="17" max="17" width="12.28515625" customWidth="1"/>
    <col min="18" max="18" width="11.85546875" customWidth="1"/>
    <col min="20" max="20" width="14" customWidth="1"/>
    <col min="21" max="21" width="14.140625" customWidth="1"/>
    <col min="22" max="22" width="11.85546875" bestFit="1" customWidth="1"/>
    <col min="23" max="26" width="11.85546875" customWidth="1"/>
    <col min="27" max="27" width="13.7109375" customWidth="1"/>
    <col min="28" max="31" width="12.42578125" customWidth="1"/>
    <col min="32" max="32" width="12" customWidth="1"/>
    <col min="33" max="33" width="13.5703125" customWidth="1"/>
    <col min="34" max="34" width="13.85546875" bestFit="1" customWidth="1"/>
    <col min="35" max="35" width="11.85546875" bestFit="1" customWidth="1"/>
    <col min="40" max="40" width="13.85546875" bestFit="1" customWidth="1"/>
    <col min="42" max="42" width="13.85546875" bestFit="1" customWidth="1"/>
  </cols>
  <sheetData>
    <row r="1" spans="1:34" x14ac:dyDescent="0.2">
      <c r="A1" s="54" t="s">
        <v>693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309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</row>
    <row r="2" spans="1:34" x14ac:dyDescent="0.2">
      <c r="A2" s="358" t="s">
        <v>694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309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</row>
    <row r="3" spans="1:34" x14ac:dyDescent="0.2">
      <c r="A3" s="358" t="s">
        <v>680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309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</row>
    <row r="4" spans="1:34" x14ac:dyDescent="0.2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309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</row>
    <row r="5" spans="1:34" x14ac:dyDescent="0.2">
      <c r="A5" s="1" t="s">
        <v>689</v>
      </c>
      <c r="B5" s="451" t="s">
        <v>132</v>
      </c>
      <c r="C5" s="359">
        <f>C6+C7+C8+C9</f>
        <v>-388425.37799999997</v>
      </c>
      <c r="D5" s="359">
        <f t="shared" ref="D5:AG5" si="0">D6+D7+D8+D9</f>
        <v>-388425.37799999997</v>
      </c>
      <c r="E5" s="359">
        <f t="shared" si="0"/>
        <v>-388425.37799999997</v>
      </c>
      <c r="F5" s="359">
        <f t="shared" si="0"/>
        <v>-388425.37799999997</v>
      </c>
      <c r="G5" s="359">
        <f t="shared" si="0"/>
        <v>-388425.37799999997</v>
      </c>
      <c r="H5" s="359">
        <f t="shared" si="0"/>
        <v>-388425.37799999997</v>
      </c>
      <c r="I5" s="359">
        <f t="shared" si="0"/>
        <v>-388425.37799999997</v>
      </c>
      <c r="J5" s="453">
        <f t="shared" si="0"/>
        <v>-388425.37799999997</v>
      </c>
      <c r="K5" s="453">
        <f t="shared" si="0"/>
        <v>-388425.37799999997</v>
      </c>
      <c r="L5" s="359">
        <f t="shared" si="0"/>
        <v>-388425.37799999997</v>
      </c>
      <c r="M5" s="359">
        <f t="shared" si="0"/>
        <v>-388425.37799999997</v>
      </c>
      <c r="N5" s="359">
        <f t="shared" si="0"/>
        <v>-388425.37799999997</v>
      </c>
      <c r="O5" s="359">
        <f t="shared" si="0"/>
        <v>-388425.37799999997</v>
      </c>
      <c r="P5" s="858">
        <f t="shared" si="0"/>
        <v>-388425.37799999997</v>
      </c>
      <c r="Q5" s="359">
        <f t="shared" si="0"/>
        <v>-388425.37799999997</v>
      </c>
      <c r="R5" s="359">
        <f t="shared" si="0"/>
        <v>-388759.28899999999</v>
      </c>
      <c r="S5" s="359">
        <f t="shared" si="0"/>
        <v>-388759.28899999999</v>
      </c>
      <c r="T5" s="359">
        <f t="shared" si="0"/>
        <v>-388759.28899999999</v>
      </c>
      <c r="U5" s="359">
        <f t="shared" si="0"/>
        <v>-388759.28899999999</v>
      </c>
      <c r="V5" s="359">
        <f t="shared" si="0"/>
        <v>-388759.28899999999</v>
      </c>
      <c r="W5" s="359">
        <f t="shared" si="0"/>
        <v>-388759.28899999999</v>
      </c>
      <c r="X5" s="359">
        <f t="shared" si="0"/>
        <v>-388759.28899999999</v>
      </c>
      <c r="Y5" s="359">
        <f t="shared" si="0"/>
        <v>-388759.28899999999</v>
      </c>
      <c r="Z5" s="359">
        <f t="shared" si="0"/>
        <v>-388759.28899999999</v>
      </c>
      <c r="AA5" s="359">
        <f t="shared" si="0"/>
        <v>-388759.28899999999</v>
      </c>
      <c r="AB5" s="359">
        <f t="shared" si="0"/>
        <v>-388759.28899999999</v>
      </c>
      <c r="AC5" s="359">
        <f t="shared" si="0"/>
        <v>-388759.28899999999</v>
      </c>
      <c r="AD5" s="359">
        <f t="shared" si="0"/>
        <v>-395890.973</v>
      </c>
      <c r="AE5" s="359">
        <f t="shared" si="0"/>
        <v>-395890.973</v>
      </c>
      <c r="AF5" s="359">
        <f t="shared" si="0"/>
        <v>-395890.973</v>
      </c>
      <c r="AG5" s="359">
        <f t="shared" si="0"/>
        <v>-395890.973</v>
      </c>
      <c r="AH5" s="215"/>
    </row>
    <row r="6" spans="1:34" x14ac:dyDescent="0.2">
      <c r="A6" s="56">
        <v>100000</v>
      </c>
      <c r="B6" s="215" t="s">
        <v>690</v>
      </c>
      <c r="C6" s="311">
        <f>C70</f>
        <v>-411496.45799999998</v>
      </c>
      <c r="D6" s="311">
        <f t="shared" ref="D6:AG6" si="1">D70</f>
        <v>-411496.45799999998</v>
      </c>
      <c r="E6" s="311">
        <f t="shared" si="1"/>
        <v>-411496.45799999998</v>
      </c>
      <c r="F6" s="311">
        <f t="shared" si="1"/>
        <v>-411496.45799999998</v>
      </c>
      <c r="G6" s="311">
        <f t="shared" si="1"/>
        <v>-411496.45799999998</v>
      </c>
      <c r="H6" s="311">
        <f t="shared" si="1"/>
        <v>-411496.45799999998</v>
      </c>
      <c r="I6" s="311">
        <f t="shared" si="1"/>
        <v>-411496.45799999998</v>
      </c>
      <c r="J6" s="314">
        <f t="shared" si="1"/>
        <v>-411496.45799999998</v>
      </c>
      <c r="K6" s="314">
        <f t="shared" si="1"/>
        <v>-411496.45799999998</v>
      </c>
      <c r="L6" s="311">
        <f t="shared" si="1"/>
        <v>-411496.45799999998</v>
      </c>
      <c r="M6" s="311">
        <f t="shared" si="1"/>
        <v>-411496.45799999998</v>
      </c>
      <c r="N6" s="311">
        <f t="shared" si="1"/>
        <v>-411496.45799999998</v>
      </c>
      <c r="O6" s="311">
        <f t="shared" si="1"/>
        <v>-411496.45799999998</v>
      </c>
      <c r="P6" s="629">
        <f t="shared" si="1"/>
        <v>-411496.45799999998</v>
      </c>
      <c r="Q6" s="311">
        <f t="shared" si="1"/>
        <v>-411496.45799999998</v>
      </c>
      <c r="R6" s="311">
        <f t="shared" si="1"/>
        <v>-411830.36900000001</v>
      </c>
      <c r="S6" s="311">
        <f t="shared" si="1"/>
        <v>-411830.36900000001</v>
      </c>
      <c r="T6" s="311">
        <f t="shared" si="1"/>
        <v>-411830.36900000001</v>
      </c>
      <c r="U6" s="311">
        <f t="shared" si="1"/>
        <v>-411830.36900000001</v>
      </c>
      <c r="V6" s="311">
        <f t="shared" si="1"/>
        <v>-411830.36900000001</v>
      </c>
      <c r="W6" s="311">
        <f t="shared" si="1"/>
        <v>-411830.36900000001</v>
      </c>
      <c r="X6" s="311">
        <f t="shared" si="1"/>
        <v>-411830.36900000001</v>
      </c>
      <c r="Y6" s="311">
        <f t="shared" si="1"/>
        <v>-411830.36900000001</v>
      </c>
      <c r="Z6" s="311">
        <f t="shared" si="1"/>
        <v>-411830.36900000001</v>
      </c>
      <c r="AA6" s="311">
        <f t="shared" si="1"/>
        <v>-411830.36900000001</v>
      </c>
      <c r="AB6" s="311">
        <f t="shared" si="1"/>
        <v>-411830.36900000001</v>
      </c>
      <c r="AC6" s="311">
        <f t="shared" si="1"/>
        <v>-411830.36900000001</v>
      </c>
      <c r="AD6" s="311">
        <f t="shared" si="1"/>
        <v>-418962.05300000001</v>
      </c>
      <c r="AE6" s="311">
        <f t="shared" si="1"/>
        <v>-418962.05300000001</v>
      </c>
      <c r="AF6" s="311">
        <f t="shared" si="1"/>
        <v>-418962.05300000001</v>
      </c>
      <c r="AG6" s="311">
        <f t="shared" si="1"/>
        <v>-418962.05300000001</v>
      </c>
      <c r="AH6" s="215"/>
    </row>
    <row r="7" spans="1:34" x14ac:dyDescent="0.2">
      <c r="A7" s="56">
        <v>25000</v>
      </c>
      <c r="B7" s="215" t="s">
        <v>666</v>
      </c>
      <c r="C7" s="311">
        <f>C185</f>
        <v>-4147.1540000000005</v>
      </c>
      <c r="D7" s="311">
        <f t="shared" ref="D7:AG7" si="2">D185</f>
        <v>-4147.1540000000005</v>
      </c>
      <c r="E7" s="311">
        <f t="shared" si="2"/>
        <v>-4147.1540000000005</v>
      </c>
      <c r="F7" s="311">
        <f t="shared" si="2"/>
        <v>-4147.1540000000005</v>
      </c>
      <c r="G7" s="311">
        <f t="shared" si="2"/>
        <v>-4147.1540000000005</v>
      </c>
      <c r="H7" s="311">
        <f t="shared" si="2"/>
        <v>-4147.1540000000005</v>
      </c>
      <c r="I7" s="311">
        <f t="shared" si="2"/>
        <v>-4147.1540000000005</v>
      </c>
      <c r="J7" s="314">
        <f t="shared" si="2"/>
        <v>-4147.1540000000005</v>
      </c>
      <c r="K7" s="314">
        <f t="shared" si="2"/>
        <v>-4147.1540000000005</v>
      </c>
      <c r="L7" s="311">
        <f t="shared" si="2"/>
        <v>-4147.1540000000005</v>
      </c>
      <c r="M7" s="311">
        <f t="shared" si="2"/>
        <v>-4147.1540000000005</v>
      </c>
      <c r="N7" s="311">
        <f t="shared" si="2"/>
        <v>-4147.1540000000005</v>
      </c>
      <c r="O7" s="311">
        <f t="shared" si="2"/>
        <v>-4147.1540000000005</v>
      </c>
      <c r="P7" s="629">
        <f>P185</f>
        <v>-4147.1540000000005</v>
      </c>
      <c r="Q7" s="311">
        <f t="shared" si="2"/>
        <v>-4147.1540000000005</v>
      </c>
      <c r="R7" s="311">
        <f t="shared" si="2"/>
        <v>-4147.1540000000005</v>
      </c>
      <c r="S7" s="784">
        <f t="shared" si="2"/>
        <v>-4147.1540000000005</v>
      </c>
      <c r="T7" s="311">
        <f t="shared" si="2"/>
        <v>-4147.1540000000005</v>
      </c>
      <c r="U7" s="311">
        <f t="shared" si="2"/>
        <v>-4147.1540000000005</v>
      </c>
      <c r="V7" s="311">
        <f t="shared" si="2"/>
        <v>-4147.1540000000005</v>
      </c>
      <c r="W7" s="311">
        <f t="shared" si="2"/>
        <v>-4147.1540000000005</v>
      </c>
      <c r="X7" s="311">
        <f t="shared" si="2"/>
        <v>-4147.1540000000005</v>
      </c>
      <c r="Y7" s="311">
        <f t="shared" si="2"/>
        <v>-4147.1540000000005</v>
      </c>
      <c r="Z7" s="311">
        <f t="shared" si="2"/>
        <v>-4147.1540000000005</v>
      </c>
      <c r="AA7" s="311">
        <f t="shared" si="2"/>
        <v>-4147.1540000000005</v>
      </c>
      <c r="AB7" s="311">
        <f t="shared" si="2"/>
        <v>-4147.1540000000005</v>
      </c>
      <c r="AC7" s="311">
        <f t="shared" si="2"/>
        <v>-4147.1540000000005</v>
      </c>
      <c r="AD7" s="311">
        <f t="shared" si="2"/>
        <v>-4147.1540000000005</v>
      </c>
      <c r="AE7" s="311">
        <f t="shared" si="2"/>
        <v>-4147.1540000000005</v>
      </c>
      <c r="AF7" s="311">
        <f t="shared" si="2"/>
        <v>-4147.1540000000005</v>
      </c>
      <c r="AG7" s="311">
        <f t="shared" si="2"/>
        <v>-4147.1540000000005</v>
      </c>
      <c r="AH7" s="215"/>
    </row>
    <row r="8" spans="1:34" x14ac:dyDescent="0.2">
      <c r="A8" s="56">
        <v>25000</v>
      </c>
      <c r="B8" s="215" t="s">
        <v>667</v>
      </c>
      <c r="C8" s="311">
        <f>C248</f>
        <v>48845.245000000003</v>
      </c>
      <c r="D8" s="311">
        <f t="shared" ref="D8:AG8" si="3">D248</f>
        <v>48845.245000000003</v>
      </c>
      <c r="E8" s="311">
        <f t="shared" si="3"/>
        <v>48845.245000000003</v>
      </c>
      <c r="F8" s="311">
        <f t="shared" si="3"/>
        <v>48845.245000000003</v>
      </c>
      <c r="G8" s="311">
        <f t="shared" si="3"/>
        <v>48845.245000000003</v>
      </c>
      <c r="H8" s="311">
        <f t="shared" si="3"/>
        <v>48845.245000000003</v>
      </c>
      <c r="I8" s="784">
        <f t="shared" si="3"/>
        <v>48845.245000000003</v>
      </c>
      <c r="J8" s="314">
        <f t="shared" si="3"/>
        <v>48845.245000000003</v>
      </c>
      <c r="K8" s="314">
        <f t="shared" si="3"/>
        <v>48845.245000000003</v>
      </c>
      <c r="L8" s="311">
        <f t="shared" si="3"/>
        <v>48845.245000000003</v>
      </c>
      <c r="M8" s="311">
        <f t="shared" si="3"/>
        <v>48845.245000000003</v>
      </c>
      <c r="N8" s="311">
        <f t="shared" si="3"/>
        <v>48845.245000000003</v>
      </c>
      <c r="O8" s="311">
        <f t="shared" si="3"/>
        <v>48845.245000000003</v>
      </c>
      <c r="P8" s="629">
        <f t="shared" si="3"/>
        <v>48845.245000000003</v>
      </c>
      <c r="Q8" s="311">
        <f t="shared" si="3"/>
        <v>48845.245000000003</v>
      </c>
      <c r="R8" s="311">
        <f t="shared" si="3"/>
        <v>48845.245000000003</v>
      </c>
      <c r="S8" s="311">
        <f t="shared" si="3"/>
        <v>48845.245000000003</v>
      </c>
      <c r="T8" s="311">
        <f t="shared" si="3"/>
        <v>48845.245000000003</v>
      </c>
      <c r="U8" s="311">
        <f t="shared" si="3"/>
        <v>48845.245000000003</v>
      </c>
      <c r="V8" s="311">
        <f t="shared" si="3"/>
        <v>48845.245000000003</v>
      </c>
      <c r="W8" s="311">
        <f t="shared" si="3"/>
        <v>48845.245000000003</v>
      </c>
      <c r="X8" s="311">
        <f t="shared" si="3"/>
        <v>48845.245000000003</v>
      </c>
      <c r="Y8" s="311">
        <f t="shared" si="3"/>
        <v>48845.245000000003</v>
      </c>
      <c r="Z8" s="311">
        <f t="shared" si="3"/>
        <v>48845.245000000003</v>
      </c>
      <c r="AA8" s="311">
        <f t="shared" si="3"/>
        <v>48845.245000000003</v>
      </c>
      <c r="AB8" s="311">
        <f t="shared" si="3"/>
        <v>48845.245000000003</v>
      </c>
      <c r="AC8" s="311">
        <f t="shared" si="3"/>
        <v>48845.245000000003</v>
      </c>
      <c r="AD8" s="311">
        <f t="shared" si="3"/>
        <v>48845.245000000003</v>
      </c>
      <c r="AE8" s="311">
        <f t="shared" si="3"/>
        <v>48845.245000000003</v>
      </c>
      <c r="AF8" s="311">
        <f t="shared" si="3"/>
        <v>48845.245000000003</v>
      </c>
      <c r="AG8" s="311">
        <f t="shared" si="3"/>
        <v>48845.245000000003</v>
      </c>
      <c r="AH8" s="215"/>
    </row>
    <row r="9" spans="1:34" x14ac:dyDescent="0.2">
      <c r="A9" s="56">
        <v>20000</v>
      </c>
      <c r="B9" s="215" t="s">
        <v>691</v>
      </c>
      <c r="C9" s="311">
        <f>C312</f>
        <v>-21627.010999999999</v>
      </c>
      <c r="D9" s="311">
        <f t="shared" ref="D9:AG9" si="4">D312</f>
        <v>-21627.010999999999</v>
      </c>
      <c r="E9" s="311">
        <f t="shared" si="4"/>
        <v>-21627.010999999999</v>
      </c>
      <c r="F9" s="311">
        <f t="shared" si="4"/>
        <v>-21627.010999999999</v>
      </c>
      <c r="G9" s="784">
        <f t="shared" si="4"/>
        <v>-21627.010999999999</v>
      </c>
      <c r="H9" s="311">
        <f t="shared" si="4"/>
        <v>-21627.010999999999</v>
      </c>
      <c r="I9" s="311">
        <f t="shared" si="4"/>
        <v>-21627.010999999999</v>
      </c>
      <c r="J9" s="314">
        <f t="shared" si="4"/>
        <v>-21627.010999999999</v>
      </c>
      <c r="K9" s="314">
        <f t="shared" si="4"/>
        <v>-21627.010999999999</v>
      </c>
      <c r="L9" s="311">
        <f t="shared" si="4"/>
        <v>-21627.010999999999</v>
      </c>
      <c r="M9" s="311">
        <f t="shared" si="4"/>
        <v>-21627.010999999999</v>
      </c>
      <c r="N9" s="311">
        <f t="shared" si="4"/>
        <v>-21627.010999999999</v>
      </c>
      <c r="O9" s="311">
        <f t="shared" si="4"/>
        <v>-21627.010999999999</v>
      </c>
      <c r="P9" s="629">
        <f t="shared" si="4"/>
        <v>-21627.010999999999</v>
      </c>
      <c r="Q9" s="311">
        <f t="shared" si="4"/>
        <v>-21627.010999999999</v>
      </c>
      <c r="R9" s="311">
        <f t="shared" si="4"/>
        <v>-21627.010999999999</v>
      </c>
      <c r="S9" s="311">
        <f t="shared" si="4"/>
        <v>-21627.010999999999</v>
      </c>
      <c r="T9" s="311">
        <f t="shared" si="4"/>
        <v>-21627.010999999999</v>
      </c>
      <c r="U9" s="311">
        <f t="shared" si="4"/>
        <v>-21627.010999999999</v>
      </c>
      <c r="V9" s="311">
        <f t="shared" si="4"/>
        <v>-21627.010999999999</v>
      </c>
      <c r="W9" s="311">
        <f t="shared" si="4"/>
        <v>-21627.010999999999</v>
      </c>
      <c r="X9" s="311">
        <f t="shared" si="4"/>
        <v>-21627.010999999999</v>
      </c>
      <c r="Y9" s="311">
        <f t="shared" si="4"/>
        <v>-21627.010999999999</v>
      </c>
      <c r="Z9" s="311">
        <f t="shared" si="4"/>
        <v>-21627.010999999999</v>
      </c>
      <c r="AA9" s="311">
        <f t="shared" si="4"/>
        <v>-21627.010999999999</v>
      </c>
      <c r="AB9" s="311">
        <f t="shared" si="4"/>
        <v>-21627.010999999999</v>
      </c>
      <c r="AC9" s="311">
        <f t="shared" si="4"/>
        <v>-21627.010999999999</v>
      </c>
      <c r="AD9" s="311">
        <f t="shared" si="4"/>
        <v>-21627.010999999999</v>
      </c>
      <c r="AE9" s="311">
        <f t="shared" si="4"/>
        <v>-21627.010999999999</v>
      </c>
      <c r="AF9" s="311">
        <f t="shared" si="4"/>
        <v>-21627.010999999999</v>
      </c>
      <c r="AG9" s="311">
        <f t="shared" si="4"/>
        <v>-21627.010999999999</v>
      </c>
      <c r="AH9" s="215"/>
    </row>
    <row r="10" spans="1:34" x14ac:dyDescent="0.2">
      <c r="A10" s="1" t="s">
        <v>692</v>
      </c>
      <c r="B10" s="451" t="s">
        <v>132</v>
      </c>
      <c r="C10" s="452">
        <f>C11+C12+C13</f>
        <v>1433</v>
      </c>
      <c r="D10" s="452">
        <f t="shared" ref="D10:AG10" si="5">D11+D12+D13</f>
        <v>6629</v>
      </c>
      <c r="E10" s="452">
        <f t="shared" si="5"/>
        <v>550</v>
      </c>
      <c r="F10" s="452">
        <f t="shared" si="5"/>
        <v>3685</v>
      </c>
      <c r="G10" s="452">
        <f t="shared" si="5"/>
        <v>15764</v>
      </c>
      <c r="H10" s="452">
        <f t="shared" si="5"/>
        <v>13970</v>
      </c>
      <c r="I10" s="452">
        <f t="shared" si="5"/>
        <v>560</v>
      </c>
      <c r="J10" s="454">
        <f t="shared" si="5"/>
        <v>4093</v>
      </c>
      <c r="K10" s="454">
        <f t="shared" si="5"/>
        <v>5308</v>
      </c>
      <c r="L10" s="452">
        <f t="shared" si="5"/>
        <v>34798</v>
      </c>
      <c r="M10" s="452">
        <f t="shared" si="5"/>
        <v>5449</v>
      </c>
      <c r="N10" s="452">
        <f t="shared" si="5"/>
        <v>0</v>
      </c>
      <c r="O10" s="452">
        <f t="shared" si="5"/>
        <v>6453</v>
      </c>
      <c r="P10" s="859">
        <f t="shared" si="5"/>
        <v>0</v>
      </c>
      <c r="Q10" s="452">
        <f t="shared" si="5"/>
        <v>32358</v>
      </c>
      <c r="R10" s="452">
        <f t="shared" si="5"/>
        <v>3008</v>
      </c>
      <c r="S10" s="452">
        <f t="shared" si="5"/>
        <v>1142</v>
      </c>
      <c r="T10" s="452">
        <f t="shared" si="5"/>
        <v>6805</v>
      </c>
      <c r="U10" s="452">
        <f t="shared" si="5"/>
        <v>0</v>
      </c>
      <c r="V10" s="452">
        <f t="shared" si="5"/>
        <v>46524</v>
      </c>
      <c r="W10" s="452">
        <f t="shared" si="5"/>
        <v>4513</v>
      </c>
      <c r="X10" s="452">
        <f t="shared" si="5"/>
        <v>0</v>
      </c>
      <c r="Y10" s="452">
        <f t="shared" si="5"/>
        <v>6957</v>
      </c>
      <c r="Z10" s="452">
        <f t="shared" si="5"/>
        <v>6795</v>
      </c>
      <c r="AA10" s="452">
        <f t="shared" si="5"/>
        <v>14082</v>
      </c>
      <c r="AB10" s="452">
        <f t="shared" si="5"/>
        <v>0</v>
      </c>
      <c r="AC10" s="452">
        <f t="shared" si="5"/>
        <v>1500</v>
      </c>
      <c r="AD10" s="452">
        <f t="shared" si="5"/>
        <v>60635</v>
      </c>
      <c r="AE10" s="452">
        <f t="shared" si="5"/>
        <v>0</v>
      </c>
      <c r="AF10" s="452">
        <f t="shared" si="5"/>
        <v>0</v>
      </c>
      <c r="AG10" s="452">
        <f t="shared" si="5"/>
        <v>0</v>
      </c>
      <c r="AH10" s="286">
        <f>SUM(C10:AG10)</f>
        <v>283011</v>
      </c>
    </row>
    <row r="11" spans="1:34" x14ac:dyDescent="0.2">
      <c r="A11" s="1"/>
      <c r="B11" s="215" t="s">
        <v>666</v>
      </c>
      <c r="C11" s="286">
        <f>C172</f>
        <v>0</v>
      </c>
      <c r="D11" s="286">
        <f t="shared" ref="D11:AG11" si="6">D172</f>
        <v>0</v>
      </c>
      <c r="E11" s="286">
        <f t="shared" si="6"/>
        <v>0</v>
      </c>
      <c r="F11" s="286">
        <f t="shared" si="6"/>
        <v>0</v>
      </c>
      <c r="G11" s="286">
        <f t="shared" si="6"/>
        <v>0</v>
      </c>
      <c r="H11" s="286">
        <f t="shared" si="6"/>
        <v>0</v>
      </c>
      <c r="I11" s="286">
        <f t="shared" si="6"/>
        <v>0</v>
      </c>
      <c r="J11" s="315">
        <f t="shared" si="6"/>
        <v>0</v>
      </c>
      <c r="K11" s="315">
        <f t="shared" si="6"/>
        <v>0</v>
      </c>
      <c r="L11" s="286">
        <f t="shared" si="6"/>
        <v>0</v>
      </c>
      <c r="M11" s="286">
        <f t="shared" si="6"/>
        <v>0</v>
      </c>
      <c r="N11" s="286">
        <f t="shared" si="6"/>
        <v>0</v>
      </c>
      <c r="O11" s="286">
        <f t="shared" si="6"/>
        <v>0</v>
      </c>
      <c r="P11" s="308">
        <f t="shared" si="6"/>
        <v>0</v>
      </c>
      <c r="Q11" s="286">
        <f t="shared" si="6"/>
        <v>0</v>
      </c>
      <c r="R11" s="286">
        <f t="shared" si="6"/>
        <v>0</v>
      </c>
      <c r="S11" s="286">
        <f t="shared" si="6"/>
        <v>0</v>
      </c>
      <c r="T11" s="286">
        <f t="shared" si="6"/>
        <v>0</v>
      </c>
      <c r="U11" s="286">
        <f t="shared" si="6"/>
        <v>0</v>
      </c>
      <c r="V11" s="286">
        <f t="shared" si="6"/>
        <v>2000</v>
      </c>
      <c r="W11" s="286">
        <f t="shared" si="6"/>
        <v>0</v>
      </c>
      <c r="X11" s="286">
        <f t="shared" si="6"/>
        <v>0</v>
      </c>
      <c r="Y11" s="286">
        <f t="shared" si="6"/>
        <v>0</v>
      </c>
      <c r="Z11" s="286">
        <f t="shared" si="6"/>
        <v>0</v>
      </c>
      <c r="AA11" s="286">
        <f t="shared" si="6"/>
        <v>6647</v>
      </c>
      <c r="AB11" s="286">
        <f t="shared" si="6"/>
        <v>0</v>
      </c>
      <c r="AC11" s="286">
        <f t="shared" si="6"/>
        <v>0</v>
      </c>
      <c r="AD11" s="286">
        <f t="shared" si="6"/>
        <v>9375</v>
      </c>
      <c r="AE11" s="286">
        <f t="shared" si="6"/>
        <v>0</v>
      </c>
      <c r="AF11" s="286">
        <f t="shared" si="6"/>
        <v>0</v>
      </c>
      <c r="AG11" s="286">
        <f t="shared" si="6"/>
        <v>0</v>
      </c>
      <c r="AH11" s="215"/>
    </row>
    <row r="12" spans="1:34" x14ac:dyDescent="0.2">
      <c r="A12" s="1"/>
      <c r="B12" s="215" t="s">
        <v>667</v>
      </c>
      <c r="C12" s="286">
        <f>C235</f>
        <v>1433</v>
      </c>
      <c r="D12" s="286">
        <f t="shared" ref="D12:AG12" si="7">D235</f>
        <v>0</v>
      </c>
      <c r="E12" s="286">
        <f t="shared" si="7"/>
        <v>550</v>
      </c>
      <c r="F12" s="286">
        <f t="shared" si="7"/>
        <v>2459</v>
      </c>
      <c r="G12" s="286">
        <f t="shared" si="7"/>
        <v>13764</v>
      </c>
      <c r="H12" s="286">
        <f t="shared" si="7"/>
        <v>893</v>
      </c>
      <c r="I12" s="286">
        <f t="shared" si="7"/>
        <v>0</v>
      </c>
      <c r="J12" s="315">
        <f t="shared" si="7"/>
        <v>3100</v>
      </c>
      <c r="K12" s="315">
        <f t="shared" si="7"/>
        <v>4408</v>
      </c>
      <c r="L12" s="286">
        <f t="shared" si="7"/>
        <v>11782</v>
      </c>
      <c r="M12" s="286">
        <f t="shared" si="7"/>
        <v>2225</v>
      </c>
      <c r="N12" s="286">
        <f t="shared" si="7"/>
        <v>0</v>
      </c>
      <c r="O12" s="286">
        <f t="shared" si="7"/>
        <v>2000</v>
      </c>
      <c r="P12" s="308">
        <f t="shared" si="7"/>
        <v>0</v>
      </c>
      <c r="Q12" s="286">
        <f t="shared" si="7"/>
        <v>15452</v>
      </c>
      <c r="R12" s="286">
        <f t="shared" si="7"/>
        <v>0</v>
      </c>
      <c r="S12" s="286">
        <f t="shared" si="7"/>
        <v>0</v>
      </c>
      <c r="T12" s="286">
        <f t="shared" si="7"/>
        <v>0</v>
      </c>
      <c r="U12" s="286">
        <f t="shared" si="7"/>
        <v>0</v>
      </c>
      <c r="V12" s="286">
        <f t="shared" si="7"/>
        <v>16986</v>
      </c>
      <c r="W12" s="286">
        <f t="shared" si="7"/>
        <v>0</v>
      </c>
      <c r="X12" s="286">
        <f t="shared" si="7"/>
        <v>0</v>
      </c>
      <c r="Y12" s="286">
        <f t="shared" si="7"/>
        <v>5487</v>
      </c>
      <c r="Z12" s="286">
        <f t="shared" si="7"/>
        <v>0</v>
      </c>
      <c r="AA12" s="286">
        <f t="shared" si="7"/>
        <v>3631</v>
      </c>
      <c r="AB12" s="286">
        <f t="shared" si="7"/>
        <v>0</v>
      </c>
      <c r="AC12" s="286">
        <f t="shared" si="7"/>
        <v>900</v>
      </c>
      <c r="AD12" s="286">
        <f t="shared" si="7"/>
        <v>14491</v>
      </c>
      <c r="AE12" s="286">
        <f t="shared" si="7"/>
        <v>0</v>
      </c>
      <c r="AF12" s="286">
        <f t="shared" si="7"/>
        <v>0</v>
      </c>
      <c r="AG12" s="286">
        <f t="shared" si="7"/>
        <v>0</v>
      </c>
      <c r="AH12" s="215"/>
    </row>
    <row r="13" spans="1:34" x14ac:dyDescent="0.2">
      <c r="A13" s="1"/>
      <c r="B13" s="215" t="s">
        <v>691</v>
      </c>
      <c r="C13" s="286">
        <f>C299</f>
        <v>0</v>
      </c>
      <c r="D13" s="286">
        <f t="shared" ref="D13:AG13" si="8">D299</f>
        <v>6629</v>
      </c>
      <c r="E13" s="286">
        <f t="shared" si="8"/>
        <v>0</v>
      </c>
      <c r="F13" s="286">
        <f t="shared" si="8"/>
        <v>1226</v>
      </c>
      <c r="G13" s="286">
        <f t="shared" si="8"/>
        <v>2000</v>
      </c>
      <c r="H13" s="286">
        <f t="shared" si="8"/>
        <v>13077</v>
      </c>
      <c r="I13" s="286">
        <f t="shared" si="8"/>
        <v>560</v>
      </c>
      <c r="J13" s="315">
        <f t="shared" si="8"/>
        <v>993</v>
      </c>
      <c r="K13" s="315">
        <f t="shared" si="8"/>
        <v>900</v>
      </c>
      <c r="L13" s="286">
        <f t="shared" si="8"/>
        <v>23016</v>
      </c>
      <c r="M13" s="286">
        <f t="shared" si="8"/>
        <v>3224</v>
      </c>
      <c r="N13" s="286">
        <f t="shared" si="8"/>
        <v>0</v>
      </c>
      <c r="O13" s="286">
        <f t="shared" si="8"/>
        <v>4453</v>
      </c>
      <c r="P13" s="308">
        <f t="shared" si="8"/>
        <v>0</v>
      </c>
      <c r="Q13" s="286">
        <f t="shared" si="8"/>
        <v>16906</v>
      </c>
      <c r="R13" s="286">
        <f t="shared" si="8"/>
        <v>3008</v>
      </c>
      <c r="S13" s="286">
        <f t="shared" si="8"/>
        <v>1142</v>
      </c>
      <c r="T13" s="286">
        <f t="shared" si="8"/>
        <v>6805</v>
      </c>
      <c r="U13" s="286">
        <f t="shared" si="8"/>
        <v>0</v>
      </c>
      <c r="V13" s="286">
        <f t="shared" si="8"/>
        <v>27538</v>
      </c>
      <c r="W13" s="286">
        <f t="shared" si="8"/>
        <v>4513</v>
      </c>
      <c r="X13" s="286">
        <f t="shared" si="8"/>
        <v>0</v>
      </c>
      <c r="Y13" s="286">
        <f t="shared" si="8"/>
        <v>1470</v>
      </c>
      <c r="Z13" s="286">
        <f t="shared" si="8"/>
        <v>6795</v>
      </c>
      <c r="AA13" s="286">
        <f t="shared" si="8"/>
        <v>3804</v>
      </c>
      <c r="AB13" s="286">
        <f t="shared" si="8"/>
        <v>0</v>
      </c>
      <c r="AC13" s="286">
        <f t="shared" si="8"/>
        <v>600</v>
      </c>
      <c r="AD13" s="286">
        <f t="shared" si="8"/>
        <v>36769</v>
      </c>
      <c r="AE13" s="286">
        <f t="shared" si="8"/>
        <v>0</v>
      </c>
      <c r="AF13" s="286">
        <f t="shared" si="8"/>
        <v>0</v>
      </c>
      <c r="AG13" s="286">
        <f t="shared" si="8"/>
        <v>0</v>
      </c>
      <c r="AH13" s="215"/>
    </row>
    <row r="14" spans="1:34" x14ac:dyDescent="0.2">
      <c r="A14" s="215"/>
      <c r="B14" s="215"/>
      <c r="C14" s="215"/>
      <c r="D14" s="215"/>
      <c r="E14" s="215"/>
      <c r="F14" s="215"/>
      <c r="G14" s="215"/>
      <c r="H14" s="215"/>
      <c r="I14" s="215"/>
      <c r="J14" s="313"/>
      <c r="K14" s="313"/>
      <c r="L14" s="215"/>
      <c r="M14" s="215"/>
      <c r="N14" s="453"/>
      <c r="O14" s="215"/>
      <c r="P14" s="309"/>
      <c r="Q14" s="215"/>
      <c r="R14" s="215"/>
      <c r="S14" s="215"/>
      <c r="T14" s="215"/>
      <c r="U14" s="453"/>
      <c r="V14" s="215"/>
      <c r="W14" s="215"/>
      <c r="X14" s="215"/>
      <c r="Y14" s="215"/>
      <c r="Z14" s="215"/>
      <c r="AA14" s="453"/>
      <c r="AB14" s="215"/>
      <c r="AC14" s="215"/>
      <c r="AD14" s="215"/>
      <c r="AE14" s="215"/>
      <c r="AF14" s="215"/>
      <c r="AG14" s="453"/>
      <c r="AH14" s="379">
        <f>AG5+AH10</f>
        <v>-112879.973</v>
      </c>
    </row>
    <row r="15" spans="1:34" ht="13.5" thickBot="1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309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</row>
    <row r="16" spans="1:34" x14ac:dyDescent="0.2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860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15"/>
    </row>
    <row r="17" spans="1:34" x14ac:dyDescent="0.2">
      <c r="A17" s="265"/>
      <c r="B17" s="266" t="s">
        <v>37</v>
      </c>
      <c r="C17" s="266"/>
      <c r="D17" s="266"/>
      <c r="E17" s="267" t="s">
        <v>35</v>
      </c>
      <c r="F17" s="268" t="s">
        <v>140</v>
      </c>
      <c r="G17" s="268"/>
      <c r="H17" s="269" t="s">
        <v>6</v>
      </c>
      <c r="I17" s="268"/>
      <c r="J17" s="268"/>
      <c r="K17" s="268"/>
      <c r="L17" s="268"/>
      <c r="M17" s="268"/>
      <c r="N17" s="268"/>
      <c r="O17" s="268"/>
      <c r="P17" s="861"/>
      <c r="Q17" s="268"/>
      <c r="R17" s="268"/>
      <c r="S17" s="268"/>
      <c r="T17" s="268"/>
      <c r="U17" s="268"/>
      <c r="V17" s="268"/>
      <c r="W17" s="268"/>
      <c r="X17" s="268"/>
      <c r="Y17" s="268"/>
      <c r="AA17" s="268"/>
      <c r="AB17" s="268"/>
      <c r="AC17" s="268"/>
      <c r="AD17" s="268"/>
      <c r="AE17" s="268"/>
      <c r="AF17" s="268"/>
      <c r="AG17" s="268"/>
      <c r="AH17" s="215"/>
    </row>
    <row r="18" spans="1:34" x14ac:dyDescent="0.2">
      <c r="A18" s="265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79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215"/>
    </row>
    <row r="19" spans="1:34" x14ac:dyDescent="0.2">
      <c r="A19" s="769"/>
      <c r="B19" s="268"/>
      <c r="C19" s="268"/>
      <c r="D19" s="267">
        <v>42094</v>
      </c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79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15"/>
    </row>
    <row r="20" spans="1:34" x14ac:dyDescent="0.2">
      <c r="A20" s="769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79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15"/>
    </row>
    <row r="21" spans="1:34" ht="13.5" thickBot="1" x14ac:dyDescent="0.25">
      <c r="A21" s="265"/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79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15"/>
    </row>
    <row r="22" spans="1:34" ht="13.5" thickBot="1" x14ac:dyDescent="0.25">
      <c r="A22" s="265"/>
      <c r="B22" s="266"/>
      <c r="C22" s="270"/>
      <c r="D22" s="271" t="s">
        <v>16</v>
      </c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862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15"/>
    </row>
    <row r="23" spans="1:34" ht="13.5" thickBot="1" x14ac:dyDescent="0.25">
      <c r="A23" s="265"/>
      <c r="B23" s="266"/>
      <c r="C23" s="272" t="s">
        <v>452</v>
      </c>
      <c r="D23" s="272" t="s">
        <v>453</v>
      </c>
      <c r="E23" s="272" t="s">
        <v>434</v>
      </c>
      <c r="F23" s="272" t="s">
        <v>390</v>
      </c>
      <c r="G23" s="272" t="s">
        <v>454</v>
      </c>
      <c r="H23" s="272" t="s">
        <v>455</v>
      </c>
      <c r="I23" s="272" t="s">
        <v>456</v>
      </c>
      <c r="J23" s="272" t="s">
        <v>457</v>
      </c>
      <c r="K23" s="272" t="s">
        <v>458</v>
      </c>
      <c r="L23" s="272" t="s">
        <v>216</v>
      </c>
      <c r="M23" s="272" t="s">
        <v>459</v>
      </c>
      <c r="N23" s="272" t="s">
        <v>297</v>
      </c>
      <c r="O23" s="272" t="s">
        <v>211</v>
      </c>
      <c r="P23" s="863" t="s">
        <v>270</v>
      </c>
      <c r="Q23" s="272" t="s">
        <v>490</v>
      </c>
      <c r="R23" s="272" t="s">
        <v>460</v>
      </c>
      <c r="S23" s="272" t="s">
        <v>461</v>
      </c>
      <c r="T23" s="272" t="s">
        <v>442</v>
      </c>
      <c r="U23" s="272" t="s">
        <v>462</v>
      </c>
      <c r="V23" s="272" t="s">
        <v>470</v>
      </c>
      <c r="W23" s="272" t="s">
        <v>471</v>
      </c>
      <c r="X23" s="272" t="s">
        <v>472</v>
      </c>
      <c r="Y23" s="272" t="s">
        <v>463</v>
      </c>
      <c r="Z23" s="272" t="s">
        <v>465</v>
      </c>
      <c r="AA23" s="272" t="s">
        <v>466</v>
      </c>
      <c r="AB23" s="272" t="s">
        <v>435</v>
      </c>
      <c r="AC23" s="272" t="s">
        <v>467</v>
      </c>
      <c r="AD23" s="272" t="s">
        <v>464</v>
      </c>
      <c r="AE23" s="272" t="s">
        <v>429</v>
      </c>
      <c r="AF23" s="272" t="s">
        <v>149</v>
      </c>
      <c r="AG23" s="272" t="s">
        <v>210</v>
      </c>
      <c r="AH23" s="215"/>
    </row>
    <row r="24" spans="1:34" x14ac:dyDescent="0.2">
      <c r="A24" s="263"/>
      <c r="B24" s="273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79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15"/>
    </row>
    <row r="25" spans="1:34" x14ac:dyDescent="0.2">
      <c r="A25" s="265" t="s">
        <v>0</v>
      </c>
      <c r="B25" s="274">
        <v>-386673.45799999998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79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15"/>
    </row>
    <row r="26" spans="1:34" ht="13.5" thickBot="1" x14ac:dyDescent="0.25">
      <c r="A26" s="275"/>
      <c r="B26" s="276"/>
      <c r="C26" s="266"/>
      <c r="D26" s="266"/>
      <c r="E26" s="266"/>
      <c r="F26" s="266"/>
      <c r="G26" s="277"/>
      <c r="H26" s="266"/>
      <c r="I26" s="266"/>
      <c r="J26" s="266"/>
      <c r="K26" s="266"/>
      <c r="L26" s="266"/>
      <c r="M26" s="266"/>
      <c r="N26" s="266"/>
      <c r="O26" s="266"/>
      <c r="P26" s="279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15"/>
    </row>
    <row r="27" spans="1:34" x14ac:dyDescent="0.2">
      <c r="A27" s="263"/>
      <c r="B27" s="278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79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15"/>
    </row>
    <row r="28" spans="1:34" x14ac:dyDescent="0.2">
      <c r="A28" s="265" t="s">
        <v>1</v>
      </c>
      <c r="B28" s="274">
        <f>B29+B30+B31</f>
        <v>0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79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15"/>
    </row>
    <row r="29" spans="1:34" x14ac:dyDescent="0.2">
      <c r="A29" s="265" t="s">
        <v>38</v>
      </c>
      <c r="B29" s="274">
        <f>C82</f>
        <v>0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79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15"/>
    </row>
    <row r="30" spans="1:34" x14ac:dyDescent="0.2">
      <c r="A30" s="265" t="s">
        <v>39</v>
      </c>
      <c r="B30" s="274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79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15"/>
    </row>
    <row r="31" spans="1:34" x14ac:dyDescent="0.2">
      <c r="A31" s="265" t="s">
        <v>3</v>
      </c>
      <c r="B31" s="274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79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15"/>
    </row>
    <row r="32" spans="1:34" ht="13.5" thickBot="1" x14ac:dyDescent="0.25">
      <c r="A32" s="275"/>
      <c r="B32" s="2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79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15"/>
    </row>
    <row r="33" spans="1:40" x14ac:dyDescent="0.2">
      <c r="A33" s="263"/>
      <c r="B33" s="278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79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15"/>
    </row>
    <row r="34" spans="1:40" x14ac:dyDescent="0.2">
      <c r="A34" s="265" t="s">
        <v>4</v>
      </c>
      <c r="B34" s="274">
        <f>B25+B28</f>
        <v>-386673.45799999998</v>
      </c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79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15"/>
    </row>
    <row r="35" spans="1:40" ht="13.5" thickBot="1" x14ac:dyDescent="0.25">
      <c r="A35" s="275"/>
      <c r="B35" s="27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79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15"/>
    </row>
    <row r="36" spans="1:40" x14ac:dyDescent="0.2">
      <c r="A36" s="263"/>
      <c r="B36" s="278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79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15"/>
    </row>
    <row r="37" spans="1:40" x14ac:dyDescent="0.2">
      <c r="A37" s="265" t="s">
        <v>913</v>
      </c>
      <c r="B37" s="274">
        <f>C121</f>
        <v>0</v>
      </c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81"/>
      <c r="Q37" s="269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15"/>
    </row>
    <row r="38" spans="1:40" ht="13.5" thickBot="1" x14ac:dyDescent="0.25">
      <c r="A38" s="275"/>
      <c r="B38" s="276"/>
      <c r="C38" s="266"/>
      <c r="D38" s="266"/>
      <c r="E38" s="269"/>
      <c r="F38" s="266"/>
      <c r="G38" s="266"/>
      <c r="H38" s="266"/>
      <c r="I38" s="266"/>
      <c r="J38" s="266"/>
      <c r="K38" s="279"/>
      <c r="L38" s="266"/>
      <c r="M38" s="266"/>
      <c r="N38" s="266"/>
      <c r="O38" s="266"/>
      <c r="P38" s="279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15"/>
    </row>
    <row r="39" spans="1:40" x14ac:dyDescent="0.2">
      <c r="A39" s="263"/>
      <c r="B39" s="278"/>
      <c r="C39" s="266"/>
      <c r="D39" s="269"/>
      <c r="E39" s="269"/>
      <c r="F39" s="266"/>
      <c r="G39" s="267"/>
      <c r="H39" s="266"/>
      <c r="I39" s="266"/>
      <c r="J39" s="266"/>
      <c r="K39" s="266"/>
      <c r="L39" s="266"/>
      <c r="M39" s="266"/>
      <c r="N39" s="266"/>
      <c r="O39" s="330"/>
      <c r="P39" s="281"/>
      <c r="Q39" s="707"/>
      <c r="R39" s="266"/>
      <c r="S39" s="269"/>
      <c r="T39" s="266"/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15"/>
    </row>
    <row r="40" spans="1:40" x14ac:dyDescent="0.2">
      <c r="A40" s="265" t="s">
        <v>5</v>
      </c>
      <c r="B40" s="274">
        <f>B34-B37</f>
        <v>-386673.45799999998</v>
      </c>
      <c r="C40" s="406"/>
      <c r="D40" s="269"/>
      <c r="E40" s="269" t="s">
        <v>836</v>
      </c>
      <c r="F40" s="269"/>
      <c r="G40" s="269"/>
      <c r="H40" s="269"/>
      <c r="I40" s="269"/>
      <c r="J40" s="269"/>
      <c r="K40" s="269"/>
      <c r="L40" s="568"/>
      <c r="M40" s="281"/>
      <c r="N40" s="281"/>
      <c r="O40" s="269"/>
      <c r="P40" s="281"/>
      <c r="Q40" s="568"/>
      <c r="R40" s="269" t="s">
        <v>955</v>
      </c>
      <c r="S40" s="281"/>
      <c r="T40" s="281"/>
      <c r="U40" s="281"/>
      <c r="V40" s="269"/>
      <c r="W40" s="281"/>
      <c r="X40" s="269"/>
      <c r="Y40" s="281"/>
      <c r="Z40" s="281"/>
      <c r="AA40" s="281"/>
      <c r="AB40" s="281"/>
      <c r="AC40" s="709"/>
      <c r="AD40" s="407"/>
      <c r="AE40" s="407"/>
      <c r="AF40" s="281"/>
      <c r="AG40" s="407"/>
      <c r="AH40" s="215"/>
    </row>
    <row r="41" spans="1:40" ht="13.5" thickBot="1" x14ac:dyDescent="0.25">
      <c r="A41" s="275"/>
      <c r="B41" s="276"/>
      <c r="C41" s="266"/>
      <c r="D41" s="266"/>
      <c r="E41" s="266"/>
      <c r="F41" s="266"/>
      <c r="G41" s="266"/>
      <c r="H41" s="266"/>
      <c r="I41" s="266"/>
      <c r="J41" s="266"/>
      <c r="K41" s="266"/>
      <c r="L41" s="269"/>
      <c r="M41" s="266"/>
      <c r="N41" s="266"/>
      <c r="O41" s="266"/>
      <c r="P41" s="279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15"/>
    </row>
    <row r="42" spans="1:40" x14ac:dyDescent="0.2">
      <c r="A42" s="282"/>
      <c r="B42" s="266"/>
      <c r="C42" s="283"/>
      <c r="D42" s="284"/>
      <c r="E42" s="285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86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6">
        <f t="shared" ref="AH42:AH58" si="9">SUM(C42:AG42)</f>
        <v>0</v>
      </c>
    </row>
    <row r="43" spans="1:40" ht="13.5" thickBot="1" x14ac:dyDescent="0.25">
      <c r="A43" s="287" t="s">
        <v>914</v>
      </c>
      <c r="B43" s="266"/>
      <c r="C43" s="288">
        <f>C44+C45+C48+C52+C51+C49+C50+C46+C47</f>
        <v>24823</v>
      </c>
      <c r="D43" s="288">
        <f t="shared" ref="D43:AG43" si="10">D44+D45+D48+D52+D51+D49+D50+D46+D47</f>
        <v>0</v>
      </c>
      <c r="E43" s="288">
        <f t="shared" si="10"/>
        <v>0</v>
      </c>
      <c r="F43" s="288">
        <f t="shared" si="10"/>
        <v>0</v>
      </c>
      <c r="G43" s="288">
        <f t="shared" si="10"/>
        <v>0</v>
      </c>
      <c r="H43" s="288">
        <f t="shared" si="10"/>
        <v>0</v>
      </c>
      <c r="I43" s="288">
        <f t="shared" si="10"/>
        <v>0</v>
      </c>
      <c r="J43" s="288">
        <f t="shared" si="10"/>
        <v>0</v>
      </c>
      <c r="K43" s="288">
        <f t="shared" si="10"/>
        <v>0</v>
      </c>
      <c r="L43" s="288">
        <f t="shared" si="10"/>
        <v>0</v>
      </c>
      <c r="M43" s="288">
        <f t="shared" si="10"/>
        <v>0</v>
      </c>
      <c r="N43" s="288">
        <f t="shared" si="10"/>
        <v>0</v>
      </c>
      <c r="O43" s="288">
        <f t="shared" si="10"/>
        <v>0</v>
      </c>
      <c r="P43" s="865">
        <f t="shared" si="10"/>
        <v>0</v>
      </c>
      <c r="Q43" s="288">
        <f t="shared" si="10"/>
        <v>0</v>
      </c>
      <c r="R43" s="288">
        <f t="shared" si="10"/>
        <v>333.91100000000012</v>
      </c>
      <c r="S43" s="288">
        <f t="shared" si="10"/>
        <v>0</v>
      </c>
      <c r="T43" s="288">
        <f t="shared" si="10"/>
        <v>0</v>
      </c>
      <c r="U43" s="288">
        <f t="shared" si="10"/>
        <v>0</v>
      </c>
      <c r="V43" s="288">
        <f t="shared" si="10"/>
        <v>0</v>
      </c>
      <c r="W43" s="288">
        <f t="shared" si="10"/>
        <v>0</v>
      </c>
      <c r="X43" s="288">
        <f t="shared" si="10"/>
        <v>0</v>
      </c>
      <c r="Y43" s="288">
        <f t="shared" si="10"/>
        <v>0</v>
      </c>
      <c r="Z43" s="288">
        <f t="shared" si="10"/>
        <v>0</v>
      </c>
      <c r="AA43" s="288">
        <f t="shared" si="10"/>
        <v>0</v>
      </c>
      <c r="AB43" s="288">
        <f t="shared" si="10"/>
        <v>0</v>
      </c>
      <c r="AC43" s="288">
        <f t="shared" si="10"/>
        <v>0</v>
      </c>
      <c r="AD43" s="288">
        <f t="shared" si="10"/>
        <v>7131.6840000000102</v>
      </c>
      <c r="AE43" s="288">
        <f t="shared" si="10"/>
        <v>0</v>
      </c>
      <c r="AF43" s="288">
        <f t="shared" si="10"/>
        <v>0</v>
      </c>
      <c r="AG43" s="288">
        <f t="shared" si="10"/>
        <v>0</v>
      </c>
      <c r="AH43" s="286">
        <f t="shared" si="9"/>
        <v>32288.595000000008</v>
      </c>
    </row>
    <row r="44" spans="1:40" x14ac:dyDescent="0.2">
      <c r="A44" s="287" t="s">
        <v>8</v>
      </c>
      <c r="B44" s="266"/>
      <c r="C44" s="289"/>
      <c r="D44" s="290"/>
      <c r="E44" s="291"/>
      <c r="F44" s="290"/>
      <c r="G44" s="295"/>
      <c r="H44" s="290"/>
      <c r="I44" s="290"/>
      <c r="J44" s="290"/>
      <c r="K44" s="290"/>
      <c r="L44" s="295"/>
      <c r="M44" s="292"/>
      <c r="N44" s="292"/>
      <c r="O44" s="839"/>
      <c r="P44" s="292"/>
      <c r="Q44" s="295"/>
      <c r="R44" s="295"/>
      <c r="S44" s="295"/>
      <c r="T44" s="295"/>
      <c r="U44" s="581"/>
      <c r="V44" s="295"/>
      <c r="W44" s="295"/>
      <c r="X44" s="295"/>
      <c r="Y44" s="581"/>
      <c r="Z44" s="295"/>
      <c r="AA44" s="295"/>
      <c r="AB44" s="295"/>
      <c r="AC44" s="581"/>
      <c r="AD44" s="295">
        <f>116319+2197.983-6400-2197.983-9313.979-5683.81-5200-2553.038-8900-3838.02-5350.522-328.627-5175.641-9600-4982.044-5350-7336.356-18700-9800-183.344-491.935</f>
        <v>7131.6840000000102</v>
      </c>
      <c r="AE44" s="295"/>
      <c r="AF44" s="295"/>
      <c r="AG44" s="295"/>
      <c r="AH44" s="286">
        <f t="shared" si="9"/>
        <v>7131.6840000000102</v>
      </c>
      <c r="AN44" s="25">
        <v>9918.1650000000009</v>
      </c>
    </row>
    <row r="45" spans="1:40" x14ac:dyDescent="0.2">
      <c r="A45" s="287" t="s">
        <v>703</v>
      </c>
      <c r="B45" s="266"/>
      <c r="C45" s="291">
        <f>4100+13592+7131</f>
        <v>24823</v>
      </c>
      <c r="D45" s="290"/>
      <c r="E45" s="291"/>
      <c r="F45" s="290"/>
      <c r="G45" s="290"/>
      <c r="H45" s="290"/>
      <c r="I45" s="290"/>
      <c r="J45" s="290"/>
      <c r="K45" s="290"/>
      <c r="L45" s="295"/>
      <c r="M45" s="290"/>
      <c r="N45" s="290"/>
      <c r="O45" s="295"/>
      <c r="P45" s="292"/>
      <c r="Q45" s="295"/>
      <c r="R45" s="295">
        <f>5028-4515.62-178.469</f>
        <v>333.91100000000012</v>
      </c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86">
        <f t="shared" si="9"/>
        <v>25156.911</v>
      </c>
      <c r="AI45" s="42">
        <f>+AH45+AH44</f>
        <v>32288.595000000008</v>
      </c>
      <c r="AJ45" s="42"/>
      <c r="AN45" s="25">
        <v>788.89499999999998</v>
      </c>
    </row>
    <row r="46" spans="1:40" x14ac:dyDescent="0.2">
      <c r="A46" s="287" t="s">
        <v>704</v>
      </c>
      <c r="B46" s="266"/>
      <c r="C46" s="291"/>
      <c r="D46" s="290"/>
      <c r="E46" s="291"/>
      <c r="F46" s="290"/>
      <c r="G46" s="290"/>
      <c r="H46" s="290"/>
      <c r="I46" s="290"/>
      <c r="J46" s="290"/>
      <c r="K46" s="290"/>
      <c r="L46" s="295"/>
      <c r="M46" s="290"/>
      <c r="N46" s="290"/>
      <c r="O46" s="295"/>
      <c r="P46" s="292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86">
        <f t="shared" si="9"/>
        <v>0</v>
      </c>
      <c r="AN46" s="25"/>
    </row>
    <row r="47" spans="1:40" x14ac:dyDescent="0.2">
      <c r="A47" s="287" t="s">
        <v>705</v>
      </c>
      <c r="B47" s="266"/>
      <c r="C47" s="291"/>
      <c r="D47" s="290"/>
      <c r="E47" s="291"/>
      <c r="F47" s="290"/>
      <c r="G47" s="290"/>
      <c r="H47" s="290"/>
      <c r="I47" s="290"/>
      <c r="J47" s="290"/>
      <c r="K47" s="290"/>
      <c r="L47" s="295"/>
      <c r="M47" s="290"/>
      <c r="N47" s="290"/>
      <c r="O47" s="295"/>
      <c r="P47" s="292"/>
      <c r="Q47" s="295"/>
      <c r="R47" s="295"/>
      <c r="S47" s="295"/>
      <c r="T47" s="295"/>
      <c r="U47" s="295"/>
      <c r="V47" s="293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86">
        <f t="shared" si="9"/>
        <v>0</v>
      </c>
      <c r="AN47" s="25"/>
    </row>
    <row r="48" spans="1:40" s="360" customFormat="1" x14ac:dyDescent="0.2">
      <c r="A48" s="662" t="s">
        <v>10</v>
      </c>
      <c r="B48" s="663"/>
      <c r="C48" s="664"/>
      <c r="D48" s="380"/>
      <c r="E48" s="664"/>
      <c r="F48" s="380"/>
      <c r="G48" s="380"/>
      <c r="H48" s="380"/>
      <c r="I48" s="380"/>
      <c r="J48" s="380"/>
      <c r="K48" s="380"/>
      <c r="L48" s="708"/>
      <c r="M48" s="380"/>
      <c r="N48" s="380"/>
      <c r="O48" s="380"/>
      <c r="P48" s="455"/>
      <c r="Q48" s="380"/>
      <c r="R48" s="380"/>
      <c r="S48" s="380"/>
      <c r="T48" s="380"/>
      <c r="U48" s="380"/>
      <c r="V48" s="665"/>
      <c r="W48" s="380"/>
      <c r="X48" s="380"/>
      <c r="Y48" s="380"/>
      <c r="Z48" s="380"/>
      <c r="AA48" s="380"/>
      <c r="AB48" s="380"/>
      <c r="AC48" s="708"/>
      <c r="AD48" s="380"/>
      <c r="AE48" s="380"/>
      <c r="AF48" s="380"/>
      <c r="AG48" s="380"/>
      <c r="AH48" s="379">
        <f t="shared" si="9"/>
        <v>0</v>
      </c>
      <c r="AI48" s="666"/>
      <c r="AJ48" s="360">
        <v>16499.96</v>
      </c>
      <c r="AN48" s="667">
        <v>6347.85</v>
      </c>
    </row>
    <row r="49" spans="1:40" s="360" customFormat="1" x14ac:dyDescent="0.2">
      <c r="A49" s="662" t="s">
        <v>356</v>
      </c>
      <c r="B49" s="668"/>
      <c r="C49" s="565"/>
      <c r="D49" s="380"/>
      <c r="E49" s="565">
        <v>81666</v>
      </c>
      <c r="F49" s="560"/>
      <c r="G49" s="560"/>
      <c r="H49" s="560"/>
      <c r="I49" s="560"/>
      <c r="J49" s="560"/>
      <c r="K49" s="560"/>
      <c r="L49" s="560"/>
      <c r="M49" s="560"/>
      <c r="N49" s="380"/>
      <c r="O49" s="560"/>
      <c r="P49" s="292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379">
        <f t="shared" si="9"/>
        <v>81666</v>
      </c>
      <c r="AN49" s="667">
        <v>6249.5020000000004</v>
      </c>
    </row>
    <row r="50" spans="1:40" x14ac:dyDescent="0.2">
      <c r="A50" s="287" t="s">
        <v>357</v>
      </c>
      <c r="B50" s="266"/>
      <c r="C50" s="289"/>
      <c r="D50" s="295"/>
      <c r="E50" s="289"/>
      <c r="F50" s="295"/>
      <c r="G50" s="295"/>
      <c r="H50" s="295"/>
      <c r="I50" s="290"/>
      <c r="J50" s="295"/>
      <c r="K50" s="295"/>
      <c r="L50" s="295"/>
      <c r="M50" s="295"/>
      <c r="N50" s="290"/>
      <c r="O50" s="290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0"/>
      <c r="AG50" s="290"/>
      <c r="AH50" s="286">
        <f t="shared" si="9"/>
        <v>0</v>
      </c>
      <c r="AN50" s="25">
        <v>2246.556</v>
      </c>
    </row>
    <row r="51" spans="1:40" x14ac:dyDescent="0.2">
      <c r="A51" s="287" t="s">
        <v>41</v>
      </c>
      <c r="B51" s="266"/>
      <c r="C51" s="289"/>
      <c r="D51" s="291"/>
      <c r="E51" s="362"/>
      <c r="F51" s="290"/>
      <c r="G51" s="295"/>
      <c r="H51" s="292"/>
      <c r="I51" s="290"/>
      <c r="J51" s="290"/>
      <c r="K51" s="290"/>
      <c r="L51" s="290"/>
      <c r="M51" s="290"/>
      <c r="N51" s="290"/>
      <c r="O51" s="290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0"/>
      <c r="AG51" s="290"/>
      <c r="AH51" s="286">
        <f t="shared" si="9"/>
        <v>0</v>
      </c>
      <c r="AN51" s="25"/>
    </row>
    <row r="52" spans="1:40" x14ac:dyDescent="0.2">
      <c r="A52" s="287" t="s">
        <v>11</v>
      </c>
      <c r="B52" s="266"/>
      <c r="C52" s="289"/>
      <c r="D52" s="289"/>
      <c r="E52" s="854">
        <v>-81666</v>
      </c>
      <c r="F52" s="754"/>
      <c r="G52" s="292"/>
      <c r="H52" s="292"/>
      <c r="I52" s="292"/>
      <c r="J52" s="754"/>
      <c r="K52" s="292"/>
      <c r="L52" s="292"/>
      <c r="M52" s="292"/>
      <c r="N52" s="754"/>
      <c r="O52" s="292"/>
      <c r="P52" s="292"/>
      <c r="Q52" s="292"/>
      <c r="R52" s="292"/>
      <c r="S52" s="292"/>
      <c r="T52" s="292"/>
      <c r="U52" s="292"/>
      <c r="V52" s="455"/>
      <c r="W52" s="292"/>
      <c r="X52" s="292"/>
      <c r="Y52" s="292"/>
      <c r="Z52" s="292"/>
      <c r="AA52" s="295"/>
      <c r="AB52" s="295"/>
      <c r="AC52" s="295"/>
      <c r="AD52" s="295"/>
      <c r="AE52" s="292"/>
      <c r="AF52" s="292"/>
      <c r="AG52" s="292"/>
      <c r="AH52" s="286">
        <f t="shared" si="9"/>
        <v>-81666</v>
      </c>
      <c r="AN52" s="25">
        <v>4028.1610000000001</v>
      </c>
    </row>
    <row r="53" spans="1:40" ht="13.5" thickBot="1" x14ac:dyDescent="0.25">
      <c r="A53" s="296"/>
      <c r="B53" s="266"/>
      <c r="C53" s="291"/>
      <c r="D53" s="291"/>
      <c r="E53" s="291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2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5"/>
      <c r="AC53" s="295"/>
      <c r="AD53" s="290"/>
      <c r="AE53" s="290"/>
      <c r="AF53" s="290"/>
      <c r="AG53" s="290"/>
      <c r="AH53" s="286">
        <f t="shared" si="9"/>
        <v>0</v>
      </c>
      <c r="AI53" s="42"/>
      <c r="AJ53" s="360">
        <v>11032.8</v>
      </c>
      <c r="AN53" s="25">
        <v>5501.3969999999999</v>
      </c>
    </row>
    <row r="54" spans="1:40" x14ac:dyDescent="0.2">
      <c r="A54" s="282"/>
      <c r="B54" s="266"/>
      <c r="C54" s="297"/>
      <c r="D54" s="298"/>
      <c r="E54" s="298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866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86">
        <f t="shared" si="9"/>
        <v>0</v>
      </c>
      <c r="AJ54" s="360">
        <v>7819.6</v>
      </c>
      <c r="AN54" s="25">
        <v>3325.74</v>
      </c>
    </row>
    <row r="55" spans="1:40" ht="13.5" thickBot="1" x14ac:dyDescent="0.25">
      <c r="A55" s="287" t="s">
        <v>12</v>
      </c>
      <c r="B55" s="266"/>
      <c r="C55" s="288">
        <f>C56</f>
        <v>0</v>
      </c>
      <c r="D55" s="288">
        <f t="shared" ref="D55:AG55" si="11">D56</f>
        <v>0</v>
      </c>
      <c r="E55" s="288">
        <f t="shared" si="11"/>
        <v>0</v>
      </c>
      <c r="F55" s="288">
        <f t="shared" si="11"/>
        <v>0</v>
      </c>
      <c r="G55" s="288">
        <f t="shared" si="11"/>
        <v>0</v>
      </c>
      <c r="H55" s="288">
        <f t="shared" si="11"/>
        <v>0</v>
      </c>
      <c r="I55" s="288">
        <f t="shared" si="11"/>
        <v>0</v>
      </c>
      <c r="J55" s="288">
        <f t="shared" si="11"/>
        <v>0</v>
      </c>
      <c r="K55" s="288">
        <f t="shared" si="11"/>
        <v>0</v>
      </c>
      <c r="L55" s="288">
        <f t="shared" si="11"/>
        <v>0</v>
      </c>
      <c r="M55" s="288">
        <f t="shared" si="11"/>
        <v>0</v>
      </c>
      <c r="N55" s="288">
        <f t="shared" si="11"/>
        <v>0</v>
      </c>
      <c r="O55" s="288">
        <f t="shared" si="11"/>
        <v>0</v>
      </c>
      <c r="P55" s="865">
        <f t="shared" si="11"/>
        <v>0</v>
      </c>
      <c r="Q55" s="288">
        <f t="shared" si="11"/>
        <v>0</v>
      </c>
      <c r="R55" s="288">
        <f t="shared" si="11"/>
        <v>0</v>
      </c>
      <c r="S55" s="288">
        <f t="shared" si="11"/>
        <v>0</v>
      </c>
      <c r="T55" s="288">
        <f t="shared" si="11"/>
        <v>0</v>
      </c>
      <c r="U55" s="288">
        <f t="shared" si="11"/>
        <v>0</v>
      </c>
      <c r="V55" s="288">
        <f t="shared" si="11"/>
        <v>0</v>
      </c>
      <c r="W55" s="288">
        <f t="shared" si="11"/>
        <v>0</v>
      </c>
      <c r="X55" s="288">
        <f t="shared" si="11"/>
        <v>0</v>
      </c>
      <c r="Y55" s="288">
        <f t="shared" si="11"/>
        <v>0</v>
      </c>
      <c r="Z55" s="288">
        <f t="shared" si="11"/>
        <v>0</v>
      </c>
      <c r="AA55" s="288">
        <f t="shared" si="11"/>
        <v>0</v>
      </c>
      <c r="AB55" s="288">
        <f t="shared" si="11"/>
        <v>0</v>
      </c>
      <c r="AC55" s="288">
        <f t="shared" si="11"/>
        <v>0</v>
      </c>
      <c r="AD55" s="288">
        <f t="shared" si="11"/>
        <v>0</v>
      </c>
      <c r="AE55" s="288">
        <f t="shared" si="11"/>
        <v>0</v>
      </c>
      <c r="AF55" s="288">
        <f t="shared" si="11"/>
        <v>0</v>
      </c>
      <c r="AG55" s="288">
        <f t="shared" si="11"/>
        <v>0</v>
      </c>
      <c r="AH55" s="286">
        <f t="shared" si="9"/>
        <v>0</v>
      </c>
      <c r="AJ55">
        <f>AJ48+AJ53+AJ54</f>
        <v>35352.36</v>
      </c>
      <c r="AN55" s="25">
        <v>9717.5709999999999</v>
      </c>
    </row>
    <row r="56" spans="1:40" x14ac:dyDescent="0.2">
      <c r="A56" s="287" t="s">
        <v>8</v>
      </c>
      <c r="B56" s="266"/>
      <c r="C56" s="291"/>
      <c r="D56" s="291"/>
      <c r="E56" s="291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2"/>
      <c r="AB56" s="290"/>
      <c r="AC56" s="290"/>
      <c r="AD56" s="290"/>
      <c r="AE56" s="290"/>
      <c r="AF56" s="685"/>
      <c r="AG56" s="783"/>
      <c r="AH56" s="286">
        <f t="shared" si="9"/>
        <v>0</v>
      </c>
      <c r="AJ56">
        <f>AJ55*2</f>
        <v>70704.72</v>
      </c>
      <c r="AN56" s="25">
        <v>673.17700000000002</v>
      </c>
    </row>
    <row r="57" spans="1:40" x14ac:dyDescent="0.2">
      <c r="A57" s="287" t="s">
        <v>215</v>
      </c>
      <c r="B57" s="266"/>
      <c r="C57" s="289">
        <v>1000</v>
      </c>
      <c r="D57" s="291">
        <v>7481</v>
      </c>
      <c r="E57" s="362">
        <v>659</v>
      </c>
      <c r="F57" s="290">
        <v>1718</v>
      </c>
      <c r="G57" s="295">
        <v>14417</v>
      </c>
      <c r="H57" s="292">
        <v>3959</v>
      </c>
      <c r="I57" s="290">
        <v>854</v>
      </c>
      <c r="J57" s="290">
        <v>5187</v>
      </c>
      <c r="K57" s="290">
        <v>4366</v>
      </c>
      <c r="L57" s="290">
        <v>27759</v>
      </c>
      <c r="M57" s="290">
        <v>3157</v>
      </c>
      <c r="N57" s="290">
        <v>2913</v>
      </c>
      <c r="O57" s="290">
        <v>11959</v>
      </c>
      <c r="P57" s="292">
        <v>5125</v>
      </c>
      <c r="Q57" s="290">
        <v>34702</v>
      </c>
      <c r="R57" s="290">
        <v>680</v>
      </c>
      <c r="S57" s="290">
        <v>1477</v>
      </c>
      <c r="T57" s="290">
        <v>10607</v>
      </c>
      <c r="U57" s="290"/>
      <c r="V57" s="290">
        <v>30000</v>
      </c>
      <c r="W57" s="290">
        <v>3807</v>
      </c>
      <c r="X57" s="290">
        <v>2315</v>
      </c>
      <c r="Y57" s="290">
        <v>17506</v>
      </c>
      <c r="Z57" s="290">
        <v>3426</v>
      </c>
      <c r="AA57" s="292">
        <v>12559</v>
      </c>
      <c r="AB57" s="290">
        <v>1000</v>
      </c>
      <c r="AC57" s="290">
        <v>11539</v>
      </c>
      <c r="AD57" s="290">
        <v>66277</v>
      </c>
      <c r="AE57" s="290"/>
      <c r="AF57" s="290"/>
      <c r="AG57" s="290"/>
      <c r="AH57" s="286">
        <f t="shared" si="9"/>
        <v>286449</v>
      </c>
      <c r="AI57" s="42"/>
      <c r="AN57" s="25">
        <v>4534.4949999999999</v>
      </c>
    </row>
    <row r="58" spans="1:40" ht="13.5" thickBot="1" x14ac:dyDescent="0.25">
      <c r="A58" s="296"/>
      <c r="B58" s="266"/>
      <c r="C58" s="291"/>
      <c r="D58" s="291"/>
      <c r="E58" s="291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2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86">
        <f t="shared" si="9"/>
        <v>0</v>
      </c>
      <c r="AN58" s="25">
        <v>2827.3519999999999</v>
      </c>
    </row>
    <row r="59" spans="1:40" x14ac:dyDescent="0.2">
      <c r="A59" s="282"/>
      <c r="B59" s="266"/>
      <c r="C59" s="297"/>
      <c r="D59" s="298"/>
      <c r="E59" s="298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866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15"/>
      <c r="AN59" s="25">
        <v>1850.7819999999999</v>
      </c>
    </row>
    <row r="60" spans="1:40" x14ac:dyDescent="0.2">
      <c r="A60" s="287" t="s">
        <v>915</v>
      </c>
      <c r="B60" s="266"/>
      <c r="C60" s="300">
        <f t="shared" ref="C60:AG60" si="12">C55-C43</f>
        <v>-24823</v>
      </c>
      <c r="D60" s="300">
        <f t="shared" si="12"/>
        <v>0</v>
      </c>
      <c r="E60" s="300">
        <f t="shared" si="12"/>
        <v>0</v>
      </c>
      <c r="F60" s="300">
        <f t="shared" si="12"/>
        <v>0</v>
      </c>
      <c r="G60" s="300">
        <f t="shared" si="12"/>
        <v>0</v>
      </c>
      <c r="H60" s="300">
        <f t="shared" si="12"/>
        <v>0</v>
      </c>
      <c r="I60" s="300">
        <f t="shared" si="12"/>
        <v>0</v>
      </c>
      <c r="J60" s="300">
        <f t="shared" si="12"/>
        <v>0</v>
      </c>
      <c r="K60" s="300">
        <f t="shared" si="12"/>
        <v>0</v>
      </c>
      <c r="L60" s="300">
        <f t="shared" si="12"/>
        <v>0</v>
      </c>
      <c r="M60" s="300">
        <f t="shared" si="12"/>
        <v>0</v>
      </c>
      <c r="N60" s="300">
        <f t="shared" si="12"/>
        <v>0</v>
      </c>
      <c r="O60" s="300">
        <f t="shared" si="12"/>
        <v>0</v>
      </c>
      <c r="P60" s="867">
        <f t="shared" si="12"/>
        <v>0</v>
      </c>
      <c r="Q60" s="300">
        <f t="shared" si="12"/>
        <v>0</v>
      </c>
      <c r="R60" s="300">
        <f t="shared" si="12"/>
        <v>-333.91100000000012</v>
      </c>
      <c r="S60" s="300">
        <f t="shared" si="12"/>
        <v>0</v>
      </c>
      <c r="T60" s="300">
        <f t="shared" si="12"/>
        <v>0</v>
      </c>
      <c r="U60" s="300">
        <f t="shared" si="12"/>
        <v>0</v>
      </c>
      <c r="V60" s="300">
        <f t="shared" si="12"/>
        <v>0</v>
      </c>
      <c r="W60" s="300">
        <f t="shared" si="12"/>
        <v>0</v>
      </c>
      <c r="X60" s="300">
        <f t="shared" si="12"/>
        <v>0</v>
      </c>
      <c r="Y60" s="300">
        <f t="shared" si="12"/>
        <v>0</v>
      </c>
      <c r="Z60" s="300">
        <f t="shared" si="12"/>
        <v>0</v>
      </c>
      <c r="AA60" s="300">
        <f t="shared" si="12"/>
        <v>0</v>
      </c>
      <c r="AB60" s="300">
        <f t="shared" si="12"/>
        <v>0</v>
      </c>
      <c r="AC60" s="300">
        <f t="shared" si="12"/>
        <v>0</v>
      </c>
      <c r="AD60" s="300">
        <f t="shared" si="12"/>
        <v>-7131.6840000000102</v>
      </c>
      <c r="AE60" s="300">
        <f t="shared" si="12"/>
        <v>0</v>
      </c>
      <c r="AF60" s="300">
        <f t="shared" si="12"/>
        <v>0</v>
      </c>
      <c r="AG60" s="300">
        <f t="shared" si="12"/>
        <v>0</v>
      </c>
      <c r="AH60" s="215"/>
      <c r="AN60" s="25">
        <v>915.26599999999996</v>
      </c>
    </row>
    <row r="61" spans="1:40" ht="13.5" thickBot="1" x14ac:dyDescent="0.25">
      <c r="A61" s="287"/>
      <c r="B61" s="266"/>
      <c r="C61" s="300"/>
      <c r="D61" s="291"/>
      <c r="E61" s="291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2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15"/>
      <c r="AN61" s="25">
        <v>15000</v>
      </c>
    </row>
    <row r="62" spans="1:40" x14ac:dyDescent="0.2">
      <c r="A62" s="263"/>
      <c r="B62" s="264"/>
      <c r="C62" s="301"/>
      <c r="D62" s="298"/>
      <c r="E62" s="298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866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15"/>
      <c r="AN62" s="25">
        <v>14101.822</v>
      </c>
    </row>
    <row r="63" spans="1:40" x14ac:dyDescent="0.2">
      <c r="A63" s="265" t="s">
        <v>15</v>
      </c>
      <c r="B63" s="266"/>
      <c r="C63" s="291">
        <f>B40+C60</f>
        <v>-411496.45799999998</v>
      </c>
      <c r="D63" s="291">
        <f>C70+D60</f>
        <v>-411496.45799999998</v>
      </c>
      <c r="E63" s="291">
        <f t="shared" ref="E63:AG63" si="13">D70+E60</f>
        <v>-411496.45799999998</v>
      </c>
      <c r="F63" s="291">
        <f t="shared" si="13"/>
        <v>-411496.45799999998</v>
      </c>
      <c r="G63" s="291">
        <f t="shared" si="13"/>
        <v>-411496.45799999998</v>
      </c>
      <c r="H63" s="291">
        <f t="shared" si="13"/>
        <v>-411496.45799999998</v>
      </c>
      <c r="I63" s="291">
        <f t="shared" si="13"/>
        <v>-411496.45799999998</v>
      </c>
      <c r="J63" s="291">
        <f t="shared" si="13"/>
        <v>-411496.45799999998</v>
      </c>
      <c r="K63" s="291">
        <f t="shared" si="13"/>
        <v>-411496.45799999998</v>
      </c>
      <c r="L63" s="291">
        <f t="shared" si="13"/>
        <v>-411496.45799999998</v>
      </c>
      <c r="M63" s="291">
        <f t="shared" si="13"/>
        <v>-411496.45799999998</v>
      </c>
      <c r="N63" s="291">
        <f t="shared" si="13"/>
        <v>-411496.45799999998</v>
      </c>
      <c r="O63" s="291">
        <f t="shared" si="13"/>
        <v>-411496.45799999998</v>
      </c>
      <c r="P63" s="289">
        <f t="shared" si="13"/>
        <v>-411496.45799999998</v>
      </c>
      <c r="Q63" s="291">
        <f t="shared" si="13"/>
        <v>-411496.45799999998</v>
      </c>
      <c r="R63" s="291">
        <f t="shared" si="13"/>
        <v>-411830.36900000001</v>
      </c>
      <c r="S63" s="291">
        <f t="shared" si="13"/>
        <v>-411830.36900000001</v>
      </c>
      <c r="T63" s="291">
        <f t="shared" si="13"/>
        <v>-411830.36900000001</v>
      </c>
      <c r="U63" s="291">
        <f t="shared" si="13"/>
        <v>-411830.36900000001</v>
      </c>
      <c r="V63" s="291">
        <f t="shared" si="13"/>
        <v>-411830.36900000001</v>
      </c>
      <c r="W63" s="291">
        <f t="shared" si="13"/>
        <v>-411830.36900000001</v>
      </c>
      <c r="X63" s="291">
        <f t="shared" si="13"/>
        <v>-411830.36900000001</v>
      </c>
      <c r="Y63" s="291">
        <f t="shared" si="13"/>
        <v>-411830.36900000001</v>
      </c>
      <c r="Z63" s="291">
        <f t="shared" si="13"/>
        <v>-411830.36900000001</v>
      </c>
      <c r="AA63" s="291">
        <f t="shared" si="13"/>
        <v>-411830.36900000001</v>
      </c>
      <c r="AB63" s="291">
        <f t="shared" si="13"/>
        <v>-411830.36900000001</v>
      </c>
      <c r="AC63" s="291">
        <f t="shared" si="13"/>
        <v>-411830.36900000001</v>
      </c>
      <c r="AD63" s="291">
        <f t="shared" si="13"/>
        <v>-418962.05300000001</v>
      </c>
      <c r="AE63" s="291">
        <f t="shared" si="13"/>
        <v>-418962.05300000001</v>
      </c>
      <c r="AF63" s="291">
        <f t="shared" si="13"/>
        <v>-418962.05300000001</v>
      </c>
      <c r="AG63" s="291">
        <f t="shared" si="13"/>
        <v>-418962.05300000001</v>
      </c>
      <c r="AH63" s="215"/>
      <c r="AN63" s="25">
        <v>1397.2449999999999</v>
      </c>
    </row>
    <row r="64" spans="1:40" ht="13.5" thickBot="1" x14ac:dyDescent="0.25">
      <c r="A64" s="275"/>
      <c r="B64" s="302"/>
      <c r="C64" s="303"/>
      <c r="D64" s="303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868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215"/>
      <c r="AN64" s="25">
        <v>1322.63</v>
      </c>
    </row>
    <row r="65" spans="1:40" x14ac:dyDescent="0.2">
      <c r="A65" s="263"/>
      <c r="B65" s="264"/>
      <c r="C65" s="298"/>
      <c r="D65" s="298"/>
      <c r="E65" s="298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866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86">
        <f>SUM(C65:AG65)</f>
        <v>0</v>
      </c>
      <c r="AN65" s="25">
        <v>1747.816</v>
      </c>
    </row>
    <row r="66" spans="1:40" x14ac:dyDescent="0.2">
      <c r="A66" s="265" t="s">
        <v>82</v>
      </c>
      <c r="B66" s="266"/>
      <c r="C66" s="291">
        <f t="shared" ref="C66:AG67" si="14">C74</f>
        <v>0</v>
      </c>
      <c r="D66" s="291">
        <f t="shared" si="14"/>
        <v>0</v>
      </c>
      <c r="E66" s="291">
        <f t="shared" si="14"/>
        <v>0</v>
      </c>
      <c r="F66" s="291">
        <f t="shared" si="14"/>
        <v>0</v>
      </c>
      <c r="G66" s="291">
        <f t="shared" si="14"/>
        <v>0</v>
      </c>
      <c r="H66" s="291">
        <f t="shared" si="14"/>
        <v>0</v>
      </c>
      <c r="I66" s="291">
        <f t="shared" si="14"/>
        <v>0</v>
      </c>
      <c r="J66" s="291">
        <f t="shared" si="14"/>
        <v>0</v>
      </c>
      <c r="K66" s="291">
        <f>K74</f>
        <v>0</v>
      </c>
      <c r="L66" s="291">
        <f>L74</f>
        <v>0</v>
      </c>
      <c r="M66" s="291">
        <f>M74</f>
        <v>0</v>
      </c>
      <c r="N66" s="291">
        <f t="shared" si="14"/>
        <v>0</v>
      </c>
      <c r="O66" s="291">
        <f t="shared" si="14"/>
        <v>0</v>
      </c>
      <c r="P66" s="289">
        <f t="shared" si="14"/>
        <v>0</v>
      </c>
      <c r="Q66" s="291">
        <f t="shared" si="14"/>
        <v>0</v>
      </c>
      <c r="R66" s="291">
        <f t="shared" si="14"/>
        <v>0</v>
      </c>
      <c r="S66" s="291">
        <f t="shared" si="14"/>
        <v>0</v>
      </c>
      <c r="T66" s="291">
        <f t="shared" si="14"/>
        <v>0</v>
      </c>
      <c r="U66" s="291">
        <f t="shared" si="14"/>
        <v>0</v>
      </c>
      <c r="V66" s="291">
        <f t="shared" si="14"/>
        <v>0</v>
      </c>
      <c r="W66" s="291">
        <f t="shared" si="14"/>
        <v>0</v>
      </c>
      <c r="X66" s="291">
        <f t="shared" si="14"/>
        <v>0</v>
      </c>
      <c r="Y66" s="291">
        <f t="shared" si="14"/>
        <v>0</v>
      </c>
      <c r="Z66" s="291">
        <f t="shared" si="14"/>
        <v>0</v>
      </c>
      <c r="AA66" s="291">
        <f t="shared" si="14"/>
        <v>0</v>
      </c>
      <c r="AB66" s="291">
        <f t="shared" si="14"/>
        <v>0</v>
      </c>
      <c r="AC66" s="291">
        <f t="shared" si="14"/>
        <v>0</v>
      </c>
      <c r="AD66" s="291">
        <f t="shared" si="14"/>
        <v>0</v>
      </c>
      <c r="AE66" s="291">
        <f t="shared" si="14"/>
        <v>0</v>
      </c>
      <c r="AF66" s="291">
        <f t="shared" si="14"/>
        <v>0</v>
      </c>
      <c r="AG66" s="291">
        <f t="shared" si="14"/>
        <v>0</v>
      </c>
      <c r="AH66" s="215"/>
      <c r="AN66" s="25">
        <v>1021.722</v>
      </c>
    </row>
    <row r="67" spans="1:40" x14ac:dyDescent="0.2">
      <c r="A67" s="265" t="s">
        <v>83</v>
      </c>
      <c r="B67" s="266"/>
      <c r="C67" s="289">
        <f t="shared" si="14"/>
        <v>0</v>
      </c>
      <c r="D67" s="289">
        <f t="shared" si="14"/>
        <v>0</v>
      </c>
      <c r="E67" s="289">
        <f t="shared" si="14"/>
        <v>0</v>
      </c>
      <c r="F67" s="289">
        <f t="shared" si="14"/>
        <v>0</v>
      </c>
      <c r="G67" s="289">
        <f t="shared" si="14"/>
        <v>0</v>
      </c>
      <c r="H67" s="289">
        <f t="shared" si="14"/>
        <v>0</v>
      </c>
      <c r="I67" s="289">
        <f t="shared" si="14"/>
        <v>0</v>
      </c>
      <c r="J67" s="289">
        <f t="shared" si="14"/>
        <v>0</v>
      </c>
      <c r="K67" s="289">
        <f t="shared" si="14"/>
        <v>0</v>
      </c>
      <c r="L67" s="289">
        <f t="shared" si="14"/>
        <v>0</v>
      </c>
      <c r="M67" s="289">
        <f t="shared" si="14"/>
        <v>0</v>
      </c>
      <c r="N67" s="289">
        <f t="shared" si="14"/>
        <v>0</v>
      </c>
      <c r="O67" s="289">
        <f t="shared" si="14"/>
        <v>0</v>
      </c>
      <c r="P67" s="289">
        <f t="shared" si="14"/>
        <v>0</v>
      </c>
      <c r="Q67" s="289">
        <f t="shared" si="14"/>
        <v>0</v>
      </c>
      <c r="R67" s="289">
        <f t="shared" si="14"/>
        <v>0</v>
      </c>
      <c r="S67" s="289">
        <f t="shared" si="14"/>
        <v>0</v>
      </c>
      <c r="T67" s="289">
        <f t="shared" si="14"/>
        <v>0</v>
      </c>
      <c r="U67" s="289">
        <f t="shared" si="14"/>
        <v>0</v>
      </c>
      <c r="V67" s="289">
        <f t="shared" si="14"/>
        <v>0</v>
      </c>
      <c r="W67" s="289">
        <f t="shared" si="14"/>
        <v>0</v>
      </c>
      <c r="X67" s="289">
        <f t="shared" si="14"/>
        <v>0</v>
      </c>
      <c r="Y67" s="289">
        <f t="shared" si="14"/>
        <v>0</v>
      </c>
      <c r="Z67" s="289">
        <f t="shared" si="14"/>
        <v>0</v>
      </c>
      <c r="AA67" s="289">
        <f t="shared" si="14"/>
        <v>0</v>
      </c>
      <c r="AB67" s="289">
        <f t="shared" si="14"/>
        <v>0</v>
      </c>
      <c r="AC67" s="289">
        <f t="shared" si="14"/>
        <v>0</v>
      </c>
      <c r="AD67" s="289">
        <f t="shared" si="14"/>
        <v>0</v>
      </c>
      <c r="AE67" s="289">
        <f t="shared" si="14"/>
        <v>0</v>
      </c>
      <c r="AF67" s="289">
        <f t="shared" si="14"/>
        <v>0</v>
      </c>
      <c r="AG67" s="289">
        <f t="shared" si="14"/>
        <v>0</v>
      </c>
      <c r="AH67" s="215"/>
      <c r="AN67" s="25">
        <v>4000</v>
      </c>
    </row>
    <row r="68" spans="1:40" ht="13.5" thickBot="1" x14ac:dyDescent="0.25">
      <c r="A68" s="275"/>
      <c r="B68" s="302"/>
      <c r="C68" s="303"/>
      <c r="D68" s="303"/>
      <c r="E68" s="303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868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215"/>
      <c r="AN68" s="25"/>
    </row>
    <row r="69" spans="1:40" x14ac:dyDescent="0.2">
      <c r="A69" s="265"/>
      <c r="B69" s="266"/>
      <c r="C69" s="291"/>
      <c r="D69" s="291"/>
      <c r="E69" s="291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2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15"/>
      <c r="AN69" s="25">
        <v>1616.846</v>
      </c>
    </row>
    <row r="70" spans="1:40" x14ac:dyDescent="0.2">
      <c r="A70" s="265" t="s">
        <v>14</v>
      </c>
      <c r="B70" s="266"/>
      <c r="C70" s="291">
        <f>C63+C66+C67</f>
        <v>-411496.45799999998</v>
      </c>
      <c r="D70" s="291">
        <f t="shared" ref="D70:AG70" si="15">D63+D66+D67</f>
        <v>-411496.45799999998</v>
      </c>
      <c r="E70" s="291">
        <f t="shared" si="15"/>
        <v>-411496.45799999998</v>
      </c>
      <c r="F70" s="291">
        <f t="shared" si="15"/>
        <v>-411496.45799999998</v>
      </c>
      <c r="G70" s="291">
        <f t="shared" si="15"/>
        <v>-411496.45799999998</v>
      </c>
      <c r="H70" s="291">
        <f t="shared" si="15"/>
        <v>-411496.45799999998</v>
      </c>
      <c r="I70" s="291">
        <f t="shared" si="15"/>
        <v>-411496.45799999998</v>
      </c>
      <c r="J70" s="291">
        <f t="shared" si="15"/>
        <v>-411496.45799999998</v>
      </c>
      <c r="K70" s="291">
        <f t="shared" si="15"/>
        <v>-411496.45799999998</v>
      </c>
      <c r="L70" s="291">
        <f t="shared" si="15"/>
        <v>-411496.45799999998</v>
      </c>
      <c r="M70" s="291">
        <f t="shared" si="15"/>
        <v>-411496.45799999998</v>
      </c>
      <c r="N70" s="291">
        <f t="shared" si="15"/>
        <v>-411496.45799999998</v>
      </c>
      <c r="O70" s="291">
        <f t="shared" si="15"/>
        <v>-411496.45799999998</v>
      </c>
      <c r="P70" s="289">
        <f t="shared" si="15"/>
        <v>-411496.45799999998</v>
      </c>
      <c r="Q70" s="291">
        <f t="shared" si="15"/>
        <v>-411496.45799999998</v>
      </c>
      <c r="R70" s="291">
        <f t="shared" si="15"/>
        <v>-411830.36900000001</v>
      </c>
      <c r="S70" s="291">
        <f t="shared" si="15"/>
        <v>-411830.36900000001</v>
      </c>
      <c r="T70" s="291">
        <f t="shared" si="15"/>
        <v>-411830.36900000001</v>
      </c>
      <c r="U70" s="291">
        <f t="shared" si="15"/>
        <v>-411830.36900000001</v>
      </c>
      <c r="V70" s="291">
        <f t="shared" si="15"/>
        <v>-411830.36900000001</v>
      </c>
      <c r="W70" s="291">
        <f t="shared" si="15"/>
        <v>-411830.36900000001</v>
      </c>
      <c r="X70" s="291">
        <f t="shared" si="15"/>
        <v>-411830.36900000001</v>
      </c>
      <c r="Y70" s="291">
        <f t="shared" si="15"/>
        <v>-411830.36900000001</v>
      </c>
      <c r="Z70" s="291">
        <f t="shared" si="15"/>
        <v>-411830.36900000001</v>
      </c>
      <c r="AA70" s="291">
        <f t="shared" si="15"/>
        <v>-411830.36900000001</v>
      </c>
      <c r="AB70" s="291">
        <f t="shared" si="15"/>
        <v>-411830.36900000001</v>
      </c>
      <c r="AC70" s="291">
        <f t="shared" si="15"/>
        <v>-411830.36900000001</v>
      </c>
      <c r="AD70" s="291">
        <f t="shared" si="15"/>
        <v>-418962.05300000001</v>
      </c>
      <c r="AE70" s="291">
        <f t="shared" si="15"/>
        <v>-418962.05300000001</v>
      </c>
      <c r="AF70" s="291">
        <f t="shared" si="15"/>
        <v>-418962.05300000001</v>
      </c>
      <c r="AG70" s="291">
        <f t="shared" si="15"/>
        <v>-418962.05300000001</v>
      </c>
      <c r="AH70" s="305"/>
      <c r="AN70" s="25">
        <v>7523.0129999999999</v>
      </c>
    </row>
    <row r="71" spans="1:40" x14ac:dyDescent="0.2">
      <c r="A71" s="265"/>
      <c r="B71" s="266"/>
      <c r="C71" s="291"/>
      <c r="D71" s="291"/>
      <c r="E71" s="291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2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15"/>
      <c r="AN71" s="25">
        <v>716.57600000000002</v>
      </c>
    </row>
    <row r="72" spans="1:40" ht="13.5" thickBot="1" x14ac:dyDescent="0.25">
      <c r="A72" s="275"/>
      <c r="B72" s="302"/>
      <c r="C72" s="306"/>
      <c r="D72" s="306"/>
      <c r="E72" s="306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869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215"/>
      <c r="AN72" s="378">
        <v>1326.8</v>
      </c>
    </row>
    <row r="73" spans="1:40" x14ac:dyDescent="0.2">
      <c r="A73" s="310"/>
      <c r="B73" s="215"/>
      <c r="C73" s="286"/>
      <c r="D73" s="286"/>
      <c r="E73" s="286"/>
      <c r="F73" s="286"/>
      <c r="G73" s="286"/>
      <c r="H73" s="293"/>
      <c r="I73" s="293"/>
      <c r="J73" s="293"/>
      <c r="K73" s="293"/>
      <c r="L73" s="293"/>
      <c r="M73" s="293"/>
      <c r="N73" s="293"/>
      <c r="O73" s="293"/>
      <c r="P73" s="455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15"/>
      <c r="AN73" s="378">
        <v>4180.9530000000004</v>
      </c>
    </row>
    <row r="74" spans="1:40" x14ac:dyDescent="0.2">
      <c r="A74" s="310" t="s">
        <v>40</v>
      </c>
      <c r="B74" s="215"/>
      <c r="C74" s="290"/>
      <c r="D74" s="295"/>
      <c r="E74" s="290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2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>
        <f>+W51</f>
        <v>0</v>
      </c>
      <c r="AB74" s="295">
        <f>+X51</f>
        <v>0</v>
      </c>
      <c r="AC74" s="295"/>
      <c r="AD74" s="295">
        <f>+Z51</f>
        <v>0</v>
      </c>
      <c r="AE74" s="295"/>
      <c r="AF74" s="295"/>
      <c r="AG74" s="295"/>
      <c r="AH74" s="286">
        <f>SUM(C74:AG74)</f>
        <v>0</v>
      </c>
      <c r="AI74" s="58"/>
      <c r="AJ74" s="58"/>
      <c r="AK74" s="195"/>
      <c r="AN74" s="378">
        <v>2761.194</v>
      </c>
    </row>
    <row r="75" spans="1:40" x14ac:dyDescent="0.2">
      <c r="A75" s="310" t="s">
        <v>42</v>
      </c>
      <c r="B75" s="215"/>
      <c r="C75" s="290"/>
      <c r="D75" s="290">
        <v>0</v>
      </c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2"/>
      <c r="Q75" s="290"/>
      <c r="R75" s="290"/>
      <c r="S75" s="290"/>
      <c r="T75" s="290"/>
      <c r="U75" s="290"/>
      <c r="V75" s="290"/>
      <c r="W75" s="290"/>
      <c r="X75" s="290"/>
      <c r="Y75" s="290">
        <f>+U57</f>
        <v>0</v>
      </c>
      <c r="Z75" s="290"/>
      <c r="AA75" s="290"/>
      <c r="AB75" s="290"/>
      <c r="AC75" s="290"/>
      <c r="AD75" s="290"/>
      <c r="AE75" s="290"/>
      <c r="AF75" s="290"/>
      <c r="AG75" s="290"/>
      <c r="AH75" s="286">
        <f>SUM(C75:AG75)</f>
        <v>0</v>
      </c>
      <c r="AI75" s="58"/>
      <c r="AJ75" s="58"/>
      <c r="AK75" s="195"/>
      <c r="AN75" s="378">
        <v>6804.6840000000002</v>
      </c>
    </row>
    <row r="76" spans="1:40" ht="13.5" thickBot="1" x14ac:dyDescent="0.25">
      <c r="A76" s="310"/>
      <c r="B76" s="215"/>
      <c r="C76" s="311"/>
      <c r="D76" s="311"/>
      <c r="E76" s="311"/>
      <c r="F76" s="311"/>
      <c r="G76" s="314"/>
      <c r="H76" s="363"/>
      <c r="I76" s="311"/>
      <c r="J76" s="311"/>
      <c r="K76" s="311"/>
      <c r="L76" s="311"/>
      <c r="M76" s="311"/>
      <c r="N76" s="311"/>
      <c r="O76" s="311"/>
      <c r="P76" s="629"/>
      <c r="Q76" s="311"/>
      <c r="R76" s="311"/>
      <c r="S76" s="311"/>
      <c r="T76" s="311"/>
      <c r="U76" s="311"/>
      <c r="V76" s="363"/>
      <c r="W76" s="363"/>
      <c r="X76" s="311"/>
      <c r="Y76" s="311"/>
      <c r="Z76" s="311"/>
      <c r="AA76" s="311"/>
      <c r="AB76" s="311"/>
      <c r="AC76" s="311"/>
      <c r="AD76" s="311"/>
      <c r="AE76" s="311"/>
      <c r="AF76" s="311"/>
      <c r="AG76" s="311"/>
      <c r="AH76" s="215"/>
      <c r="AI76" s="58"/>
      <c r="AJ76" s="58"/>
      <c r="AK76" s="195"/>
      <c r="AN76" s="378">
        <v>14590.134</v>
      </c>
    </row>
    <row r="77" spans="1:40" x14ac:dyDescent="0.2">
      <c r="A77" s="381" t="s">
        <v>495</v>
      </c>
      <c r="B77" s="382" t="s">
        <v>509</v>
      </c>
      <c r="C77" s="385"/>
      <c r="D77" s="386"/>
      <c r="E77" s="386"/>
      <c r="F77" s="386"/>
      <c r="G77" s="387"/>
      <c r="H77" s="388"/>
      <c r="I77" s="386"/>
      <c r="J77" s="386"/>
      <c r="K77" s="386"/>
      <c r="L77" s="386"/>
      <c r="M77" s="386"/>
      <c r="N77" s="386"/>
      <c r="O77" s="386"/>
      <c r="P77" s="870"/>
      <c r="Q77" s="386"/>
      <c r="R77" s="386"/>
      <c r="S77" s="386"/>
      <c r="T77" s="386"/>
      <c r="U77" s="386"/>
      <c r="V77" s="388"/>
      <c r="W77" s="388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9">
        <f>SUM(C77:AG77)</f>
        <v>0</v>
      </c>
      <c r="AI77" s="58"/>
      <c r="AJ77" s="58"/>
      <c r="AK77" s="195"/>
      <c r="AN77" s="25">
        <v>1034.9559999999999</v>
      </c>
    </row>
    <row r="78" spans="1:40" ht="13.5" thickBot="1" x14ac:dyDescent="0.25">
      <c r="A78" s="383" t="s">
        <v>697</v>
      </c>
      <c r="B78" s="384" t="s">
        <v>510</v>
      </c>
      <c r="C78" s="390"/>
      <c r="D78" s="391"/>
      <c r="E78" s="391"/>
      <c r="F78" s="391"/>
      <c r="G78" s="391"/>
      <c r="H78" s="410"/>
      <c r="I78" s="392"/>
      <c r="J78" s="391"/>
      <c r="K78" s="391"/>
      <c r="L78" s="410"/>
      <c r="M78" s="391"/>
      <c r="N78" s="391"/>
      <c r="O78" s="391"/>
      <c r="P78" s="871"/>
      <c r="Q78" s="410"/>
      <c r="R78" s="391"/>
      <c r="S78" s="391"/>
      <c r="T78" s="391"/>
      <c r="U78" s="391"/>
      <c r="V78" s="410"/>
      <c r="W78" s="391"/>
      <c r="X78" s="391"/>
      <c r="Y78" s="391"/>
      <c r="Z78" s="391"/>
      <c r="AA78" s="410"/>
      <c r="AB78" s="391"/>
      <c r="AC78" s="391"/>
      <c r="AD78" s="391"/>
      <c r="AE78" s="391"/>
      <c r="AF78" s="391"/>
      <c r="AG78" s="391"/>
      <c r="AH78" s="393">
        <f>SUM(C78:AG78)</f>
        <v>0</v>
      </c>
      <c r="AI78" s="58"/>
      <c r="AJ78" s="58"/>
      <c r="AK78" s="195"/>
      <c r="AN78" s="25"/>
    </row>
    <row r="79" spans="1:40" x14ac:dyDescent="0.2">
      <c r="A79" s="381" t="s">
        <v>495</v>
      </c>
      <c r="B79" s="382" t="s">
        <v>509</v>
      </c>
      <c r="C79" s="459"/>
      <c r="D79" s="459"/>
      <c r="E79" s="459"/>
      <c r="F79" s="459"/>
      <c r="G79" s="459"/>
      <c r="H79" s="460"/>
      <c r="I79" s="461"/>
      <c r="J79" s="459"/>
      <c r="K79" s="459"/>
      <c r="L79" s="460"/>
      <c r="M79" s="459"/>
      <c r="N79" s="459"/>
      <c r="O79" s="459"/>
      <c r="P79" s="872"/>
      <c r="Q79" s="460"/>
      <c r="R79" s="459"/>
      <c r="S79" s="459"/>
      <c r="T79" s="459"/>
      <c r="U79" s="459"/>
      <c r="V79" s="460"/>
      <c r="W79" s="459"/>
      <c r="X79" s="459"/>
      <c r="Y79" s="459"/>
      <c r="Z79" s="459"/>
      <c r="AA79" s="460"/>
      <c r="AB79" s="459"/>
      <c r="AC79" s="459"/>
      <c r="AD79" s="459"/>
      <c r="AE79" s="459"/>
      <c r="AF79" s="459"/>
      <c r="AG79" s="459"/>
      <c r="AH79" s="389">
        <f>SUM(C79:AG79)</f>
        <v>0</v>
      </c>
      <c r="AI79" s="58"/>
      <c r="AJ79" s="58"/>
      <c r="AK79" s="195"/>
      <c r="AN79" s="25"/>
    </row>
    <row r="80" spans="1:40" ht="13.5" thickBot="1" x14ac:dyDescent="0.25">
      <c r="A80" s="383" t="s">
        <v>696</v>
      </c>
      <c r="B80" s="384" t="s">
        <v>510</v>
      </c>
      <c r="C80" s="459"/>
      <c r="D80" s="459"/>
      <c r="E80" s="459"/>
      <c r="F80" s="459"/>
      <c r="G80" s="459"/>
      <c r="H80" s="460"/>
      <c r="I80" s="461"/>
      <c r="J80" s="459"/>
      <c r="K80" s="459"/>
      <c r="L80" s="460"/>
      <c r="M80" s="459"/>
      <c r="N80" s="459"/>
      <c r="O80" s="459"/>
      <c r="P80" s="872"/>
      <c r="Q80" s="460"/>
      <c r="R80" s="459"/>
      <c r="S80" s="459"/>
      <c r="T80" s="459"/>
      <c r="U80" s="459"/>
      <c r="V80" s="460"/>
      <c r="W80" s="459"/>
      <c r="X80" s="459"/>
      <c r="Y80" s="459"/>
      <c r="Z80" s="459"/>
      <c r="AA80" s="460"/>
      <c r="AB80" s="459"/>
      <c r="AC80" s="459"/>
      <c r="AD80" s="459"/>
      <c r="AE80" s="459"/>
      <c r="AF80" s="459"/>
      <c r="AG80" s="459"/>
      <c r="AH80" s="462"/>
      <c r="AI80" s="58"/>
      <c r="AJ80" s="58"/>
      <c r="AK80" s="195"/>
      <c r="AN80" s="25"/>
    </row>
    <row r="81" spans="1:43" x14ac:dyDescent="0.2">
      <c r="A81" s="312"/>
      <c r="B81" s="313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08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58"/>
      <c r="AJ81" s="58"/>
      <c r="AK81" s="195"/>
      <c r="AN81" s="25">
        <v>2000</v>
      </c>
    </row>
    <row r="82" spans="1:43" s="195" customFormat="1" x14ac:dyDescent="0.2">
      <c r="A82" s="265" t="s">
        <v>2</v>
      </c>
      <c r="B82" s="215"/>
      <c r="C82" s="262">
        <f>SUM(C84:C122)</f>
        <v>0</v>
      </c>
      <c r="D82" s="286"/>
      <c r="E82" s="470"/>
      <c r="F82" s="286"/>
      <c r="G82" s="317"/>
      <c r="H82" s="315"/>
      <c r="I82" s="286"/>
      <c r="J82" s="286"/>
      <c r="K82" s="286"/>
      <c r="L82" s="286"/>
      <c r="M82" s="315"/>
      <c r="N82" s="315"/>
      <c r="O82" s="315"/>
      <c r="P82" s="308"/>
      <c r="Q82" s="315"/>
      <c r="R82" s="315"/>
      <c r="S82" s="31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315"/>
      <c r="AF82" s="286"/>
      <c r="AG82" s="286"/>
      <c r="AH82" s="215"/>
      <c r="AN82" s="377">
        <v>2358.498</v>
      </c>
    </row>
    <row r="83" spans="1:43" s="195" customFormat="1" x14ac:dyDescent="0.2">
      <c r="A83" s="266"/>
      <c r="B83" s="215"/>
      <c r="C83" s="262"/>
      <c r="D83" s="215"/>
      <c r="E83" s="215"/>
      <c r="F83" s="215"/>
      <c r="G83" s="319"/>
      <c r="H83" s="215"/>
      <c r="I83" s="215"/>
      <c r="J83" s="215"/>
      <c r="K83" s="215"/>
      <c r="L83" s="215"/>
      <c r="M83" s="215"/>
      <c r="N83" s="215"/>
      <c r="O83" s="215"/>
      <c r="P83" s="309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N83" s="377">
        <v>1458.3630000000001</v>
      </c>
    </row>
    <row r="84" spans="1:43" s="195" customFormat="1" x14ac:dyDescent="0.2">
      <c r="A84" s="215" t="s">
        <v>30</v>
      </c>
      <c r="B84" s="320">
        <v>42060</v>
      </c>
      <c r="C84" s="318"/>
      <c r="D84" s="309"/>
      <c r="E84" s="215"/>
      <c r="F84" s="215"/>
      <c r="G84" s="319"/>
      <c r="H84" s="215"/>
      <c r="I84" s="215"/>
      <c r="J84" s="215"/>
      <c r="K84" s="321"/>
      <c r="L84" s="309"/>
      <c r="M84" s="308"/>
      <c r="N84" s="215"/>
      <c r="O84" s="215"/>
      <c r="P84" s="309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N84" s="378">
        <v>718.548</v>
      </c>
    </row>
    <row r="85" spans="1:43" s="195" customFormat="1" x14ac:dyDescent="0.2">
      <c r="A85" s="215"/>
      <c r="B85" s="320">
        <v>41673</v>
      </c>
      <c r="C85" s="318"/>
      <c r="D85" s="309"/>
      <c r="E85" s="215"/>
      <c r="F85" s="215"/>
      <c r="G85" s="322"/>
      <c r="H85" s="215"/>
      <c r="I85" s="215"/>
      <c r="J85" s="215"/>
      <c r="K85" s="309"/>
      <c r="L85" s="309"/>
      <c r="M85" s="309"/>
      <c r="N85" s="215"/>
      <c r="O85" s="215"/>
      <c r="P85" s="309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N85" s="378">
        <v>1820.952</v>
      </c>
    </row>
    <row r="86" spans="1:43" x14ac:dyDescent="0.2">
      <c r="A86" s="215"/>
      <c r="B86" s="320">
        <v>41673</v>
      </c>
      <c r="C86" s="262"/>
      <c r="D86" s="323"/>
      <c r="E86" s="215"/>
      <c r="F86" s="215"/>
      <c r="G86" s="322"/>
      <c r="H86" s="215"/>
      <c r="I86" s="215"/>
      <c r="J86" s="215"/>
      <c r="K86" s="321"/>
      <c r="L86" s="309"/>
      <c r="M86" s="309"/>
      <c r="N86" s="215"/>
      <c r="O86" s="215"/>
      <c r="P86" s="309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57"/>
      <c r="AJ86" s="58"/>
      <c r="AN86" s="378">
        <v>2110.3739999999998</v>
      </c>
      <c r="AP86">
        <v>1701.6279999999999</v>
      </c>
      <c r="AQ86" t="s">
        <v>491</v>
      </c>
    </row>
    <row r="87" spans="1:43" x14ac:dyDescent="0.2">
      <c r="A87" s="215"/>
      <c r="B87" s="320">
        <v>41673</v>
      </c>
      <c r="C87" s="371"/>
      <c r="D87" s="262"/>
      <c r="E87" s="353"/>
      <c r="F87" s="215"/>
      <c r="G87" s="319"/>
      <c r="H87" s="215"/>
      <c r="I87" s="215"/>
      <c r="J87" s="215"/>
      <c r="K87" s="215"/>
      <c r="L87" s="215"/>
      <c r="M87" s="215"/>
      <c r="N87" s="215"/>
      <c r="O87" s="215"/>
      <c r="P87" s="309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5"/>
      <c r="AN87" s="378">
        <v>2000</v>
      </c>
      <c r="AP87">
        <v>5818.643</v>
      </c>
      <c r="AQ87" t="s">
        <v>492</v>
      </c>
    </row>
    <row r="88" spans="1:43" x14ac:dyDescent="0.2">
      <c r="A88" s="215" t="s">
        <v>31</v>
      </c>
      <c r="B88" s="320">
        <v>42060</v>
      </c>
      <c r="C88" s="325"/>
      <c r="D88" s="323"/>
      <c r="E88" s="323"/>
      <c r="F88" s="323"/>
      <c r="G88" s="319"/>
      <c r="H88" s="215"/>
      <c r="I88" s="215"/>
      <c r="J88" s="215"/>
      <c r="K88" s="215"/>
      <c r="L88" s="215"/>
      <c r="M88" s="215"/>
      <c r="N88" s="215"/>
      <c r="O88" s="215"/>
      <c r="P88" s="309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5"/>
      <c r="AN88" s="378">
        <v>1841.7439999999999</v>
      </c>
    </row>
    <row r="89" spans="1:43" x14ac:dyDescent="0.2">
      <c r="A89" s="215"/>
      <c r="B89" s="320">
        <v>42061</v>
      </c>
      <c r="C89" s="501"/>
      <c r="D89" s="323"/>
      <c r="E89" s="323"/>
      <c r="F89" s="215"/>
      <c r="G89" s="322"/>
      <c r="H89" s="215"/>
      <c r="I89" s="215"/>
      <c r="J89" s="215"/>
      <c r="K89" s="215"/>
      <c r="L89" s="215"/>
      <c r="M89" s="215"/>
      <c r="N89" s="215"/>
      <c r="O89" s="215"/>
      <c r="P89" s="309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5"/>
      <c r="AN89" s="378">
        <v>747.24800000000005</v>
      </c>
    </row>
    <row r="90" spans="1:43" x14ac:dyDescent="0.2">
      <c r="A90" s="215"/>
      <c r="B90" s="320">
        <v>42062</v>
      </c>
      <c r="C90" s="325"/>
      <c r="D90" s="323"/>
      <c r="E90" s="353"/>
      <c r="F90" s="215"/>
      <c r="G90" s="326"/>
      <c r="H90" s="215"/>
      <c r="I90" s="215"/>
      <c r="J90" s="215"/>
      <c r="K90" s="215"/>
      <c r="L90" s="215"/>
      <c r="M90" s="215"/>
      <c r="N90" s="215"/>
      <c r="O90" s="215"/>
      <c r="P90" s="309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5"/>
      <c r="AN90" s="378">
        <v>4413.4639999999999</v>
      </c>
    </row>
    <row r="91" spans="1:43" x14ac:dyDescent="0.2">
      <c r="A91" s="215"/>
      <c r="B91" s="320">
        <v>42053</v>
      </c>
      <c r="C91" s="325"/>
      <c r="D91" s="323"/>
      <c r="E91" s="323"/>
      <c r="F91" s="215"/>
      <c r="G91" s="326"/>
      <c r="H91" s="215"/>
      <c r="I91" s="215"/>
      <c r="J91" s="215"/>
      <c r="K91" s="215"/>
      <c r="L91" s="215"/>
      <c r="M91" s="215"/>
      <c r="N91" s="215"/>
      <c r="O91" s="215"/>
      <c r="P91" s="309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N91" s="378">
        <v>1836.3130000000001</v>
      </c>
    </row>
    <row r="92" spans="1:43" x14ac:dyDescent="0.2">
      <c r="A92" s="215"/>
      <c r="B92" s="320">
        <v>42054</v>
      </c>
      <c r="C92" s="323"/>
      <c r="D92" s="323"/>
      <c r="E92" s="323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309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N92" s="378">
        <v>8000</v>
      </c>
    </row>
    <row r="93" spans="1:43" x14ac:dyDescent="0.2">
      <c r="A93" s="215"/>
      <c r="B93" s="320">
        <v>42047</v>
      </c>
      <c r="C93" s="325"/>
      <c r="D93" s="323"/>
      <c r="E93" s="323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309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N93" s="25">
        <f>SUM(AN44:AN92)</f>
        <v>167376.80400000003</v>
      </c>
      <c r="AP93" s="194">
        <f>AN93+AP86+AP87</f>
        <v>174897.07500000004</v>
      </c>
    </row>
    <row r="94" spans="1:43" x14ac:dyDescent="0.2">
      <c r="A94" s="215"/>
      <c r="B94" s="320">
        <v>42016</v>
      </c>
      <c r="C94" s="840"/>
      <c r="D94" s="323"/>
      <c r="E94" s="323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309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N94" s="25"/>
      <c r="AP94" s="194"/>
    </row>
    <row r="95" spans="1:43" x14ac:dyDescent="0.2">
      <c r="A95" s="215"/>
      <c r="B95" s="320">
        <v>42016</v>
      </c>
      <c r="C95" s="840"/>
      <c r="D95" s="323"/>
      <c r="E95" s="323"/>
      <c r="F95" s="215"/>
      <c r="G95" s="215"/>
      <c r="H95" s="215"/>
      <c r="I95" s="215"/>
      <c r="J95" s="215"/>
      <c r="K95" s="215"/>
      <c r="L95" s="215"/>
      <c r="M95" s="215"/>
      <c r="N95" s="215"/>
      <c r="O95" s="215"/>
      <c r="P95" s="309"/>
      <c r="Q95" s="215"/>
      <c r="R95" s="215"/>
      <c r="S95" s="215"/>
      <c r="T95" s="21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N95" s="25"/>
      <c r="AP95" s="194"/>
    </row>
    <row r="96" spans="1:43" x14ac:dyDescent="0.2">
      <c r="A96" s="215"/>
      <c r="B96" s="320">
        <v>42013</v>
      </c>
      <c r="C96" s="808"/>
      <c r="D96" s="323"/>
      <c r="E96" s="323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309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N96" s="25"/>
      <c r="AP96" s="194"/>
    </row>
    <row r="97" spans="1:42" x14ac:dyDescent="0.2">
      <c r="A97" s="215"/>
      <c r="B97" s="320">
        <v>42013</v>
      </c>
      <c r="C97" s="808"/>
      <c r="D97" s="323"/>
      <c r="E97" s="323"/>
      <c r="F97" s="215"/>
      <c r="G97" s="215"/>
      <c r="H97" s="215"/>
      <c r="I97" s="215"/>
      <c r="J97" s="215"/>
      <c r="K97" s="215"/>
      <c r="L97" s="215"/>
      <c r="M97" s="215"/>
      <c r="N97" s="215"/>
      <c r="O97" s="215"/>
      <c r="P97" s="309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N97" s="25"/>
      <c r="AP97" s="194"/>
    </row>
    <row r="98" spans="1:42" x14ac:dyDescent="0.2">
      <c r="A98" s="215"/>
      <c r="B98" s="320">
        <v>42013</v>
      </c>
      <c r="C98" s="808"/>
      <c r="D98" s="323"/>
      <c r="E98" s="323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309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N98" s="25"/>
      <c r="AP98" s="194"/>
    </row>
    <row r="99" spans="1:42" x14ac:dyDescent="0.2">
      <c r="A99" s="215"/>
      <c r="B99" s="320">
        <v>42040</v>
      </c>
      <c r="C99" s="886"/>
      <c r="D99" s="323"/>
      <c r="E99" s="323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309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N99" s="25"/>
      <c r="AP99" s="194"/>
    </row>
    <row r="100" spans="1:42" x14ac:dyDescent="0.2">
      <c r="A100" s="215"/>
      <c r="B100" s="320">
        <v>42042</v>
      </c>
      <c r="C100" s="324"/>
      <c r="D100" s="323"/>
      <c r="E100" s="323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309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N100" s="25"/>
      <c r="AP100" s="194"/>
    </row>
    <row r="101" spans="1:42" x14ac:dyDescent="0.2">
      <c r="A101" s="215"/>
      <c r="B101" s="320">
        <v>42043</v>
      </c>
      <c r="C101" s="324"/>
      <c r="D101" s="323"/>
      <c r="E101" s="323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309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N101" s="25"/>
      <c r="AP101" s="194"/>
    </row>
    <row r="102" spans="1:42" x14ac:dyDescent="0.2">
      <c r="A102" s="215"/>
      <c r="B102" s="320">
        <v>42050</v>
      </c>
      <c r="C102" s="324"/>
      <c r="D102" s="323"/>
      <c r="E102" s="323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309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N102" s="25"/>
      <c r="AP102" s="194"/>
    </row>
    <row r="103" spans="1:42" x14ac:dyDescent="0.2">
      <c r="A103" s="215"/>
      <c r="B103" s="320">
        <v>42051</v>
      </c>
      <c r="C103" s="324"/>
      <c r="D103" s="323"/>
      <c r="E103" s="323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309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N103" s="25"/>
      <c r="AP103" s="194"/>
    </row>
    <row r="104" spans="1:42" x14ac:dyDescent="0.2">
      <c r="A104" s="215"/>
      <c r="B104" s="320">
        <v>42053</v>
      </c>
      <c r="C104" s="324"/>
      <c r="D104" s="323"/>
      <c r="E104" s="323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309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N104" s="25"/>
      <c r="AP104" s="194"/>
    </row>
    <row r="105" spans="1:42" x14ac:dyDescent="0.2">
      <c r="A105" s="215"/>
      <c r="B105" s="320">
        <v>42054</v>
      </c>
      <c r="C105" s="324"/>
      <c r="D105" s="323"/>
      <c r="E105" s="323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309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N105" s="25"/>
      <c r="AP105" s="194"/>
    </row>
    <row r="106" spans="1:42" x14ac:dyDescent="0.2">
      <c r="A106" s="215"/>
      <c r="B106" s="320">
        <v>42063</v>
      </c>
      <c r="C106" s="324"/>
      <c r="D106" s="323"/>
      <c r="E106" s="323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309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N106" s="25"/>
      <c r="AP106" s="194"/>
    </row>
    <row r="107" spans="1:42" x14ac:dyDescent="0.2">
      <c r="A107" s="215"/>
      <c r="B107" s="320">
        <v>42062</v>
      </c>
      <c r="C107" s="324"/>
      <c r="D107" s="323"/>
      <c r="E107" s="323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309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N107" s="25"/>
      <c r="AP107" s="194"/>
    </row>
    <row r="108" spans="1:42" x14ac:dyDescent="0.2">
      <c r="A108" s="215"/>
      <c r="B108" s="320">
        <v>42060</v>
      </c>
      <c r="C108" s="324"/>
      <c r="D108" s="323"/>
      <c r="E108" s="323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309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N108" s="25"/>
      <c r="AP108" s="194"/>
    </row>
    <row r="109" spans="1:42" x14ac:dyDescent="0.2">
      <c r="A109" s="215" t="s">
        <v>436</v>
      </c>
      <c r="B109" s="320"/>
      <c r="C109" s="325"/>
      <c r="D109" s="323"/>
      <c r="E109" s="215"/>
      <c r="F109" s="215"/>
      <c r="G109" s="215"/>
      <c r="H109" s="215"/>
      <c r="I109" s="215"/>
      <c r="J109" s="215"/>
      <c r="K109" s="215"/>
      <c r="L109" s="215"/>
      <c r="M109" s="215"/>
      <c r="N109" s="215"/>
      <c r="O109" s="215"/>
      <c r="P109" s="309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N109" s="25"/>
    </row>
    <row r="110" spans="1:42" x14ac:dyDescent="0.2">
      <c r="A110" s="327" t="s">
        <v>32</v>
      </c>
      <c r="B110" s="320">
        <v>42061</v>
      </c>
      <c r="C110" s="318"/>
      <c r="D110" s="323"/>
      <c r="E110" s="215"/>
      <c r="F110" s="215"/>
      <c r="G110" s="470"/>
      <c r="H110" s="323"/>
      <c r="I110" s="215"/>
      <c r="J110" s="215"/>
      <c r="K110" s="215"/>
      <c r="L110" s="215"/>
      <c r="M110" s="215"/>
      <c r="N110" s="215"/>
      <c r="O110" s="215"/>
      <c r="P110" s="309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  <c r="AN110" s="25">
        <v>222914.55799999999</v>
      </c>
    </row>
    <row r="111" spans="1:42" x14ac:dyDescent="0.2">
      <c r="A111" s="327" t="s">
        <v>33</v>
      </c>
      <c r="B111" s="320">
        <v>42061</v>
      </c>
      <c r="C111" s="318"/>
      <c r="D111" s="323"/>
      <c r="E111" s="318"/>
      <c r="F111" s="311"/>
      <c r="G111" s="215"/>
      <c r="H111" s="215"/>
      <c r="I111" s="215"/>
      <c r="J111" s="215"/>
      <c r="K111" s="215"/>
      <c r="L111" s="215"/>
      <c r="M111" s="215"/>
      <c r="N111" s="215"/>
      <c r="O111" s="215"/>
      <c r="P111" s="309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</row>
    <row r="112" spans="1:42" x14ac:dyDescent="0.2">
      <c r="A112" s="327" t="s">
        <v>32</v>
      </c>
      <c r="B112" s="320">
        <v>42062</v>
      </c>
      <c r="C112" s="318"/>
      <c r="D112" s="215"/>
      <c r="E112" s="320"/>
      <c r="F112" s="311"/>
      <c r="G112" s="215"/>
      <c r="H112" s="215"/>
      <c r="I112" s="215"/>
      <c r="J112" s="215"/>
      <c r="K112" s="215"/>
      <c r="L112" s="215"/>
      <c r="M112" s="215"/>
      <c r="N112" s="215"/>
      <c r="O112" s="215"/>
      <c r="P112" s="309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  <c r="AN112" s="194">
        <f>AN110-AN93</f>
        <v>55537.753999999957</v>
      </c>
    </row>
    <row r="113" spans="1:34" x14ac:dyDescent="0.2">
      <c r="A113" s="327" t="s">
        <v>33</v>
      </c>
      <c r="B113" s="320">
        <v>42062</v>
      </c>
      <c r="C113" s="318"/>
      <c r="D113" s="215"/>
      <c r="E113" s="320"/>
      <c r="F113" s="311"/>
      <c r="G113" s="215"/>
      <c r="H113" s="215"/>
      <c r="I113" s="215"/>
      <c r="J113" s="215"/>
      <c r="K113" s="215"/>
      <c r="L113" s="215"/>
      <c r="M113" s="215"/>
      <c r="N113" s="215"/>
      <c r="O113" s="215"/>
      <c r="P113" s="309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</row>
    <row r="114" spans="1:34" x14ac:dyDescent="0.2">
      <c r="A114" s="327" t="s">
        <v>33</v>
      </c>
      <c r="B114" s="320">
        <v>42051</v>
      </c>
      <c r="C114" s="318"/>
      <c r="D114" s="215"/>
      <c r="E114" s="215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309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</row>
    <row r="115" spans="1:34" x14ac:dyDescent="0.2">
      <c r="A115" s="327" t="s">
        <v>33</v>
      </c>
      <c r="B115" s="320">
        <v>42024</v>
      </c>
      <c r="C115" s="318"/>
      <c r="D115" s="215"/>
      <c r="E115" s="323"/>
      <c r="F115" s="215"/>
      <c r="G115" s="215"/>
      <c r="H115" s="215"/>
      <c r="I115" s="215"/>
      <c r="J115" s="215"/>
      <c r="K115" s="215"/>
      <c r="L115" s="215"/>
      <c r="M115" s="215"/>
      <c r="N115" s="215"/>
      <c r="O115" s="215"/>
      <c r="P115" s="309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</row>
    <row r="116" spans="1:34" x14ac:dyDescent="0.2">
      <c r="A116" s="327" t="s">
        <v>32</v>
      </c>
      <c r="B116" s="320">
        <v>41918</v>
      </c>
      <c r="C116" s="318"/>
      <c r="D116" s="323"/>
      <c r="E116" s="323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309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</row>
    <row r="117" spans="1:34" x14ac:dyDescent="0.2">
      <c r="A117" s="327" t="s">
        <v>32</v>
      </c>
      <c r="B117" s="320">
        <v>41673</v>
      </c>
      <c r="C117" s="318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5"/>
      <c r="O117" s="215"/>
      <c r="P117" s="309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</row>
    <row r="118" spans="1:34" x14ac:dyDescent="0.2">
      <c r="A118" s="327" t="s">
        <v>32</v>
      </c>
      <c r="B118" s="320">
        <v>41673</v>
      </c>
      <c r="C118" s="318"/>
      <c r="D118" s="215"/>
      <c r="E118" s="323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309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</row>
    <row r="119" spans="1:34" x14ac:dyDescent="0.2">
      <c r="A119" s="327" t="s">
        <v>32</v>
      </c>
      <c r="B119" s="320">
        <v>41673</v>
      </c>
      <c r="C119" s="318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309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</row>
    <row r="120" spans="1:34" x14ac:dyDescent="0.2">
      <c r="A120" s="327" t="s">
        <v>33</v>
      </c>
      <c r="B120" s="320">
        <v>41673</v>
      </c>
      <c r="C120" s="318"/>
      <c r="D120" s="215"/>
      <c r="E120" s="500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309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</row>
    <row r="121" spans="1:34" x14ac:dyDescent="0.2">
      <c r="A121" s="327" t="s">
        <v>33</v>
      </c>
      <c r="B121" s="320">
        <v>41673</v>
      </c>
      <c r="C121" s="316"/>
      <c r="D121" s="215"/>
      <c r="E121" s="323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309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</row>
    <row r="122" spans="1:34" x14ac:dyDescent="0.2">
      <c r="A122" s="215"/>
      <c r="B122" s="321"/>
      <c r="C122" s="318"/>
      <c r="D122" s="215"/>
      <c r="E122" s="215"/>
      <c r="F122" s="215"/>
      <c r="G122" s="323"/>
      <c r="H122" s="323"/>
      <c r="I122" s="215"/>
      <c r="J122" s="215"/>
      <c r="K122" s="215"/>
      <c r="L122" s="215"/>
      <c r="M122" s="215"/>
      <c r="N122" s="215"/>
      <c r="O122" s="215"/>
      <c r="P122" s="309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</row>
    <row r="123" spans="1:34" x14ac:dyDescent="0.2">
      <c r="A123" s="215"/>
      <c r="B123" s="320"/>
      <c r="C123" s="262"/>
      <c r="D123" s="215"/>
      <c r="E123" s="215"/>
      <c r="F123" s="215"/>
      <c r="G123" s="323"/>
      <c r="H123" s="215"/>
      <c r="I123" s="215"/>
      <c r="J123" s="215"/>
      <c r="K123" s="215"/>
      <c r="L123" s="215"/>
      <c r="M123" s="215"/>
      <c r="N123" s="215"/>
      <c r="O123" s="215"/>
      <c r="P123" s="309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</row>
    <row r="124" spans="1:34" x14ac:dyDescent="0.2">
      <c r="A124" s="215"/>
      <c r="B124" s="320"/>
      <c r="C124" s="215"/>
      <c r="D124" s="215"/>
      <c r="E124" s="215"/>
      <c r="F124" s="215"/>
      <c r="G124" s="215"/>
      <c r="H124" s="316"/>
      <c r="I124" s="215"/>
      <c r="J124" s="215"/>
      <c r="K124" s="215"/>
      <c r="L124" s="215"/>
      <c r="M124" s="215"/>
      <c r="N124" s="215"/>
      <c r="O124" s="215"/>
      <c r="P124" s="309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</row>
    <row r="125" spans="1:34" x14ac:dyDescent="0.2">
      <c r="A125" s="215"/>
      <c r="B125" s="320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309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</row>
    <row r="126" spans="1:34" x14ac:dyDescent="0.2">
      <c r="A126" s="310"/>
      <c r="B126" s="320"/>
      <c r="C126" s="262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5"/>
      <c r="O126" s="215"/>
      <c r="P126" s="309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</row>
    <row r="127" spans="1:34" x14ac:dyDescent="0.2">
      <c r="A127" s="310"/>
      <c r="B127" s="320"/>
      <c r="C127" s="262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309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</row>
    <row r="128" spans="1:34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309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</row>
    <row r="129" spans="1:34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309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</row>
    <row r="130" spans="1:34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309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</row>
    <row r="131" spans="1:34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309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</row>
    <row r="132" spans="1:34" ht="13.5" thickBot="1" x14ac:dyDescent="0.25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309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</row>
    <row r="133" spans="1:34" x14ac:dyDescent="0.2">
      <c r="A133" s="263"/>
      <c r="B133" s="264"/>
      <c r="C133" s="264"/>
      <c r="D133" s="264"/>
      <c r="E133" s="264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860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15"/>
    </row>
    <row r="134" spans="1:34" x14ac:dyDescent="0.2">
      <c r="A134" s="265"/>
      <c r="B134" s="266" t="s">
        <v>37</v>
      </c>
      <c r="C134" s="266"/>
      <c r="D134" s="266"/>
      <c r="E134" s="267" t="s">
        <v>35</v>
      </c>
      <c r="F134" s="268" t="s">
        <v>95</v>
      </c>
      <c r="G134" s="269" t="s">
        <v>6</v>
      </c>
      <c r="H134" s="268"/>
      <c r="I134" s="268"/>
      <c r="J134" s="268"/>
      <c r="K134" s="268"/>
      <c r="L134" s="268"/>
      <c r="M134" s="268"/>
      <c r="N134" s="268"/>
      <c r="O134" s="268"/>
      <c r="P134" s="861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15"/>
    </row>
    <row r="135" spans="1:34" x14ac:dyDescent="0.2">
      <c r="A135" s="265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79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15"/>
    </row>
    <row r="136" spans="1:34" x14ac:dyDescent="0.2">
      <c r="A136" s="328"/>
      <c r="B136" s="266"/>
      <c r="C136" s="268"/>
      <c r="D136" s="268">
        <v>42074</v>
      </c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79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15"/>
    </row>
    <row r="137" spans="1:34" x14ac:dyDescent="0.2">
      <c r="A137" s="265"/>
      <c r="B137" s="266"/>
      <c r="C137" s="268"/>
      <c r="D137" s="268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79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15"/>
    </row>
    <row r="138" spans="1:34" ht="13.5" thickBot="1" x14ac:dyDescent="0.25">
      <c r="A138" s="265"/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79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  <c r="AH138" s="215"/>
    </row>
    <row r="139" spans="1:34" ht="13.5" thickBot="1" x14ac:dyDescent="0.25">
      <c r="A139" s="265"/>
      <c r="B139" s="266"/>
      <c r="C139" s="270"/>
      <c r="D139" s="271" t="s">
        <v>16</v>
      </c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  <c r="O139" s="271"/>
      <c r="P139" s="862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15"/>
    </row>
    <row r="140" spans="1:34" ht="13.5" thickBot="1" x14ac:dyDescent="0.25">
      <c r="A140" s="265"/>
      <c r="B140" s="266"/>
      <c r="C140" s="272" t="s">
        <v>452</v>
      </c>
      <c r="D140" s="272" t="s">
        <v>453</v>
      </c>
      <c r="E140" s="272" t="s">
        <v>434</v>
      </c>
      <c r="F140" s="272" t="s">
        <v>390</v>
      </c>
      <c r="G140" s="272" t="s">
        <v>454</v>
      </c>
      <c r="H140" s="272" t="s">
        <v>455</v>
      </c>
      <c r="I140" s="272" t="s">
        <v>456</v>
      </c>
      <c r="J140" s="272" t="s">
        <v>457</v>
      </c>
      <c r="K140" s="272" t="s">
        <v>458</v>
      </c>
      <c r="L140" s="272" t="s">
        <v>216</v>
      </c>
      <c r="M140" s="272" t="s">
        <v>459</v>
      </c>
      <c r="N140" s="272" t="s">
        <v>297</v>
      </c>
      <c r="O140" s="272" t="s">
        <v>211</v>
      </c>
      <c r="P140" s="863" t="s">
        <v>270</v>
      </c>
      <c r="Q140" s="272">
        <v>15</v>
      </c>
      <c r="R140" s="272">
        <v>16</v>
      </c>
      <c r="S140" s="272" t="s">
        <v>461</v>
      </c>
      <c r="T140" s="272" t="s">
        <v>442</v>
      </c>
      <c r="U140" s="272" t="s">
        <v>462</v>
      </c>
      <c r="V140" s="272" t="s">
        <v>470</v>
      </c>
      <c r="W140" s="272" t="s">
        <v>471</v>
      </c>
      <c r="X140" s="272" t="s">
        <v>472</v>
      </c>
      <c r="Y140" s="272" t="s">
        <v>463</v>
      </c>
      <c r="Z140" s="272" t="s">
        <v>465</v>
      </c>
      <c r="AA140" s="272" t="s">
        <v>466</v>
      </c>
      <c r="AB140" s="272" t="s">
        <v>435</v>
      </c>
      <c r="AC140" s="272" t="s">
        <v>467</v>
      </c>
      <c r="AD140" s="272" t="s">
        <v>464</v>
      </c>
      <c r="AE140" s="272" t="s">
        <v>429</v>
      </c>
      <c r="AF140" s="272" t="s">
        <v>149</v>
      </c>
      <c r="AG140" s="272" t="s">
        <v>210</v>
      </c>
      <c r="AH140" s="215"/>
    </row>
    <row r="141" spans="1:34" x14ac:dyDescent="0.2">
      <c r="A141" s="263"/>
      <c r="B141" s="273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79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15"/>
    </row>
    <row r="142" spans="1:34" x14ac:dyDescent="0.2">
      <c r="A142" s="265" t="s">
        <v>0</v>
      </c>
      <c r="B142" s="274">
        <v>-4147.1540000000005</v>
      </c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79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15"/>
    </row>
    <row r="143" spans="1:34" ht="13.5" thickBot="1" x14ac:dyDescent="0.25">
      <c r="A143" s="275"/>
      <c r="B143" s="27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79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15"/>
    </row>
    <row r="144" spans="1:34" x14ac:dyDescent="0.2">
      <c r="A144" s="263"/>
      <c r="B144" s="278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79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  <c r="AH144" s="215"/>
    </row>
    <row r="145" spans="1:34" x14ac:dyDescent="0.2">
      <c r="A145" s="265" t="s">
        <v>1</v>
      </c>
      <c r="B145" s="274">
        <f>B146+B147+B148</f>
        <v>0</v>
      </c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79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  <c r="AH145" s="215"/>
    </row>
    <row r="146" spans="1:34" x14ac:dyDescent="0.2">
      <c r="A146" s="265" t="s">
        <v>38</v>
      </c>
      <c r="B146" s="274">
        <f>C196</f>
        <v>0</v>
      </c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79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15"/>
    </row>
    <row r="147" spans="1:34" x14ac:dyDescent="0.2">
      <c r="A147" s="265" t="s">
        <v>39</v>
      </c>
      <c r="B147" s="274">
        <f>C216</f>
        <v>0</v>
      </c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79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  <c r="AH147" s="215"/>
    </row>
    <row r="148" spans="1:34" x14ac:dyDescent="0.2">
      <c r="A148" s="265" t="s">
        <v>3</v>
      </c>
      <c r="B148" s="274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79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  <c r="AH148" s="215"/>
    </row>
    <row r="149" spans="1:34" ht="13.5" thickBot="1" x14ac:dyDescent="0.25">
      <c r="A149" s="275"/>
      <c r="B149" s="27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79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  <c r="AH149" s="215"/>
    </row>
    <row r="150" spans="1:34" x14ac:dyDescent="0.2">
      <c r="A150" s="263"/>
      <c r="B150" s="278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79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  <c r="AH150" s="215"/>
    </row>
    <row r="151" spans="1:34" x14ac:dyDescent="0.2">
      <c r="A151" s="265" t="s">
        <v>4</v>
      </c>
      <c r="B151" s="274">
        <f>B142+B145</f>
        <v>-4147.1540000000005</v>
      </c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79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  <c r="AH151" s="215"/>
    </row>
    <row r="152" spans="1:34" ht="13.5" thickBot="1" x14ac:dyDescent="0.25">
      <c r="A152" s="275"/>
      <c r="B152" s="276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79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  <c r="AH152" s="215"/>
    </row>
    <row r="153" spans="1:34" x14ac:dyDescent="0.2">
      <c r="A153" s="263"/>
      <c r="B153" s="278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79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  <c r="AH153" s="215"/>
    </row>
    <row r="154" spans="1:34" x14ac:dyDescent="0.2">
      <c r="A154" s="265" t="s">
        <v>17</v>
      </c>
      <c r="B154" s="274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79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  <c r="AH154" s="215"/>
    </row>
    <row r="155" spans="1:34" ht="13.5" thickBot="1" x14ac:dyDescent="0.25">
      <c r="A155" s="275"/>
      <c r="B155" s="27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79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  <c r="AA155" s="266"/>
      <c r="AB155" s="266"/>
      <c r="AC155" s="266"/>
      <c r="AD155" s="266"/>
      <c r="AE155" s="266"/>
      <c r="AF155" s="266"/>
      <c r="AG155" s="266"/>
      <c r="AH155" s="215"/>
    </row>
    <row r="156" spans="1:34" x14ac:dyDescent="0.2">
      <c r="A156" s="263"/>
      <c r="B156" s="278"/>
      <c r="C156" s="266"/>
      <c r="D156" s="802" t="s">
        <v>250</v>
      </c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79"/>
      <c r="Q156" s="266"/>
      <c r="R156" s="266"/>
      <c r="S156" s="266"/>
      <c r="T156" s="266"/>
      <c r="U156" s="266"/>
      <c r="V156" s="266"/>
      <c r="W156" s="266"/>
      <c r="X156" s="266"/>
      <c r="Y156" s="266"/>
      <c r="Z156" s="266"/>
      <c r="AA156" s="266"/>
      <c r="AB156" s="266"/>
      <c r="AC156" s="802"/>
      <c r="AD156" s="266"/>
      <c r="AF156" s="266"/>
      <c r="AG156" s="266"/>
      <c r="AH156" s="215"/>
    </row>
    <row r="157" spans="1:34" x14ac:dyDescent="0.2">
      <c r="A157" s="265" t="s">
        <v>5</v>
      </c>
      <c r="B157" s="274">
        <f>B151-B154</f>
        <v>-4147.1540000000005</v>
      </c>
      <c r="C157" s="269"/>
      <c r="D157" s="802" t="s">
        <v>482</v>
      </c>
      <c r="E157" s="266"/>
      <c r="F157" s="266"/>
      <c r="G157" s="269"/>
      <c r="H157" s="269"/>
      <c r="I157" s="269"/>
      <c r="J157" s="266"/>
      <c r="K157" s="266"/>
      <c r="L157" s="707"/>
      <c r="M157" s="266"/>
      <c r="N157" s="266"/>
      <c r="O157" s="269"/>
      <c r="P157" s="281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707"/>
      <c r="AB157" s="269"/>
      <c r="AC157" s="802"/>
      <c r="AD157" s="269"/>
      <c r="AE157" s="483"/>
      <c r="AF157" s="269"/>
      <c r="AG157" s="269"/>
      <c r="AH157" s="215"/>
    </row>
    <row r="158" spans="1:34" ht="13.5" thickBot="1" x14ac:dyDescent="0.25">
      <c r="A158" s="275"/>
      <c r="B158" s="27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81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15"/>
    </row>
    <row r="159" spans="1:34" x14ac:dyDescent="0.2">
      <c r="A159" s="282"/>
      <c r="B159" s="266"/>
      <c r="C159" s="283"/>
      <c r="D159" s="285"/>
      <c r="E159" s="285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86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  <c r="AA159" s="284"/>
      <c r="AB159" s="284"/>
      <c r="AC159" s="284"/>
      <c r="AD159" s="284"/>
      <c r="AE159" s="284"/>
      <c r="AF159" s="284"/>
      <c r="AG159" s="284"/>
      <c r="AH159" s="215"/>
    </row>
    <row r="160" spans="1:34" ht="13.5" thickBot="1" x14ac:dyDescent="0.25">
      <c r="A160" s="287" t="s">
        <v>7</v>
      </c>
      <c r="B160" s="266"/>
      <c r="C160" s="288">
        <f>C161+C162+C163+C167+C166+C164+C165</f>
        <v>0</v>
      </c>
      <c r="D160" s="288">
        <f t="shared" ref="D160:AE160" si="16">D161+D162+D163+D167+D166+D164+D165</f>
        <v>0</v>
      </c>
      <c r="E160" s="288">
        <f t="shared" si="16"/>
        <v>0</v>
      </c>
      <c r="F160" s="288">
        <f t="shared" si="16"/>
        <v>0</v>
      </c>
      <c r="G160" s="288">
        <f t="shared" si="16"/>
        <v>0</v>
      </c>
      <c r="H160" s="288">
        <f t="shared" si="16"/>
        <v>0</v>
      </c>
      <c r="I160" s="288">
        <f t="shared" si="16"/>
        <v>0</v>
      </c>
      <c r="J160" s="288">
        <f t="shared" si="16"/>
        <v>0</v>
      </c>
      <c r="K160" s="288">
        <f t="shared" si="16"/>
        <v>0</v>
      </c>
      <c r="L160" s="288">
        <f t="shared" si="16"/>
        <v>0</v>
      </c>
      <c r="M160" s="288">
        <f t="shared" si="16"/>
        <v>0</v>
      </c>
      <c r="N160" s="288">
        <f t="shared" si="16"/>
        <v>0</v>
      </c>
      <c r="O160" s="288">
        <f t="shared" si="16"/>
        <v>0</v>
      </c>
      <c r="P160" s="865">
        <f t="shared" si="16"/>
        <v>0</v>
      </c>
      <c r="Q160" s="288">
        <f t="shared" si="16"/>
        <v>0</v>
      </c>
      <c r="R160" s="288">
        <f t="shared" si="16"/>
        <v>0</v>
      </c>
      <c r="S160" s="288">
        <f t="shared" si="16"/>
        <v>0</v>
      </c>
      <c r="T160" s="288">
        <f t="shared" si="16"/>
        <v>0</v>
      </c>
      <c r="U160" s="288">
        <f t="shared" si="16"/>
        <v>0</v>
      </c>
      <c r="V160" s="288">
        <f t="shared" si="16"/>
        <v>0</v>
      </c>
      <c r="W160" s="288">
        <f t="shared" si="16"/>
        <v>0</v>
      </c>
      <c r="X160" s="288">
        <f t="shared" si="16"/>
        <v>0</v>
      </c>
      <c r="Y160" s="288">
        <f t="shared" si="16"/>
        <v>0</v>
      </c>
      <c r="Z160" s="288">
        <f t="shared" si="16"/>
        <v>0</v>
      </c>
      <c r="AA160" s="288">
        <f t="shared" si="16"/>
        <v>0</v>
      </c>
      <c r="AB160" s="288">
        <f t="shared" si="16"/>
        <v>0</v>
      </c>
      <c r="AC160" s="288">
        <f t="shared" si="16"/>
        <v>0</v>
      </c>
      <c r="AD160" s="288">
        <f t="shared" si="16"/>
        <v>0</v>
      </c>
      <c r="AE160" s="288">
        <f t="shared" si="16"/>
        <v>0</v>
      </c>
      <c r="AF160" s="288">
        <f>AF161+AF162+AF163+AF167+AF166+AF164+AF165</f>
        <v>0</v>
      </c>
      <c r="AG160" s="288">
        <f>AG161+AG162+AG163+AG167+AG166+AG164+AG165</f>
        <v>0</v>
      </c>
      <c r="AH160" s="286">
        <f t="shared" ref="AH160:AH168" si="17">SUM(C160:AG160)</f>
        <v>0</v>
      </c>
    </row>
    <row r="161" spans="1:35" x14ac:dyDescent="0.2">
      <c r="A161" s="287" t="s">
        <v>8</v>
      </c>
      <c r="B161" s="266"/>
      <c r="C161" s="291"/>
      <c r="D161" s="291"/>
      <c r="E161" s="291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2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86">
        <f t="shared" si="17"/>
        <v>0</v>
      </c>
    </row>
    <row r="162" spans="1:35" x14ac:dyDescent="0.2">
      <c r="A162" s="287" t="s">
        <v>9</v>
      </c>
      <c r="B162" s="266"/>
      <c r="C162" s="291"/>
      <c r="D162" s="291"/>
      <c r="E162" s="291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2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86">
        <f t="shared" si="17"/>
        <v>0</v>
      </c>
    </row>
    <row r="163" spans="1:35" s="360" customFormat="1" x14ac:dyDescent="0.2">
      <c r="A163" s="662" t="s">
        <v>10</v>
      </c>
      <c r="B163" s="669"/>
      <c r="C163" s="664"/>
      <c r="D163" s="565"/>
      <c r="E163" s="565"/>
      <c r="F163" s="560"/>
      <c r="G163" s="560"/>
      <c r="H163" s="560"/>
      <c r="I163" s="560"/>
      <c r="J163" s="560"/>
      <c r="K163" s="560"/>
      <c r="L163" s="708"/>
      <c r="M163" s="560"/>
      <c r="N163" s="560"/>
      <c r="O163" s="560"/>
      <c r="P163" s="292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708"/>
      <c r="AB163" s="560"/>
      <c r="AC163" s="560"/>
      <c r="AD163" s="560"/>
      <c r="AE163" s="803"/>
      <c r="AF163" s="560"/>
      <c r="AG163" s="560"/>
      <c r="AH163" s="379">
        <f t="shared" si="17"/>
        <v>0</v>
      </c>
    </row>
    <row r="164" spans="1:35" s="360" customFormat="1" x14ac:dyDescent="0.2">
      <c r="A164" s="662" t="s">
        <v>356</v>
      </c>
      <c r="B164" s="669"/>
      <c r="C164" s="565"/>
      <c r="D164" s="565"/>
      <c r="E164" s="565"/>
      <c r="F164" s="560"/>
      <c r="G164" s="560"/>
      <c r="H164" s="560"/>
      <c r="I164" s="560"/>
      <c r="J164" s="560"/>
      <c r="K164" s="560"/>
      <c r="L164" s="560"/>
      <c r="M164" s="560"/>
      <c r="N164" s="560"/>
      <c r="O164" s="560"/>
      <c r="P164" s="292"/>
      <c r="Q164" s="560"/>
      <c r="R164" s="560"/>
      <c r="S164" s="560"/>
      <c r="T164" s="560"/>
      <c r="U164" s="560"/>
      <c r="V164" s="560"/>
      <c r="W164" s="560"/>
      <c r="X164" s="560"/>
      <c r="Y164" s="560"/>
      <c r="Z164" s="560"/>
      <c r="AA164" s="560"/>
      <c r="AB164" s="560"/>
      <c r="AC164" s="560"/>
      <c r="AD164" s="560"/>
      <c r="AE164" s="560"/>
      <c r="AF164" s="560"/>
      <c r="AG164" s="560"/>
      <c r="AH164" s="379">
        <f t="shared" si="17"/>
        <v>0</v>
      </c>
    </row>
    <row r="165" spans="1:35" x14ac:dyDescent="0.2">
      <c r="A165" s="287" t="s">
        <v>357</v>
      </c>
      <c r="B165" s="266"/>
      <c r="C165" s="289"/>
      <c r="D165" s="291"/>
      <c r="E165" s="289"/>
      <c r="F165" s="290"/>
      <c r="G165" s="290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86">
        <f t="shared" si="17"/>
        <v>0</v>
      </c>
    </row>
    <row r="166" spans="1:35" x14ac:dyDescent="0.2">
      <c r="A166" s="287" t="s">
        <v>41</v>
      </c>
      <c r="B166" s="266"/>
      <c r="C166" s="289"/>
      <c r="D166" s="291"/>
      <c r="E166" s="289"/>
      <c r="F166" s="290"/>
      <c r="G166" s="290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86">
        <f t="shared" si="17"/>
        <v>0</v>
      </c>
    </row>
    <row r="167" spans="1:35" x14ac:dyDescent="0.2">
      <c r="A167" s="287" t="s">
        <v>11</v>
      </c>
      <c r="B167" s="266"/>
      <c r="C167" s="291"/>
      <c r="D167" s="289"/>
      <c r="E167" s="289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86">
        <f t="shared" si="17"/>
        <v>0</v>
      </c>
    </row>
    <row r="168" spans="1:35" ht="13.5" thickBot="1" x14ac:dyDescent="0.25">
      <c r="A168" s="296"/>
      <c r="B168" s="266"/>
      <c r="C168" s="291"/>
      <c r="D168" s="291"/>
      <c r="E168" s="291"/>
      <c r="F168" s="290"/>
      <c r="G168" s="290"/>
      <c r="H168" s="290"/>
      <c r="I168" s="290"/>
      <c r="J168" s="290"/>
      <c r="K168" s="290"/>
      <c r="L168" s="290"/>
      <c r="M168" s="290"/>
      <c r="N168" s="290"/>
      <c r="O168" s="290"/>
      <c r="P168" s="292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  <c r="AE168" s="290"/>
      <c r="AF168" s="290"/>
      <c r="AG168" s="290"/>
      <c r="AH168" s="286">
        <f t="shared" si="17"/>
        <v>0</v>
      </c>
    </row>
    <row r="169" spans="1:35" x14ac:dyDescent="0.2">
      <c r="A169" s="282"/>
      <c r="B169" s="266"/>
      <c r="C169" s="297"/>
      <c r="D169" s="298"/>
      <c r="E169" s="298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866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  <c r="AA169" s="299"/>
      <c r="AB169" s="299"/>
      <c r="AC169" s="299"/>
      <c r="AD169" s="299"/>
      <c r="AE169" s="299"/>
      <c r="AF169" s="299"/>
      <c r="AG169" s="299"/>
      <c r="AH169" s="215"/>
    </row>
    <row r="170" spans="1:35" ht="13.5" thickBot="1" x14ac:dyDescent="0.25">
      <c r="A170" s="287" t="s">
        <v>12</v>
      </c>
      <c r="B170" s="266"/>
      <c r="C170" s="288">
        <f t="shared" ref="C170:AG170" si="18">C171</f>
        <v>0</v>
      </c>
      <c r="D170" s="288">
        <f t="shared" si="18"/>
        <v>0</v>
      </c>
      <c r="E170" s="288">
        <f t="shared" si="18"/>
        <v>0</v>
      </c>
      <c r="F170" s="288">
        <f t="shared" si="18"/>
        <v>0</v>
      </c>
      <c r="G170" s="288">
        <f t="shared" si="18"/>
        <v>0</v>
      </c>
      <c r="H170" s="288">
        <f t="shared" si="18"/>
        <v>0</v>
      </c>
      <c r="I170" s="288">
        <f t="shared" si="18"/>
        <v>0</v>
      </c>
      <c r="J170" s="288">
        <f t="shared" si="18"/>
        <v>0</v>
      </c>
      <c r="K170" s="288">
        <f t="shared" si="18"/>
        <v>0</v>
      </c>
      <c r="L170" s="288">
        <f t="shared" si="18"/>
        <v>0</v>
      </c>
      <c r="M170" s="288">
        <f t="shared" si="18"/>
        <v>0</v>
      </c>
      <c r="N170" s="288">
        <f t="shared" si="18"/>
        <v>0</v>
      </c>
      <c r="O170" s="288">
        <f t="shared" si="18"/>
        <v>0</v>
      </c>
      <c r="P170" s="865">
        <f t="shared" si="18"/>
        <v>0</v>
      </c>
      <c r="Q170" s="288">
        <f t="shared" si="18"/>
        <v>0</v>
      </c>
      <c r="R170" s="288">
        <f t="shared" si="18"/>
        <v>0</v>
      </c>
      <c r="S170" s="288">
        <f t="shared" si="18"/>
        <v>0</v>
      </c>
      <c r="T170" s="288">
        <f t="shared" si="18"/>
        <v>0</v>
      </c>
      <c r="U170" s="288">
        <f t="shared" si="18"/>
        <v>0</v>
      </c>
      <c r="V170" s="288">
        <f t="shared" si="18"/>
        <v>0</v>
      </c>
      <c r="W170" s="288">
        <f t="shared" si="18"/>
        <v>0</v>
      </c>
      <c r="X170" s="288">
        <f t="shared" si="18"/>
        <v>0</v>
      </c>
      <c r="Y170" s="288">
        <f t="shared" si="18"/>
        <v>0</v>
      </c>
      <c r="Z170" s="288">
        <f t="shared" si="18"/>
        <v>0</v>
      </c>
      <c r="AA170" s="288">
        <f t="shared" si="18"/>
        <v>0</v>
      </c>
      <c r="AB170" s="288">
        <f t="shared" si="18"/>
        <v>0</v>
      </c>
      <c r="AC170" s="288">
        <f t="shared" si="18"/>
        <v>0</v>
      </c>
      <c r="AD170" s="288">
        <f t="shared" si="18"/>
        <v>0</v>
      </c>
      <c r="AE170" s="288">
        <f t="shared" si="18"/>
        <v>0</v>
      </c>
      <c r="AF170" s="288">
        <f t="shared" si="18"/>
        <v>0</v>
      </c>
      <c r="AG170" s="288">
        <f t="shared" si="18"/>
        <v>0</v>
      </c>
      <c r="AH170" s="215"/>
    </row>
    <row r="171" spans="1:35" x14ac:dyDescent="0.2">
      <c r="A171" s="287" t="s">
        <v>8</v>
      </c>
      <c r="B171" s="266"/>
      <c r="C171" s="291"/>
      <c r="D171" s="291"/>
      <c r="E171" s="291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2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15"/>
    </row>
    <row r="172" spans="1:35" x14ac:dyDescent="0.2">
      <c r="A172" s="287" t="s">
        <v>775</v>
      </c>
      <c r="B172" s="266"/>
      <c r="C172" s="291"/>
      <c r="D172" s="291"/>
      <c r="E172" s="291"/>
      <c r="F172" s="290"/>
      <c r="G172" s="290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>
        <v>2000</v>
      </c>
      <c r="W172" s="292"/>
      <c r="X172" s="292"/>
      <c r="Y172" s="292"/>
      <c r="Z172" s="292"/>
      <c r="AA172" s="292">
        <v>6647</v>
      </c>
      <c r="AB172" s="292"/>
      <c r="AC172" s="292"/>
      <c r="AD172" s="292">
        <v>9375</v>
      </c>
      <c r="AE172" s="292"/>
      <c r="AF172" s="290"/>
      <c r="AG172" s="290"/>
      <c r="AH172" s="286">
        <f>SUM(C172:AG172)</f>
        <v>18022</v>
      </c>
    </row>
    <row r="173" spans="1:35" ht="13.5" thickBot="1" x14ac:dyDescent="0.25">
      <c r="A173" s="296"/>
      <c r="B173" s="266"/>
      <c r="C173" s="291"/>
      <c r="D173" s="291"/>
      <c r="E173" s="291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2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15"/>
    </row>
    <row r="174" spans="1:35" x14ac:dyDescent="0.2">
      <c r="A174" s="282"/>
      <c r="B174" s="266"/>
      <c r="C174" s="297"/>
      <c r="D174" s="298"/>
      <c r="E174" s="298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866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  <c r="AA174" s="299"/>
      <c r="AB174" s="299"/>
      <c r="AC174" s="299"/>
      <c r="AD174" s="299"/>
      <c r="AE174" s="299"/>
      <c r="AF174" s="299"/>
      <c r="AG174" s="299"/>
      <c r="AH174" s="215"/>
    </row>
    <row r="175" spans="1:35" x14ac:dyDescent="0.2">
      <c r="A175" s="287" t="s">
        <v>13</v>
      </c>
      <c r="B175" s="266"/>
      <c r="C175" s="300">
        <f t="shared" ref="C175:AE175" si="19">C170-C160</f>
        <v>0</v>
      </c>
      <c r="D175" s="300">
        <f t="shared" si="19"/>
        <v>0</v>
      </c>
      <c r="E175" s="300">
        <f t="shared" si="19"/>
        <v>0</v>
      </c>
      <c r="F175" s="300">
        <f t="shared" si="19"/>
        <v>0</v>
      </c>
      <c r="G175" s="300">
        <f t="shared" si="19"/>
        <v>0</v>
      </c>
      <c r="H175" s="300">
        <f t="shared" si="19"/>
        <v>0</v>
      </c>
      <c r="I175" s="300">
        <f t="shared" si="19"/>
        <v>0</v>
      </c>
      <c r="J175" s="300">
        <f t="shared" si="19"/>
        <v>0</v>
      </c>
      <c r="K175" s="300">
        <f t="shared" si="19"/>
        <v>0</v>
      </c>
      <c r="L175" s="300">
        <f t="shared" si="19"/>
        <v>0</v>
      </c>
      <c r="M175" s="300">
        <f t="shared" si="19"/>
        <v>0</v>
      </c>
      <c r="N175" s="300">
        <f t="shared" si="19"/>
        <v>0</v>
      </c>
      <c r="O175" s="300">
        <f t="shared" si="19"/>
        <v>0</v>
      </c>
      <c r="P175" s="867">
        <f t="shared" si="19"/>
        <v>0</v>
      </c>
      <c r="Q175" s="300">
        <f t="shared" si="19"/>
        <v>0</v>
      </c>
      <c r="R175" s="300">
        <f t="shared" si="19"/>
        <v>0</v>
      </c>
      <c r="S175" s="300">
        <f t="shared" si="19"/>
        <v>0</v>
      </c>
      <c r="T175" s="300">
        <f t="shared" si="19"/>
        <v>0</v>
      </c>
      <c r="U175" s="300">
        <f t="shared" si="19"/>
        <v>0</v>
      </c>
      <c r="V175" s="300">
        <f t="shared" si="19"/>
        <v>0</v>
      </c>
      <c r="W175" s="300">
        <f t="shared" si="19"/>
        <v>0</v>
      </c>
      <c r="X175" s="300">
        <f t="shared" si="19"/>
        <v>0</v>
      </c>
      <c r="Y175" s="300">
        <f t="shared" si="19"/>
        <v>0</v>
      </c>
      <c r="Z175" s="300">
        <f t="shared" si="19"/>
        <v>0</v>
      </c>
      <c r="AA175" s="300">
        <f t="shared" si="19"/>
        <v>0</v>
      </c>
      <c r="AB175" s="300">
        <f t="shared" si="19"/>
        <v>0</v>
      </c>
      <c r="AC175" s="300">
        <f t="shared" si="19"/>
        <v>0</v>
      </c>
      <c r="AD175" s="300">
        <f t="shared" si="19"/>
        <v>0</v>
      </c>
      <c r="AE175" s="300">
        <f t="shared" si="19"/>
        <v>0</v>
      </c>
      <c r="AF175" s="300">
        <f>AF170-AF160</f>
        <v>0</v>
      </c>
      <c r="AG175" s="300">
        <f>AG170-AG160</f>
        <v>0</v>
      </c>
      <c r="AH175" s="215"/>
    </row>
    <row r="176" spans="1:35" ht="13.5" thickBot="1" x14ac:dyDescent="0.25">
      <c r="A176" s="287"/>
      <c r="B176" s="266"/>
      <c r="C176" s="300"/>
      <c r="D176" s="291"/>
      <c r="E176" s="291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2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15"/>
      <c r="AI176" t="s">
        <v>813</v>
      </c>
    </row>
    <row r="177" spans="1:34" x14ac:dyDescent="0.2">
      <c r="A177" s="263"/>
      <c r="B177" s="264"/>
      <c r="C177" s="301"/>
      <c r="D177" s="298"/>
      <c r="E177" s="298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866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  <c r="AA177" s="299"/>
      <c r="AB177" s="299"/>
      <c r="AC177" s="299"/>
      <c r="AD177" s="299"/>
      <c r="AE177" s="299"/>
      <c r="AF177" s="299"/>
      <c r="AG177" s="299"/>
      <c r="AH177" s="215"/>
    </row>
    <row r="178" spans="1:34" x14ac:dyDescent="0.2">
      <c r="A178" s="265" t="s">
        <v>15</v>
      </c>
      <c r="B178" s="266"/>
      <c r="C178" s="291">
        <f>B157+C175</f>
        <v>-4147.1540000000005</v>
      </c>
      <c r="D178" s="291">
        <f t="shared" ref="D178:AE178" si="20">C185+D175</f>
        <v>-4147.1540000000005</v>
      </c>
      <c r="E178" s="291">
        <f t="shared" si="20"/>
        <v>-4147.1540000000005</v>
      </c>
      <c r="F178" s="291">
        <f t="shared" si="20"/>
        <v>-4147.1540000000005</v>
      </c>
      <c r="G178" s="291">
        <f t="shared" si="20"/>
        <v>-4147.1540000000005</v>
      </c>
      <c r="H178" s="291">
        <f t="shared" si="20"/>
        <v>-4147.1540000000005</v>
      </c>
      <c r="I178" s="291">
        <f t="shared" si="20"/>
        <v>-4147.1540000000005</v>
      </c>
      <c r="J178" s="291">
        <f t="shared" si="20"/>
        <v>-4147.1540000000005</v>
      </c>
      <c r="K178" s="291">
        <f t="shared" si="20"/>
        <v>-4147.1540000000005</v>
      </c>
      <c r="L178" s="291">
        <f t="shared" si="20"/>
        <v>-4147.1540000000005</v>
      </c>
      <c r="M178" s="291">
        <f t="shared" si="20"/>
        <v>-4147.1540000000005</v>
      </c>
      <c r="N178" s="291">
        <f t="shared" si="20"/>
        <v>-4147.1540000000005</v>
      </c>
      <c r="O178" s="291">
        <f t="shared" si="20"/>
        <v>-4147.1540000000005</v>
      </c>
      <c r="P178" s="289">
        <f t="shared" si="20"/>
        <v>-4147.1540000000005</v>
      </c>
      <c r="Q178" s="291">
        <f t="shared" si="20"/>
        <v>-4147.1540000000005</v>
      </c>
      <c r="R178" s="291">
        <f>Q185+R175</f>
        <v>-4147.1540000000005</v>
      </c>
      <c r="S178" s="291">
        <f>R185+S175</f>
        <v>-4147.1540000000005</v>
      </c>
      <c r="T178" s="291">
        <f>S185+T175</f>
        <v>-4147.1540000000005</v>
      </c>
      <c r="U178" s="291">
        <f>T185+U175</f>
        <v>-4147.1540000000005</v>
      </c>
      <c r="V178" s="291">
        <f>U185+V175</f>
        <v>-4147.1540000000005</v>
      </c>
      <c r="W178" s="291">
        <f t="shared" si="20"/>
        <v>-4147.1540000000005</v>
      </c>
      <c r="X178" s="291">
        <f t="shared" si="20"/>
        <v>-4147.1540000000005</v>
      </c>
      <c r="Y178" s="291">
        <f t="shared" si="20"/>
        <v>-4147.1540000000005</v>
      </c>
      <c r="Z178" s="291">
        <f t="shared" si="20"/>
        <v>-4147.1540000000005</v>
      </c>
      <c r="AA178" s="291">
        <f t="shared" si="20"/>
        <v>-4147.1540000000005</v>
      </c>
      <c r="AB178" s="291">
        <f t="shared" si="20"/>
        <v>-4147.1540000000005</v>
      </c>
      <c r="AC178" s="291">
        <f t="shared" si="20"/>
        <v>-4147.1540000000005</v>
      </c>
      <c r="AD178" s="291">
        <f t="shared" si="20"/>
        <v>-4147.1540000000005</v>
      </c>
      <c r="AE178" s="291">
        <f t="shared" si="20"/>
        <v>-4147.1540000000005</v>
      </c>
      <c r="AF178" s="291">
        <f>AE185+AF175</f>
        <v>-4147.1540000000005</v>
      </c>
      <c r="AG178" s="291">
        <f>AF185+AG175</f>
        <v>-4147.1540000000005</v>
      </c>
      <c r="AH178" s="215"/>
    </row>
    <row r="179" spans="1:34" ht="13.5" thickBot="1" x14ac:dyDescent="0.25">
      <c r="A179" s="275"/>
      <c r="B179" s="302"/>
      <c r="C179" s="303"/>
      <c r="D179" s="303"/>
      <c r="E179" s="303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868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215"/>
    </row>
    <row r="180" spans="1:34" x14ac:dyDescent="0.2">
      <c r="A180" s="263"/>
      <c r="B180" s="264"/>
      <c r="C180" s="298"/>
      <c r="D180" s="298"/>
      <c r="E180" s="298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866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  <c r="AB180" s="299"/>
      <c r="AC180" s="299"/>
      <c r="AD180" s="299"/>
      <c r="AE180" s="299"/>
      <c r="AF180" s="299"/>
      <c r="AG180" s="299"/>
      <c r="AH180" s="215"/>
    </row>
    <row r="181" spans="1:34" x14ac:dyDescent="0.2">
      <c r="A181" s="265" t="s">
        <v>82</v>
      </c>
      <c r="B181" s="266"/>
      <c r="C181" s="291">
        <f t="shared" ref="C181:AE182" si="21">C189</f>
        <v>0</v>
      </c>
      <c r="D181" s="291">
        <f t="shared" si="21"/>
        <v>0</v>
      </c>
      <c r="E181" s="291">
        <f t="shared" si="21"/>
        <v>0</v>
      </c>
      <c r="F181" s="291">
        <f t="shared" si="21"/>
        <v>0</v>
      </c>
      <c r="G181" s="291">
        <f t="shared" si="21"/>
        <v>0</v>
      </c>
      <c r="H181" s="291">
        <f t="shared" si="21"/>
        <v>0</v>
      </c>
      <c r="I181" s="291">
        <f t="shared" si="21"/>
        <v>0</v>
      </c>
      <c r="J181" s="291">
        <f t="shared" si="21"/>
        <v>0</v>
      </c>
      <c r="K181" s="291">
        <f t="shared" si="21"/>
        <v>0</v>
      </c>
      <c r="L181" s="291">
        <f t="shared" si="21"/>
        <v>0</v>
      </c>
      <c r="M181" s="291">
        <f t="shared" si="21"/>
        <v>0</v>
      </c>
      <c r="N181" s="291">
        <f t="shared" si="21"/>
        <v>0</v>
      </c>
      <c r="O181" s="291">
        <f t="shared" si="21"/>
        <v>0</v>
      </c>
      <c r="P181" s="289">
        <f t="shared" si="21"/>
        <v>0</v>
      </c>
      <c r="Q181" s="291">
        <f t="shared" si="21"/>
        <v>0</v>
      </c>
      <c r="R181" s="291">
        <f t="shared" si="21"/>
        <v>0</v>
      </c>
      <c r="S181" s="291">
        <f t="shared" si="21"/>
        <v>0</v>
      </c>
      <c r="T181" s="291">
        <f t="shared" si="21"/>
        <v>0</v>
      </c>
      <c r="U181" s="291">
        <f t="shared" si="21"/>
        <v>0</v>
      </c>
      <c r="V181" s="291">
        <f t="shared" si="21"/>
        <v>0</v>
      </c>
      <c r="W181" s="291">
        <f t="shared" si="21"/>
        <v>0</v>
      </c>
      <c r="X181" s="291">
        <f t="shared" si="21"/>
        <v>0</v>
      </c>
      <c r="Y181" s="291">
        <f t="shared" si="21"/>
        <v>0</v>
      </c>
      <c r="Z181" s="291">
        <f t="shared" si="21"/>
        <v>0</v>
      </c>
      <c r="AA181" s="291">
        <f t="shared" si="21"/>
        <v>0</v>
      </c>
      <c r="AB181" s="291">
        <f t="shared" si="21"/>
        <v>0</v>
      </c>
      <c r="AC181" s="291">
        <f t="shared" si="21"/>
        <v>0</v>
      </c>
      <c r="AD181" s="291">
        <f t="shared" si="21"/>
        <v>0</v>
      </c>
      <c r="AE181" s="291">
        <f t="shared" si="21"/>
        <v>0</v>
      </c>
      <c r="AF181" s="291">
        <f>AF189</f>
        <v>0</v>
      </c>
      <c r="AG181" s="291">
        <f>AG189</f>
        <v>0</v>
      </c>
      <c r="AH181" s="215"/>
    </row>
    <row r="182" spans="1:34" x14ac:dyDescent="0.2">
      <c r="A182" s="265" t="s">
        <v>83</v>
      </c>
      <c r="B182" s="266"/>
      <c r="C182" s="289">
        <f t="shared" si="21"/>
        <v>0</v>
      </c>
      <c r="D182" s="289">
        <f t="shared" si="21"/>
        <v>0</v>
      </c>
      <c r="E182" s="289">
        <f t="shared" si="21"/>
        <v>0</v>
      </c>
      <c r="F182" s="289">
        <f t="shared" si="21"/>
        <v>0</v>
      </c>
      <c r="G182" s="289">
        <f t="shared" si="21"/>
        <v>0</v>
      </c>
      <c r="H182" s="289">
        <f t="shared" si="21"/>
        <v>0</v>
      </c>
      <c r="I182" s="289">
        <f t="shared" si="21"/>
        <v>0</v>
      </c>
      <c r="J182" s="289">
        <f t="shared" si="21"/>
        <v>0</v>
      </c>
      <c r="K182" s="289">
        <f t="shared" si="21"/>
        <v>0</v>
      </c>
      <c r="L182" s="289">
        <f t="shared" si="21"/>
        <v>0</v>
      </c>
      <c r="M182" s="289">
        <f t="shared" si="21"/>
        <v>0</v>
      </c>
      <c r="N182" s="289">
        <f t="shared" si="21"/>
        <v>0</v>
      </c>
      <c r="O182" s="289">
        <f t="shared" si="21"/>
        <v>0</v>
      </c>
      <c r="P182" s="289">
        <f t="shared" si="21"/>
        <v>0</v>
      </c>
      <c r="Q182" s="289">
        <f t="shared" si="21"/>
        <v>0</v>
      </c>
      <c r="R182" s="289">
        <f t="shared" si="21"/>
        <v>0</v>
      </c>
      <c r="S182" s="289">
        <f t="shared" si="21"/>
        <v>0</v>
      </c>
      <c r="T182" s="289">
        <f t="shared" si="21"/>
        <v>0</v>
      </c>
      <c r="U182" s="289">
        <f t="shared" si="21"/>
        <v>0</v>
      </c>
      <c r="V182" s="289">
        <f t="shared" si="21"/>
        <v>0</v>
      </c>
      <c r="W182" s="289">
        <f t="shared" si="21"/>
        <v>0</v>
      </c>
      <c r="X182" s="289">
        <f t="shared" si="21"/>
        <v>0</v>
      </c>
      <c r="Y182" s="289">
        <f t="shared" si="21"/>
        <v>0</v>
      </c>
      <c r="Z182" s="289">
        <f t="shared" si="21"/>
        <v>0</v>
      </c>
      <c r="AA182" s="289">
        <f t="shared" si="21"/>
        <v>0</v>
      </c>
      <c r="AB182" s="289">
        <f t="shared" si="21"/>
        <v>0</v>
      </c>
      <c r="AC182" s="289">
        <f t="shared" si="21"/>
        <v>0</v>
      </c>
      <c r="AD182" s="289">
        <f t="shared" si="21"/>
        <v>0</v>
      </c>
      <c r="AE182" s="289">
        <f t="shared" si="21"/>
        <v>0</v>
      </c>
      <c r="AF182" s="289">
        <f>AF190</f>
        <v>0</v>
      </c>
      <c r="AG182" s="289">
        <f>AG190</f>
        <v>0</v>
      </c>
      <c r="AH182" s="215"/>
    </row>
    <row r="183" spans="1:34" ht="13.5" thickBot="1" x14ac:dyDescent="0.25">
      <c r="A183" s="275"/>
      <c r="B183" s="302"/>
      <c r="C183" s="303"/>
      <c r="D183" s="303"/>
      <c r="E183" s="303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868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215"/>
    </row>
    <row r="184" spans="1:34" x14ac:dyDescent="0.2">
      <c r="A184" s="265"/>
      <c r="B184" s="266"/>
      <c r="C184" s="291"/>
      <c r="D184" s="291"/>
      <c r="E184" s="291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2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309"/>
    </row>
    <row r="185" spans="1:34" x14ac:dyDescent="0.2">
      <c r="A185" s="265" t="s">
        <v>14</v>
      </c>
      <c r="B185" s="266"/>
      <c r="C185" s="291">
        <f t="shared" ref="C185:AE185" si="22">C178+C181+C182</f>
        <v>-4147.1540000000005</v>
      </c>
      <c r="D185" s="291">
        <f t="shared" si="22"/>
        <v>-4147.1540000000005</v>
      </c>
      <c r="E185" s="291">
        <f t="shared" si="22"/>
        <v>-4147.1540000000005</v>
      </c>
      <c r="F185" s="291">
        <f t="shared" si="22"/>
        <v>-4147.1540000000005</v>
      </c>
      <c r="G185" s="291">
        <f t="shared" si="22"/>
        <v>-4147.1540000000005</v>
      </c>
      <c r="H185" s="291">
        <f t="shared" si="22"/>
        <v>-4147.1540000000005</v>
      </c>
      <c r="I185" s="291">
        <f t="shared" si="22"/>
        <v>-4147.1540000000005</v>
      </c>
      <c r="J185" s="291">
        <f t="shared" si="22"/>
        <v>-4147.1540000000005</v>
      </c>
      <c r="K185" s="291">
        <f t="shared" si="22"/>
        <v>-4147.1540000000005</v>
      </c>
      <c r="L185" s="291">
        <f t="shared" si="22"/>
        <v>-4147.1540000000005</v>
      </c>
      <c r="M185" s="291">
        <f t="shared" si="22"/>
        <v>-4147.1540000000005</v>
      </c>
      <c r="N185" s="291">
        <f t="shared" si="22"/>
        <v>-4147.1540000000005</v>
      </c>
      <c r="O185" s="291">
        <f t="shared" si="22"/>
        <v>-4147.1540000000005</v>
      </c>
      <c r="P185" s="289">
        <f t="shared" si="22"/>
        <v>-4147.1540000000005</v>
      </c>
      <c r="Q185" s="291">
        <f t="shared" si="22"/>
        <v>-4147.1540000000005</v>
      </c>
      <c r="R185" s="291">
        <f t="shared" si="22"/>
        <v>-4147.1540000000005</v>
      </c>
      <c r="S185" s="291">
        <f t="shared" si="22"/>
        <v>-4147.1540000000005</v>
      </c>
      <c r="T185" s="291">
        <f t="shared" si="22"/>
        <v>-4147.1540000000005</v>
      </c>
      <c r="U185" s="291">
        <f t="shared" si="22"/>
        <v>-4147.1540000000005</v>
      </c>
      <c r="V185" s="291">
        <f t="shared" si="22"/>
        <v>-4147.1540000000005</v>
      </c>
      <c r="W185" s="291">
        <f t="shared" si="22"/>
        <v>-4147.1540000000005</v>
      </c>
      <c r="X185" s="291">
        <f t="shared" si="22"/>
        <v>-4147.1540000000005</v>
      </c>
      <c r="Y185" s="291">
        <f t="shared" si="22"/>
        <v>-4147.1540000000005</v>
      </c>
      <c r="Z185" s="291">
        <f t="shared" si="22"/>
        <v>-4147.1540000000005</v>
      </c>
      <c r="AA185" s="291">
        <f t="shared" si="22"/>
        <v>-4147.1540000000005</v>
      </c>
      <c r="AB185" s="291">
        <f t="shared" si="22"/>
        <v>-4147.1540000000005</v>
      </c>
      <c r="AC185" s="291">
        <f t="shared" si="22"/>
        <v>-4147.1540000000005</v>
      </c>
      <c r="AD185" s="291">
        <f t="shared" si="22"/>
        <v>-4147.1540000000005</v>
      </c>
      <c r="AE185" s="291">
        <f t="shared" si="22"/>
        <v>-4147.1540000000005</v>
      </c>
      <c r="AF185" s="291">
        <f>AF178+AF181+AF182</f>
        <v>-4147.1540000000005</v>
      </c>
      <c r="AG185" s="291">
        <f>AG178+AG181+AG182</f>
        <v>-4147.1540000000005</v>
      </c>
      <c r="AH185" s="308"/>
    </row>
    <row r="186" spans="1:34" x14ac:dyDescent="0.2">
      <c r="A186" s="265"/>
      <c r="B186" s="266"/>
      <c r="C186" s="291"/>
      <c r="D186" s="291"/>
      <c r="E186" s="291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2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309"/>
    </row>
    <row r="187" spans="1:34" ht="13.5" thickBot="1" x14ac:dyDescent="0.25">
      <c r="A187" s="275"/>
      <c r="B187" s="302"/>
      <c r="C187" s="306"/>
      <c r="D187" s="306"/>
      <c r="E187" s="306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869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9"/>
    </row>
    <row r="188" spans="1:34" x14ac:dyDescent="0.2">
      <c r="A188" s="310"/>
      <c r="B188" s="215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308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309"/>
    </row>
    <row r="189" spans="1:34" x14ac:dyDescent="0.2">
      <c r="A189" s="312"/>
      <c r="B189" s="475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629"/>
      <c r="P189" s="629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  <c r="AA189" s="408"/>
      <c r="AB189" s="311"/>
      <c r="AC189" s="311"/>
      <c r="AD189" s="311"/>
      <c r="AE189" s="311"/>
      <c r="AF189" s="311"/>
      <c r="AG189" s="311"/>
      <c r="AH189" s="308"/>
    </row>
    <row r="190" spans="1:34" x14ac:dyDescent="0.2">
      <c r="A190" s="310"/>
      <c r="B190" s="215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  <c r="O190" s="311"/>
      <c r="P190" s="629"/>
      <c r="Q190" s="311"/>
      <c r="R190" s="311"/>
      <c r="S190" s="311"/>
      <c r="T190" s="311"/>
      <c r="U190" s="311"/>
      <c r="V190" s="311"/>
      <c r="W190" s="311"/>
      <c r="X190" s="311"/>
      <c r="Y190" s="311"/>
      <c r="Z190" s="311"/>
      <c r="AA190" s="311"/>
      <c r="AB190" s="311"/>
      <c r="AC190" s="311"/>
      <c r="AD190" s="311"/>
      <c r="AE190" s="311"/>
      <c r="AF190" s="311"/>
      <c r="AG190" s="311"/>
      <c r="AH190" s="308"/>
    </row>
    <row r="191" spans="1:34" x14ac:dyDescent="0.2">
      <c r="A191" s="358" t="s">
        <v>415</v>
      </c>
      <c r="B191" s="359">
        <f>SUM(B192:B195)</f>
        <v>375000</v>
      </c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309"/>
      <c r="Q191" s="215"/>
      <c r="R191" s="215"/>
      <c r="S191" s="215"/>
      <c r="T191" s="456"/>
      <c r="U191" s="262"/>
      <c r="V191" s="215"/>
      <c r="W191" s="215"/>
      <c r="X191" s="215"/>
      <c r="Y191" s="215"/>
      <c r="Z191" s="215"/>
      <c r="AA191" s="408"/>
      <c r="AB191" s="215"/>
      <c r="AC191" s="215"/>
      <c r="AD191" s="215"/>
      <c r="AE191" s="215"/>
      <c r="AF191" s="215"/>
      <c r="AG191" s="215"/>
      <c r="AH191" s="215"/>
    </row>
    <row r="192" spans="1:34" x14ac:dyDescent="0.2">
      <c r="A192" s="327" t="s">
        <v>414</v>
      </c>
      <c r="B192" s="311">
        <v>25000</v>
      </c>
      <c r="C192" s="215"/>
      <c r="D192" s="30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309"/>
      <c r="Q192" s="215"/>
      <c r="R192" s="215"/>
      <c r="S192" s="311"/>
      <c r="T192" s="320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</row>
    <row r="193" spans="1:34" x14ac:dyDescent="0.2">
      <c r="A193" s="327" t="s">
        <v>287</v>
      </c>
      <c r="B193" s="311">
        <v>200000</v>
      </c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309"/>
      <c r="Q193" s="215"/>
      <c r="R193" s="215"/>
      <c r="S193" s="311"/>
      <c r="T193" s="320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</row>
    <row r="194" spans="1:34" x14ac:dyDescent="0.2">
      <c r="A194" s="310" t="s">
        <v>413</v>
      </c>
      <c r="B194" s="329">
        <v>75000</v>
      </c>
      <c r="C194" s="215"/>
      <c r="D194" s="215"/>
      <c r="E194" s="215"/>
      <c r="F194" s="215"/>
      <c r="G194" s="215"/>
      <c r="H194" s="215"/>
      <c r="I194" s="215"/>
      <c r="J194" s="215"/>
      <c r="K194" s="215"/>
      <c r="L194" s="286"/>
      <c r="M194" s="215"/>
      <c r="N194" s="215"/>
      <c r="O194" s="215"/>
      <c r="P194" s="309"/>
      <c r="Q194" s="215"/>
      <c r="R194" s="215"/>
      <c r="S194" s="311"/>
      <c r="T194" s="320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</row>
    <row r="195" spans="1:34" x14ac:dyDescent="0.2">
      <c r="A195" s="310" t="s">
        <v>441</v>
      </c>
      <c r="B195" s="311">
        <v>75000</v>
      </c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309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</row>
    <row r="196" spans="1:34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309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</row>
    <row r="197" spans="1:34" ht="13.5" thickBot="1" x14ac:dyDescent="0.25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5"/>
      <c r="O197" s="215"/>
      <c r="P197" s="309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 s="215"/>
      <c r="AC197" s="215"/>
      <c r="AD197" s="215"/>
      <c r="AE197" s="215"/>
      <c r="AF197" s="215"/>
      <c r="AG197" s="215"/>
      <c r="AH197" s="215"/>
    </row>
    <row r="198" spans="1:34" x14ac:dyDescent="0.2">
      <c r="A198" s="263"/>
      <c r="B198" s="264"/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4"/>
      <c r="N198" s="264"/>
      <c r="O198" s="264"/>
      <c r="P198" s="860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15"/>
    </row>
    <row r="199" spans="1:34" x14ac:dyDescent="0.2">
      <c r="A199" s="265"/>
      <c r="B199" s="266" t="s">
        <v>37</v>
      </c>
      <c r="C199" s="266"/>
      <c r="D199" s="266"/>
      <c r="E199" s="267" t="s">
        <v>35</v>
      </c>
      <c r="F199" s="268" t="s">
        <v>96</v>
      </c>
      <c r="G199" s="269"/>
      <c r="H199" s="268"/>
      <c r="I199" s="268"/>
      <c r="J199" s="268"/>
      <c r="K199" s="268"/>
      <c r="L199" s="268"/>
      <c r="M199" s="268"/>
      <c r="N199" s="268"/>
      <c r="O199" s="268"/>
      <c r="P199" s="861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15"/>
    </row>
    <row r="200" spans="1:34" x14ac:dyDescent="0.2">
      <c r="A200" s="265"/>
      <c r="B200" s="266"/>
      <c r="C200" s="266"/>
      <c r="D200" s="266"/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79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  <c r="AH200" s="215"/>
    </row>
    <row r="201" spans="1:34" x14ac:dyDescent="0.2">
      <c r="A201" s="265"/>
      <c r="B201" s="266"/>
      <c r="C201" s="268"/>
      <c r="D201" s="268">
        <v>42093</v>
      </c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79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  <c r="AH201" s="215"/>
    </row>
    <row r="202" spans="1:34" x14ac:dyDescent="0.2">
      <c r="A202" s="265"/>
      <c r="B202" s="266"/>
      <c r="C202" s="268"/>
      <c r="D202" s="268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79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  <c r="AH202" s="215"/>
    </row>
    <row r="203" spans="1:34" ht="13.5" thickBot="1" x14ac:dyDescent="0.25">
      <c r="A203" s="265"/>
      <c r="B203" s="266"/>
      <c r="C203" s="266"/>
      <c r="D203" s="266"/>
      <c r="E203" s="266"/>
      <c r="F203" s="266"/>
      <c r="G203" s="266"/>
      <c r="H203" s="266"/>
      <c r="I203" s="266"/>
      <c r="J203" s="266"/>
      <c r="K203" s="266"/>
      <c r="L203" s="266"/>
      <c r="M203" s="266"/>
      <c r="N203" s="266"/>
      <c r="O203" s="266"/>
      <c r="P203" s="279"/>
      <c r="Q203" s="266"/>
      <c r="R203" s="266"/>
      <c r="S203" s="266"/>
      <c r="T203" s="266"/>
      <c r="U203" s="266"/>
      <c r="V203" s="266"/>
      <c r="W203" s="266"/>
      <c r="X203" s="266"/>
      <c r="Y203" s="266"/>
      <c r="Z203" s="266"/>
      <c r="AA203" s="266"/>
      <c r="AB203" s="266"/>
      <c r="AC203" s="266"/>
      <c r="AD203" s="266"/>
      <c r="AE203" s="266"/>
      <c r="AF203" s="266"/>
      <c r="AG203" s="266"/>
      <c r="AH203" s="215"/>
    </row>
    <row r="204" spans="1:34" ht="13.5" thickBot="1" x14ac:dyDescent="0.25">
      <c r="A204" s="265"/>
      <c r="B204" s="266"/>
      <c r="C204" s="270"/>
      <c r="D204" s="271" t="s">
        <v>16</v>
      </c>
      <c r="E204" s="271"/>
      <c r="F204" s="271"/>
      <c r="G204" s="271"/>
      <c r="H204" s="271"/>
      <c r="I204" s="271"/>
      <c r="J204" s="271"/>
      <c r="K204" s="271"/>
      <c r="L204" s="271"/>
      <c r="M204" s="271"/>
      <c r="N204" s="271"/>
      <c r="O204" s="271"/>
      <c r="P204" s="862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  <c r="AA204" s="271"/>
      <c r="AB204" s="271"/>
      <c r="AC204" s="271"/>
      <c r="AD204" s="271"/>
      <c r="AE204" s="271"/>
      <c r="AF204" s="271"/>
      <c r="AG204" s="271"/>
      <c r="AH204" s="215"/>
    </row>
    <row r="205" spans="1:34" ht="13.5" thickBot="1" x14ac:dyDescent="0.25">
      <c r="A205" s="265"/>
      <c r="B205" s="266"/>
      <c r="C205" s="272" t="s">
        <v>452</v>
      </c>
      <c r="D205" s="272" t="s">
        <v>453</v>
      </c>
      <c r="E205" s="272" t="s">
        <v>434</v>
      </c>
      <c r="F205" s="272" t="s">
        <v>390</v>
      </c>
      <c r="G205" s="272" t="s">
        <v>454</v>
      </c>
      <c r="H205" s="272" t="s">
        <v>455</v>
      </c>
      <c r="I205" s="272" t="s">
        <v>456</v>
      </c>
      <c r="J205" s="272" t="s">
        <v>457</v>
      </c>
      <c r="K205" s="272" t="s">
        <v>458</v>
      </c>
      <c r="L205" s="272" t="s">
        <v>216</v>
      </c>
      <c r="M205" s="272" t="s">
        <v>459</v>
      </c>
      <c r="N205" s="272" t="s">
        <v>297</v>
      </c>
      <c r="O205" s="272" t="s">
        <v>211</v>
      </c>
      <c r="P205" s="863" t="s">
        <v>270</v>
      </c>
      <c r="Q205" s="272"/>
      <c r="R205" s="272" t="s">
        <v>469</v>
      </c>
      <c r="S205" s="272" t="s">
        <v>461</v>
      </c>
      <c r="T205" s="272" t="s">
        <v>442</v>
      </c>
      <c r="U205" s="272" t="s">
        <v>462</v>
      </c>
      <c r="V205" s="272" t="s">
        <v>470</v>
      </c>
      <c r="W205" s="272" t="s">
        <v>471</v>
      </c>
      <c r="X205" s="272" t="s">
        <v>472</v>
      </c>
      <c r="Y205" s="272" t="s">
        <v>463</v>
      </c>
      <c r="Z205" s="272" t="s">
        <v>465</v>
      </c>
      <c r="AA205" s="272" t="s">
        <v>466</v>
      </c>
      <c r="AB205" s="272" t="s">
        <v>435</v>
      </c>
      <c r="AC205" s="272" t="s">
        <v>467</v>
      </c>
      <c r="AD205" s="272" t="s">
        <v>464</v>
      </c>
      <c r="AE205" s="272" t="s">
        <v>429</v>
      </c>
      <c r="AF205" s="272" t="s">
        <v>149</v>
      </c>
      <c r="AG205" s="272" t="s">
        <v>210</v>
      </c>
      <c r="AH205" s="215"/>
    </row>
    <row r="206" spans="1:34" x14ac:dyDescent="0.2">
      <c r="A206" s="263"/>
      <c r="B206" s="273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79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  <c r="AH206" s="215"/>
    </row>
    <row r="207" spans="1:34" x14ac:dyDescent="0.2">
      <c r="A207" s="265" t="s">
        <v>0</v>
      </c>
      <c r="B207" s="274">
        <v>48845.245000000003</v>
      </c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79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  <c r="AH207" s="215"/>
    </row>
    <row r="208" spans="1:34" ht="13.5" thickBot="1" x14ac:dyDescent="0.25">
      <c r="A208" s="275"/>
      <c r="B208" s="27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79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15"/>
    </row>
    <row r="209" spans="1:34" x14ac:dyDescent="0.2">
      <c r="A209" s="263"/>
      <c r="B209" s="278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79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15"/>
    </row>
    <row r="210" spans="1:34" x14ac:dyDescent="0.2">
      <c r="A210" s="265" t="s">
        <v>1</v>
      </c>
      <c r="B210" s="274">
        <f>B211+B212+B213</f>
        <v>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79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15"/>
    </row>
    <row r="211" spans="1:34" x14ac:dyDescent="0.2">
      <c r="A211" s="265" t="s">
        <v>38</v>
      </c>
      <c r="B211" s="274">
        <f>C259</f>
        <v>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79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  <c r="AH211" s="215"/>
    </row>
    <row r="212" spans="1:34" x14ac:dyDescent="0.2">
      <c r="A212" s="265" t="s">
        <v>39</v>
      </c>
      <c r="B212" s="274">
        <f>C281</f>
        <v>0</v>
      </c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79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  <c r="AH212" s="215"/>
    </row>
    <row r="213" spans="1:34" x14ac:dyDescent="0.2">
      <c r="A213" s="265" t="s">
        <v>3</v>
      </c>
      <c r="B213" s="274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79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15"/>
    </row>
    <row r="214" spans="1:34" ht="13.5" thickBot="1" x14ac:dyDescent="0.25">
      <c r="A214" s="275"/>
      <c r="B214" s="27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79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  <c r="AH214" s="215"/>
    </row>
    <row r="215" spans="1:34" x14ac:dyDescent="0.2">
      <c r="A215" s="263"/>
      <c r="B215" s="278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79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  <c r="AH215" s="215"/>
    </row>
    <row r="216" spans="1:34" x14ac:dyDescent="0.2">
      <c r="A216" s="265" t="s">
        <v>4</v>
      </c>
      <c r="B216" s="274">
        <f>B207-B210</f>
        <v>48845.245000000003</v>
      </c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79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  <c r="AH216" s="215"/>
    </row>
    <row r="217" spans="1:34" ht="13.5" thickBot="1" x14ac:dyDescent="0.25">
      <c r="A217" s="275"/>
      <c r="B217" s="276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79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  <c r="AH217" s="215"/>
    </row>
    <row r="218" spans="1:34" x14ac:dyDescent="0.2">
      <c r="A218" s="263"/>
      <c r="B218" s="278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79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15"/>
    </row>
    <row r="219" spans="1:34" x14ac:dyDescent="0.2">
      <c r="A219" s="265" t="s">
        <v>17</v>
      </c>
      <c r="B219" s="274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79"/>
      <c r="Q219" s="266"/>
      <c r="R219" s="266"/>
      <c r="S219" s="266"/>
      <c r="T219" s="266"/>
      <c r="U219" s="266"/>
      <c r="V219" s="266"/>
      <c r="W219" s="266"/>
      <c r="X219" s="266"/>
      <c r="Y219" s="266"/>
      <c r="Z219" s="266"/>
      <c r="AA219" s="266"/>
      <c r="AB219" s="266"/>
      <c r="AC219" s="266"/>
      <c r="AD219" s="266"/>
      <c r="AE219" s="266"/>
      <c r="AF219" s="266"/>
      <c r="AG219" s="266"/>
      <c r="AH219" s="215"/>
    </row>
    <row r="220" spans="1:34" ht="13.5" thickBot="1" x14ac:dyDescent="0.25">
      <c r="A220" s="275"/>
      <c r="B220" s="276"/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  <c r="N220" s="266"/>
      <c r="O220" s="266"/>
      <c r="P220" s="279"/>
      <c r="Q220" s="266"/>
      <c r="R220" s="266"/>
      <c r="S220" s="266"/>
      <c r="T220" s="266"/>
      <c r="U220" s="266"/>
      <c r="V220" s="266"/>
      <c r="W220" s="266"/>
      <c r="X220" s="330"/>
      <c r="Y220" s="266"/>
      <c r="Z220" s="266"/>
      <c r="AA220" s="266"/>
      <c r="AB220" s="266"/>
      <c r="AC220" s="266"/>
      <c r="AD220" s="266"/>
      <c r="AE220" s="266"/>
      <c r="AF220" s="266"/>
      <c r="AG220" s="266"/>
      <c r="AH220" s="215"/>
    </row>
    <row r="221" spans="1:34" x14ac:dyDescent="0.2">
      <c r="A221" s="263"/>
      <c r="B221" s="278"/>
      <c r="C221" s="266"/>
      <c r="E221" s="266"/>
      <c r="F221" s="266"/>
      <c r="G221" s="266"/>
      <c r="H221" s="266"/>
      <c r="I221" s="266"/>
      <c r="J221" s="269"/>
      <c r="K221" s="266"/>
      <c r="L221" s="266"/>
      <c r="M221" s="266"/>
      <c r="N221" s="266"/>
      <c r="O221" s="266"/>
      <c r="P221" s="279"/>
      <c r="Q221" s="266"/>
      <c r="R221" s="266"/>
      <c r="S221" s="266"/>
      <c r="T221" s="266"/>
      <c r="U221" s="266"/>
      <c r="V221" s="266"/>
      <c r="W221" s="266"/>
      <c r="X221" s="266"/>
      <c r="Y221" s="266"/>
      <c r="Z221" s="266"/>
      <c r="AA221" s="266"/>
      <c r="AB221" s="269"/>
      <c r="AC221" s="810"/>
      <c r="AD221" s="802"/>
      <c r="AE221" s="269"/>
      <c r="AG221" s="266"/>
      <c r="AH221" s="215"/>
    </row>
    <row r="222" spans="1:34" x14ac:dyDescent="0.2">
      <c r="A222" s="265" t="s">
        <v>5</v>
      </c>
      <c r="B222" s="274">
        <f>B216-B219</f>
        <v>48845.245000000003</v>
      </c>
      <c r="E222" s="269"/>
      <c r="G222" s="269"/>
      <c r="H222" s="269"/>
      <c r="I222" s="269"/>
      <c r="J222" s="269"/>
      <c r="K222" s="281"/>
      <c r="L222" s="269"/>
      <c r="M222" s="269"/>
      <c r="N222" s="281"/>
      <c r="O222" s="269"/>
      <c r="P222" s="279"/>
      <c r="Q222" s="746"/>
      <c r="R222" s="266"/>
      <c r="S222" s="269"/>
      <c r="T222" s="269"/>
      <c r="U222" s="269"/>
      <c r="V222" s="269"/>
      <c r="W222" s="266"/>
      <c r="X222" s="710"/>
      <c r="Y222" s="269"/>
      <c r="Z222" s="266"/>
      <c r="AA222" s="269"/>
      <c r="AB222" s="269"/>
      <c r="AC222" s="810"/>
      <c r="AD222" s="802"/>
      <c r="AE222" s="269"/>
      <c r="AG222" s="266"/>
      <c r="AH222" s="215"/>
    </row>
    <row r="223" spans="1:34" ht="13.5" thickBot="1" x14ac:dyDescent="0.25">
      <c r="A223" s="275"/>
      <c r="B223" s="276"/>
      <c r="D223" s="266"/>
      <c r="E223" s="266"/>
      <c r="F223" s="266"/>
      <c r="G223" s="266"/>
      <c r="H223" s="266"/>
      <c r="I223" s="266"/>
      <c r="J223" s="269"/>
      <c r="K223" s="266"/>
      <c r="L223" s="266"/>
      <c r="M223" s="266"/>
      <c r="N223" s="266"/>
      <c r="O223" s="266"/>
      <c r="P223" s="279"/>
      <c r="Q223" s="266"/>
      <c r="R223" s="266"/>
      <c r="S223" s="266"/>
      <c r="T223" s="266"/>
      <c r="U223" s="269"/>
      <c r="V223" s="266"/>
      <c r="W223" s="266"/>
      <c r="X223" s="266"/>
      <c r="Y223" s="266"/>
      <c r="Z223" s="266"/>
      <c r="AA223" s="266"/>
      <c r="AB223" s="266"/>
      <c r="AC223" s="266"/>
      <c r="AD223" s="266"/>
      <c r="AE223" s="266"/>
      <c r="AF223" s="266"/>
      <c r="AG223" s="266"/>
      <c r="AH223" s="215"/>
    </row>
    <row r="224" spans="1:34" x14ac:dyDescent="0.2">
      <c r="A224" s="282"/>
      <c r="B224" s="266"/>
      <c r="C224" s="283"/>
      <c r="D224" s="285"/>
      <c r="E224" s="284"/>
      <c r="F224" s="284"/>
      <c r="G224" s="284"/>
      <c r="H224" s="284"/>
      <c r="I224" s="284"/>
      <c r="J224" s="284"/>
      <c r="K224" s="284"/>
      <c r="L224" s="284"/>
      <c r="M224" s="284"/>
      <c r="N224" s="284"/>
      <c r="O224" s="284"/>
      <c r="P224" s="864"/>
      <c r="Q224" s="284"/>
      <c r="R224" s="284"/>
      <c r="S224" s="284"/>
      <c r="T224" s="284"/>
      <c r="U224" s="284"/>
      <c r="V224" s="284"/>
      <c r="W224" s="284"/>
      <c r="X224" s="284"/>
      <c r="Y224" s="284"/>
      <c r="Z224" s="284"/>
      <c r="AA224" s="284"/>
      <c r="AB224" s="284"/>
      <c r="AC224" s="284"/>
      <c r="AD224" s="284"/>
      <c r="AE224" s="284"/>
      <c r="AF224" s="284"/>
      <c r="AG224" s="284"/>
      <c r="AH224" s="215"/>
    </row>
    <row r="225" spans="1:34" ht="13.5" thickBot="1" x14ac:dyDescent="0.25">
      <c r="A225" s="287" t="s">
        <v>7</v>
      </c>
      <c r="B225" s="266"/>
      <c r="C225" s="288">
        <f>C226+C227+C228+C230+C229</f>
        <v>0</v>
      </c>
      <c r="D225" s="288">
        <f>D226+D227+D228+D230+D229</f>
        <v>0</v>
      </c>
      <c r="E225" s="288">
        <f>E226+E227+E228+E230+E229</f>
        <v>0</v>
      </c>
      <c r="F225" s="288">
        <f>F226+F227+F228+F230+F229</f>
        <v>0</v>
      </c>
      <c r="G225" s="288">
        <f>G226+G227+G228+G230+G229</f>
        <v>0</v>
      </c>
      <c r="H225" s="288">
        <f t="shared" ref="H225:AG225" si="23">H226+H227+H228+H230+H229</f>
        <v>0</v>
      </c>
      <c r="I225" s="288">
        <f t="shared" si="23"/>
        <v>0</v>
      </c>
      <c r="J225" s="288">
        <f t="shared" si="23"/>
        <v>0</v>
      </c>
      <c r="K225" s="288">
        <f t="shared" si="23"/>
        <v>0</v>
      </c>
      <c r="L225" s="288">
        <f t="shared" si="23"/>
        <v>0</v>
      </c>
      <c r="M225" s="288">
        <f t="shared" si="23"/>
        <v>0</v>
      </c>
      <c r="N225" s="288">
        <f t="shared" si="23"/>
        <v>0</v>
      </c>
      <c r="O225" s="288">
        <f t="shared" si="23"/>
        <v>0</v>
      </c>
      <c r="P225" s="865">
        <f t="shared" si="23"/>
        <v>0</v>
      </c>
      <c r="Q225" s="288">
        <f t="shared" si="23"/>
        <v>0</v>
      </c>
      <c r="R225" s="288">
        <f t="shared" si="23"/>
        <v>0</v>
      </c>
      <c r="S225" s="288">
        <f t="shared" si="23"/>
        <v>0</v>
      </c>
      <c r="T225" s="288">
        <f t="shared" si="23"/>
        <v>0</v>
      </c>
      <c r="U225" s="288">
        <f t="shared" si="23"/>
        <v>0</v>
      </c>
      <c r="V225" s="288">
        <f t="shared" si="23"/>
        <v>0</v>
      </c>
      <c r="W225" s="288">
        <f t="shared" si="23"/>
        <v>0</v>
      </c>
      <c r="X225" s="288">
        <f t="shared" si="23"/>
        <v>0</v>
      </c>
      <c r="Y225" s="288">
        <f t="shared" si="23"/>
        <v>0</v>
      </c>
      <c r="Z225" s="288">
        <f t="shared" si="23"/>
        <v>0</v>
      </c>
      <c r="AA225" s="288">
        <f t="shared" si="23"/>
        <v>0</v>
      </c>
      <c r="AB225" s="288">
        <f t="shared" si="23"/>
        <v>0</v>
      </c>
      <c r="AC225" s="288">
        <f t="shared" si="23"/>
        <v>0</v>
      </c>
      <c r="AD225" s="288">
        <f>AD226+AD227+AD228+AD230+AD229</f>
        <v>0</v>
      </c>
      <c r="AE225" s="288">
        <f t="shared" si="23"/>
        <v>0</v>
      </c>
      <c r="AF225" s="288">
        <f t="shared" si="23"/>
        <v>0</v>
      </c>
      <c r="AG225" s="288">
        <f t="shared" si="23"/>
        <v>0</v>
      </c>
      <c r="AH225" s="286">
        <f>SUM(C225:AG225)</f>
        <v>0</v>
      </c>
    </row>
    <row r="226" spans="1:34" x14ac:dyDescent="0.2">
      <c r="A226" s="287" t="s">
        <v>8</v>
      </c>
      <c r="B226" s="331"/>
      <c r="C226" s="291"/>
      <c r="D226" s="291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2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86">
        <f>SUM(C226:AG226)</f>
        <v>0</v>
      </c>
    </row>
    <row r="227" spans="1:34" x14ac:dyDescent="0.2">
      <c r="A227" s="287" t="s">
        <v>9</v>
      </c>
      <c r="B227" s="331"/>
      <c r="C227" s="291"/>
      <c r="D227" s="291"/>
      <c r="E227" s="290"/>
      <c r="F227" s="290"/>
      <c r="G227" s="290"/>
      <c r="H227" s="290"/>
      <c r="I227" s="290"/>
      <c r="J227" s="290"/>
      <c r="K227" s="290"/>
      <c r="L227" s="290"/>
      <c r="M227" s="295"/>
      <c r="N227" s="290"/>
      <c r="O227" s="290"/>
      <c r="P227" s="292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86">
        <f>SUM(C227:AG227)</f>
        <v>0</v>
      </c>
    </row>
    <row r="228" spans="1:34" s="360" customFormat="1" x14ac:dyDescent="0.2">
      <c r="A228" s="662" t="s">
        <v>10</v>
      </c>
      <c r="B228" s="669"/>
      <c r="C228" s="565"/>
      <c r="D228" s="565"/>
      <c r="E228" s="560"/>
      <c r="F228" s="560"/>
      <c r="G228" s="560"/>
      <c r="H228" s="560"/>
      <c r="I228" s="560"/>
      <c r="J228" s="560"/>
      <c r="K228" s="560"/>
      <c r="L228" s="380"/>
      <c r="M228" s="560"/>
      <c r="N228" s="560"/>
      <c r="O228" s="560"/>
      <c r="P228" s="560"/>
      <c r="Q228" s="747"/>
      <c r="R228" s="560"/>
      <c r="S228" s="560"/>
      <c r="T228" s="560"/>
      <c r="U228" s="560"/>
      <c r="V228" s="560"/>
      <c r="W228" s="560"/>
      <c r="X228" s="708"/>
      <c r="Y228" s="560"/>
      <c r="Z228" s="560"/>
      <c r="AA228" s="560"/>
      <c r="AB228" s="560"/>
      <c r="AC228" s="811"/>
      <c r="AD228" s="803"/>
      <c r="AE228" s="560"/>
      <c r="AF228" s="560"/>
      <c r="AG228" s="560"/>
      <c r="AH228" s="379">
        <f>SUM(C228:AG228)</f>
        <v>0</v>
      </c>
    </row>
    <row r="229" spans="1:34" s="360" customFormat="1" x14ac:dyDescent="0.2">
      <c r="A229" s="662" t="s">
        <v>356</v>
      </c>
      <c r="B229" s="669"/>
      <c r="C229" s="565"/>
      <c r="D229" s="565"/>
      <c r="E229" s="565"/>
      <c r="F229" s="560"/>
      <c r="G229" s="560"/>
      <c r="H229" s="560"/>
      <c r="I229" s="560"/>
      <c r="J229" s="560"/>
      <c r="K229" s="560"/>
      <c r="L229" s="560"/>
      <c r="M229" s="560"/>
      <c r="N229" s="560"/>
      <c r="O229" s="560"/>
      <c r="P229" s="560"/>
      <c r="Q229" s="560"/>
      <c r="R229" s="560"/>
      <c r="S229" s="560"/>
      <c r="T229" s="560"/>
      <c r="U229" s="560"/>
      <c r="V229" s="560"/>
      <c r="W229" s="560"/>
      <c r="X229" s="560"/>
      <c r="Y229" s="560"/>
      <c r="Z229" s="560"/>
      <c r="AA229" s="560"/>
      <c r="AB229" s="560"/>
      <c r="AC229" s="560"/>
      <c r="AD229" s="560"/>
      <c r="AE229" s="560"/>
      <c r="AF229" s="560"/>
      <c r="AG229" s="560"/>
      <c r="AH229" s="379">
        <f>SUM(C229:AG229)</f>
        <v>0</v>
      </c>
    </row>
    <row r="230" spans="1:34" x14ac:dyDescent="0.2">
      <c r="A230" s="287" t="s">
        <v>11</v>
      </c>
      <c r="B230" s="266"/>
      <c r="C230" s="291"/>
      <c r="D230" s="289"/>
      <c r="E230" s="289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15"/>
    </row>
    <row r="231" spans="1:34" ht="13.5" thickBot="1" x14ac:dyDescent="0.25">
      <c r="A231" s="296"/>
      <c r="B231" s="266"/>
      <c r="C231" s="291"/>
      <c r="D231" s="291"/>
      <c r="E231" s="291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2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15"/>
    </row>
    <row r="232" spans="1:34" x14ac:dyDescent="0.2">
      <c r="A232" s="282"/>
      <c r="B232" s="266"/>
      <c r="C232" s="297"/>
      <c r="D232" s="298"/>
      <c r="E232" s="298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866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  <c r="AA232" s="299"/>
      <c r="AB232" s="299"/>
      <c r="AC232" s="299"/>
      <c r="AD232" s="299"/>
      <c r="AE232" s="299"/>
      <c r="AF232" s="299"/>
      <c r="AG232" s="299"/>
      <c r="AH232" s="215"/>
    </row>
    <row r="233" spans="1:34" ht="13.5" thickBot="1" x14ac:dyDescent="0.25">
      <c r="A233" s="287" t="s">
        <v>12</v>
      </c>
      <c r="B233" s="266"/>
      <c r="C233" s="288">
        <f>C234</f>
        <v>0</v>
      </c>
      <c r="D233" s="288">
        <f t="shared" ref="D233:AG233" si="24">D234</f>
        <v>0</v>
      </c>
      <c r="E233" s="288">
        <f t="shared" si="24"/>
        <v>0</v>
      </c>
      <c r="F233" s="288">
        <f t="shared" si="24"/>
        <v>0</v>
      </c>
      <c r="G233" s="288">
        <f t="shared" si="24"/>
        <v>0</v>
      </c>
      <c r="H233" s="288">
        <f t="shared" si="24"/>
        <v>0</v>
      </c>
      <c r="I233" s="288">
        <f t="shared" si="24"/>
        <v>0</v>
      </c>
      <c r="J233" s="288">
        <f t="shared" si="24"/>
        <v>0</v>
      </c>
      <c r="K233" s="288">
        <f t="shared" si="24"/>
        <v>0</v>
      </c>
      <c r="L233" s="288">
        <f t="shared" si="24"/>
        <v>0</v>
      </c>
      <c r="M233" s="288">
        <f t="shared" si="24"/>
        <v>0</v>
      </c>
      <c r="N233" s="288">
        <f t="shared" si="24"/>
        <v>0</v>
      </c>
      <c r="O233" s="288">
        <f t="shared" si="24"/>
        <v>0</v>
      </c>
      <c r="P233" s="865">
        <f t="shared" si="24"/>
        <v>0</v>
      </c>
      <c r="Q233" s="288">
        <f t="shared" si="24"/>
        <v>0</v>
      </c>
      <c r="R233" s="288">
        <f t="shared" si="24"/>
        <v>0</v>
      </c>
      <c r="S233" s="288">
        <f t="shared" si="24"/>
        <v>0</v>
      </c>
      <c r="T233" s="288">
        <f t="shared" si="24"/>
        <v>0</v>
      </c>
      <c r="U233" s="288">
        <f t="shared" si="24"/>
        <v>0</v>
      </c>
      <c r="V233" s="288">
        <f t="shared" si="24"/>
        <v>0</v>
      </c>
      <c r="W233" s="288">
        <f t="shared" si="24"/>
        <v>0</v>
      </c>
      <c r="X233" s="288">
        <f t="shared" si="24"/>
        <v>0</v>
      </c>
      <c r="Y233" s="288">
        <f t="shared" si="24"/>
        <v>0</v>
      </c>
      <c r="Z233" s="288">
        <f t="shared" si="24"/>
        <v>0</v>
      </c>
      <c r="AA233" s="288">
        <f t="shared" si="24"/>
        <v>0</v>
      </c>
      <c r="AB233" s="288">
        <f t="shared" si="24"/>
        <v>0</v>
      </c>
      <c r="AC233" s="288">
        <f t="shared" si="24"/>
        <v>0</v>
      </c>
      <c r="AD233" s="288">
        <f t="shared" si="24"/>
        <v>0</v>
      </c>
      <c r="AE233" s="288">
        <f t="shared" si="24"/>
        <v>0</v>
      </c>
      <c r="AF233" s="288">
        <f t="shared" si="24"/>
        <v>0</v>
      </c>
      <c r="AG233" s="288">
        <f t="shared" si="24"/>
        <v>0</v>
      </c>
      <c r="AH233" s="215"/>
    </row>
    <row r="234" spans="1:34" x14ac:dyDescent="0.2">
      <c r="A234" s="287" t="s">
        <v>8</v>
      </c>
      <c r="B234" s="266"/>
      <c r="C234" s="291"/>
      <c r="D234" s="291"/>
      <c r="E234" s="291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2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15"/>
    </row>
    <row r="235" spans="1:34" x14ac:dyDescent="0.2">
      <c r="A235" s="287" t="s">
        <v>775</v>
      </c>
      <c r="B235" s="266"/>
      <c r="C235" s="291">
        <v>1433</v>
      </c>
      <c r="D235" s="291"/>
      <c r="E235" s="291">
        <v>550</v>
      </c>
      <c r="F235" s="290">
        <v>2459</v>
      </c>
      <c r="G235" s="290">
        <v>13764</v>
      </c>
      <c r="H235" s="290">
        <v>893</v>
      </c>
      <c r="I235" s="290"/>
      <c r="J235" s="290">
        <v>3100</v>
      </c>
      <c r="K235" s="290">
        <v>4408</v>
      </c>
      <c r="L235" s="290">
        <v>11782</v>
      </c>
      <c r="M235" s="290">
        <v>2225</v>
      </c>
      <c r="N235" s="290"/>
      <c r="O235" s="290">
        <v>2000</v>
      </c>
      <c r="P235" s="292"/>
      <c r="Q235" s="290">
        <v>15452</v>
      </c>
      <c r="R235" s="290"/>
      <c r="S235" s="290"/>
      <c r="T235" s="290"/>
      <c r="U235" s="290"/>
      <c r="V235" s="290">
        <v>16986</v>
      </c>
      <c r="W235" s="290"/>
      <c r="X235" s="290"/>
      <c r="Y235" s="290">
        <v>5487</v>
      </c>
      <c r="Z235" s="290"/>
      <c r="AA235" s="290">
        <v>3631</v>
      </c>
      <c r="AB235" s="290"/>
      <c r="AC235" s="290">
        <v>900</v>
      </c>
      <c r="AD235" s="290">
        <v>14491</v>
      </c>
      <c r="AE235" s="290"/>
      <c r="AF235" s="290"/>
      <c r="AG235" s="290"/>
      <c r="AH235" s="286">
        <f>SUM(C235:AG235)</f>
        <v>99561</v>
      </c>
    </row>
    <row r="236" spans="1:34" ht="13.5" thickBot="1" x14ac:dyDescent="0.25">
      <c r="A236" s="296"/>
      <c r="B236" s="266"/>
      <c r="C236" s="291"/>
      <c r="D236" s="291"/>
      <c r="E236" s="291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2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15"/>
    </row>
    <row r="237" spans="1:34" x14ac:dyDescent="0.2">
      <c r="A237" s="282"/>
      <c r="B237" s="266"/>
      <c r="C237" s="297"/>
      <c r="D237" s="298"/>
      <c r="E237" s="298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866"/>
      <c r="Q237" s="299"/>
      <c r="R237" s="299"/>
      <c r="S237" s="299"/>
      <c r="T237" s="299"/>
      <c r="U237" s="299"/>
      <c r="V237" s="299"/>
      <c r="W237" s="299"/>
      <c r="X237" s="299"/>
      <c r="Y237" s="299"/>
      <c r="Z237" s="299"/>
      <c r="AA237" s="299"/>
      <c r="AB237" s="299"/>
      <c r="AC237" s="299"/>
      <c r="AD237" s="299"/>
      <c r="AE237" s="299"/>
      <c r="AF237" s="299"/>
      <c r="AG237" s="299"/>
      <c r="AH237" s="215"/>
    </row>
    <row r="238" spans="1:34" x14ac:dyDescent="0.2">
      <c r="A238" s="287" t="s">
        <v>13</v>
      </c>
      <c r="B238" s="266"/>
      <c r="C238" s="300">
        <f>C233-C225</f>
        <v>0</v>
      </c>
      <c r="D238" s="300">
        <f>D233-D225</f>
        <v>0</v>
      </c>
      <c r="E238" s="300">
        <f>E233-E225</f>
        <v>0</v>
      </c>
      <c r="F238" s="300">
        <f>F233-F225</f>
        <v>0</v>
      </c>
      <c r="G238" s="300">
        <f>G233-G225</f>
        <v>0</v>
      </c>
      <c r="H238" s="300">
        <f t="shared" ref="H238:AG238" si="25">H233-H225</f>
        <v>0</v>
      </c>
      <c r="I238" s="300">
        <f t="shared" si="25"/>
        <v>0</v>
      </c>
      <c r="J238" s="300">
        <f t="shared" si="25"/>
        <v>0</v>
      </c>
      <c r="K238" s="300">
        <f t="shared" si="25"/>
        <v>0</v>
      </c>
      <c r="L238" s="300">
        <f t="shared" si="25"/>
        <v>0</v>
      </c>
      <c r="M238" s="300">
        <f t="shared" si="25"/>
        <v>0</v>
      </c>
      <c r="N238" s="300">
        <f t="shared" si="25"/>
        <v>0</v>
      </c>
      <c r="O238" s="300">
        <f t="shared" si="25"/>
        <v>0</v>
      </c>
      <c r="P238" s="867">
        <f t="shared" si="25"/>
        <v>0</v>
      </c>
      <c r="Q238" s="300">
        <f t="shared" si="25"/>
        <v>0</v>
      </c>
      <c r="R238" s="300">
        <f t="shared" si="25"/>
        <v>0</v>
      </c>
      <c r="S238" s="300">
        <f t="shared" si="25"/>
        <v>0</v>
      </c>
      <c r="T238" s="300">
        <f t="shared" si="25"/>
        <v>0</v>
      </c>
      <c r="U238" s="300">
        <f t="shared" si="25"/>
        <v>0</v>
      </c>
      <c r="V238" s="300">
        <f t="shared" si="25"/>
        <v>0</v>
      </c>
      <c r="W238" s="300">
        <f t="shared" si="25"/>
        <v>0</v>
      </c>
      <c r="X238" s="300">
        <f t="shared" si="25"/>
        <v>0</v>
      </c>
      <c r="Y238" s="300">
        <f t="shared" si="25"/>
        <v>0</v>
      </c>
      <c r="Z238" s="300">
        <f t="shared" si="25"/>
        <v>0</v>
      </c>
      <c r="AA238" s="300">
        <f t="shared" si="25"/>
        <v>0</v>
      </c>
      <c r="AB238" s="300">
        <f t="shared" si="25"/>
        <v>0</v>
      </c>
      <c r="AC238" s="300">
        <f t="shared" si="25"/>
        <v>0</v>
      </c>
      <c r="AD238" s="300">
        <f t="shared" si="25"/>
        <v>0</v>
      </c>
      <c r="AE238" s="300">
        <f t="shared" si="25"/>
        <v>0</v>
      </c>
      <c r="AF238" s="300">
        <f t="shared" si="25"/>
        <v>0</v>
      </c>
      <c r="AG238" s="300">
        <f t="shared" si="25"/>
        <v>0</v>
      </c>
      <c r="AH238" s="215"/>
    </row>
    <row r="239" spans="1:34" ht="13.5" thickBot="1" x14ac:dyDescent="0.25">
      <c r="A239" s="287"/>
      <c r="B239" s="266"/>
      <c r="C239" s="300"/>
      <c r="D239" s="291"/>
      <c r="E239" s="291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2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15"/>
    </row>
    <row r="240" spans="1:34" x14ac:dyDescent="0.2">
      <c r="A240" s="263"/>
      <c r="B240" s="264"/>
      <c r="C240" s="301"/>
      <c r="D240" s="298"/>
      <c r="E240" s="298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866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  <c r="AH240" s="215"/>
    </row>
    <row r="241" spans="1:34" x14ac:dyDescent="0.2">
      <c r="A241" s="265" t="s">
        <v>15</v>
      </c>
      <c r="B241" s="266"/>
      <c r="C241" s="291">
        <f>B222+C238</f>
        <v>48845.245000000003</v>
      </c>
      <c r="D241" s="291">
        <f t="shared" ref="D241:AG241" si="26">C248+D238</f>
        <v>48845.245000000003</v>
      </c>
      <c r="E241" s="291">
        <f t="shared" si="26"/>
        <v>48845.245000000003</v>
      </c>
      <c r="F241" s="291">
        <f t="shared" si="26"/>
        <v>48845.245000000003</v>
      </c>
      <c r="G241" s="291">
        <f t="shared" si="26"/>
        <v>48845.245000000003</v>
      </c>
      <c r="H241" s="291">
        <f t="shared" si="26"/>
        <v>48845.245000000003</v>
      </c>
      <c r="I241" s="291">
        <f t="shared" si="26"/>
        <v>48845.245000000003</v>
      </c>
      <c r="J241" s="291">
        <f t="shared" si="26"/>
        <v>48845.245000000003</v>
      </c>
      <c r="K241" s="291">
        <f t="shared" si="26"/>
        <v>48845.245000000003</v>
      </c>
      <c r="L241" s="291">
        <f t="shared" si="26"/>
        <v>48845.245000000003</v>
      </c>
      <c r="M241" s="291">
        <f t="shared" si="26"/>
        <v>48845.245000000003</v>
      </c>
      <c r="N241" s="291">
        <f t="shared" si="26"/>
        <v>48845.245000000003</v>
      </c>
      <c r="O241" s="291">
        <f t="shared" si="26"/>
        <v>48845.245000000003</v>
      </c>
      <c r="P241" s="289">
        <f t="shared" si="26"/>
        <v>48845.245000000003</v>
      </c>
      <c r="Q241" s="291">
        <f t="shared" si="26"/>
        <v>48845.245000000003</v>
      </c>
      <c r="R241" s="291">
        <f t="shared" si="26"/>
        <v>48845.245000000003</v>
      </c>
      <c r="S241" s="291">
        <f t="shared" si="26"/>
        <v>48845.245000000003</v>
      </c>
      <c r="T241" s="291">
        <f t="shared" si="26"/>
        <v>48845.245000000003</v>
      </c>
      <c r="U241" s="291">
        <f t="shared" si="26"/>
        <v>48845.245000000003</v>
      </c>
      <c r="V241" s="291">
        <f t="shared" si="26"/>
        <v>48845.245000000003</v>
      </c>
      <c r="W241" s="291">
        <f t="shared" si="26"/>
        <v>48845.245000000003</v>
      </c>
      <c r="X241" s="291">
        <f t="shared" si="26"/>
        <v>48845.245000000003</v>
      </c>
      <c r="Y241" s="291">
        <f t="shared" si="26"/>
        <v>48845.245000000003</v>
      </c>
      <c r="Z241" s="291">
        <f t="shared" si="26"/>
        <v>48845.245000000003</v>
      </c>
      <c r="AA241" s="291">
        <f t="shared" si="26"/>
        <v>48845.245000000003</v>
      </c>
      <c r="AB241" s="291">
        <f t="shared" si="26"/>
        <v>48845.245000000003</v>
      </c>
      <c r="AC241" s="291">
        <f t="shared" si="26"/>
        <v>48845.245000000003</v>
      </c>
      <c r="AD241" s="291">
        <f t="shared" si="26"/>
        <v>48845.245000000003</v>
      </c>
      <c r="AE241" s="291">
        <f t="shared" si="26"/>
        <v>48845.245000000003</v>
      </c>
      <c r="AF241" s="291">
        <f t="shared" si="26"/>
        <v>48845.245000000003</v>
      </c>
      <c r="AG241" s="291">
        <f t="shared" si="26"/>
        <v>48845.245000000003</v>
      </c>
      <c r="AH241" s="215"/>
    </row>
    <row r="242" spans="1:34" ht="13.5" thickBot="1" x14ac:dyDescent="0.25">
      <c r="A242" s="275"/>
      <c r="B242" s="302"/>
      <c r="C242" s="303"/>
      <c r="D242" s="303"/>
      <c r="E242" s="303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868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215"/>
    </row>
    <row r="243" spans="1:34" x14ac:dyDescent="0.2">
      <c r="A243" s="263"/>
      <c r="B243" s="264"/>
      <c r="C243" s="298"/>
      <c r="D243" s="298"/>
      <c r="E243" s="298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866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  <c r="AB243" s="299"/>
      <c r="AC243" s="299"/>
      <c r="AD243" s="299"/>
      <c r="AE243" s="299"/>
      <c r="AF243" s="299"/>
      <c r="AG243" s="299"/>
      <c r="AH243" s="215"/>
    </row>
    <row r="244" spans="1:34" x14ac:dyDescent="0.2">
      <c r="A244" s="265" t="s">
        <v>82</v>
      </c>
      <c r="B244" s="266"/>
      <c r="C244" s="291">
        <f t="shared" ref="C244:AG245" si="27">C252</f>
        <v>0</v>
      </c>
      <c r="D244" s="291">
        <f t="shared" si="27"/>
        <v>0</v>
      </c>
      <c r="E244" s="291">
        <f t="shared" si="27"/>
        <v>0</v>
      </c>
      <c r="F244" s="291">
        <f t="shared" si="27"/>
        <v>0</v>
      </c>
      <c r="G244" s="291">
        <f t="shared" si="27"/>
        <v>0</v>
      </c>
      <c r="H244" s="291">
        <f t="shared" si="27"/>
        <v>0</v>
      </c>
      <c r="I244" s="291">
        <f t="shared" si="27"/>
        <v>0</v>
      </c>
      <c r="J244" s="291">
        <f t="shared" si="27"/>
        <v>0</v>
      </c>
      <c r="K244" s="291">
        <f t="shared" si="27"/>
        <v>0</v>
      </c>
      <c r="L244" s="291">
        <f t="shared" si="27"/>
        <v>0</v>
      </c>
      <c r="M244" s="291">
        <f t="shared" si="27"/>
        <v>0</v>
      </c>
      <c r="N244" s="291">
        <f t="shared" si="27"/>
        <v>0</v>
      </c>
      <c r="O244" s="291">
        <f t="shared" si="27"/>
        <v>0</v>
      </c>
      <c r="P244" s="289">
        <f t="shared" si="27"/>
        <v>0</v>
      </c>
      <c r="Q244" s="291">
        <f t="shared" si="27"/>
        <v>0</v>
      </c>
      <c r="R244" s="291">
        <f t="shared" si="27"/>
        <v>0</v>
      </c>
      <c r="S244" s="291">
        <f t="shared" si="27"/>
        <v>0</v>
      </c>
      <c r="T244" s="291">
        <f t="shared" si="27"/>
        <v>0</v>
      </c>
      <c r="U244" s="291">
        <f t="shared" si="27"/>
        <v>0</v>
      </c>
      <c r="V244" s="291">
        <f t="shared" si="27"/>
        <v>0</v>
      </c>
      <c r="W244" s="291">
        <f t="shared" si="27"/>
        <v>0</v>
      </c>
      <c r="X244" s="291">
        <f t="shared" si="27"/>
        <v>0</v>
      </c>
      <c r="Y244" s="291">
        <f t="shared" si="27"/>
        <v>0</v>
      </c>
      <c r="Z244" s="291">
        <f t="shared" si="27"/>
        <v>0</v>
      </c>
      <c r="AA244" s="291">
        <f t="shared" si="27"/>
        <v>0</v>
      </c>
      <c r="AB244" s="291">
        <f t="shared" si="27"/>
        <v>0</v>
      </c>
      <c r="AC244" s="291">
        <f t="shared" si="27"/>
        <v>0</v>
      </c>
      <c r="AD244" s="291">
        <f t="shared" si="27"/>
        <v>0</v>
      </c>
      <c r="AE244" s="291">
        <f t="shared" si="27"/>
        <v>0</v>
      </c>
      <c r="AF244" s="291">
        <f t="shared" si="27"/>
        <v>0</v>
      </c>
      <c r="AG244" s="291">
        <f t="shared" si="27"/>
        <v>0</v>
      </c>
      <c r="AH244" s="215"/>
    </row>
    <row r="245" spans="1:34" x14ac:dyDescent="0.2">
      <c r="A245" s="265" t="s">
        <v>83</v>
      </c>
      <c r="B245" s="266"/>
      <c r="C245" s="289">
        <f t="shared" si="27"/>
        <v>0</v>
      </c>
      <c r="D245" s="289">
        <f t="shared" si="27"/>
        <v>0</v>
      </c>
      <c r="E245" s="289">
        <f t="shared" si="27"/>
        <v>0</v>
      </c>
      <c r="F245" s="289">
        <f t="shared" si="27"/>
        <v>0</v>
      </c>
      <c r="G245" s="289">
        <f t="shared" si="27"/>
        <v>0</v>
      </c>
      <c r="H245" s="289">
        <f t="shared" si="27"/>
        <v>0</v>
      </c>
      <c r="I245" s="289">
        <f t="shared" si="27"/>
        <v>0</v>
      </c>
      <c r="J245" s="289">
        <f t="shared" si="27"/>
        <v>0</v>
      </c>
      <c r="K245" s="289">
        <f t="shared" si="27"/>
        <v>0</v>
      </c>
      <c r="L245" s="289">
        <f t="shared" si="27"/>
        <v>0</v>
      </c>
      <c r="M245" s="289">
        <f t="shared" si="27"/>
        <v>0</v>
      </c>
      <c r="N245" s="289">
        <f t="shared" si="27"/>
        <v>0</v>
      </c>
      <c r="O245" s="289">
        <f t="shared" si="27"/>
        <v>0</v>
      </c>
      <c r="P245" s="289">
        <f t="shared" si="27"/>
        <v>0</v>
      </c>
      <c r="Q245" s="289">
        <f t="shared" si="27"/>
        <v>0</v>
      </c>
      <c r="R245" s="289">
        <f t="shared" si="27"/>
        <v>0</v>
      </c>
      <c r="S245" s="289">
        <f t="shared" si="27"/>
        <v>0</v>
      </c>
      <c r="T245" s="289">
        <f t="shared" si="27"/>
        <v>0</v>
      </c>
      <c r="U245" s="289">
        <f t="shared" si="27"/>
        <v>0</v>
      </c>
      <c r="V245" s="289">
        <f t="shared" si="27"/>
        <v>0</v>
      </c>
      <c r="W245" s="289">
        <f t="shared" si="27"/>
        <v>0</v>
      </c>
      <c r="X245" s="289">
        <f t="shared" si="27"/>
        <v>0</v>
      </c>
      <c r="Y245" s="289">
        <f t="shared" si="27"/>
        <v>0</v>
      </c>
      <c r="Z245" s="289">
        <f t="shared" si="27"/>
        <v>0</v>
      </c>
      <c r="AA245" s="289">
        <f t="shared" si="27"/>
        <v>0</v>
      </c>
      <c r="AB245" s="289">
        <f t="shared" si="27"/>
        <v>0</v>
      </c>
      <c r="AC245" s="289">
        <f t="shared" si="27"/>
        <v>0</v>
      </c>
      <c r="AD245" s="289">
        <f t="shared" si="27"/>
        <v>0</v>
      </c>
      <c r="AE245" s="289">
        <f t="shared" si="27"/>
        <v>0</v>
      </c>
      <c r="AF245" s="289">
        <f t="shared" si="27"/>
        <v>0</v>
      </c>
      <c r="AG245" s="289">
        <f t="shared" si="27"/>
        <v>0</v>
      </c>
      <c r="AH245" s="215"/>
    </row>
    <row r="246" spans="1:34" ht="13.5" thickBot="1" x14ac:dyDescent="0.25">
      <c r="A246" s="275"/>
      <c r="B246" s="302"/>
      <c r="C246" s="303"/>
      <c r="D246" s="303"/>
      <c r="E246" s="303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868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04"/>
      <c r="AF246" s="304"/>
      <c r="AG246" s="304"/>
      <c r="AH246" s="215"/>
    </row>
    <row r="247" spans="1:34" x14ac:dyDescent="0.2">
      <c r="A247" s="265"/>
      <c r="B247" s="266"/>
      <c r="C247" s="291"/>
      <c r="D247" s="291"/>
      <c r="E247" s="291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2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15"/>
    </row>
    <row r="248" spans="1:34" x14ac:dyDescent="0.2">
      <c r="A248" s="265" t="s">
        <v>14</v>
      </c>
      <c r="B248" s="266"/>
      <c r="C248" s="291">
        <f>C241+C244+C245</f>
        <v>48845.245000000003</v>
      </c>
      <c r="D248" s="291">
        <f>D241+D244+D245</f>
        <v>48845.245000000003</v>
      </c>
      <c r="E248" s="291">
        <f>E241+E244+E245</f>
        <v>48845.245000000003</v>
      </c>
      <c r="F248" s="291">
        <f>F241+F244+F245</f>
        <v>48845.245000000003</v>
      </c>
      <c r="G248" s="291">
        <f>G241+G244+G245</f>
        <v>48845.245000000003</v>
      </c>
      <c r="H248" s="291">
        <f t="shared" ref="H248:AG248" si="28">H241+H244+H245</f>
        <v>48845.245000000003</v>
      </c>
      <c r="I248" s="291">
        <f t="shared" si="28"/>
        <v>48845.245000000003</v>
      </c>
      <c r="J248" s="291">
        <f t="shared" si="28"/>
        <v>48845.245000000003</v>
      </c>
      <c r="K248" s="291">
        <f t="shared" si="28"/>
        <v>48845.245000000003</v>
      </c>
      <c r="L248" s="291">
        <f t="shared" si="28"/>
        <v>48845.245000000003</v>
      </c>
      <c r="M248" s="291">
        <f t="shared" si="28"/>
        <v>48845.245000000003</v>
      </c>
      <c r="N248" s="291">
        <f t="shared" si="28"/>
        <v>48845.245000000003</v>
      </c>
      <c r="O248" s="291">
        <f t="shared" si="28"/>
        <v>48845.245000000003</v>
      </c>
      <c r="P248" s="289">
        <f t="shared" si="28"/>
        <v>48845.245000000003</v>
      </c>
      <c r="Q248" s="291">
        <f t="shared" si="28"/>
        <v>48845.245000000003</v>
      </c>
      <c r="R248" s="291">
        <f t="shared" si="28"/>
        <v>48845.245000000003</v>
      </c>
      <c r="S248" s="291">
        <f t="shared" si="28"/>
        <v>48845.245000000003</v>
      </c>
      <c r="T248" s="291">
        <f t="shared" si="28"/>
        <v>48845.245000000003</v>
      </c>
      <c r="U248" s="291">
        <f t="shared" si="28"/>
        <v>48845.245000000003</v>
      </c>
      <c r="V248" s="291">
        <f t="shared" si="28"/>
        <v>48845.245000000003</v>
      </c>
      <c r="W248" s="291">
        <f t="shared" si="28"/>
        <v>48845.245000000003</v>
      </c>
      <c r="X248" s="291">
        <f t="shared" si="28"/>
        <v>48845.245000000003</v>
      </c>
      <c r="Y248" s="291">
        <f t="shared" si="28"/>
        <v>48845.245000000003</v>
      </c>
      <c r="Z248" s="291">
        <f t="shared" si="28"/>
        <v>48845.245000000003</v>
      </c>
      <c r="AA248" s="291">
        <f t="shared" si="28"/>
        <v>48845.245000000003</v>
      </c>
      <c r="AB248" s="291">
        <f t="shared" si="28"/>
        <v>48845.245000000003</v>
      </c>
      <c r="AC248" s="291">
        <f t="shared" si="28"/>
        <v>48845.245000000003</v>
      </c>
      <c r="AD248" s="291">
        <f t="shared" si="28"/>
        <v>48845.245000000003</v>
      </c>
      <c r="AE248" s="291">
        <f t="shared" si="28"/>
        <v>48845.245000000003</v>
      </c>
      <c r="AF248" s="291">
        <f t="shared" si="28"/>
        <v>48845.245000000003</v>
      </c>
      <c r="AG248" s="291">
        <f t="shared" si="28"/>
        <v>48845.245000000003</v>
      </c>
      <c r="AH248" s="215"/>
    </row>
    <row r="249" spans="1:34" x14ac:dyDescent="0.2">
      <c r="A249" s="265"/>
      <c r="B249" s="266"/>
      <c r="C249" s="291"/>
      <c r="D249" s="291"/>
      <c r="E249" s="291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2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  <c r="AE249" s="290"/>
      <c r="AF249" s="290"/>
      <c r="AG249" s="290"/>
      <c r="AH249" s="215"/>
    </row>
    <row r="250" spans="1:34" ht="13.5" thickBot="1" x14ac:dyDescent="0.25">
      <c r="A250" s="275"/>
      <c r="B250" s="302"/>
      <c r="C250" s="306"/>
      <c r="D250" s="306"/>
      <c r="E250" s="306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869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C250" s="307"/>
      <c r="AD250" s="307"/>
      <c r="AE250" s="307"/>
      <c r="AF250" s="307"/>
      <c r="AG250" s="307"/>
      <c r="AH250" s="215"/>
    </row>
    <row r="251" spans="1:34" x14ac:dyDescent="0.2">
      <c r="A251" s="310"/>
      <c r="B251" s="215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308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>
        <f>SUM(C251:AG251)</f>
        <v>0</v>
      </c>
    </row>
    <row r="252" spans="1:34" x14ac:dyDescent="0.2">
      <c r="A252" s="310"/>
      <c r="B252" s="215"/>
      <c r="C252" s="311"/>
      <c r="D252" s="311"/>
      <c r="E252" s="311"/>
      <c r="F252" s="311"/>
      <c r="G252" s="314"/>
      <c r="H252" s="311"/>
      <c r="I252" s="311"/>
      <c r="J252" s="311"/>
      <c r="K252" s="311"/>
      <c r="L252" s="314"/>
      <c r="M252" s="314"/>
      <c r="N252" s="629"/>
      <c r="O252" s="314"/>
      <c r="P252" s="629"/>
      <c r="Q252" s="311"/>
      <c r="R252" s="311"/>
      <c r="S252" s="311"/>
      <c r="T252" s="311"/>
      <c r="U252" s="311"/>
      <c r="V252" s="629"/>
      <c r="W252" s="311"/>
      <c r="X252" s="311"/>
      <c r="Y252" s="311"/>
      <c r="Z252" s="311"/>
      <c r="AA252" s="408"/>
      <c r="AB252" s="311"/>
      <c r="AC252" s="311"/>
      <c r="AD252" s="314"/>
      <c r="AE252" s="311"/>
      <c r="AF252" s="629"/>
      <c r="AG252" s="311"/>
      <c r="AH252" s="262"/>
    </row>
    <row r="253" spans="1:34" x14ac:dyDescent="0.2">
      <c r="A253" s="215"/>
      <c r="B253" s="215"/>
      <c r="C253" s="215"/>
      <c r="D253" s="311"/>
      <c r="E253" s="317"/>
      <c r="F253" s="215"/>
      <c r="G253" s="215"/>
      <c r="H253" s="215"/>
      <c r="I253" s="215"/>
      <c r="J253" s="215"/>
      <c r="K253" s="215"/>
      <c r="L253" s="215"/>
      <c r="M253" s="215"/>
      <c r="N253" s="215"/>
      <c r="O253" s="215"/>
      <c r="P253" s="309"/>
      <c r="Q253" s="286"/>
      <c r="R253" s="215"/>
      <c r="S253" s="262"/>
      <c r="T253" s="215"/>
      <c r="U253" s="215"/>
      <c r="V253" s="215"/>
      <c r="W253" s="215"/>
      <c r="X253" s="215"/>
      <c r="Y253" s="262"/>
      <c r="Z253" s="262"/>
      <c r="AA253" s="262"/>
      <c r="AB253" s="262"/>
      <c r="AC253" s="262"/>
      <c r="AD253" s="262"/>
      <c r="AE253" s="262"/>
      <c r="AF253" s="262"/>
      <c r="AG253" s="262"/>
      <c r="AH253" s="286">
        <f>SUM(C253:AG253)</f>
        <v>0</v>
      </c>
    </row>
    <row r="254" spans="1:34" x14ac:dyDescent="0.2">
      <c r="A254" s="358" t="s">
        <v>415</v>
      </c>
      <c r="B254" s="359">
        <f>B255+B256+B258</f>
        <v>425000</v>
      </c>
      <c r="C254" s="215"/>
      <c r="D254" s="215"/>
      <c r="E254" s="215"/>
      <c r="F254" s="215"/>
      <c r="G254" s="215"/>
      <c r="H254" s="215"/>
      <c r="I254" s="215"/>
      <c r="J254" s="215"/>
      <c r="K254" s="409"/>
      <c r="L254" s="215"/>
      <c r="M254" s="215"/>
      <c r="N254" s="215"/>
      <c r="O254" s="215"/>
      <c r="P254" s="309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408"/>
      <c r="AB254" s="215"/>
      <c r="AC254" s="215"/>
      <c r="AD254" s="215"/>
      <c r="AE254" s="215"/>
      <c r="AF254" s="215"/>
      <c r="AG254" s="215"/>
      <c r="AH254" s="215"/>
    </row>
    <row r="255" spans="1:34" x14ac:dyDescent="0.2">
      <c r="A255" s="327" t="s">
        <v>414</v>
      </c>
      <c r="B255" s="311">
        <v>25000</v>
      </c>
      <c r="C255" s="215"/>
      <c r="D255" s="215"/>
      <c r="E255" s="286"/>
      <c r="F255" s="286"/>
      <c r="G255" s="286"/>
      <c r="H255" s="215"/>
      <c r="I255" s="215"/>
      <c r="J255" s="215"/>
      <c r="K255" s="215"/>
      <c r="L255" s="215"/>
      <c r="M255" s="215"/>
      <c r="N255" s="215"/>
      <c r="O255" s="215"/>
      <c r="P255" s="309"/>
      <c r="Q255" s="215"/>
      <c r="R255" s="215"/>
      <c r="S255" s="215"/>
      <c r="T255" s="215"/>
      <c r="U255" s="286"/>
      <c r="V255" s="215"/>
      <c r="W255" s="215"/>
      <c r="X255" s="215"/>
      <c r="Y255" s="215"/>
      <c r="Z255" s="215"/>
      <c r="AA255" s="323"/>
      <c r="AB255" s="215"/>
      <c r="AC255" s="215"/>
      <c r="AD255" s="215"/>
      <c r="AE255" s="215"/>
      <c r="AF255" s="215"/>
      <c r="AG255" s="286"/>
      <c r="AH255" s="215"/>
    </row>
    <row r="256" spans="1:34" x14ac:dyDescent="0.2">
      <c r="A256" s="327" t="s">
        <v>287</v>
      </c>
      <c r="B256" s="311">
        <v>300000</v>
      </c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5"/>
      <c r="O256" s="215"/>
      <c r="P256" s="309"/>
      <c r="Q256" s="215"/>
      <c r="R256" s="215"/>
      <c r="S256" s="215"/>
      <c r="T256" s="215"/>
      <c r="U256" s="286"/>
      <c r="V256" s="215"/>
      <c r="W256" s="215"/>
      <c r="X256" s="215"/>
      <c r="Y256" s="215"/>
      <c r="Z256" s="215"/>
      <c r="AA256" s="215"/>
      <c r="AB256" s="215"/>
      <c r="AC256" s="215"/>
      <c r="AD256" s="215"/>
      <c r="AE256" s="215"/>
      <c r="AF256" s="409"/>
      <c r="AG256" s="215"/>
      <c r="AH256" s="215"/>
    </row>
    <row r="257" spans="1:34" x14ac:dyDescent="0.2">
      <c r="A257" s="310" t="s">
        <v>413</v>
      </c>
      <c r="B257" s="311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5"/>
      <c r="O257" s="215"/>
      <c r="P257" s="309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 s="215"/>
      <c r="AC257" s="215"/>
      <c r="AD257" s="215"/>
      <c r="AE257" s="215"/>
      <c r="AF257" s="215"/>
      <c r="AG257" s="215"/>
      <c r="AH257" s="215"/>
    </row>
    <row r="258" spans="1:34" x14ac:dyDescent="0.2">
      <c r="A258" s="310" t="s">
        <v>441</v>
      </c>
      <c r="B258" s="311">
        <v>100000</v>
      </c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5"/>
      <c r="O258" s="215"/>
      <c r="P258" s="309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15"/>
      <c r="AC258" s="215"/>
      <c r="AD258" s="215"/>
      <c r="AE258" s="215"/>
      <c r="AF258" s="215"/>
      <c r="AG258" s="215"/>
      <c r="AH258" s="215"/>
    </row>
    <row r="259" spans="1:34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5"/>
      <c r="O259" s="215"/>
      <c r="P259" s="309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 s="215"/>
      <c r="AC259" s="215"/>
      <c r="AD259" s="215"/>
      <c r="AE259" s="215"/>
      <c r="AF259" s="215"/>
      <c r="AG259" s="215"/>
      <c r="AH259" s="215"/>
    </row>
    <row r="260" spans="1:34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5"/>
      <c r="O260" s="215"/>
      <c r="P260" s="309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 s="215"/>
      <c r="AC260" s="215"/>
      <c r="AD260" s="215"/>
      <c r="AE260" s="215"/>
      <c r="AF260" s="215"/>
      <c r="AG260" s="215"/>
      <c r="AH260" s="215"/>
    </row>
    <row r="261" spans="1:34" ht="13.5" thickBot="1" x14ac:dyDescent="0.25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5"/>
      <c r="O261" s="215"/>
      <c r="P261" s="309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 s="215"/>
      <c r="AC261" s="215"/>
      <c r="AD261" s="215"/>
      <c r="AE261" s="215"/>
      <c r="AF261" s="215"/>
      <c r="AG261" s="215"/>
      <c r="AH261" s="215"/>
    </row>
    <row r="262" spans="1:34" x14ac:dyDescent="0.2">
      <c r="A262" s="263"/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860"/>
      <c r="Q262" s="264"/>
      <c r="R262" s="264"/>
      <c r="S262" s="264"/>
      <c r="T262" s="264"/>
      <c r="U262" s="264"/>
      <c r="V262" s="264"/>
      <c r="W262" s="264"/>
      <c r="X262" s="264"/>
      <c r="Y262" s="264"/>
      <c r="Z262" s="264"/>
      <c r="AA262" s="264"/>
      <c r="AB262" s="264"/>
      <c r="AC262" s="264"/>
      <c r="AD262" s="264"/>
      <c r="AE262" s="264"/>
      <c r="AF262" s="264"/>
      <c r="AG262" s="264"/>
      <c r="AH262" s="215"/>
    </row>
    <row r="263" spans="1:34" x14ac:dyDescent="0.2">
      <c r="A263" s="265"/>
      <c r="B263" s="266" t="s">
        <v>37</v>
      </c>
      <c r="C263" s="266"/>
      <c r="D263" s="266"/>
      <c r="E263" s="267" t="s">
        <v>35</v>
      </c>
      <c r="F263" s="268" t="s">
        <v>340</v>
      </c>
      <c r="G263" s="269"/>
      <c r="H263" s="268"/>
      <c r="I263" s="268"/>
      <c r="J263" s="268"/>
      <c r="K263" s="268"/>
      <c r="L263" s="268"/>
      <c r="M263" s="268"/>
      <c r="N263" s="268"/>
      <c r="O263" s="268"/>
      <c r="P263" s="861"/>
      <c r="Q263" s="268"/>
      <c r="R263" s="268"/>
      <c r="S263" s="268"/>
      <c r="T263" s="268"/>
      <c r="U263" s="268"/>
      <c r="V263" s="268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15"/>
    </row>
    <row r="264" spans="1:34" x14ac:dyDescent="0.2">
      <c r="A264" s="265"/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79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15"/>
    </row>
    <row r="265" spans="1:34" x14ac:dyDescent="0.2">
      <c r="A265" s="265"/>
      <c r="B265" s="266"/>
      <c r="C265" s="268"/>
      <c r="D265" s="268">
        <v>42072</v>
      </c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79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15"/>
    </row>
    <row r="266" spans="1:34" x14ac:dyDescent="0.2">
      <c r="A266" s="265"/>
      <c r="B266" s="266"/>
      <c r="C266" s="268"/>
      <c r="D266" s="268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79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  <c r="AH266" s="215"/>
    </row>
    <row r="267" spans="1:34" ht="13.5" thickBot="1" x14ac:dyDescent="0.25">
      <c r="A267" s="265"/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  <c r="O267" s="266"/>
      <c r="P267" s="279"/>
      <c r="Q267" s="266"/>
      <c r="R267" s="266"/>
      <c r="S267" s="266"/>
      <c r="T267" s="266"/>
      <c r="U267" s="266"/>
      <c r="V267" s="266"/>
      <c r="W267" s="266"/>
      <c r="X267" s="266"/>
      <c r="Y267" s="266"/>
      <c r="Z267" s="266"/>
      <c r="AA267" s="266"/>
      <c r="AB267" s="266"/>
      <c r="AC267" s="266"/>
      <c r="AD267" s="266"/>
      <c r="AE267" s="266"/>
      <c r="AF267" s="266"/>
      <c r="AG267" s="266"/>
      <c r="AH267" s="215"/>
    </row>
    <row r="268" spans="1:34" ht="13.5" thickBot="1" x14ac:dyDescent="0.25">
      <c r="A268" s="265"/>
      <c r="B268" s="266"/>
      <c r="C268" s="270"/>
      <c r="D268" s="271" t="s">
        <v>16</v>
      </c>
      <c r="E268" s="271"/>
      <c r="F268" s="271"/>
      <c r="G268" s="271"/>
      <c r="H268" s="271"/>
      <c r="I268" s="271"/>
      <c r="J268" s="271"/>
      <c r="K268" s="271"/>
      <c r="L268" s="271"/>
      <c r="M268" s="271"/>
      <c r="N268" s="271"/>
      <c r="O268" s="271"/>
      <c r="P268" s="862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  <c r="AA268" s="271"/>
      <c r="AB268" s="271"/>
      <c r="AC268" s="271"/>
      <c r="AD268" s="271"/>
      <c r="AE268" s="271"/>
      <c r="AF268" s="271"/>
      <c r="AG268" s="271"/>
      <c r="AH268" s="215"/>
    </row>
    <row r="269" spans="1:34" ht="13.5" thickBot="1" x14ac:dyDescent="0.25">
      <c r="A269" s="265"/>
      <c r="B269" s="266"/>
      <c r="C269" s="272" t="s">
        <v>452</v>
      </c>
      <c r="D269" s="272" t="s">
        <v>453</v>
      </c>
      <c r="E269" s="272" t="s">
        <v>434</v>
      </c>
      <c r="F269" s="272" t="s">
        <v>390</v>
      </c>
      <c r="G269" s="272" t="s">
        <v>454</v>
      </c>
      <c r="H269" s="272" t="s">
        <v>455</v>
      </c>
      <c r="I269" s="272" t="s">
        <v>456</v>
      </c>
      <c r="J269" s="272" t="s">
        <v>457</v>
      </c>
      <c r="K269" s="272" t="s">
        <v>458</v>
      </c>
      <c r="L269" s="272" t="s">
        <v>216</v>
      </c>
      <c r="M269" s="272" t="s">
        <v>459</v>
      </c>
      <c r="N269" s="272" t="s">
        <v>297</v>
      </c>
      <c r="O269" s="272" t="s">
        <v>211</v>
      </c>
      <c r="P269" s="863" t="s">
        <v>270</v>
      </c>
      <c r="Q269" s="272">
        <v>15</v>
      </c>
      <c r="R269" s="272">
        <v>16</v>
      </c>
      <c r="S269" s="272" t="s">
        <v>461</v>
      </c>
      <c r="T269" s="272" t="s">
        <v>442</v>
      </c>
      <c r="U269" s="272" t="s">
        <v>462</v>
      </c>
      <c r="V269" s="272" t="s">
        <v>470</v>
      </c>
      <c r="W269" s="272" t="s">
        <v>471</v>
      </c>
      <c r="X269" s="272" t="s">
        <v>472</v>
      </c>
      <c r="Y269" s="272" t="s">
        <v>463</v>
      </c>
      <c r="Z269" s="272" t="s">
        <v>465</v>
      </c>
      <c r="AA269" s="272" t="s">
        <v>466</v>
      </c>
      <c r="AB269" s="272" t="s">
        <v>435</v>
      </c>
      <c r="AC269" s="272" t="s">
        <v>467</v>
      </c>
      <c r="AD269" s="272" t="s">
        <v>464</v>
      </c>
      <c r="AE269" s="272" t="s">
        <v>429</v>
      </c>
      <c r="AF269" s="272" t="s">
        <v>149</v>
      </c>
      <c r="AG269" s="272" t="s">
        <v>210</v>
      </c>
      <c r="AH269" s="215"/>
    </row>
    <row r="270" spans="1:34" x14ac:dyDescent="0.2">
      <c r="A270" s="263"/>
      <c r="B270" s="273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79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  <c r="AH270" s="215"/>
    </row>
    <row r="271" spans="1:34" x14ac:dyDescent="0.2">
      <c r="A271" s="265" t="s">
        <v>0</v>
      </c>
      <c r="B271" s="274">
        <v>-21627.010999999999</v>
      </c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79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  <c r="AH271" s="215"/>
    </row>
    <row r="272" spans="1:34" ht="13.5" thickBot="1" x14ac:dyDescent="0.25">
      <c r="A272" s="275"/>
      <c r="B272" s="276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79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15"/>
    </row>
    <row r="273" spans="1:34" x14ac:dyDescent="0.2">
      <c r="A273" s="263"/>
      <c r="B273" s="278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79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  <c r="AH273" s="215"/>
    </row>
    <row r="274" spans="1:34" x14ac:dyDescent="0.2">
      <c r="A274" s="265" t="s">
        <v>1</v>
      </c>
      <c r="B274" s="274">
        <f>B275+B276+B277</f>
        <v>0</v>
      </c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79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  <c r="AH274" s="215"/>
    </row>
    <row r="275" spans="1:34" x14ac:dyDescent="0.2">
      <c r="A275" s="265" t="s">
        <v>38</v>
      </c>
      <c r="B275" s="274">
        <f>C323</f>
        <v>0</v>
      </c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79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  <c r="AH275" s="215"/>
    </row>
    <row r="276" spans="1:34" x14ac:dyDescent="0.2">
      <c r="A276" s="265" t="s">
        <v>39</v>
      </c>
      <c r="B276" s="274">
        <f>C345</f>
        <v>0</v>
      </c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79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  <c r="AH276" s="215"/>
    </row>
    <row r="277" spans="1:34" x14ac:dyDescent="0.2">
      <c r="A277" s="265" t="s">
        <v>3</v>
      </c>
      <c r="B277" s="274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79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  <c r="AH277" s="215"/>
    </row>
    <row r="278" spans="1:34" ht="13.5" thickBot="1" x14ac:dyDescent="0.25">
      <c r="A278" s="275"/>
      <c r="B278" s="276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79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  <c r="AH278" s="215"/>
    </row>
    <row r="279" spans="1:34" x14ac:dyDescent="0.2">
      <c r="A279" s="263"/>
      <c r="B279" s="278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79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  <c r="AH279" s="215"/>
    </row>
    <row r="280" spans="1:34" x14ac:dyDescent="0.2">
      <c r="A280" s="265" t="s">
        <v>4</v>
      </c>
      <c r="B280" s="274">
        <f>B271-B274</f>
        <v>-21627.010999999999</v>
      </c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79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  <c r="AH280" s="215"/>
    </row>
    <row r="281" spans="1:34" ht="13.5" thickBot="1" x14ac:dyDescent="0.25">
      <c r="A281" s="275"/>
      <c r="B281" s="276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79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  <c r="AH281" s="215"/>
    </row>
    <row r="282" spans="1:34" x14ac:dyDescent="0.2">
      <c r="A282" s="263"/>
      <c r="B282" s="278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79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15"/>
    </row>
    <row r="283" spans="1:34" x14ac:dyDescent="0.2">
      <c r="A283" s="265" t="s">
        <v>17</v>
      </c>
      <c r="B283" s="274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79"/>
      <c r="Q283" s="266"/>
      <c r="R283" s="266"/>
      <c r="S283" s="266"/>
      <c r="T283" s="266"/>
      <c r="U283" s="266"/>
      <c r="V283" s="266"/>
      <c r="W283" s="266"/>
      <c r="X283" s="266"/>
      <c r="Y283" s="266"/>
      <c r="Z283" s="266"/>
      <c r="AA283" s="266"/>
      <c r="AB283" s="266"/>
      <c r="AC283" s="266"/>
      <c r="AD283" s="266"/>
      <c r="AE283" s="266"/>
      <c r="AF283" s="266"/>
      <c r="AG283" s="266"/>
      <c r="AH283" s="215"/>
    </row>
    <row r="284" spans="1:34" ht="13.5" thickBot="1" x14ac:dyDescent="0.25">
      <c r="A284" s="275"/>
      <c r="B284" s="276"/>
      <c r="C284" s="266"/>
      <c r="D284" s="266"/>
      <c r="E284" s="266"/>
      <c r="F284" s="266"/>
      <c r="G284" s="266"/>
      <c r="H284" s="266"/>
      <c r="I284" s="266"/>
      <c r="J284" s="266"/>
      <c r="K284" s="266"/>
      <c r="L284" s="266"/>
      <c r="M284" s="266"/>
      <c r="N284" s="266"/>
      <c r="O284" s="266"/>
      <c r="P284" s="279"/>
      <c r="Q284" s="266"/>
      <c r="R284" s="266"/>
      <c r="S284" s="266"/>
      <c r="T284" s="266"/>
      <c r="U284" s="266"/>
      <c r="V284" s="266"/>
      <c r="W284" s="266"/>
      <c r="X284" s="330"/>
      <c r="Y284" s="266"/>
      <c r="Z284" s="266"/>
      <c r="AA284" s="266"/>
      <c r="AB284" s="266"/>
      <c r="AC284" s="266"/>
      <c r="AD284" s="266"/>
      <c r="AE284" s="266"/>
      <c r="AF284" s="266"/>
      <c r="AG284" s="266"/>
      <c r="AH284" s="215"/>
    </row>
    <row r="285" spans="1:34" x14ac:dyDescent="0.2">
      <c r="A285" s="263"/>
      <c r="B285" s="278"/>
      <c r="C285" s="269"/>
      <c r="D285" s="266"/>
      <c r="E285" s="266"/>
      <c r="F285" s="266"/>
      <c r="G285" s="266"/>
      <c r="H285" s="266"/>
      <c r="I285" s="266"/>
      <c r="J285" s="266"/>
      <c r="K285" s="330"/>
      <c r="L285" s="266"/>
      <c r="M285" s="266"/>
      <c r="N285" s="266"/>
      <c r="O285" s="266"/>
      <c r="P285" s="279"/>
      <c r="Q285" s="266"/>
      <c r="R285" s="266"/>
      <c r="S285" s="266"/>
      <c r="T285" s="266"/>
      <c r="U285" s="266"/>
      <c r="V285" s="266"/>
      <c r="W285" s="266"/>
      <c r="X285" s="269"/>
      <c r="Y285" s="266"/>
      <c r="Z285" s="266"/>
      <c r="AA285" s="266"/>
      <c r="AB285" s="266"/>
      <c r="AC285" s="266"/>
      <c r="AD285" s="266"/>
      <c r="AE285" s="266"/>
      <c r="AF285" s="266"/>
      <c r="AG285" s="266"/>
      <c r="AH285" s="215"/>
    </row>
    <row r="286" spans="1:34" x14ac:dyDescent="0.2">
      <c r="A286" s="265" t="s">
        <v>5</v>
      </c>
      <c r="B286" s="274">
        <f>B280-B283</f>
        <v>-21627.010999999999</v>
      </c>
      <c r="C286" s="794" t="s">
        <v>767</v>
      </c>
      <c r="D286" s="269" t="s">
        <v>145</v>
      </c>
      <c r="E286" s="269"/>
      <c r="F286" s="269"/>
      <c r="G286" s="269"/>
      <c r="H286" s="269"/>
      <c r="I286" s="269"/>
      <c r="J286" s="269"/>
      <c r="K286" s="768"/>
      <c r="L286" s="269"/>
      <c r="M286" s="269"/>
      <c r="N286" s="269"/>
      <c r="O286" s="269"/>
      <c r="P286" s="279" t="s">
        <v>88</v>
      </c>
      <c r="Q286" s="269" t="s">
        <v>953</v>
      </c>
      <c r="R286" s="269"/>
      <c r="S286" s="281"/>
      <c r="T286" s="269"/>
      <c r="U286" s="266"/>
      <c r="V286" s="269"/>
      <c r="W286" s="266"/>
      <c r="X286" s="269"/>
      <c r="Y286" s="269" t="s">
        <v>223</v>
      </c>
      <c r="Z286" s="281"/>
      <c r="AA286" s="281" t="s">
        <v>939</v>
      </c>
      <c r="AB286" s="483"/>
      <c r="AC286" s="796" t="s">
        <v>921</v>
      </c>
      <c r="AD286" s="709" t="s">
        <v>173</v>
      </c>
      <c r="AE286" s="269"/>
      <c r="AF286" s="269"/>
      <c r="AG286" s="705"/>
      <c r="AH286" s="215"/>
    </row>
    <row r="287" spans="1:34" ht="13.5" thickBot="1" x14ac:dyDescent="0.25">
      <c r="A287" s="275"/>
      <c r="B287" s="276"/>
      <c r="C287" s="266"/>
      <c r="D287" s="266"/>
      <c r="E287" s="266"/>
      <c r="F287" s="266"/>
      <c r="G287" s="266"/>
      <c r="H287" s="266"/>
      <c r="I287" s="266"/>
      <c r="J287" s="266"/>
      <c r="K287" s="266"/>
      <c r="L287" s="266"/>
      <c r="M287" s="266"/>
      <c r="N287" s="266"/>
      <c r="O287" s="266"/>
      <c r="P287" s="279"/>
      <c r="Q287" s="266"/>
      <c r="R287" s="266"/>
      <c r="S287" s="266"/>
      <c r="T287" s="266"/>
      <c r="U287" s="266"/>
      <c r="V287" s="266"/>
      <c r="W287" s="266"/>
      <c r="X287" s="266"/>
      <c r="Y287" s="266"/>
      <c r="Z287" s="266"/>
      <c r="AA287" s="266"/>
      <c r="AB287" s="266"/>
      <c r="AC287" s="266"/>
      <c r="AD287" s="266"/>
      <c r="AE287" s="266"/>
      <c r="AF287" s="266"/>
      <c r="AG287" s="266"/>
      <c r="AH287" s="215"/>
    </row>
    <row r="288" spans="1:34" x14ac:dyDescent="0.2">
      <c r="A288" s="282"/>
      <c r="B288" s="266"/>
      <c r="C288" s="283"/>
      <c r="D288" s="285"/>
      <c r="E288" s="285"/>
      <c r="F288" s="284"/>
      <c r="G288" s="284"/>
      <c r="H288" s="284"/>
      <c r="I288" s="284"/>
      <c r="J288" s="284"/>
      <c r="K288" s="284"/>
      <c r="L288" s="284"/>
      <c r="M288" s="284"/>
      <c r="N288" s="284"/>
      <c r="O288" s="284"/>
      <c r="P288" s="864"/>
      <c r="Q288" s="284"/>
      <c r="R288" s="284"/>
      <c r="S288" s="284"/>
      <c r="T288" s="284"/>
      <c r="U288" s="284"/>
      <c r="V288" s="284"/>
      <c r="W288" s="284"/>
      <c r="X288" s="284"/>
      <c r="Y288" s="284"/>
      <c r="Z288" s="284"/>
      <c r="AA288" s="284"/>
      <c r="AB288" s="284"/>
      <c r="AC288" s="284"/>
      <c r="AD288" s="284"/>
      <c r="AE288" s="284"/>
      <c r="AF288" s="284"/>
      <c r="AG288" s="284"/>
      <c r="AH288" s="215"/>
    </row>
    <row r="289" spans="1:34" ht="13.5" thickBot="1" x14ac:dyDescent="0.25">
      <c r="A289" s="287" t="s">
        <v>7</v>
      </c>
      <c r="B289" s="266"/>
      <c r="C289" s="288">
        <f>C290+C291+C292+C294+C293</f>
        <v>0</v>
      </c>
      <c r="D289" s="288">
        <f>D290+D291+D292+D294+D293</f>
        <v>0</v>
      </c>
      <c r="E289" s="288">
        <f>E290+E291+E292+E294+E293</f>
        <v>0</v>
      </c>
      <c r="F289" s="288">
        <f>F290+F291+F292+F294+F293</f>
        <v>0</v>
      </c>
      <c r="G289" s="288">
        <f>G290+G291+G292+G294+G293</f>
        <v>0</v>
      </c>
      <c r="H289" s="288">
        <f t="shared" ref="H289:AF289" si="29">H290+H291+H292+H294+H293</f>
        <v>0</v>
      </c>
      <c r="I289" s="288">
        <f t="shared" si="29"/>
        <v>0</v>
      </c>
      <c r="J289" s="288">
        <f t="shared" si="29"/>
        <v>0</v>
      </c>
      <c r="K289" s="288">
        <f t="shared" si="29"/>
        <v>0</v>
      </c>
      <c r="L289" s="288">
        <f t="shared" si="29"/>
        <v>0</v>
      </c>
      <c r="M289" s="288">
        <f t="shared" si="29"/>
        <v>0</v>
      </c>
      <c r="N289" s="288">
        <f t="shared" si="29"/>
        <v>0</v>
      </c>
      <c r="O289" s="288">
        <f t="shared" si="29"/>
        <v>0</v>
      </c>
      <c r="P289" s="865">
        <f t="shared" si="29"/>
        <v>0</v>
      </c>
      <c r="Q289" s="288">
        <f t="shared" si="29"/>
        <v>0</v>
      </c>
      <c r="R289" s="288">
        <f t="shared" si="29"/>
        <v>0</v>
      </c>
      <c r="S289" s="288">
        <f t="shared" si="29"/>
        <v>0</v>
      </c>
      <c r="T289" s="288">
        <f t="shared" si="29"/>
        <v>0</v>
      </c>
      <c r="U289" s="288">
        <f t="shared" si="29"/>
        <v>0</v>
      </c>
      <c r="V289" s="288">
        <f t="shared" si="29"/>
        <v>0</v>
      </c>
      <c r="W289" s="288">
        <f t="shared" si="29"/>
        <v>0</v>
      </c>
      <c r="X289" s="288">
        <f t="shared" si="29"/>
        <v>0</v>
      </c>
      <c r="Y289" s="288">
        <f t="shared" si="29"/>
        <v>0</v>
      </c>
      <c r="Z289" s="288">
        <f t="shared" si="29"/>
        <v>0</v>
      </c>
      <c r="AA289" s="288">
        <f t="shared" si="29"/>
        <v>0</v>
      </c>
      <c r="AB289" s="288">
        <f t="shared" si="29"/>
        <v>0</v>
      </c>
      <c r="AC289" s="288">
        <f t="shared" si="29"/>
        <v>0</v>
      </c>
      <c r="AD289" s="288">
        <f t="shared" si="29"/>
        <v>0</v>
      </c>
      <c r="AE289" s="288">
        <f t="shared" si="29"/>
        <v>0</v>
      </c>
      <c r="AF289" s="288">
        <f t="shared" si="29"/>
        <v>0</v>
      </c>
      <c r="AG289" s="288">
        <f>AG290+AG291+AG292+AG294+AG293</f>
        <v>0</v>
      </c>
      <c r="AH289" s="286">
        <f>SUM(C289:AG289)</f>
        <v>0</v>
      </c>
    </row>
    <row r="290" spans="1:34" x14ac:dyDescent="0.2">
      <c r="A290" s="287" t="s">
        <v>8</v>
      </c>
      <c r="B290" s="331"/>
      <c r="C290" s="291"/>
      <c r="D290" s="291"/>
      <c r="E290" s="362"/>
      <c r="F290" s="290"/>
      <c r="G290" s="290"/>
      <c r="H290" s="290"/>
      <c r="I290" s="295"/>
      <c r="J290" s="290"/>
      <c r="K290" s="290"/>
      <c r="L290" s="290"/>
      <c r="M290" s="290"/>
      <c r="N290" s="290"/>
      <c r="O290" s="290"/>
      <c r="P290" s="292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  <c r="AB290" s="290"/>
      <c r="AC290" s="290"/>
      <c r="AD290" s="290"/>
      <c r="AE290" s="290"/>
      <c r="AF290" s="290"/>
      <c r="AG290" s="290"/>
      <c r="AH290" s="286">
        <f>SUM(C290:AG290)</f>
        <v>0</v>
      </c>
    </row>
    <row r="291" spans="1:34" x14ac:dyDescent="0.2">
      <c r="A291" s="287" t="s">
        <v>9</v>
      </c>
      <c r="B291" s="331"/>
      <c r="C291" s="291"/>
      <c r="D291" s="291"/>
      <c r="E291" s="362"/>
      <c r="F291" s="290"/>
      <c r="G291" s="290"/>
      <c r="H291" s="290"/>
      <c r="I291" s="290"/>
      <c r="J291" s="290"/>
      <c r="K291" s="290"/>
      <c r="L291" s="290"/>
      <c r="M291" s="290"/>
      <c r="N291" s="290"/>
      <c r="O291" s="295"/>
      <c r="P291" s="292"/>
      <c r="Q291" s="290"/>
      <c r="R291" s="290"/>
      <c r="S291" s="290"/>
      <c r="T291" s="290"/>
      <c r="U291" s="290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0"/>
      <c r="AF291" s="290"/>
      <c r="AG291" s="290"/>
      <c r="AH291" s="286">
        <f>SUM(C291:AG291)</f>
        <v>0</v>
      </c>
    </row>
    <row r="292" spans="1:34" s="360" customFormat="1" x14ac:dyDescent="0.2">
      <c r="A292" s="662" t="s">
        <v>10</v>
      </c>
      <c r="B292" s="669"/>
      <c r="C292" s="795"/>
      <c r="D292" s="565"/>
      <c r="E292" s="565"/>
      <c r="F292" s="560"/>
      <c r="G292" s="560"/>
      <c r="H292" s="560"/>
      <c r="I292" s="560"/>
      <c r="J292" s="560"/>
      <c r="K292" s="380"/>
      <c r="L292" s="560"/>
      <c r="M292" s="560"/>
      <c r="N292" s="560"/>
      <c r="O292" s="560"/>
      <c r="P292" s="292">
        <v>37517</v>
      </c>
      <c r="Q292" s="380"/>
      <c r="R292" s="560"/>
      <c r="S292" s="560"/>
      <c r="T292" s="560"/>
      <c r="U292" s="560"/>
      <c r="V292" s="560"/>
      <c r="W292" s="560"/>
      <c r="X292" s="560"/>
      <c r="Y292" s="560">
        <v>23900</v>
      </c>
      <c r="Z292" s="665"/>
      <c r="AA292" s="560"/>
      <c r="AB292" s="560"/>
      <c r="AC292" s="560"/>
      <c r="AD292" s="708"/>
      <c r="AE292" s="560"/>
      <c r="AF292" s="560"/>
      <c r="AG292" s="747"/>
      <c r="AH292" s="379">
        <f>SUM(C292:AG292)</f>
        <v>61417</v>
      </c>
    </row>
    <row r="293" spans="1:34" s="360" customFormat="1" x14ac:dyDescent="0.2">
      <c r="A293" s="662" t="s">
        <v>356</v>
      </c>
      <c r="B293" s="669"/>
      <c r="C293" s="565"/>
      <c r="D293" s="565"/>
      <c r="E293" s="565"/>
      <c r="F293" s="560"/>
      <c r="G293" s="380"/>
      <c r="H293" s="560"/>
      <c r="I293" s="380"/>
      <c r="J293" s="560"/>
      <c r="K293" s="560"/>
      <c r="L293" s="560"/>
      <c r="M293" s="560"/>
      <c r="N293" s="380"/>
      <c r="O293" s="560"/>
      <c r="P293" s="292"/>
      <c r="Q293" s="560"/>
      <c r="R293" s="560"/>
      <c r="S293" s="560"/>
      <c r="T293" s="560"/>
      <c r="U293" s="560"/>
      <c r="V293" s="560"/>
      <c r="W293" s="560"/>
      <c r="X293" s="380"/>
      <c r="Y293" s="560"/>
      <c r="Z293" s="560"/>
      <c r="AA293" s="560"/>
      <c r="AB293" s="380"/>
      <c r="AC293" s="380"/>
      <c r="AD293" s="560"/>
      <c r="AE293" s="560"/>
      <c r="AF293" s="560"/>
      <c r="AG293" s="560"/>
      <c r="AH293" s="379">
        <f>SUM(C293:AG293)</f>
        <v>0</v>
      </c>
    </row>
    <row r="294" spans="1:34" x14ac:dyDescent="0.2">
      <c r="A294" s="287" t="s">
        <v>11</v>
      </c>
      <c r="B294" s="266"/>
      <c r="C294" s="291"/>
      <c r="D294" s="289"/>
      <c r="E294" s="289"/>
      <c r="F294" s="292"/>
      <c r="G294" s="292"/>
      <c r="H294" s="292"/>
      <c r="I294" s="292"/>
      <c r="J294" s="295"/>
      <c r="K294" s="292"/>
      <c r="L294" s="292"/>
      <c r="M294" s="292"/>
      <c r="N294" s="292"/>
      <c r="O294" s="292"/>
      <c r="P294" s="455">
        <v>-37517</v>
      </c>
      <c r="Q294" s="292"/>
      <c r="R294" s="292"/>
      <c r="S294" s="292"/>
      <c r="T294" s="292"/>
      <c r="U294" s="292"/>
      <c r="V294" s="295"/>
      <c r="W294" s="295"/>
      <c r="X294" s="295"/>
      <c r="Y294" s="455">
        <v>-23900</v>
      </c>
      <c r="Z294" s="295"/>
      <c r="AA294" s="295"/>
      <c r="AB294" s="295"/>
      <c r="AC294" s="292"/>
      <c r="AD294" s="295"/>
      <c r="AE294" s="292"/>
      <c r="AF294" s="292"/>
      <c r="AG294" s="292"/>
      <c r="AH294" s="215"/>
    </row>
    <row r="295" spans="1:34" ht="13.5" thickBot="1" x14ac:dyDescent="0.25">
      <c r="A295" s="296"/>
      <c r="B295" s="266"/>
      <c r="C295" s="291"/>
      <c r="D295" s="291"/>
      <c r="E295" s="291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2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  <c r="AE295" s="290"/>
      <c r="AF295" s="290"/>
      <c r="AG295" s="290"/>
      <c r="AH295" s="215"/>
    </row>
    <row r="296" spans="1:34" x14ac:dyDescent="0.2">
      <c r="A296" s="282"/>
      <c r="B296" s="266"/>
      <c r="C296" s="297"/>
      <c r="D296" s="298"/>
      <c r="E296" s="298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866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F296" s="299"/>
      <c r="AG296" s="299"/>
      <c r="AH296" s="215"/>
    </row>
    <row r="297" spans="1:34" ht="13.5" thickBot="1" x14ac:dyDescent="0.25">
      <c r="A297" s="287" t="s">
        <v>12</v>
      </c>
      <c r="B297" s="266"/>
      <c r="C297" s="288">
        <f t="shared" ref="C297:AG297" si="30">C298</f>
        <v>0</v>
      </c>
      <c r="D297" s="288">
        <f t="shared" si="30"/>
        <v>0</v>
      </c>
      <c r="E297" s="288">
        <f t="shared" si="30"/>
        <v>0</v>
      </c>
      <c r="F297" s="288">
        <f t="shared" si="30"/>
        <v>0</v>
      </c>
      <c r="G297" s="288">
        <f t="shared" si="30"/>
        <v>0</v>
      </c>
      <c r="H297" s="288">
        <f t="shared" si="30"/>
        <v>0</v>
      </c>
      <c r="I297" s="288">
        <f t="shared" si="30"/>
        <v>0</v>
      </c>
      <c r="J297" s="288">
        <f t="shared" si="30"/>
        <v>0</v>
      </c>
      <c r="K297" s="288">
        <f t="shared" si="30"/>
        <v>0</v>
      </c>
      <c r="L297" s="288">
        <f t="shared" si="30"/>
        <v>0</v>
      </c>
      <c r="M297" s="288">
        <f t="shared" si="30"/>
        <v>0</v>
      </c>
      <c r="N297" s="288">
        <f t="shared" si="30"/>
        <v>0</v>
      </c>
      <c r="O297" s="288">
        <f t="shared" si="30"/>
        <v>0</v>
      </c>
      <c r="P297" s="865">
        <f t="shared" si="30"/>
        <v>0</v>
      </c>
      <c r="Q297" s="288">
        <f t="shared" si="30"/>
        <v>0</v>
      </c>
      <c r="R297" s="288">
        <f t="shared" si="30"/>
        <v>0</v>
      </c>
      <c r="S297" s="288">
        <f t="shared" si="30"/>
        <v>0</v>
      </c>
      <c r="T297" s="288">
        <f t="shared" si="30"/>
        <v>0</v>
      </c>
      <c r="U297" s="288">
        <f t="shared" si="30"/>
        <v>0</v>
      </c>
      <c r="V297" s="288">
        <f t="shared" si="30"/>
        <v>0</v>
      </c>
      <c r="W297" s="288">
        <f t="shared" si="30"/>
        <v>0</v>
      </c>
      <c r="X297" s="288">
        <f t="shared" si="30"/>
        <v>0</v>
      </c>
      <c r="Y297" s="288">
        <f t="shared" si="30"/>
        <v>0</v>
      </c>
      <c r="Z297" s="288">
        <f t="shared" si="30"/>
        <v>0</v>
      </c>
      <c r="AA297" s="288">
        <f t="shared" si="30"/>
        <v>0</v>
      </c>
      <c r="AB297" s="288">
        <f t="shared" si="30"/>
        <v>0</v>
      </c>
      <c r="AC297" s="288">
        <f t="shared" si="30"/>
        <v>0</v>
      </c>
      <c r="AD297" s="288">
        <f t="shared" si="30"/>
        <v>0</v>
      </c>
      <c r="AE297" s="288">
        <f t="shared" si="30"/>
        <v>0</v>
      </c>
      <c r="AF297" s="288">
        <f t="shared" si="30"/>
        <v>0</v>
      </c>
      <c r="AG297" s="288">
        <f t="shared" si="30"/>
        <v>0</v>
      </c>
      <c r="AH297" s="215"/>
    </row>
    <row r="298" spans="1:34" x14ac:dyDescent="0.2">
      <c r="A298" s="287" t="s">
        <v>8</v>
      </c>
      <c r="B298" s="266"/>
      <c r="C298" s="291"/>
      <c r="D298" s="291"/>
      <c r="E298" s="291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2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15"/>
    </row>
    <row r="299" spans="1:34" x14ac:dyDescent="0.2">
      <c r="A299" s="287" t="s">
        <v>775</v>
      </c>
      <c r="B299" s="266"/>
      <c r="C299" s="291"/>
      <c r="D299" s="291">
        <v>6629</v>
      </c>
      <c r="E299" s="291"/>
      <c r="F299" s="290">
        <v>1226</v>
      </c>
      <c r="G299" s="290">
        <v>2000</v>
      </c>
      <c r="H299" s="290">
        <v>13077</v>
      </c>
      <c r="I299" s="290">
        <v>560</v>
      </c>
      <c r="J299" s="290">
        <v>993</v>
      </c>
      <c r="K299" s="290">
        <v>900</v>
      </c>
      <c r="L299" s="290">
        <v>23016</v>
      </c>
      <c r="M299" s="290">
        <v>3224</v>
      </c>
      <c r="N299" s="290"/>
      <c r="O299" s="290">
        <v>4453</v>
      </c>
      <c r="P299" s="292"/>
      <c r="Q299" s="290">
        <v>16906</v>
      </c>
      <c r="R299" s="290">
        <v>3008</v>
      </c>
      <c r="S299" s="290">
        <v>1142</v>
      </c>
      <c r="T299" s="290">
        <v>6805</v>
      </c>
      <c r="U299" s="290"/>
      <c r="V299" s="290">
        <v>27538</v>
      </c>
      <c r="W299" s="290">
        <v>4513</v>
      </c>
      <c r="X299" s="290"/>
      <c r="Y299" s="290">
        <v>1470</v>
      </c>
      <c r="Z299" s="290">
        <v>6795</v>
      </c>
      <c r="AA299" s="290">
        <v>3804</v>
      </c>
      <c r="AB299" s="290"/>
      <c r="AC299" s="290">
        <v>600</v>
      </c>
      <c r="AD299" s="290">
        <v>36769</v>
      </c>
      <c r="AE299" s="290"/>
      <c r="AF299" s="290"/>
      <c r="AG299" s="290"/>
      <c r="AH299" s="286">
        <f>SUM(C299:AG299)</f>
        <v>165428</v>
      </c>
    </row>
    <row r="300" spans="1:34" ht="13.5" thickBot="1" x14ac:dyDescent="0.25">
      <c r="A300" s="296"/>
      <c r="B300" s="266"/>
      <c r="C300" s="291"/>
      <c r="D300" s="291"/>
      <c r="E300" s="291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2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  <c r="AE300" s="290"/>
      <c r="AF300" s="290"/>
      <c r="AG300" s="290"/>
      <c r="AH300" s="215"/>
    </row>
    <row r="301" spans="1:34" x14ac:dyDescent="0.2">
      <c r="A301" s="282"/>
      <c r="B301" s="266"/>
      <c r="C301" s="297"/>
      <c r="D301" s="298"/>
      <c r="E301" s="298"/>
      <c r="F301" s="299"/>
      <c r="G301" s="299"/>
      <c r="H301" s="299"/>
      <c r="I301" s="299"/>
      <c r="J301" s="299"/>
      <c r="K301" s="299"/>
      <c r="L301" s="299"/>
      <c r="M301" s="299"/>
      <c r="N301" s="299"/>
      <c r="O301" s="299"/>
      <c r="P301" s="866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  <c r="AB301" s="299"/>
      <c r="AC301" s="299"/>
      <c r="AD301" s="299"/>
      <c r="AE301" s="299"/>
      <c r="AF301" s="299"/>
      <c r="AG301" s="299"/>
      <c r="AH301" s="215"/>
    </row>
    <row r="302" spans="1:34" x14ac:dyDescent="0.2">
      <c r="A302" s="287" t="s">
        <v>13</v>
      </c>
      <c r="B302" s="266"/>
      <c r="C302" s="300">
        <f>C297-C289</f>
        <v>0</v>
      </c>
      <c r="D302" s="300">
        <f>D297-D289</f>
        <v>0</v>
      </c>
      <c r="E302" s="300">
        <f>E297-E289</f>
        <v>0</v>
      </c>
      <c r="F302" s="300">
        <f>F297-F289</f>
        <v>0</v>
      </c>
      <c r="G302" s="300">
        <f>G297-G289</f>
        <v>0</v>
      </c>
      <c r="H302" s="300">
        <f t="shared" ref="H302:AG302" si="31">H297-H289</f>
        <v>0</v>
      </c>
      <c r="I302" s="300">
        <f t="shared" si="31"/>
        <v>0</v>
      </c>
      <c r="J302" s="300">
        <f t="shared" si="31"/>
        <v>0</v>
      </c>
      <c r="K302" s="300">
        <f t="shared" si="31"/>
        <v>0</v>
      </c>
      <c r="L302" s="300">
        <f t="shared" si="31"/>
        <v>0</v>
      </c>
      <c r="M302" s="300">
        <f t="shared" si="31"/>
        <v>0</v>
      </c>
      <c r="N302" s="300">
        <f t="shared" si="31"/>
        <v>0</v>
      </c>
      <c r="O302" s="300">
        <f t="shared" si="31"/>
        <v>0</v>
      </c>
      <c r="P302" s="867">
        <f t="shared" si="31"/>
        <v>0</v>
      </c>
      <c r="Q302" s="300">
        <f t="shared" si="31"/>
        <v>0</v>
      </c>
      <c r="R302" s="300">
        <f t="shared" si="31"/>
        <v>0</v>
      </c>
      <c r="S302" s="300">
        <f t="shared" si="31"/>
        <v>0</v>
      </c>
      <c r="T302" s="300">
        <f t="shared" si="31"/>
        <v>0</v>
      </c>
      <c r="U302" s="300">
        <f t="shared" si="31"/>
        <v>0</v>
      </c>
      <c r="V302" s="300">
        <f t="shared" si="31"/>
        <v>0</v>
      </c>
      <c r="W302" s="300">
        <f t="shared" si="31"/>
        <v>0</v>
      </c>
      <c r="X302" s="300">
        <f t="shared" si="31"/>
        <v>0</v>
      </c>
      <c r="Y302" s="300">
        <f t="shared" si="31"/>
        <v>0</v>
      </c>
      <c r="Z302" s="300">
        <f t="shared" si="31"/>
        <v>0</v>
      </c>
      <c r="AA302" s="300">
        <f t="shared" si="31"/>
        <v>0</v>
      </c>
      <c r="AB302" s="300">
        <f t="shared" si="31"/>
        <v>0</v>
      </c>
      <c r="AC302" s="300">
        <f t="shared" si="31"/>
        <v>0</v>
      </c>
      <c r="AD302" s="300">
        <f t="shared" si="31"/>
        <v>0</v>
      </c>
      <c r="AE302" s="300">
        <f t="shared" si="31"/>
        <v>0</v>
      </c>
      <c r="AF302" s="300">
        <f t="shared" si="31"/>
        <v>0</v>
      </c>
      <c r="AG302" s="300">
        <f t="shared" si="31"/>
        <v>0</v>
      </c>
      <c r="AH302" s="215"/>
    </row>
    <row r="303" spans="1:34" ht="13.5" thickBot="1" x14ac:dyDescent="0.25">
      <c r="A303" s="287"/>
      <c r="B303" s="266"/>
      <c r="C303" s="300"/>
      <c r="D303" s="291"/>
      <c r="E303" s="291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2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15"/>
    </row>
    <row r="304" spans="1:34" x14ac:dyDescent="0.2">
      <c r="A304" s="263"/>
      <c r="B304" s="264"/>
      <c r="C304" s="301"/>
      <c r="D304" s="298"/>
      <c r="E304" s="298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866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  <c r="AB304" s="299"/>
      <c r="AC304" s="299"/>
      <c r="AD304" s="299"/>
      <c r="AE304" s="299"/>
      <c r="AF304" s="299"/>
      <c r="AG304" s="299"/>
      <c r="AH304" s="215"/>
    </row>
    <row r="305" spans="1:34" x14ac:dyDescent="0.2">
      <c r="A305" s="265" t="s">
        <v>15</v>
      </c>
      <c r="B305" s="266"/>
      <c r="C305" s="291">
        <f>B286+C302</f>
        <v>-21627.010999999999</v>
      </c>
      <c r="D305" s="291">
        <f t="shared" ref="D305:AG305" si="32">C312+D302</f>
        <v>-21627.010999999999</v>
      </c>
      <c r="E305" s="291">
        <f t="shared" si="32"/>
        <v>-21627.010999999999</v>
      </c>
      <c r="F305" s="291">
        <f t="shared" si="32"/>
        <v>-21627.010999999999</v>
      </c>
      <c r="G305" s="291">
        <f t="shared" si="32"/>
        <v>-21627.010999999999</v>
      </c>
      <c r="H305" s="291">
        <f t="shared" si="32"/>
        <v>-21627.010999999999</v>
      </c>
      <c r="I305" s="291">
        <f t="shared" si="32"/>
        <v>-21627.010999999999</v>
      </c>
      <c r="J305" s="291">
        <f t="shared" si="32"/>
        <v>-21627.010999999999</v>
      </c>
      <c r="K305" s="291">
        <f t="shared" si="32"/>
        <v>-21627.010999999999</v>
      </c>
      <c r="L305" s="291">
        <f t="shared" si="32"/>
        <v>-21627.010999999999</v>
      </c>
      <c r="M305" s="291">
        <f t="shared" si="32"/>
        <v>-21627.010999999999</v>
      </c>
      <c r="N305" s="291">
        <f t="shared" si="32"/>
        <v>-21627.010999999999</v>
      </c>
      <c r="O305" s="291">
        <f t="shared" si="32"/>
        <v>-21627.010999999999</v>
      </c>
      <c r="P305" s="289">
        <f t="shared" si="32"/>
        <v>-21627.010999999999</v>
      </c>
      <c r="Q305" s="291">
        <f t="shared" si="32"/>
        <v>-21627.010999999999</v>
      </c>
      <c r="R305" s="291">
        <f t="shared" si="32"/>
        <v>-21627.010999999999</v>
      </c>
      <c r="S305" s="291">
        <f t="shared" si="32"/>
        <v>-21627.010999999999</v>
      </c>
      <c r="T305" s="291">
        <f t="shared" si="32"/>
        <v>-21627.010999999999</v>
      </c>
      <c r="U305" s="291">
        <f t="shared" si="32"/>
        <v>-21627.010999999999</v>
      </c>
      <c r="V305" s="291">
        <f t="shared" si="32"/>
        <v>-21627.010999999999</v>
      </c>
      <c r="W305" s="291">
        <f t="shared" si="32"/>
        <v>-21627.010999999999</v>
      </c>
      <c r="X305" s="291">
        <f t="shared" si="32"/>
        <v>-21627.010999999999</v>
      </c>
      <c r="Y305" s="291">
        <f t="shared" si="32"/>
        <v>-21627.010999999999</v>
      </c>
      <c r="Z305" s="291">
        <f t="shared" si="32"/>
        <v>-21627.010999999999</v>
      </c>
      <c r="AA305" s="291">
        <f t="shared" si="32"/>
        <v>-21627.010999999999</v>
      </c>
      <c r="AB305" s="291">
        <f t="shared" si="32"/>
        <v>-21627.010999999999</v>
      </c>
      <c r="AC305" s="291">
        <f t="shared" si="32"/>
        <v>-21627.010999999999</v>
      </c>
      <c r="AD305" s="291">
        <f t="shared" si="32"/>
        <v>-21627.010999999999</v>
      </c>
      <c r="AE305" s="291">
        <f t="shared" si="32"/>
        <v>-21627.010999999999</v>
      </c>
      <c r="AF305" s="291">
        <f t="shared" si="32"/>
        <v>-21627.010999999999</v>
      </c>
      <c r="AG305" s="291">
        <f t="shared" si="32"/>
        <v>-21627.010999999999</v>
      </c>
      <c r="AH305" s="215"/>
    </row>
    <row r="306" spans="1:34" ht="13.5" thickBot="1" x14ac:dyDescent="0.25">
      <c r="A306" s="275"/>
      <c r="B306" s="302"/>
      <c r="C306" s="303"/>
      <c r="D306" s="303"/>
      <c r="E306" s="303"/>
      <c r="F306" s="304"/>
      <c r="G306" s="304"/>
      <c r="H306" s="304"/>
      <c r="I306" s="304"/>
      <c r="J306" s="304"/>
      <c r="K306" s="304"/>
      <c r="L306" s="304"/>
      <c r="M306" s="304"/>
      <c r="N306" s="304"/>
      <c r="O306" s="304"/>
      <c r="P306" s="868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4"/>
      <c r="AG306" s="304"/>
      <c r="AH306" s="215"/>
    </row>
    <row r="307" spans="1:34" x14ac:dyDescent="0.2">
      <c r="A307" s="263"/>
      <c r="B307" s="264"/>
      <c r="C307" s="298"/>
      <c r="D307" s="298"/>
      <c r="E307" s="298"/>
      <c r="F307" s="299"/>
      <c r="G307" s="299"/>
      <c r="H307" s="299"/>
      <c r="I307" s="299"/>
      <c r="J307" s="299"/>
      <c r="K307" s="299"/>
      <c r="L307" s="299"/>
      <c r="M307" s="299"/>
      <c r="N307" s="299"/>
      <c r="O307" s="299"/>
      <c r="P307" s="866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  <c r="AB307" s="299"/>
      <c r="AC307" s="299"/>
      <c r="AD307" s="299"/>
      <c r="AE307" s="299"/>
      <c r="AF307" s="299"/>
      <c r="AG307" s="299"/>
      <c r="AH307" s="215"/>
    </row>
    <row r="308" spans="1:34" x14ac:dyDescent="0.2">
      <c r="A308" s="265" t="s">
        <v>82</v>
      </c>
      <c r="B308" s="266"/>
      <c r="C308" s="291">
        <f t="shared" ref="C308:AG309" si="33">C316</f>
        <v>0</v>
      </c>
      <c r="D308" s="291">
        <f t="shared" si="33"/>
        <v>0</v>
      </c>
      <c r="E308" s="291">
        <f t="shared" si="33"/>
        <v>0</v>
      </c>
      <c r="F308" s="291">
        <f t="shared" si="33"/>
        <v>0</v>
      </c>
      <c r="G308" s="291">
        <f t="shared" si="33"/>
        <v>0</v>
      </c>
      <c r="H308" s="291">
        <f t="shared" si="33"/>
        <v>0</v>
      </c>
      <c r="I308" s="291">
        <f t="shared" si="33"/>
        <v>0</v>
      </c>
      <c r="J308" s="291">
        <f t="shared" si="33"/>
        <v>0</v>
      </c>
      <c r="K308" s="291">
        <f t="shared" si="33"/>
        <v>0</v>
      </c>
      <c r="L308" s="291">
        <f t="shared" si="33"/>
        <v>0</v>
      </c>
      <c r="M308" s="291">
        <f t="shared" si="33"/>
        <v>0</v>
      </c>
      <c r="N308" s="291">
        <f t="shared" si="33"/>
        <v>0</v>
      </c>
      <c r="O308" s="291">
        <f t="shared" si="33"/>
        <v>0</v>
      </c>
      <c r="P308" s="289">
        <f t="shared" si="33"/>
        <v>0</v>
      </c>
      <c r="Q308" s="291">
        <f t="shared" si="33"/>
        <v>0</v>
      </c>
      <c r="R308" s="291">
        <f t="shared" si="33"/>
        <v>0</v>
      </c>
      <c r="S308" s="291">
        <f t="shared" si="33"/>
        <v>0</v>
      </c>
      <c r="T308" s="291">
        <f t="shared" si="33"/>
        <v>0</v>
      </c>
      <c r="U308" s="291">
        <f t="shared" si="33"/>
        <v>0</v>
      </c>
      <c r="V308" s="291">
        <f t="shared" si="33"/>
        <v>0</v>
      </c>
      <c r="W308" s="291">
        <f t="shared" si="33"/>
        <v>0</v>
      </c>
      <c r="X308" s="291">
        <f t="shared" si="33"/>
        <v>0</v>
      </c>
      <c r="Y308" s="291">
        <f t="shared" si="33"/>
        <v>0</v>
      </c>
      <c r="Z308" s="291">
        <f t="shared" si="33"/>
        <v>0</v>
      </c>
      <c r="AA308" s="291">
        <f>AA316</f>
        <v>0</v>
      </c>
      <c r="AB308" s="291">
        <f t="shared" si="33"/>
        <v>0</v>
      </c>
      <c r="AC308" s="291">
        <f t="shared" si="33"/>
        <v>0</v>
      </c>
      <c r="AD308" s="291">
        <f t="shared" si="33"/>
        <v>0</v>
      </c>
      <c r="AE308" s="291">
        <f t="shared" si="33"/>
        <v>0</v>
      </c>
      <c r="AF308" s="291">
        <f t="shared" si="33"/>
        <v>0</v>
      </c>
      <c r="AG308" s="291">
        <f t="shared" si="33"/>
        <v>0</v>
      </c>
      <c r="AH308" s="215"/>
    </row>
    <row r="309" spans="1:34" x14ac:dyDescent="0.2">
      <c r="A309" s="265" t="s">
        <v>83</v>
      </c>
      <c r="B309" s="266"/>
      <c r="C309" s="289">
        <f t="shared" si="33"/>
        <v>0</v>
      </c>
      <c r="D309" s="289">
        <f t="shared" si="33"/>
        <v>0</v>
      </c>
      <c r="E309" s="289">
        <f t="shared" si="33"/>
        <v>0</v>
      </c>
      <c r="F309" s="289">
        <f t="shared" si="33"/>
        <v>0</v>
      </c>
      <c r="G309" s="289">
        <f t="shared" si="33"/>
        <v>0</v>
      </c>
      <c r="H309" s="289">
        <f t="shared" si="33"/>
        <v>0</v>
      </c>
      <c r="I309" s="289">
        <f t="shared" si="33"/>
        <v>0</v>
      </c>
      <c r="J309" s="289">
        <f t="shared" si="33"/>
        <v>0</v>
      </c>
      <c r="K309" s="289">
        <f t="shared" si="33"/>
        <v>0</v>
      </c>
      <c r="L309" s="289">
        <f t="shared" si="33"/>
        <v>0</v>
      </c>
      <c r="M309" s="289">
        <f t="shared" si="33"/>
        <v>0</v>
      </c>
      <c r="N309" s="289">
        <f t="shared" si="33"/>
        <v>0</v>
      </c>
      <c r="O309" s="289">
        <f t="shared" si="33"/>
        <v>0</v>
      </c>
      <c r="P309" s="289">
        <f t="shared" si="33"/>
        <v>0</v>
      </c>
      <c r="Q309" s="289">
        <f t="shared" si="33"/>
        <v>0</v>
      </c>
      <c r="R309" s="289">
        <f t="shared" si="33"/>
        <v>0</v>
      </c>
      <c r="S309" s="289">
        <f t="shared" si="33"/>
        <v>0</v>
      </c>
      <c r="T309" s="289">
        <f t="shared" si="33"/>
        <v>0</v>
      </c>
      <c r="U309" s="289">
        <f t="shared" si="33"/>
        <v>0</v>
      </c>
      <c r="V309" s="289">
        <f t="shared" si="33"/>
        <v>0</v>
      </c>
      <c r="W309" s="289">
        <f t="shared" si="33"/>
        <v>0</v>
      </c>
      <c r="X309" s="289">
        <f t="shared" si="33"/>
        <v>0</v>
      </c>
      <c r="Y309" s="289">
        <f t="shared" si="33"/>
        <v>0</v>
      </c>
      <c r="Z309" s="289">
        <f t="shared" si="33"/>
        <v>0</v>
      </c>
      <c r="AA309" s="289">
        <f t="shared" si="33"/>
        <v>0</v>
      </c>
      <c r="AB309" s="289">
        <f t="shared" si="33"/>
        <v>0</v>
      </c>
      <c r="AC309" s="289">
        <f t="shared" si="33"/>
        <v>0</v>
      </c>
      <c r="AD309" s="289">
        <f t="shared" si="33"/>
        <v>0</v>
      </c>
      <c r="AE309" s="289">
        <f t="shared" si="33"/>
        <v>0</v>
      </c>
      <c r="AF309" s="289">
        <f t="shared" si="33"/>
        <v>0</v>
      </c>
      <c r="AG309" s="289">
        <f t="shared" si="33"/>
        <v>0</v>
      </c>
      <c r="AH309" s="215"/>
    </row>
    <row r="310" spans="1:34" ht="13.5" thickBot="1" x14ac:dyDescent="0.25">
      <c r="A310" s="275"/>
      <c r="B310" s="302"/>
      <c r="C310" s="303"/>
      <c r="D310" s="303"/>
      <c r="E310" s="303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868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215"/>
    </row>
    <row r="311" spans="1:34" x14ac:dyDescent="0.2">
      <c r="A311" s="265"/>
      <c r="B311" s="266"/>
      <c r="C311" s="291"/>
      <c r="D311" s="291"/>
      <c r="E311" s="291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2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  <c r="AE311" s="290"/>
      <c r="AF311" s="290"/>
      <c r="AG311" s="290"/>
      <c r="AH311" s="215"/>
    </row>
    <row r="312" spans="1:34" x14ac:dyDescent="0.2">
      <c r="A312" s="265" t="s">
        <v>14</v>
      </c>
      <c r="B312" s="266"/>
      <c r="C312" s="291">
        <f>C305+C308+C309</f>
        <v>-21627.010999999999</v>
      </c>
      <c r="D312" s="291">
        <f>D305+D308+D309</f>
        <v>-21627.010999999999</v>
      </c>
      <c r="E312" s="291">
        <f>E305+E308+E309</f>
        <v>-21627.010999999999</v>
      </c>
      <c r="F312" s="291">
        <f>F305+F308+F309</f>
        <v>-21627.010999999999</v>
      </c>
      <c r="G312" s="291">
        <f>G305+G308+G309</f>
        <v>-21627.010999999999</v>
      </c>
      <c r="H312" s="291">
        <f t="shared" ref="H312:AG312" si="34">H305+H308+H309</f>
        <v>-21627.010999999999</v>
      </c>
      <c r="I312" s="291">
        <f t="shared" si="34"/>
        <v>-21627.010999999999</v>
      </c>
      <c r="J312" s="291">
        <f t="shared" si="34"/>
        <v>-21627.010999999999</v>
      </c>
      <c r="K312" s="291">
        <f t="shared" si="34"/>
        <v>-21627.010999999999</v>
      </c>
      <c r="L312" s="291">
        <f t="shared" si="34"/>
        <v>-21627.010999999999</v>
      </c>
      <c r="M312" s="291">
        <f t="shared" si="34"/>
        <v>-21627.010999999999</v>
      </c>
      <c r="N312" s="291">
        <f t="shared" si="34"/>
        <v>-21627.010999999999</v>
      </c>
      <c r="O312" s="291">
        <f t="shared" si="34"/>
        <v>-21627.010999999999</v>
      </c>
      <c r="P312" s="289">
        <f t="shared" si="34"/>
        <v>-21627.010999999999</v>
      </c>
      <c r="Q312" s="291">
        <f t="shared" si="34"/>
        <v>-21627.010999999999</v>
      </c>
      <c r="R312" s="291">
        <f t="shared" si="34"/>
        <v>-21627.010999999999</v>
      </c>
      <c r="S312" s="291">
        <f t="shared" si="34"/>
        <v>-21627.010999999999</v>
      </c>
      <c r="T312" s="291">
        <f t="shared" si="34"/>
        <v>-21627.010999999999</v>
      </c>
      <c r="U312" s="291">
        <f t="shared" si="34"/>
        <v>-21627.010999999999</v>
      </c>
      <c r="V312" s="291">
        <f t="shared" si="34"/>
        <v>-21627.010999999999</v>
      </c>
      <c r="W312" s="291">
        <f t="shared" si="34"/>
        <v>-21627.010999999999</v>
      </c>
      <c r="X312" s="291">
        <f t="shared" si="34"/>
        <v>-21627.010999999999</v>
      </c>
      <c r="Y312" s="291">
        <f t="shared" si="34"/>
        <v>-21627.010999999999</v>
      </c>
      <c r="Z312" s="291">
        <f t="shared" si="34"/>
        <v>-21627.010999999999</v>
      </c>
      <c r="AA312" s="291">
        <f t="shared" si="34"/>
        <v>-21627.010999999999</v>
      </c>
      <c r="AB312" s="291">
        <f t="shared" si="34"/>
        <v>-21627.010999999999</v>
      </c>
      <c r="AC312" s="291">
        <f t="shared" si="34"/>
        <v>-21627.010999999999</v>
      </c>
      <c r="AD312" s="291">
        <f t="shared" si="34"/>
        <v>-21627.010999999999</v>
      </c>
      <c r="AE312" s="291">
        <f t="shared" si="34"/>
        <v>-21627.010999999999</v>
      </c>
      <c r="AF312" s="291">
        <f t="shared" si="34"/>
        <v>-21627.010999999999</v>
      </c>
      <c r="AG312" s="291">
        <f t="shared" si="34"/>
        <v>-21627.010999999999</v>
      </c>
      <c r="AH312" s="215"/>
    </row>
    <row r="313" spans="1:34" x14ac:dyDescent="0.2">
      <c r="A313" s="265"/>
      <c r="B313" s="266"/>
      <c r="C313" s="291"/>
      <c r="D313" s="291"/>
      <c r="E313" s="291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2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  <c r="AA313" s="290"/>
      <c r="AB313" s="290"/>
      <c r="AC313" s="290"/>
      <c r="AD313" s="290"/>
      <c r="AE313" s="290"/>
      <c r="AF313" s="290"/>
      <c r="AG313" s="290"/>
      <c r="AH313" s="215"/>
    </row>
    <row r="314" spans="1:34" ht="13.5" thickBot="1" x14ac:dyDescent="0.25">
      <c r="A314" s="275"/>
      <c r="B314" s="302"/>
      <c r="C314" s="306"/>
      <c r="D314" s="306"/>
      <c r="E314" s="306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869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C314" s="307"/>
      <c r="AD314" s="307"/>
      <c r="AE314" s="307"/>
      <c r="AF314" s="307"/>
      <c r="AG314" s="307"/>
      <c r="AH314" s="215"/>
    </row>
    <row r="315" spans="1:34" x14ac:dyDescent="0.2">
      <c r="A315" s="310"/>
      <c r="B315" s="215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308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>
        <f>SUM(C315:AG315)</f>
        <v>0</v>
      </c>
    </row>
    <row r="316" spans="1:34" x14ac:dyDescent="0.2">
      <c r="A316" s="312"/>
      <c r="B316" s="475"/>
      <c r="C316" s="311"/>
      <c r="D316" s="629"/>
      <c r="E316" s="371"/>
      <c r="F316" s="311"/>
      <c r="G316" s="311"/>
      <c r="H316" s="314"/>
      <c r="I316" s="311"/>
      <c r="J316" s="311"/>
      <c r="K316" s="311"/>
      <c r="L316" s="311"/>
      <c r="M316" s="314"/>
      <c r="N316" s="314"/>
      <c r="O316" s="314"/>
      <c r="P316" s="629"/>
      <c r="Q316" s="311"/>
      <c r="R316" s="311"/>
      <c r="S316" s="311"/>
      <c r="T316" s="311"/>
      <c r="U316" s="311"/>
      <c r="V316" s="311"/>
      <c r="W316" s="314"/>
      <c r="X316" s="314"/>
      <c r="Y316" s="314"/>
      <c r="Z316" s="314"/>
      <c r="AA316" s="314"/>
      <c r="AB316" s="314"/>
      <c r="AC316" s="314"/>
      <c r="AD316" s="629"/>
      <c r="AE316" s="311"/>
      <c r="AF316" s="311"/>
      <c r="AG316" s="311"/>
      <c r="AH316" s="286"/>
    </row>
    <row r="317" spans="1:34" x14ac:dyDescent="0.2">
      <c r="A317" s="215"/>
      <c r="B317" s="215"/>
      <c r="C317" s="215"/>
      <c r="D317" s="215"/>
      <c r="E317" s="317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309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/>
      <c r="AF317" s="215"/>
      <c r="AG317" s="215"/>
      <c r="AH317" s="286"/>
    </row>
    <row r="318" spans="1:34" x14ac:dyDescent="0.2">
      <c r="A318" s="358" t="s">
        <v>415</v>
      </c>
      <c r="B318" s="359">
        <f>B319+B320+B322+B321</f>
        <v>1020000</v>
      </c>
      <c r="C318" s="316"/>
      <c r="D318" s="215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309"/>
      <c r="Q318" s="215"/>
      <c r="R318" s="215"/>
      <c r="S318" s="215"/>
      <c r="T318" s="215"/>
      <c r="U318" s="457"/>
      <c r="V318" s="314"/>
      <c r="W318" s="286"/>
      <c r="X318" s="215"/>
      <c r="Y318" s="215"/>
      <c r="Z318" s="215"/>
      <c r="AA318" s="408"/>
      <c r="AB318" s="215"/>
      <c r="AC318" s="215"/>
      <c r="AD318" s="215"/>
      <c r="AE318" s="215"/>
      <c r="AF318" s="215"/>
      <c r="AG318" s="215"/>
      <c r="AH318" s="215"/>
    </row>
    <row r="319" spans="1:34" x14ac:dyDescent="0.2">
      <c r="A319" s="327" t="s">
        <v>414</v>
      </c>
      <c r="B319" s="311">
        <v>20000</v>
      </c>
      <c r="C319" s="215"/>
      <c r="D319" s="215"/>
      <c r="E319" s="286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309"/>
      <c r="Q319" s="215"/>
      <c r="R319" s="215"/>
      <c r="S319" s="215"/>
      <c r="T319" s="215"/>
      <c r="U319" s="313"/>
      <c r="V319" s="313"/>
      <c r="W319" s="215"/>
      <c r="X319" s="215"/>
      <c r="Y319" s="215"/>
      <c r="Z319" s="215"/>
      <c r="AA319" s="215"/>
      <c r="AB319" s="215"/>
      <c r="AC319" s="286"/>
      <c r="AD319" s="286"/>
      <c r="AE319" s="215"/>
      <c r="AF319" s="215"/>
      <c r="AG319" s="215"/>
      <c r="AH319" s="215"/>
    </row>
    <row r="320" spans="1:34" x14ac:dyDescent="0.2">
      <c r="A320" s="327" t="s">
        <v>287</v>
      </c>
      <c r="B320" s="311">
        <v>600000</v>
      </c>
      <c r="C320" s="215"/>
      <c r="D320" s="215"/>
      <c r="E320" s="215"/>
      <c r="F320" s="215"/>
      <c r="G320" s="215"/>
      <c r="H320" s="215"/>
      <c r="I320" s="215"/>
      <c r="J320" s="215"/>
      <c r="K320" s="286"/>
      <c r="L320" s="215"/>
      <c r="M320" s="215"/>
      <c r="N320" s="215"/>
      <c r="O320" s="215"/>
      <c r="P320" s="309"/>
      <c r="Q320" s="215"/>
      <c r="R320" s="215"/>
      <c r="S320" s="215"/>
      <c r="T320" s="215"/>
      <c r="U320" s="458"/>
      <c r="V320" s="313"/>
      <c r="W320" s="215"/>
      <c r="X320" s="286"/>
      <c r="Y320" s="215"/>
      <c r="Z320" s="215"/>
      <c r="AA320" s="215"/>
      <c r="AB320" s="215"/>
      <c r="AC320" s="215"/>
      <c r="AD320" s="215"/>
      <c r="AE320" s="215"/>
      <c r="AF320" s="215"/>
      <c r="AG320" s="215"/>
    </row>
    <row r="321" spans="1:33" x14ac:dyDescent="0.2">
      <c r="A321" s="310" t="s">
        <v>413</v>
      </c>
      <c r="B321" s="311">
        <v>200000</v>
      </c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309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</row>
    <row r="322" spans="1:33" x14ac:dyDescent="0.2">
      <c r="A322" s="310" t="s">
        <v>441</v>
      </c>
      <c r="B322" s="311">
        <v>200000</v>
      </c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309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</row>
    <row r="323" spans="1:33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309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15"/>
      <c r="AE323" s="215"/>
      <c r="AF323" s="215"/>
      <c r="AG323" s="215"/>
    </row>
    <row r="324" spans="1:33" x14ac:dyDescent="0.2">
      <c r="A324" s="183" t="s">
        <v>449</v>
      </c>
      <c r="B324" s="25"/>
      <c r="L324" s="42"/>
    </row>
    <row r="325" spans="1:33" x14ac:dyDescent="0.2">
      <c r="AB325" s="42"/>
      <c r="AC325" s="42"/>
      <c r="AD325" s="42"/>
      <c r="AE325" s="42"/>
    </row>
    <row r="332" spans="1:33" ht="15" x14ac:dyDescent="0.2">
      <c r="A332" s="401"/>
      <c r="B332" s="791"/>
    </row>
    <row r="333" spans="1:33" ht="15" x14ac:dyDescent="0.2">
      <c r="A333" s="401"/>
      <c r="B333" s="791"/>
    </row>
    <row r="334" spans="1:33" ht="15" x14ac:dyDescent="0.2">
      <c r="A334" s="401"/>
      <c r="B334" s="791"/>
    </row>
    <row r="341" spans="1:1" x14ac:dyDescent="0.2">
      <c r="A341">
        <v>137.91399999999999</v>
      </c>
    </row>
    <row r="342" spans="1:1" x14ac:dyDescent="0.2">
      <c r="A342">
        <v>2037.404</v>
      </c>
    </row>
    <row r="343" spans="1:1" x14ac:dyDescent="0.2">
      <c r="A343">
        <v>187.5</v>
      </c>
    </row>
    <row r="344" spans="1:1" x14ac:dyDescent="0.2">
      <c r="A344">
        <v>250.4</v>
      </c>
    </row>
    <row r="345" spans="1:1" x14ac:dyDescent="0.2">
      <c r="A345">
        <v>288.54000000000002</v>
      </c>
    </row>
    <row r="346" spans="1:1" x14ac:dyDescent="0.2">
      <c r="A346">
        <v>768.45799999999997</v>
      </c>
    </row>
    <row r="347" spans="1:1" x14ac:dyDescent="0.2">
      <c r="A347">
        <v>500.4</v>
      </c>
    </row>
    <row r="348" spans="1:1" x14ac:dyDescent="0.2">
      <c r="A348">
        <v>373.43599999999998</v>
      </c>
    </row>
    <row r="349" spans="1:1" x14ac:dyDescent="0.2">
      <c r="A349">
        <v>54.344000000000001</v>
      </c>
    </row>
    <row r="350" spans="1:1" x14ac:dyDescent="0.2">
      <c r="A350">
        <v>600.4</v>
      </c>
    </row>
    <row r="351" spans="1:1" x14ac:dyDescent="0.2">
      <c r="A351">
        <v>1500.4</v>
      </c>
    </row>
    <row r="352" spans="1:1" x14ac:dyDescent="0.2">
      <c r="A352">
        <v>1009.546</v>
      </c>
    </row>
    <row r="353" spans="1:1" x14ac:dyDescent="0.2">
      <c r="A353">
        <v>33.645000000000003</v>
      </c>
    </row>
    <row r="354" spans="1:1" x14ac:dyDescent="0.2">
      <c r="A354">
        <v>390.892</v>
      </c>
    </row>
    <row r="355" spans="1:1" x14ac:dyDescent="0.2">
      <c r="A355">
        <v>200.4</v>
      </c>
    </row>
    <row r="356" spans="1:1" x14ac:dyDescent="0.2">
      <c r="A356">
        <v>640.4</v>
      </c>
    </row>
    <row r="357" spans="1:1" x14ac:dyDescent="0.2">
      <c r="A357">
        <v>117.4</v>
      </c>
    </row>
    <row r="358" spans="1:1" x14ac:dyDescent="0.2">
      <c r="A358">
        <v>150</v>
      </c>
    </row>
  </sheetData>
  <pageMargins left="0.78740157480314965" right="0.78740157480314965" top="0.98425196850393704" bottom="0.98425196850393704" header="0.51181102362204722" footer="0.51181102362204722"/>
  <pageSetup paperSize="9" fitToHeight="2" orientation="landscape" horizontalDpi="300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pageSetUpPr fitToPage="1"/>
  </sheetPr>
  <dimension ref="A3:J57"/>
  <sheetViews>
    <sheetView topLeftCell="A10" workbookViewId="0">
      <selection activeCell="J27" sqref="J27"/>
    </sheetView>
  </sheetViews>
  <sheetFormatPr defaultColWidth="11.42578125" defaultRowHeight="12.75" x14ac:dyDescent="0.2"/>
  <cols>
    <col min="1" max="1" width="40.5703125" customWidth="1"/>
    <col min="2" max="7" width="16.140625" customWidth="1"/>
    <col min="8" max="8" width="15.7109375" customWidth="1"/>
    <col min="10" max="10" width="12.85546875" bestFit="1" customWidth="1"/>
  </cols>
  <sheetData>
    <row r="3" spans="1:8" ht="13.5" thickBot="1" x14ac:dyDescent="0.25"/>
    <row r="4" spans="1:8" x14ac:dyDescent="0.2">
      <c r="A4" s="2"/>
      <c r="B4" s="3"/>
      <c r="C4" s="3"/>
      <c r="D4" s="3"/>
      <c r="E4" s="3"/>
      <c r="F4" s="3"/>
      <c r="G4" s="3"/>
      <c r="H4" s="119">
        <v>41678</v>
      </c>
    </row>
    <row r="5" spans="1:8" x14ac:dyDescent="0.2">
      <c r="A5" s="5"/>
      <c r="B5" s="6"/>
      <c r="C5" s="6"/>
      <c r="D5" s="6"/>
      <c r="E5" s="6"/>
      <c r="F5" s="6"/>
      <c r="G5" s="6"/>
      <c r="H5" s="7"/>
    </row>
    <row r="6" spans="1:8" ht="18" x14ac:dyDescent="0.25">
      <c r="A6" s="5"/>
      <c r="B6" s="505" t="s">
        <v>812</v>
      </c>
      <c r="C6" s="6"/>
      <c r="D6" s="6"/>
      <c r="E6" s="6"/>
      <c r="F6" s="6"/>
      <c r="G6" s="6"/>
      <c r="H6" s="7"/>
    </row>
    <row r="7" spans="1:8" x14ac:dyDescent="0.2">
      <c r="A7" s="5"/>
      <c r="B7" s="6"/>
      <c r="C7" s="6"/>
      <c r="D7" s="6"/>
      <c r="E7" s="6"/>
      <c r="F7" s="6"/>
      <c r="G7" s="6"/>
      <c r="H7" s="7"/>
    </row>
    <row r="8" spans="1:8" x14ac:dyDescent="0.2">
      <c r="A8" s="5"/>
      <c r="B8" s="6"/>
      <c r="C8" s="6"/>
      <c r="D8" s="6"/>
      <c r="E8" s="6"/>
      <c r="F8" s="6"/>
      <c r="G8" s="6"/>
      <c r="H8" s="7"/>
    </row>
    <row r="9" spans="1:8" x14ac:dyDescent="0.2">
      <c r="A9" s="5"/>
      <c r="B9" s="6"/>
      <c r="C9" s="6"/>
      <c r="D9" s="6"/>
      <c r="E9" s="6"/>
      <c r="F9" s="6"/>
      <c r="G9" s="6"/>
      <c r="H9" s="7"/>
    </row>
    <row r="10" spans="1:8" x14ac:dyDescent="0.2">
      <c r="A10" s="5"/>
      <c r="B10" s="6"/>
      <c r="C10" s="6"/>
      <c r="D10" s="6"/>
      <c r="E10" s="6"/>
      <c r="F10" s="6"/>
      <c r="G10" s="6"/>
      <c r="H10" s="7"/>
    </row>
    <row r="11" spans="1:8" ht="13.5" thickBot="1" x14ac:dyDescent="0.25">
      <c r="A11" s="11"/>
      <c r="B11" s="12"/>
      <c r="C11" s="12"/>
      <c r="D11" s="12"/>
      <c r="E11" s="12"/>
      <c r="F11" s="12"/>
      <c r="G11" s="12"/>
      <c r="H11" s="130"/>
    </row>
    <row r="12" spans="1:8" x14ac:dyDescent="0.2">
      <c r="A12" s="5"/>
      <c r="B12" s="205" t="s">
        <v>35</v>
      </c>
      <c r="C12" s="205" t="s">
        <v>36</v>
      </c>
      <c r="D12" s="205" t="s">
        <v>396</v>
      </c>
      <c r="E12" s="205" t="s">
        <v>651</v>
      </c>
      <c r="F12" s="205" t="s">
        <v>486</v>
      </c>
      <c r="G12" s="205" t="s">
        <v>652</v>
      </c>
      <c r="H12" s="561" t="s">
        <v>803</v>
      </c>
    </row>
    <row r="13" spans="1:8" ht="13.5" thickBot="1" x14ac:dyDescent="0.25">
      <c r="A13" s="5"/>
      <c r="B13" s="27"/>
      <c r="C13" s="27"/>
      <c r="D13" s="27"/>
      <c r="E13" s="27"/>
      <c r="F13" s="27"/>
      <c r="G13" s="27"/>
      <c r="H13" s="27"/>
    </row>
    <row r="14" spans="1:8" x14ac:dyDescent="0.2">
      <c r="A14" s="2"/>
      <c r="B14" s="33"/>
      <c r="C14" s="31"/>
      <c r="D14" s="31"/>
      <c r="E14" s="31"/>
      <c r="F14" s="31"/>
      <c r="G14" s="31"/>
      <c r="H14" s="31"/>
    </row>
    <row r="15" spans="1:8" ht="15.75" x14ac:dyDescent="0.25">
      <c r="A15" s="43" t="s">
        <v>18</v>
      </c>
      <c r="B15" s="45">
        <f t="shared" ref="B15:H15" si="0">B17+B18</f>
        <v>-61668</v>
      </c>
      <c r="C15" s="44">
        <f t="shared" si="0"/>
        <v>-278601</v>
      </c>
      <c r="D15" s="44">
        <f t="shared" si="0"/>
        <v>-344301</v>
      </c>
      <c r="E15" s="44">
        <f t="shared" si="0"/>
        <v>-320693</v>
      </c>
      <c r="F15" s="44">
        <f t="shared" si="0"/>
        <v>-311935</v>
      </c>
      <c r="G15" s="44">
        <f t="shared" si="0"/>
        <v>-256935</v>
      </c>
      <c r="H15" s="44">
        <f t="shared" si="0"/>
        <v>-201935</v>
      </c>
    </row>
    <row r="16" spans="1:8" ht="15.75" x14ac:dyDescent="0.25">
      <c r="A16" s="43"/>
      <c r="B16" s="45"/>
      <c r="C16" s="46"/>
      <c r="D16" s="46"/>
      <c r="E16" s="46"/>
      <c r="F16" s="46"/>
      <c r="G16" s="46"/>
      <c r="H16" s="46"/>
    </row>
    <row r="17" spans="1:8" x14ac:dyDescent="0.2">
      <c r="A17" s="9" t="s">
        <v>19</v>
      </c>
      <c r="B17" s="34">
        <f>69992-33704-64828-35128</f>
        <v>-63668</v>
      </c>
      <c r="C17" s="34">
        <f t="shared" ref="C17:H17" si="1">B55</f>
        <v>-280601</v>
      </c>
      <c r="D17" s="34">
        <f t="shared" si="1"/>
        <v>-346301</v>
      </c>
      <c r="E17" s="34">
        <f t="shared" si="1"/>
        <v>-322693</v>
      </c>
      <c r="F17" s="34">
        <f t="shared" si="1"/>
        <v>-313935</v>
      </c>
      <c r="G17" s="34">
        <f t="shared" si="1"/>
        <v>-258935</v>
      </c>
      <c r="H17" s="34">
        <f t="shared" si="1"/>
        <v>-203935</v>
      </c>
    </row>
    <row r="18" spans="1:8" x14ac:dyDescent="0.2">
      <c r="A18" s="9" t="s">
        <v>20</v>
      </c>
      <c r="B18" s="34">
        <v>2000</v>
      </c>
      <c r="C18" s="34">
        <f>B56</f>
        <v>2000</v>
      </c>
      <c r="D18" s="34">
        <f>B56</f>
        <v>2000</v>
      </c>
      <c r="E18" s="34">
        <v>2000</v>
      </c>
      <c r="F18" s="34">
        <f>B56</f>
        <v>2000</v>
      </c>
      <c r="G18" s="34">
        <f>B56</f>
        <v>2000</v>
      </c>
      <c r="H18" s="34">
        <f>C56</f>
        <v>2000</v>
      </c>
    </row>
    <row r="19" spans="1:8" x14ac:dyDescent="0.2">
      <c r="A19" s="9"/>
      <c r="B19" s="34"/>
      <c r="C19" s="31"/>
      <c r="D19" s="31"/>
      <c r="E19" s="31"/>
      <c r="F19" s="31"/>
      <c r="G19" s="31"/>
      <c r="H19" s="31"/>
    </row>
    <row r="20" spans="1:8" ht="13.5" thickBot="1" x14ac:dyDescent="0.25">
      <c r="A20" s="11"/>
      <c r="B20" s="35"/>
      <c r="C20" s="31"/>
      <c r="D20" s="31"/>
      <c r="E20" s="31"/>
      <c r="F20" s="31"/>
      <c r="G20" s="31"/>
      <c r="H20" s="31"/>
    </row>
    <row r="21" spans="1:8" x14ac:dyDescent="0.2">
      <c r="A21" s="5"/>
      <c r="B21" s="33"/>
      <c r="C21" s="33"/>
      <c r="D21" s="33"/>
      <c r="E21" s="33"/>
      <c r="F21" s="33"/>
      <c r="G21" s="33"/>
      <c r="H21" s="33"/>
    </row>
    <row r="22" spans="1:8" ht="15.75" x14ac:dyDescent="0.25">
      <c r="A22" s="43" t="s">
        <v>25</v>
      </c>
      <c r="B22" s="45">
        <f>B24+B27+B32+B29+B28+B30+B33+B25+B26</f>
        <v>1601821</v>
      </c>
      <c r="C22" s="45">
        <f t="shared" ref="C22:H22" si="2">C24+C27+C32+C29+C28+C30+C33+C25+C26</f>
        <v>1620700</v>
      </c>
      <c r="D22" s="45">
        <f t="shared" si="2"/>
        <v>1731392</v>
      </c>
      <c r="E22" s="45">
        <f t="shared" si="2"/>
        <v>1796242</v>
      </c>
      <c r="F22" s="45">
        <f t="shared" si="2"/>
        <v>1750000</v>
      </c>
      <c r="G22" s="45">
        <f t="shared" si="2"/>
        <v>1750000</v>
      </c>
      <c r="H22" s="45">
        <f t="shared" si="2"/>
        <v>1815000</v>
      </c>
    </row>
    <row r="23" spans="1:8" ht="15.75" x14ac:dyDescent="0.25">
      <c r="A23" s="43"/>
      <c r="B23" s="45"/>
      <c r="C23" s="45"/>
      <c r="D23" s="45"/>
      <c r="E23" s="45"/>
      <c r="F23" s="45"/>
      <c r="G23" s="45"/>
      <c r="H23" s="45"/>
    </row>
    <row r="24" spans="1:8" x14ac:dyDescent="0.2">
      <c r="A24" s="10" t="s">
        <v>133</v>
      </c>
      <c r="B24" s="120">
        <v>794422</v>
      </c>
      <c r="C24" s="120">
        <v>1140000</v>
      </c>
      <c r="D24" s="120">
        <v>1150000</v>
      </c>
      <c r="E24" s="120">
        <v>1200000</v>
      </c>
      <c r="F24" s="120">
        <v>1200000</v>
      </c>
      <c r="G24" s="120">
        <v>1200000</v>
      </c>
      <c r="H24" s="120">
        <v>1200000</v>
      </c>
    </row>
    <row r="25" spans="1:8" x14ac:dyDescent="0.2">
      <c r="A25" s="491" t="s">
        <v>804</v>
      </c>
      <c r="B25" s="120">
        <f>9306+676</f>
        <v>9982</v>
      </c>
      <c r="C25" s="120"/>
      <c r="D25" s="120"/>
      <c r="E25" s="120"/>
      <c r="F25" s="120"/>
      <c r="G25" s="120"/>
      <c r="H25" s="120"/>
    </row>
    <row r="26" spans="1:8" x14ac:dyDescent="0.2">
      <c r="A26" s="491" t="s">
        <v>805</v>
      </c>
      <c r="B26" s="120">
        <v>24442</v>
      </c>
      <c r="C26" s="120"/>
      <c r="D26" s="120"/>
      <c r="E26" s="120"/>
      <c r="F26" s="120"/>
      <c r="G26" s="120"/>
      <c r="H26" s="120"/>
    </row>
    <row r="27" spans="1:8" x14ac:dyDescent="0.2">
      <c r="A27" s="10" t="s">
        <v>134</v>
      </c>
      <c r="B27" s="120">
        <f>19236+93814+169865</f>
        <v>282915</v>
      </c>
      <c r="C27" s="120">
        <v>213700</v>
      </c>
      <c r="D27" s="120">
        <v>200000</v>
      </c>
      <c r="E27" s="120">
        <v>200000</v>
      </c>
      <c r="F27" s="120">
        <v>200000</v>
      </c>
      <c r="G27" s="120">
        <v>200000</v>
      </c>
      <c r="H27" s="120">
        <v>200000</v>
      </c>
    </row>
    <row r="28" spans="1:8" x14ac:dyDescent="0.2">
      <c r="A28" s="10" t="s">
        <v>359</v>
      </c>
      <c r="B28" s="120">
        <f>201119+108416+47735</f>
        <v>357270</v>
      </c>
      <c r="C28" s="120">
        <v>202000</v>
      </c>
      <c r="D28" s="120">
        <v>200000</v>
      </c>
      <c r="E28" s="120">
        <v>200000</v>
      </c>
      <c r="F28" s="120">
        <v>200000</v>
      </c>
      <c r="G28" s="120">
        <v>200000</v>
      </c>
      <c r="H28" s="120">
        <v>200000</v>
      </c>
    </row>
    <row r="29" spans="1:8" x14ac:dyDescent="0.2">
      <c r="A29" s="10" t="s">
        <v>292</v>
      </c>
      <c r="B29" s="120"/>
      <c r="C29" s="120"/>
      <c r="D29" s="120">
        <v>50000</v>
      </c>
      <c r="E29" s="120">
        <v>50000</v>
      </c>
      <c r="F29" s="120">
        <v>50000</v>
      </c>
      <c r="G29" s="120">
        <v>50000</v>
      </c>
      <c r="H29" s="120">
        <v>50000</v>
      </c>
    </row>
    <row r="30" spans="1:8" x14ac:dyDescent="0.2">
      <c r="A30" s="10" t="s">
        <v>358</v>
      </c>
      <c r="B30" s="120">
        <v>2790</v>
      </c>
      <c r="C30" s="120"/>
      <c r="D30" s="120">
        <v>66392</v>
      </c>
      <c r="E30" s="120">
        <f>16242</f>
        <v>16242</v>
      </c>
      <c r="F30" s="120">
        <v>35000</v>
      </c>
      <c r="G30" s="120">
        <v>35000</v>
      </c>
      <c r="H30" s="120">
        <v>35000</v>
      </c>
    </row>
    <row r="31" spans="1:8" x14ac:dyDescent="0.2">
      <c r="A31" s="491" t="s">
        <v>806</v>
      </c>
      <c r="B31" s="120">
        <f>4770+9032</f>
        <v>13802</v>
      </c>
      <c r="C31" s="120"/>
      <c r="D31" s="120"/>
      <c r="E31" s="120"/>
      <c r="F31" s="120"/>
      <c r="G31" s="120"/>
      <c r="H31" s="120"/>
    </row>
    <row r="32" spans="1:8" x14ac:dyDescent="0.2">
      <c r="A32" s="10" t="s">
        <v>135</v>
      </c>
      <c r="B32" s="120">
        <v>130000</v>
      </c>
      <c r="C32" s="120">
        <v>65000</v>
      </c>
      <c r="D32" s="120">
        <v>65000</v>
      </c>
      <c r="E32" s="120">
        <v>130000</v>
      </c>
      <c r="F32" s="120">
        <v>65000</v>
      </c>
      <c r="G32" s="120">
        <v>65000</v>
      </c>
      <c r="H32" s="120">
        <v>130000</v>
      </c>
    </row>
    <row r="33" spans="1:10" x14ac:dyDescent="0.2">
      <c r="A33" s="10"/>
      <c r="B33" s="120"/>
      <c r="C33" s="120"/>
      <c r="D33" s="120"/>
      <c r="E33" s="120"/>
      <c r="F33" s="120"/>
      <c r="G33" s="120"/>
      <c r="H33" s="120"/>
    </row>
    <row r="34" spans="1:10" ht="13.5" thickBot="1" x14ac:dyDescent="0.25">
      <c r="A34" s="121"/>
      <c r="B34" s="35"/>
      <c r="C34" s="35"/>
      <c r="D34" s="35"/>
      <c r="E34" s="35"/>
      <c r="F34" s="35"/>
      <c r="G34" s="35"/>
      <c r="H34" s="35"/>
    </row>
    <row r="35" spans="1:10" x14ac:dyDescent="0.2">
      <c r="A35" s="5"/>
      <c r="B35" s="33"/>
      <c r="C35" s="21"/>
      <c r="D35" s="21"/>
      <c r="E35" s="21"/>
      <c r="F35" s="21"/>
      <c r="G35" s="21"/>
      <c r="H35" s="21"/>
    </row>
    <row r="36" spans="1:10" ht="15.75" x14ac:dyDescent="0.25">
      <c r="A36" s="43" t="s">
        <v>136</v>
      </c>
      <c r="B36" s="45">
        <f t="shared" ref="B36:H36" si="3">B40+B47</f>
        <v>1384888</v>
      </c>
      <c r="C36" s="45">
        <f t="shared" si="3"/>
        <v>1555000</v>
      </c>
      <c r="D36" s="45">
        <f t="shared" si="3"/>
        <v>1755000</v>
      </c>
      <c r="E36" s="45">
        <f t="shared" si="3"/>
        <v>1805000</v>
      </c>
      <c r="F36" s="45">
        <f t="shared" si="3"/>
        <v>1805000</v>
      </c>
      <c r="G36" s="45">
        <f>G40+G47</f>
        <v>1805000</v>
      </c>
      <c r="H36" s="45">
        <f t="shared" si="3"/>
        <v>1805000</v>
      </c>
      <c r="J36" s="474"/>
    </row>
    <row r="37" spans="1:10" ht="15.75" x14ac:dyDescent="0.25">
      <c r="A37" s="43"/>
      <c r="B37" s="45"/>
      <c r="C37" s="46"/>
      <c r="D37" s="46"/>
      <c r="E37" s="46"/>
      <c r="F37" s="46"/>
      <c r="G37" s="46"/>
      <c r="H37" s="46"/>
    </row>
    <row r="38" spans="1:10" ht="13.5" thickBot="1" x14ac:dyDescent="0.25">
      <c r="A38" s="5"/>
      <c r="B38" s="35"/>
      <c r="C38" s="20"/>
      <c r="D38" s="20"/>
      <c r="E38" s="20"/>
      <c r="F38" s="20"/>
      <c r="G38" s="20"/>
      <c r="H38" s="20"/>
    </row>
    <row r="39" spans="1:10" x14ac:dyDescent="0.2">
      <c r="A39" s="13"/>
      <c r="B39" s="21"/>
      <c r="C39" s="21"/>
      <c r="D39" s="21"/>
      <c r="E39" s="21"/>
      <c r="F39" s="21"/>
      <c r="G39" s="21"/>
      <c r="H39" s="21"/>
    </row>
    <row r="40" spans="1:10" ht="13.5" thickBot="1" x14ac:dyDescent="0.25">
      <c r="A40" s="14" t="s">
        <v>137</v>
      </c>
      <c r="B40" s="41">
        <f t="shared" ref="B40:H40" si="4">B42+B43+B44</f>
        <v>914888</v>
      </c>
      <c r="C40" s="41">
        <f t="shared" si="4"/>
        <v>1055000</v>
      </c>
      <c r="D40" s="41">
        <f t="shared" si="4"/>
        <v>1205000</v>
      </c>
      <c r="E40" s="41">
        <f t="shared" si="4"/>
        <v>1255000</v>
      </c>
      <c r="F40" s="41">
        <f t="shared" si="4"/>
        <v>1255000</v>
      </c>
      <c r="G40" s="41">
        <f>G42+G43+G44</f>
        <v>1255000</v>
      </c>
      <c r="H40" s="41">
        <f t="shared" si="4"/>
        <v>1255000</v>
      </c>
    </row>
    <row r="41" spans="1:10" x14ac:dyDescent="0.2">
      <c r="A41" s="14"/>
      <c r="B41" s="172"/>
      <c r="C41" s="504"/>
      <c r="D41" s="172"/>
      <c r="E41" s="504"/>
      <c r="F41" s="172"/>
      <c r="G41" s="504"/>
      <c r="H41" s="172"/>
    </row>
    <row r="42" spans="1:10" x14ac:dyDescent="0.2">
      <c r="A42" s="15" t="s">
        <v>8</v>
      </c>
      <c r="B42" s="34">
        <v>764888</v>
      </c>
      <c r="C42" s="29">
        <v>800000</v>
      </c>
      <c r="D42" s="34">
        <v>900000</v>
      </c>
      <c r="E42" s="29">
        <v>950000</v>
      </c>
      <c r="F42" s="34">
        <v>950000</v>
      </c>
      <c r="G42" s="29">
        <v>950000</v>
      </c>
      <c r="H42" s="34">
        <v>950000</v>
      </c>
    </row>
    <row r="43" spans="1:10" x14ac:dyDescent="0.2">
      <c r="A43" s="15" t="s">
        <v>26</v>
      </c>
      <c r="B43" s="34">
        <v>150000</v>
      </c>
      <c r="C43" s="29">
        <v>250000</v>
      </c>
      <c r="D43" s="34">
        <v>300000</v>
      </c>
      <c r="E43" s="29">
        <v>300000</v>
      </c>
      <c r="F43" s="34">
        <v>300000</v>
      </c>
      <c r="G43" s="29">
        <v>300000</v>
      </c>
      <c r="H43" s="34">
        <v>300000</v>
      </c>
    </row>
    <row r="44" spans="1:10" x14ac:dyDescent="0.2">
      <c r="A44" s="15" t="s">
        <v>29</v>
      </c>
      <c r="B44" s="34"/>
      <c r="C44" s="29">
        <v>5000</v>
      </c>
      <c r="D44" s="34">
        <v>5000</v>
      </c>
      <c r="E44" s="29">
        <v>5000</v>
      </c>
      <c r="F44" s="34">
        <v>5000</v>
      </c>
      <c r="G44" s="29">
        <v>5000</v>
      </c>
      <c r="H44" s="34">
        <v>5000</v>
      </c>
    </row>
    <row r="45" spans="1:10" x14ac:dyDescent="0.2">
      <c r="A45" s="15"/>
      <c r="B45" s="34"/>
      <c r="C45" s="29"/>
      <c r="D45" s="34"/>
      <c r="E45" s="29"/>
      <c r="F45" s="34"/>
      <c r="G45" s="29"/>
      <c r="H45" s="34"/>
    </row>
    <row r="46" spans="1:10" x14ac:dyDescent="0.2">
      <c r="A46" s="15" t="s">
        <v>179</v>
      </c>
      <c r="B46" s="34"/>
      <c r="C46" s="29"/>
      <c r="D46" s="34"/>
      <c r="E46" s="29"/>
      <c r="F46" s="34"/>
      <c r="G46" s="29"/>
      <c r="H46" s="34"/>
    </row>
    <row r="47" spans="1:10" x14ac:dyDescent="0.2">
      <c r="A47" s="14" t="s">
        <v>138</v>
      </c>
      <c r="B47" s="173">
        <f>344000+126000</f>
        <v>470000</v>
      </c>
      <c r="C47" s="123">
        <v>500000</v>
      </c>
      <c r="D47" s="173">
        <v>550000</v>
      </c>
      <c r="E47" s="123">
        <v>550000</v>
      </c>
      <c r="F47" s="173">
        <v>550000</v>
      </c>
      <c r="G47" s="123">
        <v>550000</v>
      </c>
      <c r="H47" s="173">
        <v>550000</v>
      </c>
    </row>
    <row r="48" spans="1:10" ht="13.5" thickBot="1" x14ac:dyDescent="0.25">
      <c r="A48" s="16"/>
      <c r="B48" s="35"/>
      <c r="C48" s="37"/>
      <c r="D48" s="35"/>
      <c r="E48" s="37"/>
      <c r="F48" s="35"/>
      <c r="G48" s="37"/>
      <c r="H48" s="35"/>
    </row>
    <row r="49" spans="1:8" x14ac:dyDescent="0.2">
      <c r="A49" s="2"/>
      <c r="B49" s="21"/>
      <c r="C49" s="21"/>
      <c r="D49" s="21"/>
      <c r="E49" s="21"/>
      <c r="F49" s="21"/>
      <c r="G49" s="21"/>
      <c r="H49" s="21"/>
    </row>
    <row r="50" spans="1:8" x14ac:dyDescent="0.2">
      <c r="A50" s="9" t="s">
        <v>27</v>
      </c>
      <c r="B50" s="34">
        <f t="shared" ref="B50:H50" si="5">B36-B22</f>
        <v>-216933</v>
      </c>
      <c r="C50" s="34">
        <f t="shared" si="5"/>
        <v>-65700</v>
      </c>
      <c r="D50" s="34">
        <f t="shared" si="5"/>
        <v>23608</v>
      </c>
      <c r="E50" s="34">
        <f t="shared" si="5"/>
        <v>8758</v>
      </c>
      <c r="F50" s="34">
        <f t="shared" si="5"/>
        <v>55000</v>
      </c>
      <c r="G50" s="34">
        <f>G36-G22</f>
        <v>55000</v>
      </c>
      <c r="H50" s="34">
        <f t="shared" si="5"/>
        <v>-10000</v>
      </c>
    </row>
    <row r="51" spans="1:8" ht="13.5" thickBot="1" x14ac:dyDescent="0.25">
      <c r="A51" s="5"/>
      <c r="B51" s="19"/>
      <c r="C51" s="19"/>
      <c r="D51" s="19"/>
      <c r="E51" s="19"/>
      <c r="F51" s="19"/>
      <c r="G51" s="19"/>
      <c r="H51" s="19"/>
    </row>
    <row r="52" spans="1:8" x14ac:dyDescent="0.2">
      <c r="A52" s="2"/>
      <c r="B52" s="33"/>
      <c r="C52" s="33"/>
      <c r="D52" s="33"/>
      <c r="E52" s="33"/>
      <c r="F52" s="33"/>
      <c r="G52" s="33"/>
      <c r="H52" s="33"/>
    </row>
    <row r="53" spans="1:8" ht="16.5" thickBot="1" x14ac:dyDescent="0.3">
      <c r="A53" s="43" t="s">
        <v>28</v>
      </c>
      <c r="B53" s="171">
        <f t="shared" ref="B53:H53" si="6">B15+B50</f>
        <v>-278601</v>
      </c>
      <c r="C53" s="171">
        <f t="shared" si="6"/>
        <v>-344301</v>
      </c>
      <c r="D53" s="171">
        <f t="shared" si="6"/>
        <v>-320693</v>
      </c>
      <c r="E53" s="171">
        <f t="shared" si="6"/>
        <v>-311935</v>
      </c>
      <c r="F53" s="171">
        <f t="shared" si="6"/>
        <v>-256935</v>
      </c>
      <c r="G53" s="171">
        <f>G15+G50</f>
        <v>-201935</v>
      </c>
      <c r="H53" s="171">
        <f t="shared" si="6"/>
        <v>-211935</v>
      </c>
    </row>
    <row r="54" spans="1:8" ht="16.5" thickBot="1" x14ac:dyDescent="0.3">
      <c r="A54" s="43"/>
      <c r="B54" s="122"/>
      <c r="C54" s="122"/>
      <c r="D54" s="122"/>
      <c r="E54" s="122"/>
      <c r="F54" s="122"/>
      <c r="G54" s="122"/>
      <c r="H54" s="122"/>
    </row>
    <row r="55" spans="1:8" x14ac:dyDescent="0.2">
      <c r="A55" s="9" t="s">
        <v>19</v>
      </c>
      <c r="B55" s="33">
        <f t="shared" ref="B55:H55" si="7">B53-B56</f>
        <v>-280601</v>
      </c>
      <c r="C55" s="33">
        <f t="shared" si="7"/>
        <v>-346301</v>
      </c>
      <c r="D55" s="33">
        <f t="shared" si="7"/>
        <v>-322693</v>
      </c>
      <c r="E55" s="33">
        <f t="shared" si="7"/>
        <v>-313935</v>
      </c>
      <c r="F55" s="33">
        <f t="shared" si="7"/>
        <v>-258935</v>
      </c>
      <c r="G55" s="33">
        <f t="shared" si="7"/>
        <v>-203935</v>
      </c>
      <c r="H55" s="33">
        <f t="shared" si="7"/>
        <v>-213935</v>
      </c>
    </row>
    <row r="56" spans="1:8" x14ac:dyDescent="0.2">
      <c r="A56" s="9" t="s">
        <v>20</v>
      </c>
      <c r="B56" s="34">
        <f>2000</f>
        <v>2000</v>
      </c>
      <c r="C56" s="34">
        <f>2000</f>
        <v>2000</v>
      </c>
      <c r="D56" s="34">
        <f>2000</f>
        <v>2000</v>
      </c>
      <c r="E56" s="34">
        <f>2000</f>
        <v>2000</v>
      </c>
      <c r="F56" s="34">
        <f>2000</f>
        <v>2000</v>
      </c>
      <c r="G56" s="34">
        <f>2000</f>
        <v>2000</v>
      </c>
      <c r="H56" s="34">
        <f>2000</f>
        <v>2000</v>
      </c>
    </row>
    <row r="57" spans="1:8" ht="13.5" thickBot="1" x14ac:dyDescent="0.25">
      <c r="A57" s="36"/>
      <c r="B57" s="35"/>
      <c r="C57" s="35"/>
      <c r="D57" s="35"/>
      <c r="E57" s="35"/>
      <c r="F57" s="35"/>
      <c r="G57" s="35"/>
      <c r="H57" s="35"/>
    </row>
  </sheetData>
  <phoneticPr fontId="37" type="noConversion"/>
  <pageMargins left="1.9685039370078741" right="0.39370078740157483" top="1.1417322834645669" bottom="0.78740157480314965" header="0.51181102362204722" footer="0.51181102362204722"/>
  <pageSetup paperSize="9" scale="62" orientation="landscape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>
    <pageSetUpPr fitToPage="1"/>
  </sheetPr>
  <dimension ref="A7:AI556"/>
  <sheetViews>
    <sheetView topLeftCell="A492" workbookViewId="0">
      <pane ySplit="630" topLeftCell="A313" activePane="bottomLeft"/>
      <selection activeCell="G492" sqref="G1:G1048576"/>
      <selection pane="bottomLeft" activeCell="D377" sqref="D377"/>
    </sheetView>
  </sheetViews>
  <sheetFormatPr defaultColWidth="11.42578125" defaultRowHeight="12.75" x14ac:dyDescent="0.2"/>
  <cols>
    <col min="1" max="1" width="50.5703125" customWidth="1"/>
    <col min="2" max="2" width="24.42578125" customWidth="1"/>
    <col min="3" max="3" width="15.140625" customWidth="1"/>
    <col min="4" max="4" width="15.7109375" customWidth="1"/>
    <col min="5" max="5" width="16.42578125" customWidth="1"/>
    <col min="6" max="6" width="15.7109375" customWidth="1"/>
    <col min="7" max="7" width="5.140625" customWidth="1"/>
    <col min="8" max="8" width="15.28515625" customWidth="1"/>
    <col min="9" max="9" width="4.5703125" customWidth="1"/>
    <col min="10" max="10" width="18.140625" customWidth="1"/>
    <col min="11" max="11" width="9.140625" customWidth="1"/>
    <col min="12" max="12" width="16" customWidth="1"/>
    <col min="13" max="13" width="9.28515625" customWidth="1"/>
    <col min="14" max="14" width="18.5703125" customWidth="1"/>
    <col min="15" max="15" width="2.85546875" customWidth="1"/>
    <col min="16" max="16" width="11.28515625" customWidth="1"/>
    <col min="17" max="17" width="16.28515625" customWidth="1"/>
    <col min="18" max="18" width="9" customWidth="1"/>
    <col min="19" max="19" width="14.7109375" customWidth="1"/>
    <col min="20" max="20" width="9.5703125" customWidth="1"/>
    <col min="23" max="23" width="19.7109375" customWidth="1"/>
    <col min="25" max="25" width="11.85546875" bestFit="1" customWidth="1"/>
    <col min="27" max="33" width="11.85546875" bestFit="1" customWidth="1"/>
    <col min="34" max="34" width="12" bestFit="1" customWidth="1"/>
    <col min="35" max="35" width="11.85546875" bestFit="1" customWidth="1"/>
  </cols>
  <sheetData>
    <row r="7" spans="1:9" ht="13.5" customHeight="1" x14ac:dyDescent="0.2"/>
    <row r="13" spans="1:9" x14ac:dyDescent="0.2">
      <c r="E13" s="52" t="s">
        <v>346</v>
      </c>
    </row>
    <row r="15" spans="1:9" ht="18" x14ac:dyDescent="0.25">
      <c r="I15" s="208" t="s">
        <v>347</v>
      </c>
    </row>
    <row r="16" spans="1:9" ht="18" x14ac:dyDescent="0.25">
      <c r="A16" s="208" t="s">
        <v>347</v>
      </c>
      <c r="I16" s="208" t="s">
        <v>348</v>
      </c>
    </row>
    <row r="17" spans="1:22" ht="18" x14ac:dyDescent="0.25">
      <c r="A17" s="208" t="s">
        <v>348</v>
      </c>
      <c r="I17" s="185"/>
    </row>
    <row r="18" spans="1:22" ht="18" x14ac:dyDescent="0.25">
      <c r="A18" s="185"/>
      <c r="P18" s="48"/>
      <c r="R18" s="48"/>
    </row>
    <row r="19" spans="1:22" x14ac:dyDescent="0.2">
      <c r="L19" s="186"/>
      <c r="M19" s="186"/>
      <c r="N19" s="186" t="s">
        <v>269</v>
      </c>
      <c r="O19" s="186"/>
      <c r="P19" s="48"/>
      <c r="R19" s="48"/>
    </row>
    <row r="20" spans="1:22" x14ac:dyDescent="0.2">
      <c r="C20" s="186"/>
      <c r="D20" s="186"/>
      <c r="E20" s="186" t="s">
        <v>269</v>
      </c>
      <c r="P20" s="48"/>
      <c r="R20" s="48"/>
    </row>
    <row r="21" spans="1:22" ht="15.75" x14ac:dyDescent="0.25">
      <c r="J21" s="192" t="s">
        <v>350</v>
      </c>
      <c r="K21" s="216"/>
      <c r="L21" s="216"/>
      <c r="M21" s="217"/>
      <c r="N21" s="250" t="s">
        <v>349</v>
      </c>
      <c r="O21" s="251"/>
      <c r="P21" s="252"/>
      <c r="Q21" s="253" t="s">
        <v>365</v>
      </c>
      <c r="R21" s="254"/>
      <c r="S21" s="253" t="s">
        <v>367</v>
      </c>
      <c r="T21" s="254"/>
      <c r="U21" s="253" t="s">
        <v>367</v>
      </c>
      <c r="V21" s="254"/>
    </row>
    <row r="22" spans="1:22" ht="15.75" x14ac:dyDescent="0.25">
      <c r="B22" s="192" t="s">
        <v>350</v>
      </c>
      <c r="C22" s="217"/>
      <c r="D22" s="216"/>
      <c r="E22" s="216" t="s">
        <v>349</v>
      </c>
      <c r="J22" s="247">
        <v>2008</v>
      </c>
      <c r="K22" s="222"/>
      <c r="L22" s="247">
        <v>2009</v>
      </c>
      <c r="M22" s="222"/>
      <c r="N22" s="248">
        <v>2010</v>
      </c>
      <c r="O22" s="249"/>
      <c r="P22" s="234"/>
      <c r="Q22" s="247" t="s">
        <v>366</v>
      </c>
      <c r="R22" s="222"/>
      <c r="S22" s="247">
        <v>2010</v>
      </c>
      <c r="T22" s="222"/>
      <c r="U22" s="247">
        <v>2010</v>
      </c>
      <c r="V22" s="222"/>
    </row>
    <row r="23" spans="1:22" ht="15.75" x14ac:dyDescent="0.25">
      <c r="B23" s="188">
        <v>2008</v>
      </c>
      <c r="C23" s="188">
        <v>2009</v>
      </c>
      <c r="D23" s="367"/>
      <c r="E23" s="189">
        <v>2010</v>
      </c>
      <c r="J23" s="219"/>
      <c r="K23" s="225"/>
      <c r="L23" s="219"/>
      <c r="M23" s="225"/>
      <c r="N23" s="229"/>
      <c r="O23" s="230"/>
      <c r="P23" s="231"/>
      <c r="Q23" s="219"/>
      <c r="R23" s="225"/>
      <c r="S23" s="219"/>
      <c r="T23" s="225"/>
      <c r="U23" s="219"/>
      <c r="V23" s="225"/>
    </row>
    <row r="24" spans="1:22" x14ac:dyDescent="0.2">
      <c r="B24" s="89"/>
      <c r="C24" s="89"/>
      <c r="D24" s="90"/>
      <c r="E24" s="84"/>
      <c r="J24" s="5"/>
      <c r="K24" s="222"/>
      <c r="L24" s="5"/>
      <c r="M24" s="222"/>
      <c r="N24" s="232"/>
      <c r="O24" s="233"/>
      <c r="P24" s="234"/>
      <c r="Q24" s="5"/>
      <c r="R24" s="222"/>
      <c r="S24" s="5"/>
      <c r="T24" s="222"/>
      <c r="U24" s="5"/>
      <c r="V24" s="222"/>
    </row>
    <row r="25" spans="1:22" ht="15.75" x14ac:dyDescent="0.25">
      <c r="I25" s="184" t="s">
        <v>251</v>
      </c>
      <c r="J25" s="39"/>
      <c r="K25" s="222"/>
      <c r="L25" s="39"/>
      <c r="M25" s="222"/>
      <c r="N25" s="235"/>
      <c r="O25" s="236"/>
      <c r="P25" s="234"/>
      <c r="Q25" s="39"/>
      <c r="R25" s="222"/>
      <c r="S25" s="39"/>
      <c r="T25" s="222"/>
      <c r="U25" s="39"/>
      <c r="V25" s="222"/>
    </row>
    <row r="26" spans="1:22" ht="15.75" x14ac:dyDescent="0.25">
      <c r="A26" s="184" t="s">
        <v>251</v>
      </c>
      <c r="B26" s="50"/>
      <c r="C26" s="50"/>
      <c r="D26" s="50"/>
      <c r="E26" s="50"/>
      <c r="J26" s="39"/>
      <c r="K26" s="222"/>
      <c r="L26" s="39"/>
      <c r="M26" s="222"/>
      <c r="N26" s="235"/>
      <c r="O26" s="236"/>
      <c r="P26" s="234"/>
      <c r="Q26" s="39"/>
      <c r="R26" s="222"/>
      <c r="S26" s="39"/>
      <c r="T26" s="222"/>
      <c r="U26" s="39"/>
      <c r="V26" s="222"/>
    </row>
    <row r="27" spans="1:22" x14ac:dyDescent="0.2">
      <c r="B27" s="50"/>
      <c r="C27" s="50"/>
      <c r="D27" s="50"/>
      <c r="E27" s="50"/>
      <c r="I27" t="s">
        <v>252</v>
      </c>
      <c r="J27" s="39">
        <v>7624</v>
      </c>
      <c r="K27" s="222"/>
      <c r="L27" s="39">
        <v>7730</v>
      </c>
      <c r="M27" s="222"/>
      <c r="N27" s="235">
        <v>9200</v>
      </c>
      <c r="O27" s="236"/>
      <c r="P27" s="234"/>
      <c r="Q27" s="39">
        <v>4908</v>
      </c>
      <c r="R27" s="222"/>
      <c r="S27" s="39">
        <v>9200</v>
      </c>
      <c r="T27" s="222"/>
      <c r="U27" s="39">
        <v>9655</v>
      </c>
      <c r="V27" s="222"/>
    </row>
    <row r="28" spans="1:22" x14ac:dyDescent="0.2">
      <c r="A28" t="s">
        <v>252</v>
      </c>
      <c r="B28" s="50">
        <v>7624</v>
      </c>
      <c r="C28" s="50">
        <v>7730</v>
      </c>
      <c r="D28" s="50"/>
      <c r="E28" s="50">
        <v>9200</v>
      </c>
      <c r="J28" s="39"/>
      <c r="K28" s="222"/>
      <c r="L28" s="39"/>
      <c r="M28" s="222"/>
      <c r="N28" s="235"/>
      <c r="O28" s="236"/>
      <c r="P28" s="234"/>
      <c r="Q28" s="39"/>
      <c r="R28" s="222"/>
      <c r="S28" s="39"/>
      <c r="T28" s="222"/>
      <c r="U28" s="39"/>
      <c r="V28" s="222"/>
    </row>
    <row r="29" spans="1:22" x14ac:dyDescent="0.2">
      <c r="B29" s="50"/>
      <c r="C29" s="50"/>
      <c r="D29" s="50"/>
      <c r="E29" s="50"/>
      <c r="I29" s="1" t="s">
        <v>266</v>
      </c>
      <c r="J29" s="220">
        <f>J27</f>
        <v>7624</v>
      </c>
      <c r="K29" s="222">
        <v>100</v>
      </c>
      <c r="L29" s="220">
        <f>L27</f>
        <v>7730</v>
      </c>
      <c r="M29" s="222">
        <v>100</v>
      </c>
      <c r="N29" s="237">
        <f>N27</f>
        <v>9200</v>
      </c>
      <c r="O29" s="238"/>
      <c r="P29" s="234">
        <v>100</v>
      </c>
      <c r="Q29" s="220">
        <f>Q27</f>
        <v>4908</v>
      </c>
      <c r="R29" s="222">
        <v>100</v>
      </c>
      <c r="S29" s="220">
        <f>S27</f>
        <v>9200</v>
      </c>
      <c r="T29" s="222">
        <v>100</v>
      </c>
      <c r="U29" s="220">
        <f>U27</f>
        <v>9655</v>
      </c>
      <c r="V29" s="222">
        <v>100</v>
      </c>
    </row>
    <row r="30" spans="1:22" ht="21.75" customHeight="1" x14ac:dyDescent="0.2">
      <c r="A30" s="1" t="s">
        <v>266</v>
      </c>
      <c r="B30" s="187">
        <f>B28</f>
        <v>7624</v>
      </c>
      <c r="C30" s="187">
        <f>C28</f>
        <v>7730</v>
      </c>
      <c r="D30" s="187"/>
      <c r="E30" s="187">
        <f>E28</f>
        <v>9200</v>
      </c>
      <c r="J30" s="39"/>
      <c r="K30" s="222"/>
      <c r="L30" s="39"/>
      <c r="M30" s="222"/>
      <c r="N30" s="235"/>
      <c r="O30" s="236"/>
      <c r="P30" s="234"/>
      <c r="Q30" s="39"/>
      <c r="R30" s="222"/>
      <c r="S30" s="39"/>
      <c r="T30" s="222"/>
      <c r="U30" s="39"/>
      <c r="V30" s="222"/>
    </row>
    <row r="31" spans="1:22" x14ac:dyDescent="0.2">
      <c r="B31" s="50"/>
      <c r="C31" s="50"/>
      <c r="D31" s="50"/>
      <c r="E31" s="50"/>
      <c r="J31" s="221"/>
      <c r="K31" s="222"/>
      <c r="L31" s="221"/>
      <c r="M31" s="222"/>
      <c r="N31" s="239"/>
      <c r="O31" s="240"/>
      <c r="P31" s="234"/>
      <c r="Q31" s="221"/>
      <c r="R31" s="222"/>
      <c r="S31" s="221"/>
      <c r="T31" s="222"/>
      <c r="U31" s="221"/>
      <c r="V31" s="222"/>
    </row>
    <row r="32" spans="1:22" ht="15.75" x14ac:dyDescent="0.25">
      <c r="B32" s="48"/>
      <c r="C32" s="48"/>
      <c r="D32" s="48"/>
      <c r="E32" s="48"/>
      <c r="I32" s="184" t="s">
        <v>253</v>
      </c>
      <c r="J32" s="221"/>
      <c r="K32" s="222"/>
      <c r="L32" s="221"/>
      <c r="M32" s="222"/>
      <c r="N32" s="239"/>
      <c r="O32" s="240"/>
      <c r="P32" s="234"/>
      <c r="Q32" s="221"/>
      <c r="R32" s="222"/>
      <c r="S32" s="221"/>
      <c r="T32" s="222"/>
      <c r="U32" s="221"/>
      <c r="V32" s="222"/>
    </row>
    <row r="33" spans="1:22" ht="15.75" x14ac:dyDescent="0.25">
      <c r="A33" s="184" t="s">
        <v>253</v>
      </c>
      <c r="B33" s="48"/>
      <c r="C33" s="48"/>
      <c r="D33" s="48"/>
      <c r="E33" s="48"/>
      <c r="H33" s="183"/>
      <c r="J33" s="39"/>
      <c r="K33" s="222"/>
      <c r="L33" s="39"/>
      <c r="M33" s="222"/>
      <c r="N33" s="235"/>
      <c r="O33" s="236"/>
      <c r="P33" s="234"/>
      <c r="Q33" s="39"/>
      <c r="R33" s="222"/>
      <c r="S33" s="39"/>
      <c r="T33" s="222"/>
      <c r="U33" s="39"/>
      <c r="V33" s="222"/>
    </row>
    <row r="34" spans="1:22" x14ac:dyDescent="0.2">
      <c r="B34" s="50"/>
      <c r="C34" s="50"/>
      <c r="D34" s="50"/>
      <c r="E34" s="50"/>
      <c r="I34" t="s">
        <v>254</v>
      </c>
      <c r="J34" s="39">
        <v>-244</v>
      </c>
      <c r="K34" s="226"/>
      <c r="L34" s="39">
        <v>-384</v>
      </c>
      <c r="M34" s="226"/>
      <c r="N34" s="235">
        <v>-300</v>
      </c>
      <c r="O34" s="236"/>
      <c r="P34" s="241"/>
      <c r="Q34" s="39">
        <v>-458</v>
      </c>
      <c r="R34" s="226"/>
      <c r="S34" s="39">
        <v>-700</v>
      </c>
      <c r="T34" s="226"/>
      <c r="U34" s="39">
        <v>-1000</v>
      </c>
      <c r="V34" s="226"/>
    </row>
    <row r="35" spans="1:22" x14ac:dyDescent="0.2">
      <c r="A35" t="s">
        <v>254</v>
      </c>
      <c r="B35" s="50">
        <v>-244</v>
      </c>
      <c r="C35" s="50">
        <v>-384</v>
      </c>
      <c r="D35" s="50"/>
      <c r="E35" s="50">
        <v>-300</v>
      </c>
      <c r="I35" s="183" t="s">
        <v>258</v>
      </c>
      <c r="J35" s="39">
        <v>6757</v>
      </c>
      <c r="K35" s="228">
        <v>85.43</v>
      </c>
      <c r="L35" s="39">
        <v>6869</v>
      </c>
      <c r="M35" s="228">
        <v>83.9</v>
      </c>
      <c r="N35" s="235">
        <v>7850</v>
      </c>
      <c r="O35" s="236"/>
      <c r="P35" s="242">
        <v>82.06</v>
      </c>
      <c r="Q35" s="39">
        <v>4535</v>
      </c>
      <c r="R35" s="228">
        <v>83.07</v>
      </c>
      <c r="S35" s="39">
        <v>8290</v>
      </c>
      <c r="T35" s="228">
        <v>82.5</v>
      </c>
      <c r="U35" s="39">
        <v>9000</v>
      </c>
      <c r="V35" s="228">
        <v>82.5</v>
      </c>
    </row>
    <row r="36" spans="1:22" x14ac:dyDescent="0.2">
      <c r="A36" s="183" t="s">
        <v>258</v>
      </c>
      <c r="B36" s="50">
        <v>6757</v>
      </c>
      <c r="C36" s="50">
        <v>6869</v>
      </c>
      <c r="D36" s="50"/>
      <c r="E36" s="50">
        <v>7850</v>
      </c>
      <c r="I36" s="183" t="s">
        <v>259</v>
      </c>
      <c r="J36" s="39">
        <v>32</v>
      </c>
      <c r="K36" s="222"/>
      <c r="L36" s="39">
        <v>39</v>
      </c>
      <c r="M36" s="222"/>
      <c r="N36" s="235">
        <f>L36*1.1</f>
        <v>42.900000000000006</v>
      </c>
      <c r="O36" s="236"/>
      <c r="P36" s="234"/>
      <c r="Q36" s="39">
        <v>17</v>
      </c>
      <c r="R36" s="222"/>
      <c r="S36" s="39">
        <v>40</v>
      </c>
      <c r="T36" s="222"/>
      <c r="U36" s="39">
        <v>40</v>
      </c>
      <c r="V36" s="222"/>
    </row>
    <row r="37" spans="1:22" x14ac:dyDescent="0.2">
      <c r="A37" s="183" t="s">
        <v>259</v>
      </c>
      <c r="B37" s="50">
        <v>32</v>
      </c>
      <c r="C37" s="50">
        <v>39</v>
      </c>
      <c r="D37" s="50"/>
      <c r="E37" s="50">
        <f>C37*1.1</f>
        <v>42.900000000000006</v>
      </c>
      <c r="I37" s="183" t="s">
        <v>260</v>
      </c>
      <c r="J37" s="39">
        <v>331</v>
      </c>
      <c r="K37" s="222">
        <v>4.34</v>
      </c>
      <c r="L37" s="39">
        <v>414</v>
      </c>
      <c r="M37" s="222">
        <v>5.35</v>
      </c>
      <c r="N37" s="235">
        <f>L37*1.1</f>
        <v>455.40000000000003</v>
      </c>
      <c r="O37" s="236"/>
      <c r="P37" s="234">
        <v>4.95</v>
      </c>
      <c r="Q37" s="39">
        <v>246</v>
      </c>
      <c r="R37" s="222">
        <v>5.01</v>
      </c>
      <c r="S37" s="39">
        <v>490</v>
      </c>
      <c r="T37" s="222">
        <v>5.33</v>
      </c>
      <c r="U37" s="39">
        <v>490</v>
      </c>
      <c r="V37" s="222">
        <v>5.33</v>
      </c>
    </row>
    <row r="38" spans="1:22" x14ac:dyDescent="0.2">
      <c r="A38" s="183" t="s">
        <v>260</v>
      </c>
      <c r="B38" s="50">
        <v>331</v>
      </c>
      <c r="C38" s="50">
        <v>414</v>
      </c>
      <c r="D38" s="50"/>
      <c r="E38" s="50">
        <f>C38*1.1</f>
        <v>455.40000000000003</v>
      </c>
      <c r="I38" s="183" t="s">
        <v>268</v>
      </c>
      <c r="J38" s="39">
        <v>90</v>
      </c>
      <c r="K38" s="222">
        <v>1.18</v>
      </c>
      <c r="L38" s="39">
        <v>106</v>
      </c>
      <c r="M38" s="222">
        <v>1.37</v>
      </c>
      <c r="N38" s="235">
        <f>L38*1.1</f>
        <v>116.60000000000001</v>
      </c>
      <c r="O38" s="236"/>
      <c r="P38" s="234">
        <v>1.27</v>
      </c>
      <c r="Q38" s="39">
        <v>76</v>
      </c>
      <c r="R38" s="222">
        <v>1.55</v>
      </c>
      <c r="S38" s="39">
        <v>150</v>
      </c>
      <c r="T38" s="222">
        <v>1.63</v>
      </c>
      <c r="U38" s="39">
        <v>150</v>
      </c>
      <c r="V38" s="222">
        <v>1.63</v>
      </c>
    </row>
    <row r="39" spans="1:22" x14ac:dyDescent="0.2">
      <c r="A39" s="183" t="s">
        <v>268</v>
      </c>
      <c r="B39" s="50">
        <v>90</v>
      </c>
      <c r="C39" s="50">
        <v>106</v>
      </c>
      <c r="D39" s="50"/>
      <c r="E39" s="50">
        <f>C39*1.1</f>
        <v>116.60000000000001</v>
      </c>
      <c r="I39" s="183" t="s">
        <v>261</v>
      </c>
      <c r="J39" s="39">
        <v>288</v>
      </c>
      <c r="K39" s="222">
        <v>3.78</v>
      </c>
      <c r="L39" s="224">
        <v>265</v>
      </c>
      <c r="M39" s="222">
        <v>3.43</v>
      </c>
      <c r="N39" s="243">
        <v>430</v>
      </c>
      <c r="O39" s="233" t="s">
        <v>302</v>
      </c>
      <c r="P39" s="234">
        <v>4.67</v>
      </c>
      <c r="Q39" s="224">
        <v>133</v>
      </c>
      <c r="R39" s="222">
        <v>2.7</v>
      </c>
      <c r="S39" s="224">
        <v>270</v>
      </c>
      <c r="T39" s="222">
        <v>2.93</v>
      </c>
      <c r="U39" s="224">
        <v>270</v>
      </c>
      <c r="V39" s="222">
        <v>2.93</v>
      </c>
    </row>
    <row r="40" spans="1:22" x14ac:dyDescent="0.2">
      <c r="A40" s="183" t="s">
        <v>261</v>
      </c>
      <c r="B40" s="50">
        <v>288</v>
      </c>
      <c r="C40" s="190">
        <v>265</v>
      </c>
      <c r="D40" s="190"/>
      <c r="E40" s="190">
        <v>430</v>
      </c>
      <c r="F40" t="s">
        <v>302</v>
      </c>
      <c r="J40" s="39"/>
      <c r="K40" s="222"/>
      <c r="L40" s="39"/>
      <c r="M40" s="222"/>
      <c r="N40" s="235"/>
      <c r="O40" s="236"/>
      <c r="P40" s="234"/>
      <c r="Q40" s="39"/>
      <c r="R40" s="222"/>
      <c r="S40" s="39"/>
      <c r="T40" s="222"/>
      <c r="U40" s="39"/>
      <c r="V40" s="222"/>
    </row>
    <row r="41" spans="1:22" x14ac:dyDescent="0.2">
      <c r="B41" s="50"/>
      <c r="C41" s="50"/>
      <c r="D41" s="50"/>
      <c r="E41" s="50"/>
      <c r="I41" s="1" t="s">
        <v>267</v>
      </c>
      <c r="J41" s="220">
        <f>SUM(J34:J39)</f>
        <v>7254</v>
      </c>
      <c r="K41" s="222"/>
      <c r="L41" s="220">
        <f>SUM(L34:L39)</f>
        <v>7309</v>
      </c>
      <c r="M41" s="222"/>
      <c r="N41" s="237">
        <f>SUM(N34:N39)</f>
        <v>8594.9</v>
      </c>
      <c r="O41" s="238"/>
      <c r="P41" s="234"/>
      <c r="Q41" s="220">
        <f>SUM(Q34:Q39)</f>
        <v>4549</v>
      </c>
      <c r="R41" s="222"/>
      <c r="S41" s="220">
        <f>SUM(S34:S39)</f>
        <v>8540</v>
      </c>
      <c r="T41" s="222"/>
      <c r="U41" s="220">
        <f>SUM(U34:U39)</f>
        <v>8950</v>
      </c>
      <c r="V41" s="222"/>
    </row>
    <row r="42" spans="1:22" ht="24" customHeight="1" x14ac:dyDescent="0.2">
      <c r="A42" s="1" t="s">
        <v>267</v>
      </c>
      <c r="B42" s="187">
        <f>SUM(B35:B40)</f>
        <v>7254</v>
      </c>
      <c r="C42" s="187">
        <f>SUM(C35:C40)</f>
        <v>7309</v>
      </c>
      <c r="D42" s="187"/>
      <c r="E42" s="187">
        <f>SUM(E35:E40)</f>
        <v>8594.9</v>
      </c>
      <c r="J42" s="39"/>
      <c r="K42" s="222"/>
      <c r="L42" s="39"/>
      <c r="M42" s="222"/>
      <c r="N42" s="235"/>
      <c r="O42" s="236"/>
      <c r="P42" s="234"/>
      <c r="Q42" s="39"/>
      <c r="R42" s="222"/>
      <c r="S42" s="39"/>
      <c r="T42" s="222"/>
      <c r="U42" s="39"/>
      <c r="V42" s="222"/>
    </row>
    <row r="43" spans="1:22" x14ac:dyDescent="0.2">
      <c r="B43" s="50"/>
      <c r="C43" s="50"/>
      <c r="D43" s="50"/>
      <c r="E43" s="50"/>
      <c r="J43" s="39"/>
      <c r="K43" s="222"/>
      <c r="L43" s="39"/>
      <c r="M43" s="222"/>
      <c r="N43" s="235"/>
      <c r="O43" s="236"/>
      <c r="P43" s="234"/>
      <c r="Q43" s="39"/>
      <c r="R43" s="222"/>
      <c r="S43" s="39"/>
      <c r="T43" s="222"/>
      <c r="U43" s="39"/>
      <c r="V43" s="222"/>
    </row>
    <row r="44" spans="1:22" ht="15.75" x14ac:dyDescent="0.25">
      <c r="B44" s="50"/>
      <c r="C44" s="50"/>
      <c r="D44" s="50"/>
      <c r="E44" s="50"/>
      <c r="I44" s="184" t="s">
        <v>255</v>
      </c>
      <c r="J44" s="220">
        <f>J29-J41</f>
        <v>370</v>
      </c>
      <c r="K44" s="222">
        <v>4.8499999999999996</v>
      </c>
      <c r="L44" s="220">
        <f>L29-L41</f>
        <v>421</v>
      </c>
      <c r="M44" s="222">
        <v>5.45</v>
      </c>
      <c r="N44" s="237">
        <f>N29-N41</f>
        <v>605.10000000000036</v>
      </c>
      <c r="O44" s="238"/>
      <c r="P44" s="234">
        <v>6.57</v>
      </c>
      <c r="Q44" s="220">
        <f>Q29-Q41</f>
        <v>359</v>
      </c>
      <c r="R44" s="222">
        <v>7.31</v>
      </c>
      <c r="S44" s="220">
        <f>S29-S41</f>
        <v>660</v>
      </c>
      <c r="T44" s="222">
        <v>7.17</v>
      </c>
      <c r="U44" s="220">
        <f>U29-U41</f>
        <v>705</v>
      </c>
      <c r="V44" s="222">
        <v>7.17</v>
      </c>
    </row>
    <row r="45" spans="1:22" ht="21" customHeight="1" x14ac:dyDescent="0.25">
      <c r="A45" s="184" t="s">
        <v>255</v>
      </c>
      <c r="B45" s="187">
        <f>B30-B42</f>
        <v>370</v>
      </c>
      <c r="C45" s="187">
        <f>C30-C42</f>
        <v>421</v>
      </c>
      <c r="D45" s="187"/>
      <c r="E45" s="187">
        <f>E30-E42</f>
        <v>605.10000000000036</v>
      </c>
      <c r="J45" s="39"/>
      <c r="K45" s="222"/>
      <c r="L45" s="39"/>
      <c r="M45" s="222"/>
      <c r="N45" s="235"/>
      <c r="O45" s="236"/>
      <c r="P45" s="234"/>
      <c r="Q45" s="39"/>
      <c r="R45" s="222"/>
      <c r="S45" s="39"/>
      <c r="T45" s="222"/>
      <c r="U45" s="39"/>
      <c r="V45" s="222"/>
    </row>
    <row r="46" spans="1:22" x14ac:dyDescent="0.2">
      <c r="B46" s="50"/>
      <c r="C46" s="50"/>
      <c r="D46" s="50"/>
      <c r="E46" s="50"/>
      <c r="I46" s="183" t="s">
        <v>262</v>
      </c>
      <c r="J46" s="39">
        <v>142</v>
      </c>
      <c r="K46" s="222">
        <v>1.86</v>
      </c>
      <c r="L46" s="39">
        <v>126</v>
      </c>
      <c r="M46" s="222">
        <v>1.63</v>
      </c>
      <c r="N46" s="235">
        <f>N27*1.7/100</f>
        <v>156.4</v>
      </c>
      <c r="O46" s="236"/>
      <c r="P46" s="234"/>
      <c r="Q46" s="39">
        <v>62</v>
      </c>
      <c r="R46" s="222">
        <v>1.26</v>
      </c>
      <c r="S46" s="39">
        <v>130</v>
      </c>
      <c r="T46" s="222">
        <v>1.41</v>
      </c>
      <c r="U46" s="39">
        <v>130</v>
      </c>
      <c r="V46" s="222">
        <v>1.41</v>
      </c>
    </row>
    <row r="47" spans="1:22" x14ac:dyDescent="0.2">
      <c r="A47" s="183" t="s">
        <v>262</v>
      </c>
      <c r="B47" s="50">
        <v>142</v>
      </c>
      <c r="C47" s="50">
        <v>126</v>
      </c>
      <c r="D47" s="50"/>
      <c r="E47" s="50">
        <f>E28*1.7/100</f>
        <v>156.4</v>
      </c>
      <c r="I47" s="183" t="s">
        <v>263</v>
      </c>
      <c r="J47" s="39">
        <v>6</v>
      </c>
      <c r="K47" s="222"/>
      <c r="L47" s="39">
        <v>5</v>
      </c>
      <c r="M47" s="222"/>
      <c r="N47" s="235"/>
      <c r="O47" s="236"/>
      <c r="P47" s="234"/>
      <c r="Q47" s="39">
        <v>22</v>
      </c>
      <c r="R47" s="222"/>
      <c r="S47" s="39">
        <v>22</v>
      </c>
      <c r="T47" s="222"/>
      <c r="U47" s="39">
        <v>22</v>
      </c>
      <c r="V47" s="222"/>
    </row>
    <row r="48" spans="1:22" x14ac:dyDescent="0.2">
      <c r="A48" s="183" t="s">
        <v>263</v>
      </c>
      <c r="B48" s="50">
        <v>6</v>
      </c>
      <c r="C48" s="50">
        <v>5</v>
      </c>
      <c r="D48" s="50"/>
      <c r="E48" s="50"/>
      <c r="I48" s="183" t="s">
        <v>264</v>
      </c>
      <c r="J48" s="39"/>
      <c r="K48" s="222"/>
      <c r="L48" s="39"/>
      <c r="M48" s="222"/>
      <c r="N48" s="235"/>
      <c r="O48" s="236"/>
      <c r="P48" s="234"/>
      <c r="Q48" s="39"/>
      <c r="R48" s="222"/>
      <c r="S48" s="39"/>
      <c r="T48" s="222"/>
      <c r="U48" s="39"/>
      <c r="V48" s="222"/>
    </row>
    <row r="49" spans="1:22" x14ac:dyDescent="0.2">
      <c r="A49" s="183" t="s">
        <v>264</v>
      </c>
      <c r="B49" s="50"/>
      <c r="C49" s="50"/>
      <c r="D49" s="50"/>
      <c r="E49" s="50"/>
      <c r="J49" s="39"/>
      <c r="K49" s="222"/>
      <c r="L49" s="39"/>
      <c r="M49" s="222"/>
      <c r="N49" s="235"/>
      <c r="O49" s="236"/>
      <c r="P49" s="234"/>
      <c r="Q49" s="39"/>
      <c r="R49" s="222"/>
      <c r="S49" s="39"/>
      <c r="T49" s="222"/>
      <c r="U49" s="39"/>
      <c r="V49" s="222"/>
    </row>
    <row r="50" spans="1:22" x14ac:dyDescent="0.2">
      <c r="B50" s="50"/>
      <c r="C50" s="50"/>
      <c r="D50" s="50"/>
      <c r="E50" s="50"/>
      <c r="J50" s="39"/>
      <c r="K50" s="222"/>
      <c r="L50" s="39"/>
      <c r="M50" s="222"/>
      <c r="N50" s="235"/>
      <c r="O50" s="236"/>
      <c r="P50" s="234"/>
      <c r="Q50" s="39"/>
      <c r="R50" s="222"/>
      <c r="S50" s="39"/>
      <c r="T50" s="222"/>
      <c r="U50" s="39"/>
      <c r="V50" s="222"/>
    </row>
    <row r="51" spans="1:22" ht="15.75" x14ac:dyDescent="0.25">
      <c r="B51" s="50"/>
      <c r="C51" s="50"/>
      <c r="D51" s="50"/>
      <c r="E51" s="50"/>
      <c r="I51" s="184" t="s">
        <v>256</v>
      </c>
      <c r="J51" s="220">
        <f>J44-J46+J47-J48</f>
        <v>234</v>
      </c>
      <c r="K51" s="222">
        <v>3.07</v>
      </c>
      <c r="L51" s="220">
        <f>L44-L46+L47-L48</f>
        <v>300</v>
      </c>
      <c r="M51" s="222">
        <v>3.88</v>
      </c>
      <c r="N51" s="237">
        <f>N44-N46+N47-N48</f>
        <v>448.70000000000039</v>
      </c>
      <c r="O51" s="238"/>
      <c r="P51" s="234">
        <v>4.88</v>
      </c>
      <c r="Q51" s="220">
        <f>Q44-Q46+Q47-Q48</f>
        <v>319</v>
      </c>
      <c r="R51" s="222">
        <v>6.5</v>
      </c>
      <c r="S51" s="220">
        <f>S44-S46+S47-S48</f>
        <v>552</v>
      </c>
      <c r="T51" s="222">
        <v>6</v>
      </c>
      <c r="U51" s="220">
        <f>U44-U46+U47-U48</f>
        <v>597</v>
      </c>
      <c r="V51" s="222">
        <v>6</v>
      </c>
    </row>
    <row r="52" spans="1:22" ht="18" customHeight="1" x14ac:dyDescent="0.25">
      <c r="A52" s="184" t="s">
        <v>256</v>
      </c>
      <c r="B52" s="187">
        <f>B45-B47+B48-B49</f>
        <v>234</v>
      </c>
      <c r="C52" s="187">
        <f>C45-C47+C48-C49</f>
        <v>300</v>
      </c>
      <c r="D52" s="187"/>
      <c r="E52" s="187">
        <f>E45-E47+E48-E49</f>
        <v>448.70000000000039</v>
      </c>
      <c r="J52" s="39"/>
      <c r="K52" s="222"/>
      <c r="L52" s="39"/>
      <c r="M52" s="222"/>
      <c r="N52" s="235"/>
      <c r="O52" s="236"/>
      <c r="P52" s="234"/>
      <c r="Q52" s="39"/>
      <c r="R52" s="222"/>
      <c r="S52" s="39"/>
      <c r="T52" s="222"/>
      <c r="U52" s="39"/>
      <c r="V52" s="222"/>
    </row>
    <row r="53" spans="1:22" x14ac:dyDescent="0.2">
      <c r="B53" s="50"/>
      <c r="C53" s="50"/>
      <c r="D53" s="50"/>
      <c r="E53" s="50"/>
      <c r="I53" s="183" t="s">
        <v>265</v>
      </c>
      <c r="J53" s="39">
        <v>70</v>
      </c>
      <c r="K53" s="222"/>
      <c r="L53" s="39">
        <v>97</v>
      </c>
      <c r="M53" s="222"/>
      <c r="N53" s="235">
        <f>N51*0.3</f>
        <v>134.6100000000001</v>
      </c>
      <c r="O53" s="236"/>
      <c r="P53" s="234"/>
      <c r="Q53" s="39">
        <f>Q51*0.3</f>
        <v>95.7</v>
      </c>
      <c r="R53" s="222"/>
      <c r="S53" s="39">
        <f>S51*0.3</f>
        <v>165.6</v>
      </c>
      <c r="T53" s="222"/>
      <c r="U53" s="39">
        <f>U51*0.3</f>
        <v>179.1</v>
      </c>
      <c r="V53" s="222"/>
    </row>
    <row r="54" spans="1:22" x14ac:dyDescent="0.2">
      <c r="A54" s="183" t="s">
        <v>265</v>
      </c>
      <c r="B54" s="50">
        <v>70</v>
      </c>
      <c r="C54" s="50">
        <v>97</v>
      </c>
      <c r="D54" s="50"/>
      <c r="E54" s="50">
        <f>E52*0.3</f>
        <v>134.6100000000001</v>
      </c>
      <c r="J54" s="39"/>
      <c r="K54" s="222"/>
      <c r="L54" s="39"/>
      <c r="M54" s="222"/>
      <c r="N54" s="235"/>
      <c r="O54" s="236"/>
      <c r="P54" s="234"/>
      <c r="Q54" s="39"/>
      <c r="R54" s="222"/>
      <c r="S54" s="39"/>
      <c r="T54" s="222"/>
      <c r="U54" s="39"/>
      <c r="V54" s="222"/>
    </row>
    <row r="55" spans="1:22" ht="16.5" thickBot="1" x14ac:dyDescent="0.3">
      <c r="B55" s="50"/>
      <c r="C55" s="50"/>
      <c r="D55" s="50"/>
      <c r="E55" s="50"/>
      <c r="I55" s="184" t="s">
        <v>257</v>
      </c>
      <c r="J55" s="223">
        <f>J51-J53</f>
        <v>164</v>
      </c>
      <c r="K55" s="227">
        <v>2.15</v>
      </c>
      <c r="L55" s="223">
        <f>L51-L53</f>
        <v>203</v>
      </c>
      <c r="M55" s="227">
        <v>2.63</v>
      </c>
      <c r="N55" s="244">
        <f>N51-N53</f>
        <v>314.09000000000026</v>
      </c>
      <c r="O55" s="245"/>
      <c r="P55" s="246">
        <v>3.41</v>
      </c>
      <c r="Q55" s="223">
        <f>Q51-Q53</f>
        <v>223.3</v>
      </c>
      <c r="R55" s="227">
        <v>4.54</v>
      </c>
      <c r="S55" s="223">
        <f>S51-S53</f>
        <v>386.4</v>
      </c>
      <c r="T55" s="227">
        <v>4.1900000000000004</v>
      </c>
      <c r="U55" s="223">
        <f>U51-U53</f>
        <v>417.9</v>
      </c>
      <c r="V55" s="227">
        <v>4.1900000000000004</v>
      </c>
    </row>
    <row r="56" spans="1:22" ht="19.5" customHeight="1" x14ac:dyDescent="0.25">
      <c r="A56" s="184" t="s">
        <v>257</v>
      </c>
      <c r="B56" s="187">
        <f>B52-B54</f>
        <v>164</v>
      </c>
      <c r="C56" s="187">
        <f>C52-C54</f>
        <v>203</v>
      </c>
      <c r="D56" s="187"/>
      <c r="E56" s="187">
        <f>E52-E54</f>
        <v>314.09000000000026</v>
      </c>
      <c r="I56" s="184"/>
      <c r="J56" s="123"/>
      <c r="K56" s="123"/>
      <c r="L56" s="123"/>
      <c r="M56" s="123"/>
      <c r="N56" s="123"/>
      <c r="O56" s="123"/>
    </row>
    <row r="57" spans="1:22" ht="19.5" customHeight="1" x14ac:dyDescent="0.25">
      <c r="A57" s="184"/>
      <c r="B57" s="123"/>
      <c r="C57" s="123"/>
      <c r="D57" s="123"/>
      <c r="E57" s="123"/>
      <c r="I57" s="184"/>
      <c r="J57" s="123"/>
      <c r="K57" s="123"/>
      <c r="L57" s="123"/>
      <c r="M57" s="123"/>
      <c r="N57" s="123"/>
      <c r="O57" s="123"/>
    </row>
    <row r="58" spans="1:22" ht="19.5" customHeight="1" x14ac:dyDescent="0.25">
      <c r="A58" s="184"/>
      <c r="B58" s="123"/>
      <c r="C58" s="123"/>
      <c r="D58" s="123"/>
      <c r="E58" s="123"/>
    </row>
    <row r="59" spans="1:22" x14ac:dyDescent="0.2">
      <c r="I59" s="183" t="s">
        <v>351</v>
      </c>
    </row>
    <row r="60" spans="1:22" x14ac:dyDescent="0.2">
      <c r="A60" s="183" t="s">
        <v>351</v>
      </c>
      <c r="I60" s="191"/>
    </row>
    <row r="61" spans="1:22" x14ac:dyDescent="0.2">
      <c r="A61" s="191"/>
    </row>
    <row r="66" spans="9:35" ht="18" x14ac:dyDescent="0.25">
      <c r="I66" s="208" t="s">
        <v>347</v>
      </c>
    </row>
    <row r="67" spans="9:35" ht="18" x14ac:dyDescent="0.25">
      <c r="I67" s="208" t="s">
        <v>348</v>
      </c>
    </row>
    <row r="68" spans="9:35" ht="18" x14ac:dyDescent="0.25">
      <c r="I68" s="185"/>
    </row>
    <row r="69" spans="9:35" x14ac:dyDescent="0.2">
      <c r="P69" s="48"/>
      <c r="R69" s="48"/>
    </row>
    <row r="70" spans="9:35" x14ac:dyDescent="0.2">
      <c r="L70" s="186"/>
      <c r="M70" s="186"/>
      <c r="N70" s="186" t="s">
        <v>269</v>
      </c>
      <c r="O70" s="186"/>
      <c r="P70" s="48"/>
      <c r="R70" s="48"/>
    </row>
    <row r="71" spans="9:35" ht="13.5" thickBot="1" x14ac:dyDescent="0.25">
      <c r="P71" s="48"/>
      <c r="R71" s="48"/>
    </row>
    <row r="72" spans="9:35" ht="15.75" x14ac:dyDescent="0.25">
      <c r="J72" s="192" t="s">
        <v>350</v>
      </c>
      <c r="K72" s="216"/>
      <c r="L72" s="216"/>
      <c r="M72" s="217"/>
      <c r="N72" s="250" t="s">
        <v>349</v>
      </c>
      <c r="O72" s="251"/>
      <c r="P72" s="252"/>
      <c r="Q72" s="253" t="s">
        <v>365</v>
      </c>
      <c r="R72" s="254"/>
      <c r="S72" s="253" t="s">
        <v>365</v>
      </c>
      <c r="T72" s="254"/>
      <c r="U72" s="253" t="s">
        <v>367</v>
      </c>
      <c r="V72" s="254"/>
      <c r="W72" s="332" t="s">
        <v>365</v>
      </c>
      <c r="X72" s="339"/>
      <c r="Y72" s="341" t="s">
        <v>349</v>
      </c>
      <c r="Z72" s="342"/>
    </row>
    <row r="73" spans="9:35" ht="15.75" x14ac:dyDescent="0.25">
      <c r="J73" s="247">
        <v>2008</v>
      </c>
      <c r="K73" s="222"/>
      <c r="L73" s="247">
        <v>2009</v>
      </c>
      <c r="M73" s="222"/>
      <c r="N73" s="248">
        <v>2010</v>
      </c>
      <c r="O73" s="249"/>
      <c r="P73" s="234"/>
      <c r="Q73" s="247" t="s">
        <v>366</v>
      </c>
      <c r="R73" s="222"/>
      <c r="S73" s="247" t="s">
        <v>389</v>
      </c>
      <c r="T73" s="222"/>
      <c r="U73" s="247">
        <v>2010</v>
      </c>
      <c r="V73" s="222"/>
      <c r="W73" s="248">
        <v>2010</v>
      </c>
      <c r="X73" s="340"/>
      <c r="Y73" s="248">
        <v>2011</v>
      </c>
      <c r="Z73" s="343"/>
      <c r="AA73" s="249">
        <v>2012</v>
      </c>
      <c r="AB73" s="249">
        <v>2013</v>
      </c>
      <c r="AC73" s="249">
        <v>2014</v>
      </c>
      <c r="AD73" s="249">
        <v>2015</v>
      </c>
      <c r="AE73" s="249">
        <v>2016</v>
      </c>
      <c r="AF73" s="249">
        <v>2017</v>
      </c>
      <c r="AG73" s="249">
        <v>2018</v>
      </c>
      <c r="AH73" s="249">
        <v>2019</v>
      </c>
      <c r="AI73" s="249">
        <v>2020</v>
      </c>
    </row>
    <row r="74" spans="9:35" ht="13.5" thickBot="1" x14ac:dyDescent="0.25">
      <c r="J74" s="219"/>
      <c r="K74" s="225"/>
      <c r="L74" s="219"/>
      <c r="M74" s="225"/>
      <c r="N74" s="229"/>
      <c r="O74" s="230"/>
      <c r="P74" s="231"/>
      <c r="Q74" s="219"/>
      <c r="R74" s="225"/>
      <c r="S74" s="219"/>
      <c r="T74" s="225"/>
      <c r="U74" s="219"/>
      <c r="V74" s="225"/>
      <c r="W74" s="232"/>
      <c r="X74" s="340"/>
      <c r="Y74" s="344"/>
      <c r="Z74" s="345"/>
    </row>
    <row r="75" spans="9:35" x14ac:dyDescent="0.2">
      <c r="J75" s="5"/>
      <c r="K75" s="222"/>
      <c r="L75" s="5"/>
      <c r="M75" s="222"/>
      <c r="N75" s="232"/>
      <c r="O75" s="233"/>
      <c r="P75" s="234"/>
      <c r="Q75" s="5"/>
      <c r="R75" s="222"/>
      <c r="S75" s="5"/>
      <c r="T75" s="222"/>
      <c r="U75" s="5"/>
      <c r="V75" s="222"/>
      <c r="W75" s="334"/>
      <c r="X75" s="335"/>
      <c r="Y75" s="40"/>
      <c r="Z75" s="4"/>
      <c r="AA75" s="25"/>
      <c r="AB75" s="25"/>
      <c r="AC75" s="25"/>
      <c r="AD75" s="25"/>
      <c r="AE75" s="25"/>
      <c r="AF75" s="25"/>
      <c r="AG75" s="25"/>
      <c r="AH75" s="25"/>
      <c r="AI75" s="25"/>
    </row>
    <row r="76" spans="9:35" ht="15.75" x14ac:dyDescent="0.25">
      <c r="I76" s="184" t="s">
        <v>251</v>
      </c>
      <c r="J76" s="39"/>
      <c r="K76" s="222"/>
      <c r="L76" s="39"/>
      <c r="M76" s="222"/>
      <c r="N76" s="235"/>
      <c r="O76" s="236"/>
      <c r="P76" s="234"/>
      <c r="Q76" s="39"/>
      <c r="R76" s="222"/>
      <c r="S76" s="39"/>
      <c r="T76" s="222"/>
      <c r="U76" s="39"/>
      <c r="V76" s="222"/>
      <c r="W76" s="336"/>
      <c r="X76" s="333"/>
      <c r="Y76" s="39"/>
      <c r="Z76" s="222"/>
      <c r="AA76" s="348">
        <v>0.82750000000000001</v>
      </c>
      <c r="AB76" s="348">
        <v>0.82699999999999996</v>
      </c>
      <c r="AC76" s="348">
        <v>0.82650000000000001</v>
      </c>
      <c r="AD76" s="348">
        <v>0.82599999999999996</v>
      </c>
      <c r="AE76" s="348">
        <v>0.82550000000000001</v>
      </c>
      <c r="AF76" s="348">
        <v>0.82499999999999996</v>
      </c>
      <c r="AG76" s="348">
        <v>0.82450000000000001</v>
      </c>
      <c r="AH76" s="348">
        <v>0.82399999999999995</v>
      </c>
      <c r="AI76" s="348">
        <v>0.82350000000000001</v>
      </c>
    </row>
    <row r="77" spans="9:35" x14ac:dyDescent="0.2">
      <c r="J77" s="39"/>
      <c r="K77" s="222"/>
      <c r="L77" s="39"/>
      <c r="M77" s="222"/>
      <c r="N77" s="235"/>
      <c r="O77" s="236"/>
      <c r="P77" s="234"/>
      <c r="Q77" s="39"/>
      <c r="R77" s="222"/>
      <c r="S77" s="39"/>
      <c r="T77" s="222"/>
      <c r="U77" s="39"/>
      <c r="V77" s="222"/>
      <c r="W77" s="336"/>
      <c r="X77" s="333"/>
      <c r="Y77" s="39"/>
      <c r="Z77" s="222"/>
      <c r="AA77" s="25"/>
      <c r="AB77" s="25"/>
      <c r="AC77" s="25"/>
      <c r="AD77" s="25"/>
      <c r="AE77" s="25"/>
      <c r="AF77" s="25"/>
      <c r="AG77" s="25"/>
      <c r="AH77" s="25"/>
      <c r="AI77" s="25"/>
    </row>
    <row r="78" spans="9:35" x14ac:dyDescent="0.2">
      <c r="I78" t="s">
        <v>252</v>
      </c>
      <c r="J78" s="39">
        <v>7624</v>
      </c>
      <c r="K78" s="222"/>
      <c r="L78" s="39">
        <v>7730</v>
      </c>
      <c r="M78" s="222"/>
      <c r="N78" s="235">
        <v>9200</v>
      </c>
      <c r="O78" s="236"/>
      <c r="P78" s="234"/>
      <c r="Q78" s="39">
        <v>4908</v>
      </c>
      <c r="R78" s="222"/>
      <c r="S78" s="39">
        <v>7329</v>
      </c>
      <c r="T78" s="222"/>
      <c r="U78" s="39">
        <v>9655</v>
      </c>
      <c r="V78" s="222"/>
      <c r="W78" s="336">
        <v>9843</v>
      </c>
      <c r="X78" s="333"/>
      <c r="Y78" s="39"/>
      <c r="Z78" s="222"/>
      <c r="AA78" s="348">
        <v>1.72E-2</v>
      </c>
      <c r="AB78" s="348">
        <v>1.72E-2</v>
      </c>
      <c r="AC78" s="348">
        <v>1.72E-2</v>
      </c>
      <c r="AD78" s="348">
        <v>1.72E-2</v>
      </c>
      <c r="AE78" s="348">
        <v>1.72E-2</v>
      </c>
      <c r="AF78" s="348">
        <v>1.72E-2</v>
      </c>
      <c r="AG78" s="348">
        <v>1.72E-2</v>
      </c>
      <c r="AH78" s="348">
        <v>1.72E-2</v>
      </c>
      <c r="AI78" s="348">
        <v>1.72E-2</v>
      </c>
    </row>
    <row r="79" spans="9:35" x14ac:dyDescent="0.2">
      <c r="J79" s="39"/>
      <c r="K79" s="222"/>
      <c r="L79" s="39"/>
      <c r="M79" s="222"/>
      <c r="N79" s="235"/>
      <c r="O79" s="236"/>
      <c r="P79" s="234"/>
      <c r="Q79" s="39"/>
      <c r="R79" s="222"/>
      <c r="S79" s="39"/>
      <c r="T79" s="222"/>
      <c r="U79" s="39"/>
      <c r="V79" s="222"/>
      <c r="W79" s="336"/>
      <c r="X79" s="333"/>
      <c r="Y79" s="39"/>
      <c r="Z79" s="222"/>
      <c r="AA79" s="50"/>
      <c r="AB79" s="50"/>
      <c r="AC79" s="50"/>
      <c r="AD79" s="50"/>
      <c r="AE79" s="50"/>
      <c r="AF79" s="50"/>
      <c r="AG79" s="50"/>
      <c r="AH79" s="50"/>
      <c r="AI79" s="50"/>
    </row>
    <row r="80" spans="9:35" ht="15.75" x14ac:dyDescent="0.25">
      <c r="I80" s="1" t="s">
        <v>266</v>
      </c>
      <c r="J80" s="220">
        <f>J78</f>
        <v>7624</v>
      </c>
      <c r="K80" s="222">
        <v>100</v>
      </c>
      <c r="L80" s="220">
        <f>L78</f>
        <v>7730</v>
      </c>
      <c r="M80" s="222">
        <v>100</v>
      </c>
      <c r="N80" s="237">
        <f>N78</f>
        <v>9200</v>
      </c>
      <c r="O80" s="238"/>
      <c r="P80" s="234">
        <v>100</v>
      </c>
      <c r="Q80" s="220">
        <f>Q78</f>
        <v>4908</v>
      </c>
      <c r="R80" s="222">
        <v>100</v>
      </c>
      <c r="S80" s="220">
        <f>S78</f>
        <v>7329</v>
      </c>
      <c r="T80" s="222">
        <v>100</v>
      </c>
      <c r="U80" s="220">
        <f>U78</f>
        <v>9655</v>
      </c>
      <c r="V80" s="222">
        <v>100</v>
      </c>
      <c r="W80" s="237">
        <f>W78</f>
        <v>9843</v>
      </c>
      <c r="X80" s="333">
        <f>V80</f>
        <v>100</v>
      </c>
      <c r="Y80" s="346">
        <f>W80*1.1</f>
        <v>10827.300000000001</v>
      </c>
      <c r="Z80" s="222">
        <v>100</v>
      </c>
      <c r="AA80" s="349">
        <f>Y80*1.05</f>
        <v>11368.665000000001</v>
      </c>
      <c r="AB80" s="349">
        <f>AA80*1.05</f>
        <v>11937.098250000001</v>
      </c>
      <c r="AC80" s="349">
        <f>AB80*1.05</f>
        <v>12533.953162500002</v>
      </c>
      <c r="AD80" s="349">
        <f t="shared" ref="AD80:AI80" si="0">AC80*1.05</f>
        <v>13160.650820625002</v>
      </c>
      <c r="AE80" s="349">
        <f t="shared" si="0"/>
        <v>13818.683361656253</v>
      </c>
      <c r="AF80" s="349">
        <f t="shared" si="0"/>
        <v>14509.617529739066</v>
      </c>
      <c r="AG80" s="349">
        <f t="shared" si="0"/>
        <v>15235.09840622602</v>
      </c>
      <c r="AH80" s="349">
        <f t="shared" si="0"/>
        <v>15996.853326537321</v>
      </c>
      <c r="AI80" s="349">
        <f t="shared" si="0"/>
        <v>16796.695992864188</v>
      </c>
    </row>
    <row r="81" spans="1:35" x14ac:dyDescent="0.2">
      <c r="J81" s="39"/>
      <c r="K81" s="222"/>
      <c r="L81" s="39"/>
      <c r="M81" s="222"/>
      <c r="N81" s="235"/>
      <c r="O81" s="236"/>
      <c r="P81" s="234"/>
      <c r="Q81" s="39"/>
      <c r="R81" s="222"/>
      <c r="S81" s="39"/>
      <c r="T81" s="222"/>
      <c r="U81" s="39"/>
      <c r="V81" s="222"/>
      <c r="W81" s="336"/>
      <c r="X81" s="333"/>
      <c r="Y81" s="39"/>
      <c r="Z81" s="222"/>
      <c r="AA81" s="50"/>
      <c r="AB81" s="50"/>
      <c r="AC81" s="50"/>
      <c r="AD81" s="50"/>
      <c r="AE81" s="50"/>
      <c r="AF81" s="50"/>
      <c r="AG81" s="50"/>
      <c r="AH81" s="50"/>
      <c r="AI81" s="50"/>
    </row>
    <row r="82" spans="1:35" x14ac:dyDescent="0.2">
      <c r="E82" s="52" t="s">
        <v>377</v>
      </c>
      <c r="J82" s="221"/>
      <c r="K82" s="222"/>
      <c r="L82" s="221"/>
      <c r="M82" s="222"/>
      <c r="N82" s="239"/>
      <c r="O82" s="240"/>
      <c r="P82" s="234"/>
      <c r="Q82" s="221"/>
      <c r="R82" s="222"/>
      <c r="S82" s="221"/>
      <c r="T82" s="222"/>
      <c r="U82" s="221"/>
      <c r="V82" s="222"/>
      <c r="W82" s="336"/>
      <c r="X82" s="333"/>
      <c r="Y82" s="39"/>
      <c r="Z82" s="222"/>
      <c r="AA82" s="50"/>
      <c r="AB82" s="50"/>
      <c r="AC82" s="50"/>
      <c r="AD82" s="50"/>
      <c r="AE82" s="50"/>
      <c r="AF82" s="50"/>
      <c r="AG82" s="50"/>
      <c r="AH82" s="50"/>
      <c r="AI82" s="50"/>
    </row>
    <row r="83" spans="1:35" ht="15.75" x14ac:dyDescent="0.25">
      <c r="I83" s="184" t="s">
        <v>253</v>
      </c>
      <c r="J83" s="221"/>
      <c r="K83" s="222"/>
      <c r="L83" s="221"/>
      <c r="M83" s="222"/>
      <c r="N83" s="239"/>
      <c r="O83" s="240"/>
      <c r="P83" s="234"/>
      <c r="Q83" s="221"/>
      <c r="R83" s="222"/>
      <c r="S83" s="221"/>
      <c r="T83" s="222"/>
      <c r="U83" s="221"/>
      <c r="V83" s="222"/>
      <c r="W83" s="336"/>
      <c r="X83" s="333"/>
      <c r="Y83" s="39"/>
      <c r="Z83" s="222"/>
      <c r="AA83" s="50">
        <v>240</v>
      </c>
      <c r="AB83" s="50">
        <v>240</v>
      </c>
      <c r="AC83" s="50">
        <v>240</v>
      </c>
      <c r="AD83" s="50">
        <v>240</v>
      </c>
      <c r="AE83" s="50">
        <v>240</v>
      </c>
      <c r="AF83" s="50"/>
      <c r="AG83" s="50"/>
      <c r="AH83" s="50"/>
      <c r="AI83" s="50"/>
    </row>
    <row r="84" spans="1:35" x14ac:dyDescent="0.2">
      <c r="H84" s="183"/>
      <c r="J84" s="39"/>
      <c r="K84" s="222"/>
      <c r="L84" s="39"/>
      <c r="M84" s="222"/>
      <c r="N84" s="235"/>
      <c r="O84" s="236"/>
      <c r="P84" s="234"/>
      <c r="Q84" s="39"/>
      <c r="R84" s="222"/>
      <c r="S84" s="39"/>
      <c r="T84" s="222"/>
      <c r="U84" s="39"/>
      <c r="V84" s="222"/>
      <c r="W84" s="336"/>
      <c r="X84" s="333"/>
      <c r="Y84" s="39"/>
      <c r="Z84" s="222"/>
      <c r="AA84" s="50"/>
      <c r="AB84" s="50"/>
      <c r="AC84" s="50"/>
      <c r="AD84" s="50"/>
      <c r="AE84" s="50"/>
      <c r="AF84" s="50"/>
      <c r="AG84" s="50"/>
      <c r="AH84" s="50"/>
      <c r="AI84" s="50"/>
    </row>
    <row r="85" spans="1:35" ht="18" x14ac:dyDescent="0.25">
      <c r="A85" s="208" t="s">
        <v>347</v>
      </c>
      <c r="I85" t="s">
        <v>254</v>
      </c>
      <c r="J85" s="39">
        <v>-244</v>
      </c>
      <c r="K85" s="226"/>
      <c r="L85" s="39">
        <v>-384</v>
      </c>
      <c r="M85" s="226"/>
      <c r="N85" s="235">
        <v>-300</v>
      </c>
      <c r="O85" s="236"/>
      <c r="P85" s="241"/>
      <c r="Q85" s="39">
        <v>-458</v>
      </c>
      <c r="R85" s="226"/>
      <c r="S85" s="39">
        <v>-953</v>
      </c>
      <c r="T85" s="226"/>
      <c r="U85" s="39">
        <v>-1000</v>
      </c>
      <c r="V85" s="226"/>
      <c r="W85" s="336">
        <v>-1217</v>
      </c>
      <c r="X85" s="333"/>
      <c r="Y85" s="39"/>
      <c r="Z85" s="222"/>
      <c r="AA85" s="50"/>
      <c r="AB85" s="50"/>
      <c r="AC85" s="50"/>
      <c r="AD85" s="50"/>
      <c r="AE85" s="50"/>
      <c r="AF85" s="50"/>
      <c r="AG85" s="50"/>
      <c r="AH85" s="50"/>
      <c r="AI85" s="50"/>
    </row>
    <row r="86" spans="1:35" ht="18" x14ac:dyDescent="0.25">
      <c r="A86" s="208" t="s">
        <v>348</v>
      </c>
      <c r="I86" s="183" t="s">
        <v>258</v>
      </c>
      <c r="J86" s="39">
        <v>6757</v>
      </c>
      <c r="K86" s="228">
        <v>85.43</v>
      </c>
      <c r="L86" s="39">
        <v>6869</v>
      </c>
      <c r="M86" s="228">
        <v>83.9</v>
      </c>
      <c r="N86" s="235">
        <v>7850</v>
      </c>
      <c r="O86" s="236"/>
      <c r="P86" s="242">
        <v>82.06</v>
      </c>
      <c r="Q86" s="39">
        <v>4535</v>
      </c>
      <c r="R86" s="228">
        <v>83.07</v>
      </c>
      <c r="S86" s="39">
        <v>7052</v>
      </c>
      <c r="T86" s="228">
        <v>82.5</v>
      </c>
      <c r="U86" s="39">
        <v>9000</v>
      </c>
      <c r="V86" s="228">
        <v>82.5</v>
      </c>
      <c r="W86" s="336">
        <f>9445-60</f>
        <v>9385</v>
      </c>
      <c r="X86" s="337">
        <f>(W86+W85)*100/W80</f>
        <v>82.982830437874625</v>
      </c>
      <c r="Y86" s="39">
        <v>8965</v>
      </c>
      <c r="Z86" s="222">
        <f>Y86*100/Y80</f>
        <v>82.799959361983127</v>
      </c>
      <c r="AA86" s="56">
        <f>AA80*AA76</f>
        <v>9407.5702875000006</v>
      </c>
      <c r="AB86" s="56">
        <f t="shared" ref="AB86:AI86" si="1">AB80*AB76</f>
        <v>9871.9802527499996</v>
      </c>
      <c r="AC86" s="56">
        <f t="shared" si="1"/>
        <v>10359.312288806252</v>
      </c>
      <c r="AD86" s="56">
        <f t="shared" si="1"/>
        <v>10870.69757783625</v>
      </c>
      <c r="AE86" s="56">
        <f t="shared" si="1"/>
        <v>11407.323115047237</v>
      </c>
      <c r="AF86" s="56">
        <f t="shared" si="1"/>
        <v>11970.434462034729</v>
      </c>
      <c r="AG86" s="56">
        <f t="shared" si="1"/>
        <v>12561.338635933353</v>
      </c>
      <c r="AH86" s="56">
        <f t="shared" si="1"/>
        <v>13181.407141066751</v>
      </c>
      <c r="AI86" s="56">
        <f t="shared" si="1"/>
        <v>13832.07915012366</v>
      </c>
    </row>
    <row r="87" spans="1:35" ht="18" x14ac:dyDescent="0.25">
      <c r="A87" s="185"/>
      <c r="I87" s="183" t="s">
        <v>259</v>
      </c>
      <c r="J87" s="39">
        <v>32</v>
      </c>
      <c r="K87" s="222"/>
      <c r="L87" s="39">
        <v>39</v>
      </c>
      <c r="M87" s="222"/>
      <c r="N87" s="235">
        <f>L87*1.1</f>
        <v>42.900000000000006</v>
      </c>
      <c r="O87" s="236"/>
      <c r="P87" s="234"/>
      <c r="Q87" s="39">
        <v>17</v>
      </c>
      <c r="R87" s="222"/>
      <c r="S87" s="39">
        <v>38</v>
      </c>
      <c r="T87" s="222"/>
      <c r="U87" s="39">
        <v>40</v>
      </c>
      <c r="V87" s="222"/>
      <c r="W87" s="336">
        <v>48</v>
      </c>
      <c r="X87" s="333">
        <f>W87*100/W80</f>
        <v>0.48765620237732399</v>
      </c>
      <c r="Y87" s="336"/>
      <c r="Z87" s="222"/>
      <c r="AA87" s="50"/>
      <c r="AB87" s="50"/>
      <c r="AC87" s="50"/>
      <c r="AD87" s="50"/>
      <c r="AE87" s="50"/>
      <c r="AF87" s="50"/>
      <c r="AG87" s="50"/>
      <c r="AH87" s="50"/>
      <c r="AI87" s="50"/>
    </row>
    <row r="88" spans="1:35" x14ac:dyDescent="0.2">
      <c r="I88" s="183" t="s">
        <v>260</v>
      </c>
      <c r="J88" s="39">
        <v>331</v>
      </c>
      <c r="K88" s="222">
        <v>4.34</v>
      </c>
      <c r="L88" s="39">
        <v>414</v>
      </c>
      <c r="M88" s="222">
        <v>5.35</v>
      </c>
      <c r="N88" s="235">
        <f>L88*1.1</f>
        <v>455.40000000000003</v>
      </c>
      <c r="O88" s="236"/>
      <c r="P88" s="234">
        <f>N88*100/N80</f>
        <v>4.95</v>
      </c>
      <c r="Q88" s="39">
        <v>246</v>
      </c>
      <c r="R88" s="222">
        <v>5.01</v>
      </c>
      <c r="S88" s="39">
        <v>367</v>
      </c>
      <c r="T88" s="222">
        <v>5.05</v>
      </c>
      <c r="U88" s="39">
        <v>490</v>
      </c>
      <c r="V88" s="222">
        <v>5.33</v>
      </c>
      <c r="W88" s="336">
        <v>485</v>
      </c>
      <c r="X88" s="333">
        <f>W88*100/W80</f>
        <v>4.9273595448542107</v>
      </c>
      <c r="Y88" s="336"/>
      <c r="Z88" s="222"/>
      <c r="AA88" s="25">
        <v>0.09</v>
      </c>
      <c r="AB88" s="25">
        <v>8.8999999999999996E-2</v>
      </c>
      <c r="AC88" s="25">
        <v>8.7999999999999995E-2</v>
      </c>
      <c r="AD88" s="25">
        <v>8.6999999999999994E-2</v>
      </c>
      <c r="AE88" s="25">
        <v>8.5999999999999993E-2</v>
      </c>
      <c r="AF88" s="25">
        <v>8.5000000000000006E-2</v>
      </c>
      <c r="AG88" s="25">
        <v>8.4000000000000005E-2</v>
      </c>
      <c r="AH88" s="25">
        <v>8.3000000000000004E-2</v>
      </c>
      <c r="AI88" s="25">
        <v>8.2000000000000003E-2</v>
      </c>
    </row>
    <row r="89" spans="1:35" x14ac:dyDescent="0.2">
      <c r="C89" s="186"/>
      <c r="D89" s="186"/>
      <c r="E89" s="186" t="s">
        <v>269</v>
      </c>
      <c r="I89" s="183" t="s">
        <v>268</v>
      </c>
      <c r="J89" s="39">
        <v>90</v>
      </c>
      <c r="K89" s="222">
        <v>1.18</v>
      </c>
      <c r="L89" s="39">
        <v>106</v>
      </c>
      <c r="M89" s="222">
        <v>1.37</v>
      </c>
      <c r="N89" s="235">
        <f>L89*1.1</f>
        <v>116.60000000000001</v>
      </c>
      <c r="O89" s="236"/>
      <c r="P89" s="234">
        <f>N89*100/N80</f>
        <v>1.267391304347826</v>
      </c>
      <c r="Q89" s="39">
        <v>76</v>
      </c>
      <c r="R89" s="222">
        <v>1.55</v>
      </c>
      <c r="S89" s="39">
        <v>118</v>
      </c>
      <c r="T89" s="222">
        <v>1.56</v>
      </c>
      <c r="U89" s="39">
        <v>150</v>
      </c>
      <c r="V89" s="222">
        <v>1.63</v>
      </c>
      <c r="W89" s="336">
        <f>96+108</f>
        <v>204</v>
      </c>
      <c r="X89" s="333">
        <f>W89*100/W80</f>
        <v>2.0725388601036268</v>
      </c>
      <c r="Y89" s="336"/>
      <c r="Z89" s="222"/>
      <c r="AA89" s="50"/>
      <c r="AB89" s="50"/>
      <c r="AC89" s="50"/>
      <c r="AD89" s="50"/>
      <c r="AE89" s="50"/>
      <c r="AF89" s="50"/>
      <c r="AG89" s="50"/>
      <c r="AH89" s="50"/>
      <c r="AI89" s="50"/>
    </row>
    <row r="90" spans="1:35" x14ac:dyDescent="0.2">
      <c r="I90" s="183" t="s">
        <v>261</v>
      </c>
      <c r="J90" s="39">
        <v>288</v>
      </c>
      <c r="K90" s="222">
        <v>3.78</v>
      </c>
      <c r="L90" s="224">
        <v>265</v>
      </c>
      <c r="M90" s="222">
        <v>3.43</v>
      </c>
      <c r="N90" s="243">
        <v>430</v>
      </c>
      <c r="O90" s="233" t="s">
        <v>302</v>
      </c>
      <c r="P90" s="234">
        <v>4.67</v>
      </c>
      <c r="Q90" s="224">
        <v>133</v>
      </c>
      <c r="R90" s="222">
        <v>2.7</v>
      </c>
      <c r="S90" s="224">
        <v>216</v>
      </c>
      <c r="T90" s="222">
        <v>2.73</v>
      </c>
      <c r="U90" s="224">
        <v>270</v>
      </c>
      <c r="V90" s="222">
        <v>2.93</v>
      </c>
      <c r="W90" s="243">
        <v>289</v>
      </c>
      <c r="X90" s="333">
        <f>W90*100/W80</f>
        <v>2.9360967184801381</v>
      </c>
      <c r="Y90" s="347">
        <f>974+240</f>
        <v>1214</v>
      </c>
      <c r="Z90" s="222">
        <f>Y90*100/Y80</f>
        <v>11.212398289508926</v>
      </c>
      <c r="AA90" s="50">
        <f>AA80*AA88+AA83</f>
        <v>1263.17985</v>
      </c>
      <c r="AB90" s="50">
        <f t="shared" ref="AB90:AI90" si="2">AB80*AB88+AB83</f>
        <v>1302.4017442500001</v>
      </c>
      <c r="AC90" s="50">
        <f t="shared" si="2"/>
        <v>1342.9878783000001</v>
      </c>
      <c r="AD90" s="50">
        <f t="shared" si="2"/>
        <v>1384.9766213943751</v>
      </c>
      <c r="AE90" s="50">
        <f t="shared" si="2"/>
        <v>1428.4067691024377</v>
      </c>
      <c r="AF90" s="50">
        <f t="shared" si="2"/>
        <v>1233.3174900278207</v>
      </c>
      <c r="AG90" s="50">
        <f t="shared" si="2"/>
        <v>1279.7482661229858</v>
      </c>
      <c r="AH90" s="50">
        <f t="shared" si="2"/>
        <v>1327.7388261025976</v>
      </c>
      <c r="AI90" s="50">
        <f t="shared" si="2"/>
        <v>1377.3290714148634</v>
      </c>
    </row>
    <row r="91" spans="1:35" ht="15.75" x14ac:dyDescent="0.25">
      <c r="B91" s="192" t="s">
        <v>350</v>
      </c>
      <c r="C91" s="217"/>
      <c r="D91" s="216"/>
      <c r="E91" s="216" t="s">
        <v>349</v>
      </c>
      <c r="J91" s="39"/>
      <c r="K91" s="222"/>
      <c r="L91" s="39"/>
      <c r="M91" s="222"/>
      <c r="N91" s="235"/>
      <c r="O91" s="236"/>
      <c r="P91" s="234"/>
      <c r="Q91" s="39"/>
      <c r="R91" s="222"/>
      <c r="S91" s="39"/>
      <c r="T91" s="222"/>
      <c r="U91" s="39"/>
      <c r="V91" s="222"/>
      <c r="W91" s="336"/>
      <c r="X91" s="333"/>
      <c r="Y91" s="39"/>
      <c r="Z91" s="222"/>
      <c r="AA91" s="50"/>
      <c r="AB91" s="50"/>
      <c r="AC91" s="50"/>
      <c r="AD91" s="50"/>
      <c r="AE91" s="50"/>
      <c r="AF91" s="50"/>
      <c r="AG91" s="50"/>
      <c r="AH91" s="50"/>
      <c r="AI91" s="50"/>
    </row>
    <row r="92" spans="1:35" ht="15.75" x14ac:dyDescent="0.25">
      <c r="B92" s="188">
        <v>2008</v>
      </c>
      <c r="C92" s="188">
        <v>2009</v>
      </c>
      <c r="D92" s="367"/>
      <c r="E92" s="189">
        <v>2010</v>
      </c>
      <c r="I92" s="1" t="s">
        <v>267</v>
      </c>
      <c r="J92" s="220">
        <f>SUM(J85:J90)</f>
        <v>7254</v>
      </c>
      <c r="K92" s="222"/>
      <c r="L92" s="220">
        <f>SUM(L85:L90)</f>
        <v>7309</v>
      </c>
      <c r="M92" s="222"/>
      <c r="N92" s="237">
        <f>SUM(N85:N90)</f>
        <v>8594.9</v>
      </c>
      <c r="O92" s="238"/>
      <c r="P92" s="234"/>
      <c r="Q92" s="220">
        <f>SUM(Q85:Q90)</f>
        <v>4549</v>
      </c>
      <c r="R92" s="222"/>
      <c r="S92" s="220">
        <f>SUM(S85:S90)</f>
        <v>6838</v>
      </c>
      <c r="T92" s="222"/>
      <c r="U92" s="220">
        <f>SUM(U85:U90)</f>
        <v>8950</v>
      </c>
      <c r="V92" s="222"/>
      <c r="W92" s="237">
        <f>SUM(W85:W90)</f>
        <v>9194</v>
      </c>
      <c r="X92" s="333"/>
      <c r="Y92" s="237">
        <f>SUM(Y85:Y90)</f>
        <v>10179</v>
      </c>
      <c r="Z92" s="222"/>
      <c r="AA92" s="56">
        <f>AA86+AA90</f>
        <v>10670.750137500001</v>
      </c>
      <c r="AB92" s="56">
        <f t="shared" ref="AB92:AI92" si="3">AB86+AB90</f>
        <v>11174.381997</v>
      </c>
      <c r="AC92" s="56">
        <f t="shared" si="3"/>
        <v>11702.300167106252</v>
      </c>
      <c r="AD92" s="56">
        <f t="shared" si="3"/>
        <v>12255.674199230625</v>
      </c>
      <c r="AE92" s="56">
        <f t="shared" si="3"/>
        <v>12835.729884149674</v>
      </c>
      <c r="AF92" s="56">
        <f t="shared" si="3"/>
        <v>13203.75195206255</v>
      </c>
      <c r="AG92" s="56">
        <f t="shared" si="3"/>
        <v>13841.086902056339</v>
      </c>
      <c r="AH92" s="56">
        <f t="shared" si="3"/>
        <v>14509.145967169348</v>
      </c>
      <c r="AI92" s="56">
        <f t="shared" si="3"/>
        <v>15209.408221538524</v>
      </c>
    </row>
    <row r="93" spans="1:35" x14ac:dyDescent="0.2">
      <c r="B93" s="89"/>
      <c r="C93" s="89"/>
      <c r="D93" s="90"/>
      <c r="E93" s="84"/>
      <c r="J93" s="39"/>
      <c r="K93" s="222"/>
      <c r="L93" s="39"/>
      <c r="M93" s="222"/>
      <c r="N93" s="235"/>
      <c r="O93" s="236"/>
      <c r="P93" s="234"/>
      <c r="Q93" s="39"/>
      <c r="R93" s="222"/>
      <c r="S93" s="39"/>
      <c r="T93" s="222"/>
      <c r="U93" s="39"/>
      <c r="V93" s="222"/>
      <c r="W93" s="336"/>
      <c r="X93" s="333"/>
      <c r="Y93" s="39"/>
      <c r="Z93" s="222"/>
      <c r="AA93" s="50"/>
      <c r="AB93" s="50"/>
      <c r="AC93" s="50"/>
      <c r="AD93" s="50"/>
      <c r="AE93" s="50"/>
      <c r="AF93" s="50"/>
      <c r="AG93" s="50"/>
      <c r="AH93" s="50"/>
      <c r="AI93" s="50"/>
    </row>
    <row r="94" spans="1:35" x14ac:dyDescent="0.2">
      <c r="J94" s="39"/>
      <c r="K94" s="222"/>
      <c r="L94" s="39"/>
      <c r="M94" s="222"/>
      <c r="N94" s="235"/>
      <c r="O94" s="236"/>
      <c r="P94" s="234"/>
      <c r="Q94" s="39"/>
      <c r="R94" s="222"/>
      <c r="S94" s="39"/>
      <c r="T94" s="222"/>
      <c r="U94" s="39"/>
      <c r="V94" s="222"/>
      <c r="W94" s="336"/>
      <c r="X94" s="333"/>
      <c r="Y94" s="39"/>
      <c r="Z94" s="222"/>
      <c r="AA94" s="50"/>
      <c r="AB94" s="50"/>
      <c r="AC94" s="50"/>
      <c r="AD94" s="50"/>
      <c r="AE94" s="50"/>
      <c r="AF94" s="50"/>
      <c r="AG94" s="50"/>
      <c r="AH94" s="50"/>
      <c r="AI94" s="50"/>
    </row>
    <row r="95" spans="1:35" ht="15.75" x14ac:dyDescent="0.25">
      <c r="A95" s="184" t="s">
        <v>251</v>
      </c>
      <c r="B95" s="50"/>
      <c r="C95" s="50"/>
      <c r="D95" s="50"/>
      <c r="E95" s="50"/>
      <c r="I95" s="184" t="s">
        <v>255</v>
      </c>
      <c r="J95" s="220">
        <f>J80-J92</f>
        <v>370</v>
      </c>
      <c r="K95" s="222">
        <v>4.8499999999999996</v>
      </c>
      <c r="L95" s="220">
        <f>L80-L92</f>
        <v>421</v>
      </c>
      <c r="M95" s="222">
        <v>5.45</v>
      </c>
      <c r="N95" s="237">
        <f>N80-N92</f>
        <v>605.10000000000036</v>
      </c>
      <c r="O95" s="238"/>
      <c r="P95" s="234">
        <v>6.57</v>
      </c>
      <c r="Q95" s="220">
        <f>Q80-Q92</f>
        <v>359</v>
      </c>
      <c r="R95" s="222">
        <v>7.31</v>
      </c>
      <c r="S95" s="220">
        <f>S80-S92</f>
        <v>491</v>
      </c>
      <c r="T95" s="222">
        <v>7.76</v>
      </c>
      <c r="U95" s="220">
        <f>U80-U92</f>
        <v>705</v>
      </c>
      <c r="V95" s="222">
        <v>7.17</v>
      </c>
      <c r="W95" s="237">
        <f>W80-W92</f>
        <v>649</v>
      </c>
      <c r="X95" s="333">
        <f>W95*100/W80</f>
        <v>6.5935182363100679</v>
      </c>
      <c r="Y95" s="237">
        <f>Y80-Y92</f>
        <v>648.30000000000109</v>
      </c>
      <c r="Z95" s="222">
        <f>Y95*100/Y80</f>
        <v>5.987642348507948</v>
      </c>
      <c r="AA95" s="56">
        <f>AA80-AA92</f>
        <v>697.9148624999998</v>
      </c>
      <c r="AB95" s="56">
        <f t="shared" ref="AB95:AI95" si="4">AB80-AB92</f>
        <v>762.71625300000051</v>
      </c>
      <c r="AC95" s="56">
        <f t="shared" si="4"/>
        <v>831.65299539374973</v>
      </c>
      <c r="AD95" s="56">
        <f t="shared" si="4"/>
        <v>904.97662139437671</v>
      </c>
      <c r="AE95" s="56">
        <f t="shared" si="4"/>
        <v>982.95347750657857</v>
      </c>
      <c r="AF95" s="56">
        <f t="shared" si="4"/>
        <v>1305.8655776765154</v>
      </c>
      <c r="AG95" s="56">
        <f t="shared" si="4"/>
        <v>1394.0115041696808</v>
      </c>
      <c r="AH95" s="56">
        <f t="shared" si="4"/>
        <v>1487.7073593679725</v>
      </c>
      <c r="AI95" s="56">
        <f t="shared" si="4"/>
        <v>1587.2877713256639</v>
      </c>
    </row>
    <row r="96" spans="1:35" x14ac:dyDescent="0.2">
      <c r="B96" s="50"/>
      <c r="C96" s="50"/>
      <c r="D96" s="50"/>
      <c r="E96" s="50"/>
      <c r="J96" s="39"/>
      <c r="K96" s="222"/>
      <c r="L96" s="39"/>
      <c r="M96" s="222"/>
      <c r="N96" s="235"/>
      <c r="O96" s="236"/>
      <c r="P96" s="234"/>
      <c r="Q96" s="39"/>
      <c r="R96" s="222"/>
      <c r="S96" s="39"/>
      <c r="T96" s="222"/>
      <c r="U96" s="39"/>
      <c r="V96" s="222"/>
      <c r="W96" s="336"/>
      <c r="X96" s="333"/>
      <c r="Y96" s="39"/>
      <c r="Z96" s="222"/>
      <c r="AA96" s="50"/>
      <c r="AB96" s="50"/>
      <c r="AC96" s="50"/>
      <c r="AD96" s="50"/>
      <c r="AE96" s="50"/>
      <c r="AF96" s="50"/>
      <c r="AG96" s="50"/>
      <c r="AH96" s="50"/>
      <c r="AI96" s="50"/>
    </row>
    <row r="97" spans="1:35" x14ac:dyDescent="0.2">
      <c r="A97" t="s">
        <v>252</v>
      </c>
      <c r="B97" s="50">
        <v>7624</v>
      </c>
      <c r="C97" s="50">
        <v>7730</v>
      </c>
      <c r="D97" s="50"/>
      <c r="E97" s="50">
        <v>9655</v>
      </c>
      <c r="I97" s="183" t="s">
        <v>262</v>
      </c>
      <c r="J97" s="39">
        <v>142</v>
      </c>
      <c r="K97" s="222">
        <v>1.86</v>
      </c>
      <c r="L97" s="39">
        <v>126</v>
      </c>
      <c r="M97" s="222">
        <v>1.63</v>
      </c>
      <c r="N97" s="235">
        <f>N78*1.7/100</f>
        <v>156.4</v>
      </c>
      <c r="O97" s="236"/>
      <c r="P97" s="234">
        <f>N97*100/N80</f>
        <v>1.7</v>
      </c>
      <c r="Q97" s="39">
        <v>62</v>
      </c>
      <c r="R97" s="222">
        <v>1.26</v>
      </c>
      <c r="S97" s="39">
        <v>120</v>
      </c>
      <c r="T97" s="222">
        <v>1.26</v>
      </c>
      <c r="U97" s="39">
        <v>130</v>
      </c>
      <c r="V97" s="222">
        <v>1.41</v>
      </c>
      <c r="W97" s="336">
        <v>168</v>
      </c>
      <c r="X97" s="333">
        <f>W97*100/W80</f>
        <v>1.7067967083206339</v>
      </c>
      <c r="Y97" s="39">
        <v>186</v>
      </c>
      <c r="Z97" s="222">
        <f>Y97*100/Y80</f>
        <v>1.7178798038292094</v>
      </c>
      <c r="AA97" s="50">
        <f>AA80*AA78</f>
        <v>195.54103800000001</v>
      </c>
      <c r="AB97" s="50">
        <f t="shared" ref="AB97:AI97" si="5">AB80*AB78</f>
        <v>205.31808990000002</v>
      </c>
      <c r="AC97" s="50">
        <f t="shared" si="5"/>
        <v>215.58399439500002</v>
      </c>
      <c r="AD97" s="50">
        <f t="shared" si="5"/>
        <v>226.36319411475003</v>
      </c>
      <c r="AE97" s="50">
        <f t="shared" si="5"/>
        <v>237.68135382048754</v>
      </c>
      <c r="AF97" s="50">
        <f t="shared" si="5"/>
        <v>249.56542151151191</v>
      </c>
      <c r="AG97" s="50">
        <f t="shared" si="5"/>
        <v>262.04369258708755</v>
      </c>
      <c r="AH97" s="50">
        <f t="shared" si="5"/>
        <v>275.14587721644193</v>
      </c>
      <c r="AI97" s="50">
        <f t="shared" si="5"/>
        <v>288.90317107726406</v>
      </c>
    </row>
    <row r="98" spans="1:35" x14ac:dyDescent="0.2">
      <c r="B98" s="50"/>
      <c r="C98" s="50"/>
      <c r="D98" s="50"/>
      <c r="E98" s="50"/>
      <c r="I98" s="183" t="s">
        <v>263</v>
      </c>
      <c r="J98" s="39">
        <v>6</v>
      </c>
      <c r="K98" s="222"/>
      <c r="L98" s="39">
        <v>5</v>
      </c>
      <c r="M98" s="222"/>
      <c r="N98" s="235"/>
      <c r="O98" s="236"/>
      <c r="P98" s="234"/>
      <c r="Q98" s="39">
        <v>22</v>
      </c>
      <c r="R98" s="222"/>
      <c r="S98" s="39">
        <v>25</v>
      </c>
      <c r="T98" s="222"/>
      <c r="U98" s="39">
        <v>22</v>
      </c>
      <c r="V98" s="222"/>
      <c r="W98" s="336">
        <v>19</v>
      </c>
      <c r="X98" s="333"/>
      <c r="Y98" s="39"/>
      <c r="Z98" s="222"/>
      <c r="AA98" s="50"/>
      <c r="AB98" s="50"/>
      <c r="AC98" s="50"/>
      <c r="AD98" s="50"/>
      <c r="AE98" s="50"/>
      <c r="AF98" s="50"/>
      <c r="AG98" s="50"/>
      <c r="AH98" s="50"/>
      <c r="AI98" s="50"/>
    </row>
    <row r="99" spans="1:35" x14ac:dyDescent="0.2">
      <c r="A99" s="1" t="s">
        <v>266</v>
      </c>
      <c r="B99" s="187">
        <f>B97</f>
        <v>7624</v>
      </c>
      <c r="C99" s="187">
        <f>C97</f>
        <v>7730</v>
      </c>
      <c r="D99" s="187"/>
      <c r="E99" s="187">
        <f>E97</f>
        <v>9655</v>
      </c>
      <c r="I99" s="183" t="s">
        <v>264</v>
      </c>
      <c r="J99" s="39"/>
      <c r="K99" s="222"/>
      <c r="L99" s="39"/>
      <c r="M99" s="222"/>
      <c r="N99" s="235"/>
      <c r="O99" s="236"/>
      <c r="P99" s="234"/>
      <c r="Q99" s="39"/>
      <c r="R99" s="222"/>
      <c r="S99" s="39"/>
      <c r="T99" s="222"/>
      <c r="U99" s="39"/>
      <c r="V99" s="222"/>
      <c r="W99" s="336"/>
      <c r="X99" s="333"/>
      <c r="Y99" s="39"/>
      <c r="Z99" s="222"/>
      <c r="AA99" s="50"/>
      <c r="AB99" s="50"/>
      <c r="AC99" s="50"/>
      <c r="AD99" s="50"/>
      <c r="AE99" s="50"/>
      <c r="AF99" s="50"/>
      <c r="AG99" s="50"/>
      <c r="AH99" s="50"/>
      <c r="AI99" s="50"/>
    </row>
    <row r="100" spans="1:35" x14ac:dyDescent="0.2">
      <c r="B100" s="50"/>
      <c r="C100" s="50"/>
      <c r="D100" s="50"/>
      <c r="E100" s="50"/>
      <c r="J100" s="39"/>
      <c r="K100" s="222"/>
      <c r="L100" s="39"/>
      <c r="M100" s="222"/>
      <c r="N100" s="235"/>
      <c r="O100" s="236"/>
      <c r="P100" s="234"/>
      <c r="Q100" s="39"/>
      <c r="R100" s="222"/>
      <c r="S100" s="39"/>
      <c r="T100" s="222"/>
      <c r="U100" s="39"/>
      <c r="V100" s="222"/>
      <c r="W100" s="336"/>
      <c r="X100" s="333"/>
      <c r="Y100" s="39"/>
      <c r="Z100" s="222"/>
      <c r="AA100" s="50"/>
      <c r="AB100" s="50"/>
      <c r="AC100" s="50"/>
      <c r="AD100" s="50"/>
      <c r="AE100" s="50"/>
      <c r="AF100" s="50"/>
      <c r="AG100" s="50"/>
      <c r="AH100" s="50"/>
      <c r="AI100" s="50"/>
    </row>
    <row r="101" spans="1:35" x14ac:dyDescent="0.2">
      <c r="B101" s="48"/>
      <c r="C101" s="48"/>
      <c r="D101" s="48"/>
      <c r="E101" s="48"/>
      <c r="J101" s="39"/>
      <c r="K101" s="222"/>
      <c r="L101" s="39"/>
      <c r="M101" s="222"/>
      <c r="N101" s="235"/>
      <c r="O101" s="236"/>
      <c r="P101" s="234"/>
      <c r="Q101" s="39"/>
      <c r="R101" s="222"/>
      <c r="S101" s="39"/>
      <c r="T101" s="222"/>
      <c r="U101" s="39"/>
      <c r="V101" s="222"/>
      <c r="W101" s="336"/>
      <c r="X101" s="333"/>
      <c r="Y101" s="39"/>
      <c r="Z101" s="222"/>
      <c r="AA101" s="50"/>
      <c r="AB101" s="50"/>
      <c r="AC101" s="50"/>
      <c r="AD101" s="50"/>
      <c r="AE101" s="50"/>
      <c r="AF101" s="50"/>
      <c r="AG101" s="50"/>
      <c r="AH101" s="50"/>
      <c r="AI101" s="50"/>
    </row>
    <row r="102" spans="1:35" ht="15.75" x14ac:dyDescent="0.25">
      <c r="A102" s="184" t="s">
        <v>253</v>
      </c>
      <c r="B102" s="48"/>
      <c r="C102" s="48"/>
      <c r="D102" s="48"/>
      <c r="E102" s="48"/>
      <c r="I102" s="184" t="s">
        <v>256</v>
      </c>
      <c r="J102" s="220">
        <f>J95-J97+J98-J99</f>
        <v>234</v>
      </c>
      <c r="K102" s="222">
        <v>3.07</v>
      </c>
      <c r="L102" s="220">
        <f>L95-L97+L98-L99</f>
        <v>300</v>
      </c>
      <c r="M102" s="222">
        <v>3.88</v>
      </c>
      <c r="N102" s="237">
        <f>N95-N97+N98-N99</f>
        <v>448.70000000000039</v>
      </c>
      <c r="O102" s="238"/>
      <c r="P102" s="234">
        <f>N102*100/N80</f>
        <v>4.8771739130434826</v>
      </c>
      <c r="Q102" s="220">
        <f>Q95-Q97+Q98-Q99</f>
        <v>319</v>
      </c>
      <c r="R102" s="222">
        <v>6.5</v>
      </c>
      <c r="S102" s="220">
        <f>S95-S97+S98-S99</f>
        <v>396</v>
      </c>
      <c r="T102" s="222">
        <v>6.8</v>
      </c>
      <c r="U102" s="220">
        <f>U95-U97+U98-U99</f>
        <v>597</v>
      </c>
      <c r="V102" s="222">
        <v>6</v>
      </c>
      <c r="W102" s="237">
        <f>W95-W97+W98-W99</f>
        <v>500</v>
      </c>
      <c r="X102" s="333">
        <f>W102*100/W80</f>
        <v>5.0797521080971251</v>
      </c>
      <c r="Y102" s="237">
        <f>Y95-Y97+Y98-Y99</f>
        <v>462.30000000000109</v>
      </c>
      <c r="Z102" s="222">
        <f>Y102*100/Y80</f>
        <v>4.2697625446787386</v>
      </c>
      <c r="AA102" s="56">
        <f>AA95-AA97</f>
        <v>502.37382449999978</v>
      </c>
      <c r="AB102" s="56">
        <f t="shared" ref="AB102:AI102" si="6">AB95-AB97</f>
        <v>557.39816310000049</v>
      </c>
      <c r="AC102" s="56">
        <f t="shared" si="6"/>
        <v>616.06900099874974</v>
      </c>
      <c r="AD102" s="56">
        <f t="shared" si="6"/>
        <v>678.61342727962665</v>
      </c>
      <c r="AE102" s="56">
        <f t="shared" si="6"/>
        <v>745.27212368609105</v>
      </c>
      <c r="AF102" s="56">
        <f t="shared" si="6"/>
        <v>1056.3001561650035</v>
      </c>
      <c r="AG102" s="56">
        <f t="shared" si="6"/>
        <v>1131.9678115825932</v>
      </c>
      <c r="AH102" s="56">
        <f t="shared" si="6"/>
        <v>1212.5614821515305</v>
      </c>
      <c r="AI102" s="56">
        <f t="shared" si="6"/>
        <v>1298.3846002483999</v>
      </c>
    </row>
    <row r="103" spans="1:35" x14ac:dyDescent="0.2">
      <c r="B103" s="50"/>
      <c r="C103" s="50"/>
      <c r="D103" s="50"/>
      <c r="E103" s="50"/>
      <c r="J103" s="39"/>
      <c r="K103" s="222"/>
      <c r="L103" s="39"/>
      <c r="M103" s="222"/>
      <c r="N103" s="235"/>
      <c r="O103" s="236"/>
      <c r="P103" s="234"/>
      <c r="Q103" s="39"/>
      <c r="R103" s="222"/>
      <c r="S103" s="39"/>
      <c r="T103" s="222"/>
      <c r="U103" s="39"/>
      <c r="V103" s="222"/>
      <c r="W103" s="336"/>
      <c r="X103" s="333"/>
      <c r="Y103" s="39"/>
      <c r="Z103" s="222"/>
      <c r="AA103" s="50"/>
      <c r="AB103" s="50"/>
      <c r="AC103" s="50"/>
      <c r="AD103" s="50"/>
      <c r="AE103" s="50"/>
      <c r="AF103" s="50"/>
      <c r="AG103" s="50"/>
      <c r="AH103" s="50"/>
      <c r="AI103" s="50"/>
    </row>
    <row r="104" spans="1:35" x14ac:dyDescent="0.2">
      <c r="A104" t="s">
        <v>254</v>
      </c>
      <c r="B104" s="50">
        <v>-244</v>
      </c>
      <c r="C104" s="50">
        <v>-384</v>
      </c>
      <c r="D104" s="50"/>
      <c r="E104" s="50">
        <v>-1150</v>
      </c>
      <c r="I104" s="183" t="s">
        <v>265</v>
      </c>
      <c r="J104" s="39">
        <v>70</v>
      </c>
      <c r="K104" s="222"/>
      <c r="L104" s="39">
        <v>97</v>
      </c>
      <c r="M104" s="222"/>
      <c r="N104" s="235">
        <f>N102*0.3</f>
        <v>134.6100000000001</v>
      </c>
      <c r="O104" s="236"/>
      <c r="P104" s="234"/>
      <c r="Q104" s="39">
        <f>Q102*0.3</f>
        <v>95.7</v>
      </c>
      <c r="R104" s="222"/>
      <c r="S104" s="39">
        <f>S102*0.3</f>
        <v>118.8</v>
      </c>
      <c r="T104" s="222"/>
      <c r="U104" s="39">
        <f>U102*0.3</f>
        <v>179.1</v>
      </c>
      <c r="V104" s="222"/>
      <c r="W104" s="336">
        <f>W102*0.3</f>
        <v>150</v>
      </c>
      <c r="X104" s="333">
        <f>W104*100/W80</f>
        <v>1.5239256324291375</v>
      </c>
      <c r="Y104" s="39">
        <f>Y102*0.3</f>
        <v>138.69000000000031</v>
      </c>
      <c r="Z104" s="222">
        <f>Y104*100/Y80</f>
        <v>1.2809287634036213</v>
      </c>
      <c r="AA104" s="50">
        <f>AA102*0.3</f>
        <v>150.71214734999992</v>
      </c>
      <c r="AB104" s="50">
        <f t="shared" ref="AB104:AI104" si="7">AB102*0.3</f>
        <v>167.21944893000014</v>
      </c>
      <c r="AC104" s="50">
        <f t="shared" si="7"/>
        <v>184.82070029962492</v>
      </c>
      <c r="AD104" s="50">
        <f t="shared" si="7"/>
        <v>203.58402818388799</v>
      </c>
      <c r="AE104" s="50">
        <f t="shared" si="7"/>
        <v>223.5816371058273</v>
      </c>
      <c r="AF104" s="50">
        <f t="shared" si="7"/>
        <v>316.89004684950106</v>
      </c>
      <c r="AG104" s="50">
        <f t="shared" si="7"/>
        <v>339.59034347477797</v>
      </c>
      <c r="AH104" s="50">
        <f t="shared" si="7"/>
        <v>363.76844464545917</v>
      </c>
      <c r="AI104" s="50">
        <f t="shared" si="7"/>
        <v>389.51538007451995</v>
      </c>
    </row>
    <row r="105" spans="1:35" x14ac:dyDescent="0.2">
      <c r="A105" s="183" t="s">
        <v>258</v>
      </c>
      <c r="B105" s="50">
        <v>6757</v>
      </c>
      <c r="C105" s="50">
        <v>6869</v>
      </c>
      <c r="D105" s="50"/>
      <c r="E105" s="50">
        <v>9150</v>
      </c>
      <c r="J105" s="39"/>
      <c r="K105" s="222"/>
      <c r="L105" s="39"/>
      <c r="M105" s="222"/>
      <c r="N105" s="235"/>
      <c r="O105" s="236"/>
      <c r="P105" s="234"/>
      <c r="Q105" s="39"/>
      <c r="R105" s="222"/>
      <c r="S105" s="39"/>
      <c r="T105" s="222"/>
      <c r="U105" s="39"/>
      <c r="V105" s="222"/>
      <c r="W105" s="336"/>
      <c r="X105" s="333"/>
      <c r="Y105" s="39"/>
      <c r="Z105" s="222"/>
      <c r="AA105" s="50"/>
      <c r="AB105" s="50"/>
      <c r="AC105" s="50"/>
      <c r="AD105" s="50"/>
      <c r="AE105" s="50"/>
      <c r="AF105" s="50"/>
      <c r="AG105" s="50"/>
      <c r="AH105" s="50"/>
      <c r="AI105" s="50"/>
    </row>
    <row r="106" spans="1:35" ht="16.5" thickBot="1" x14ac:dyDescent="0.3">
      <c r="A106" s="183" t="s">
        <v>259</v>
      </c>
      <c r="B106" s="50">
        <v>32</v>
      </c>
      <c r="C106" s="50">
        <v>39</v>
      </c>
      <c r="D106" s="50"/>
      <c r="E106" s="50">
        <v>45</v>
      </c>
      <c r="I106" s="184" t="s">
        <v>257</v>
      </c>
      <c r="J106" s="223">
        <f>J102-J104</f>
        <v>164</v>
      </c>
      <c r="K106" s="227">
        <v>2.15</v>
      </c>
      <c r="L106" s="223">
        <f>L102-L104</f>
        <v>203</v>
      </c>
      <c r="M106" s="227">
        <v>2.63</v>
      </c>
      <c r="N106" s="244">
        <f>N102-N104</f>
        <v>314.09000000000026</v>
      </c>
      <c r="O106" s="245"/>
      <c r="P106" s="246">
        <f>N106*100/N80</f>
        <v>3.4140217391304377</v>
      </c>
      <c r="Q106" s="223">
        <f>Q102-Q104</f>
        <v>223.3</v>
      </c>
      <c r="R106" s="227">
        <v>4.54</v>
      </c>
      <c r="S106" s="223">
        <f>S102-S104</f>
        <v>277.2</v>
      </c>
      <c r="T106" s="227">
        <v>4.76</v>
      </c>
      <c r="U106" s="223">
        <f>U102-U104</f>
        <v>417.9</v>
      </c>
      <c r="V106" s="227">
        <v>4.1900000000000004</v>
      </c>
      <c r="W106" s="244">
        <f>W102-W104</f>
        <v>350</v>
      </c>
      <c r="X106" s="338">
        <f>W106*100/W80</f>
        <v>3.5558264756679874</v>
      </c>
      <c r="Y106" s="244">
        <f>Y102-Y104</f>
        <v>323.61000000000081</v>
      </c>
      <c r="Z106" s="227">
        <f>Y106*100/Y80</f>
        <v>2.9888337812751171</v>
      </c>
      <c r="AA106" s="56">
        <f>AA102-AA104</f>
        <v>351.66167714999983</v>
      </c>
      <c r="AB106" s="56">
        <f t="shared" ref="AB106:AI106" si="8">AB102-AB104</f>
        <v>390.17871417000038</v>
      </c>
      <c r="AC106" s="56">
        <f t="shared" si="8"/>
        <v>431.2483006991248</v>
      </c>
      <c r="AD106" s="56">
        <f t="shared" si="8"/>
        <v>475.02939909573865</v>
      </c>
      <c r="AE106" s="56">
        <f t="shared" si="8"/>
        <v>521.69048658026372</v>
      </c>
      <c r="AF106" s="56">
        <f t="shared" si="8"/>
        <v>739.4101093155025</v>
      </c>
      <c r="AG106" s="56">
        <f t="shared" si="8"/>
        <v>792.37746810781528</v>
      </c>
      <c r="AH106" s="56">
        <f t="shared" si="8"/>
        <v>848.79303750607141</v>
      </c>
      <c r="AI106" s="56">
        <f t="shared" si="8"/>
        <v>908.86922017387997</v>
      </c>
    </row>
    <row r="107" spans="1:35" ht="15.75" x14ac:dyDescent="0.25">
      <c r="A107" s="183" t="s">
        <v>260</v>
      </c>
      <c r="B107" s="50">
        <v>331</v>
      </c>
      <c r="C107" s="50">
        <v>414</v>
      </c>
      <c r="D107" s="50"/>
      <c r="E107" s="50">
        <v>490</v>
      </c>
      <c r="I107" s="184"/>
      <c r="J107" s="123"/>
      <c r="K107" s="123"/>
      <c r="L107" s="123"/>
      <c r="M107" s="123"/>
      <c r="N107" s="123"/>
      <c r="O107" s="123"/>
      <c r="AA107" s="48">
        <f>AA106*100/AA80</f>
        <v>3.0932539321899255</v>
      </c>
      <c r="AB107" s="48">
        <f t="shared" ref="AB107:AI107" si="9">AB106*100/AB80</f>
        <v>3.2686227925618385</v>
      </c>
      <c r="AC107" s="48">
        <f t="shared" si="9"/>
        <v>3.4406407548207936</v>
      </c>
      <c r="AD107" s="48">
        <f t="shared" si="9"/>
        <v>3.6094673855436232</v>
      </c>
      <c r="AE107" s="48">
        <f t="shared" si="9"/>
        <v>3.7752546528986826</v>
      </c>
      <c r="AF107" s="48">
        <f t="shared" si="9"/>
        <v>5.0959999999999983</v>
      </c>
      <c r="AG107" s="48">
        <f t="shared" si="9"/>
        <v>5.2009999999999996</v>
      </c>
      <c r="AH107" s="48">
        <f t="shared" si="9"/>
        <v>5.3060000000000072</v>
      </c>
      <c r="AI107" s="48">
        <f t="shared" si="9"/>
        <v>5.4109999999999925</v>
      </c>
    </row>
    <row r="108" spans="1:35" ht="16.5" thickBot="1" x14ac:dyDescent="0.3">
      <c r="A108" s="183"/>
      <c r="B108" s="50"/>
      <c r="C108" s="50"/>
      <c r="D108" s="50"/>
      <c r="E108" s="50"/>
      <c r="I108" s="184"/>
      <c r="J108" s="123"/>
      <c r="K108" s="123"/>
      <c r="L108" s="123"/>
      <c r="M108" s="123"/>
      <c r="N108" s="123"/>
      <c r="O108" s="123"/>
      <c r="AA108" s="48"/>
      <c r="AB108" s="48"/>
      <c r="AC108" s="48"/>
      <c r="AD108" s="48"/>
      <c r="AE108" s="48"/>
      <c r="AF108" s="48"/>
      <c r="AG108" s="48"/>
      <c r="AH108" s="48"/>
      <c r="AI108" s="48"/>
    </row>
    <row r="109" spans="1:35" ht="16.5" thickBot="1" x14ac:dyDescent="0.3">
      <c r="A109" s="183" t="s">
        <v>268</v>
      </c>
      <c r="B109" s="50">
        <v>90</v>
      </c>
      <c r="C109" s="50">
        <v>106</v>
      </c>
      <c r="D109" s="50"/>
      <c r="E109" s="50">
        <v>150</v>
      </c>
      <c r="I109" s="184"/>
      <c r="J109" s="123"/>
      <c r="K109" s="123"/>
      <c r="L109" s="123"/>
      <c r="M109" s="123"/>
      <c r="N109" s="123"/>
      <c r="O109" s="123"/>
      <c r="W109" s="183" t="s">
        <v>391</v>
      </c>
      <c r="Y109" s="42">
        <f>Y106</f>
        <v>323.61000000000081</v>
      </c>
      <c r="AA109" s="42">
        <f>Y109+AA106</f>
        <v>675.27167715000064</v>
      </c>
      <c r="AB109" s="42">
        <f>AA109+AB106</f>
        <v>1065.450391320001</v>
      </c>
      <c r="AC109" s="42">
        <f t="shared" ref="AC109:AI109" si="10">AB109+AC106</f>
        <v>1496.6986920191257</v>
      </c>
      <c r="AD109" s="351">
        <f t="shared" si="10"/>
        <v>1971.7280911148644</v>
      </c>
      <c r="AE109" s="351">
        <f t="shared" si="10"/>
        <v>2493.4185776951281</v>
      </c>
      <c r="AF109" s="42">
        <f t="shared" si="10"/>
        <v>3232.8286870106303</v>
      </c>
      <c r="AG109" s="42">
        <f t="shared" si="10"/>
        <v>4025.2061551184456</v>
      </c>
      <c r="AH109" s="42">
        <f t="shared" si="10"/>
        <v>4873.9991926245166</v>
      </c>
      <c r="AI109" s="42">
        <f t="shared" si="10"/>
        <v>5782.8684127983961</v>
      </c>
    </row>
    <row r="110" spans="1:35" x14ac:dyDescent="0.2">
      <c r="A110" s="183" t="s">
        <v>261</v>
      </c>
      <c r="B110" s="50">
        <v>288</v>
      </c>
      <c r="C110" s="190">
        <v>265</v>
      </c>
      <c r="D110" s="190"/>
      <c r="E110" s="190">
        <v>270</v>
      </c>
      <c r="W110" s="183" t="s">
        <v>392</v>
      </c>
      <c r="Y110" s="350">
        <v>1</v>
      </c>
      <c r="Z110" s="350"/>
      <c r="AA110" s="350">
        <v>2</v>
      </c>
      <c r="AB110" s="350">
        <v>3</v>
      </c>
      <c r="AC110" s="350">
        <v>4</v>
      </c>
      <c r="AD110" s="350">
        <v>5</v>
      </c>
      <c r="AE110" s="350">
        <v>6</v>
      </c>
      <c r="AF110" s="350">
        <v>7</v>
      </c>
      <c r="AG110" s="350">
        <v>8</v>
      </c>
      <c r="AH110" s="350">
        <v>9</v>
      </c>
      <c r="AI110" s="350">
        <v>10</v>
      </c>
    </row>
    <row r="111" spans="1:35" x14ac:dyDescent="0.2">
      <c r="B111" s="50"/>
      <c r="C111" s="50"/>
      <c r="D111" s="50"/>
      <c r="E111" s="50"/>
      <c r="I111" s="183" t="s">
        <v>351</v>
      </c>
    </row>
    <row r="112" spans="1:35" x14ac:dyDescent="0.2">
      <c r="A112" s="1" t="s">
        <v>267</v>
      </c>
      <c r="B112" s="187">
        <f>SUM(B104:B110)</f>
        <v>7254</v>
      </c>
      <c r="C112" s="187">
        <f>SUM(C104:C110)</f>
        <v>7309</v>
      </c>
      <c r="D112" s="187"/>
      <c r="E112" s="187">
        <f>SUM(E104:E110)</f>
        <v>8955</v>
      </c>
      <c r="I112" s="191"/>
    </row>
    <row r="113" spans="1:35" x14ac:dyDescent="0.2">
      <c r="B113" s="50"/>
      <c r="C113" s="50"/>
      <c r="D113" s="50"/>
      <c r="E113" s="50"/>
    </row>
    <row r="114" spans="1:35" x14ac:dyDescent="0.2">
      <c r="B114" s="50"/>
      <c r="C114" s="50"/>
      <c r="D114" s="50"/>
      <c r="E114" s="50"/>
    </row>
    <row r="115" spans="1:35" ht="15.75" x14ac:dyDescent="0.25">
      <c r="A115" s="184" t="s">
        <v>255</v>
      </c>
      <c r="B115" s="187">
        <f>B99-B112</f>
        <v>370</v>
      </c>
      <c r="C115" s="187">
        <f>C99-C112</f>
        <v>421</v>
      </c>
      <c r="D115" s="187"/>
      <c r="E115" s="187">
        <f>E99-E112</f>
        <v>700</v>
      </c>
    </row>
    <row r="116" spans="1:35" x14ac:dyDescent="0.2">
      <c r="B116" s="50"/>
      <c r="C116" s="50"/>
      <c r="D116" s="50"/>
      <c r="E116" s="50"/>
    </row>
    <row r="117" spans="1:35" x14ac:dyDescent="0.2">
      <c r="A117" s="183" t="s">
        <v>262</v>
      </c>
      <c r="B117" s="50">
        <v>142</v>
      </c>
      <c r="C117" s="50">
        <v>126</v>
      </c>
      <c r="D117" s="50"/>
      <c r="E117" s="50">
        <v>140</v>
      </c>
    </row>
    <row r="118" spans="1:35" x14ac:dyDescent="0.2">
      <c r="A118" s="183" t="s">
        <v>263</v>
      </c>
      <c r="B118" s="50">
        <v>6</v>
      </c>
      <c r="C118" s="50">
        <v>5</v>
      </c>
      <c r="D118" s="50"/>
      <c r="E118" s="50">
        <v>22</v>
      </c>
    </row>
    <row r="119" spans="1:35" ht="13.5" thickBot="1" x14ac:dyDescent="0.25">
      <c r="A119" s="183" t="s">
        <v>264</v>
      </c>
      <c r="B119" s="50"/>
      <c r="C119" s="50"/>
      <c r="D119" s="50"/>
      <c r="E119" s="50"/>
    </row>
    <row r="120" spans="1:35" ht="15.75" x14ac:dyDescent="0.25">
      <c r="B120" s="50"/>
      <c r="C120" s="50"/>
      <c r="D120" s="50"/>
      <c r="E120" s="50"/>
      <c r="W120" s="332" t="s">
        <v>365</v>
      </c>
      <c r="X120" s="339"/>
      <c r="Y120" s="341" t="s">
        <v>349</v>
      </c>
      <c r="Z120" s="342"/>
    </row>
    <row r="121" spans="1:35" ht="15.75" x14ac:dyDescent="0.25">
      <c r="B121" s="50"/>
      <c r="C121" s="50"/>
      <c r="D121" s="50"/>
      <c r="E121" s="50"/>
      <c r="W121" s="248">
        <v>2010</v>
      </c>
      <c r="X121" s="340"/>
      <c r="Y121" s="248">
        <v>2011</v>
      </c>
      <c r="Z121" s="343"/>
      <c r="AA121" s="249">
        <v>2012</v>
      </c>
      <c r="AB121" s="249">
        <v>2013</v>
      </c>
      <c r="AC121" s="249">
        <v>2014</v>
      </c>
      <c r="AD121" s="249">
        <v>2015</v>
      </c>
      <c r="AE121" s="249">
        <v>2016</v>
      </c>
      <c r="AF121" s="249">
        <v>2017</v>
      </c>
      <c r="AG121" s="249">
        <v>2018</v>
      </c>
      <c r="AH121" s="249">
        <v>2019</v>
      </c>
      <c r="AI121" s="249">
        <v>2020</v>
      </c>
    </row>
    <row r="122" spans="1:35" ht="16.5" thickBot="1" x14ac:dyDescent="0.3">
      <c r="A122" s="184" t="s">
        <v>256</v>
      </c>
      <c r="B122" s="187">
        <f>B115-B117+B118-B119</f>
        <v>234</v>
      </c>
      <c r="C122" s="187">
        <f>C115-C117+C118-C119</f>
        <v>300</v>
      </c>
      <c r="D122" s="187"/>
      <c r="E122" s="187">
        <f>E115-E117+E118-E119</f>
        <v>582</v>
      </c>
      <c r="W122" s="232"/>
      <c r="X122" s="340"/>
      <c r="Y122" s="344"/>
      <c r="Z122" s="345"/>
    </row>
    <row r="123" spans="1:35" x14ac:dyDescent="0.2">
      <c r="B123" s="50"/>
      <c r="C123" s="50"/>
      <c r="D123" s="50"/>
      <c r="E123" s="50"/>
      <c r="W123" s="334"/>
      <c r="X123" s="335"/>
      <c r="Y123" s="40"/>
      <c r="Z123" s="4"/>
      <c r="AA123" s="25">
        <f>1-AA124</f>
        <v>0.17600000000000005</v>
      </c>
      <c r="AB123" s="25">
        <f t="shared" ref="AB123:AI123" si="11">1-AB124</f>
        <v>0.17700000000000005</v>
      </c>
      <c r="AC123" s="25">
        <f t="shared" si="11"/>
        <v>0.17800000000000005</v>
      </c>
      <c r="AD123" s="25">
        <f t="shared" si="11"/>
        <v>0.17900000000000005</v>
      </c>
      <c r="AE123" s="25">
        <f t="shared" si="11"/>
        <v>0.18000000000000005</v>
      </c>
      <c r="AF123" s="25">
        <f t="shared" si="11"/>
        <v>0.18100000000000005</v>
      </c>
      <c r="AG123" s="25">
        <f t="shared" si="11"/>
        <v>0.18200000000000005</v>
      </c>
      <c r="AH123" s="25">
        <f t="shared" si="11"/>
        <v>0.18300000000000005</v>
      </c>
      <c r="AI123" s="25">
        <f t="shared" si="11"/>
        <v>0.18400000000000005</v>
      </c>
    </row>
    <row r="124" spans="1:35" x14ac:dyDescent="0.2">
      <c r="A124" s="183" t="s">
        <v>265</v>
      </c>
      <c r="B124" s="50">
        <v>70</v>
      </c>
      <c r="C124" s="50">
        <v>97</v>
      </c>
      <c r="D124" s="50"/>
      <c r="E124" s="50">
        <f>E122*0.3</f>
        <v>174.6</v>
      </c>
      <c r="W124" s="336"/>
      <c r="X124" s="333"/>
      <c r="Y124" s="39"/>
      <c r="Z124" s="222"/>
      <c r="AA124" s="348">
        <v>0.82399999999999995</v>
      </c>
      <c r="AB124" s="348">
        <v>0.82299999999999995</v>
      </c>
      <c r="AC124" s="348">
        <v>0.82199999999999995</v>
      </c>
      <c r="AD124" s="348">
        <v>0.82099999999999995</v>
      </c>
      <c r="AE124" s="348">
        <v>0.82</v>
      </c>
      <c r="AF124" s="348">
        <v>0.81899999999999995</v>
      </c>
      <c r="AG124" s="348">
        <v>0.81799999999999995</v>
      </c>
      <c r="AH124" s="348">
        <v>0.81699999999999995</v>
      </c>
      <c r="AI124" s="348">
        <v>0.81599999999999995</v>
      </c>
    </row>
    <row r="125" spans="1:35" x14ac:dyDescent="0.2">
      <c r="B125" s="50"/>
      <c r="C125" s="50"/>
      <c r="D125" s="50"/>
      <c r="E125" s="50"/>
      <c r="W125" s="336"/>
      <c r="X125" s="333"/>
      <c r="Y125" s="39"/>
      <c r="Z125" s="222"/>
      <c r="AA125" s="25"/>
      <c r="AB125" s="25"/>
      <c r="AC125" s="25"/>
      <c r="AD125" s="25"/>
      <c r="AE125" s="25"/>
      <c r="AF125" s="25"/>
      <c r="AG125" s="25"/>
      <c r="AH125" s="25"/>
      <c r="AI125" s="25"/>
    </row>
    <row r="126" spans="1:35" ht="15.75" x14ac:dyDescent="0.25">
      <c r="A126" s="184" t="s">
        <v>257</v>
      </c>
      <c r="B126" s="187">
        <f>B122-B124</f>
        <v>164</v>
      </c>
      <c r="C126" s="187">
        <f>C122-C124</f>
        <v>203</v>
      </c>
      <c r="D126" s="187"/>
      <c r="E126" s="187">
        <f>E122-E124</f>
        <v>407.4</v>
      </c>
      <c r="W126" s="336">
        <v>9843</v>
      </c>
      <c r="X126" s="333"/>
      <c r="Y126" s="39"/>
      <c r="Z126" s="222"/>
      <c r="AA126" s="348">
        <v>1.72E-2</v>
      </c>
      <c r="AB126" s="348">
        <v>1.72E-2</v>
      </c>
      <c r="AC126" s="348">
        <v>1.72E-2</v>
      </c>
      <c r="AD126" s="348">
        <v>1.72E-2</v>
      </c>
      <c r="AE126" s="348">
        <v>1.72E-2</v>
      </c>
      <c r="AF126" s="348">
        <v>1.72E-2</v>
      </c>
      <c r="AG126" s="348">
        <v>1.72E-2</v>
      </c>
      <c r="AH126" s="348">
        <v>1.72E-2</v>
      </c>
      <c r="AI126" s="348">
        <v>1.72E-2</v>
      </c>
    </row>
    <row r="127" spans="1:35" ht="15.75" x14ac:dyDescent="0.25">
      <c r="A127" s="184"/>
      <c r="B127" s="123"/>
      <c r="C127" s="123"/>
      <c r="D127" s="123"/>
      <c r="E127" s="123"/>
      <c r="W127" s="336"/>
      <c r="X127" s="333"/>
      <c r="Y127" s="39"/>
      <c r="Z127" s="222"/>
      <c r="AA127" s="50"/>
      <c r="AB127" s="50"/>
      <c r="AC127" s="50"/>
      <c r="AD127" s="50"/>
      <c r="AE127" s="50"/>
      <c r="AF127" s="50"/>
      <c r="AG127" s="50"/>
      <c r="AH127" s="50"/>
      <c r="AI127" s="50"/>
    </row>
    <row r="128" spans="1:35" ht="15.75" x14ac:dyDescent="0.25">
      <c r="A128" s="184"/>
      <c r="B128" s="123"/>
      <c r="C128" s="123"/>
      <c r="D128" s="123"/>
      <c r="E128" s="123"/>
      <c r="W128" s="237">
        <f>W126</f>
        <v>9843</v>
      </c>
      <c r="X128" s="333">
        <f>V128</f>
        <v>0</v>
      </c>
      <c r="Y128" s="346">
        <f>W128*1.2</f>
        <v>11811.6</v>
      </c>
      <c r="Z128" s="222">
        <v>100</v>
      </c>
      <c r="AA128" s="349">
        <f>Y128*1.15</f>
        <v>13583.34</v>
      </c>
      <c r="AB128" s="349">
        <f>AA128*1.15</f>
        <v>15620.840999999999</v>
      </c>
      <c r="AC128" s="349">
        <f t="shared" ref="AC128:AI128" si="12">AB128*1.15</f>
        <v>17963.967149999997</v>
      </c>
      <c r="AD128" s="349">
        <f t="shared" si="12"/>
        <v>20658.562222499993</v>
      </c>
      <c r="AE128" s="349">
        <f t="shared" si="12"/>
        <v>23757.346555874992</v>
      </c>
      <c r="AF128" s="349">
        <f t="shared" si="12"/>
        <v>27320.948539256238</v>
      </c>
      <c r="AG128" s="349">
        <f t="shared" si="12"/>
        <v>31419.090820144673</v>
      </c>
      <c r="AH128" s="349">
        <f t="shared" si="12"/>
        <v>36131.954443166374</v>
      </c>
      <c r="AI128" s="349">
        <f t="shared" si="12"/>
        <v>41551.74760964133</v>
      </c>
    </row>
    <row r="129" spans="1:35" x14ac:dyDescent="0.2">
      <c r="W129" s="336"/>
      <c r="X129" s="333"/>
      <c r="Y129" s="39"/>
      <c r="Z129" s="222"/>
      <c r="AA129" s="50"/>
      <c r="AB129" s="50"/>
      <c r="AC129" s="50"/>
      <c r="AD129" s="50"/>
      <c r="AE129" s="50"/>
      <c r="AF129" s="50"/>
      <c r="AG129" s="50"/>
      <c r="AH129" s="50"/>
      <c r="AI129" s="50"/>
    </row>
    <row r="130" spans="1:35" x14ac:dyDescent="0.2">
      <c r="A130" s="183"/>
      <c r="W130" s="336"/>
      <c r="X130" s="333"/>
      <c r="Y130" s="39"/>
      <c r="Z130" s="222"/>
      <c r="AA130" s="50"/>
      <c r="AB130" s="50"/>
      <c r="AC130" s="50"/>
      <c r="AD130" s="50"/>
      <c r="AE130" s="50"/>
      <c r="AF130" s="50"/>
      <c r="AG130" s="50"/>
      <c r="AH130" s="50"/>
      <c r="AI130" s="50"/>
    </row>
    <row r="131" spans="1:35" x14ac:dyDescent="0.2">
      <c r="A131" s="191"/>
      <c r="W131" s="336"/>
      <c r="X131" s="333"/>
      <c r="Y131" s="39"/>
      <c r="Z131" s="222"/>
      <c r="AA131" s="50">
        <v>240</v>
      </c>
      <c r="AB131" s="50">
        <v>240</v>
      </c>
      <c r="AC131" s="50">
        <v>240</v>
      </c>
      <c r="AD131" s="50">
        <v>240</v>
      </c>
      <c r="AE131" s="50">
        <v>240</v>
      </c>
      <c r="AF131" s="50"/>
      <c r="AG131" s="50"/>
      <c r="AH131" s="50"/>
      <c r="AI131" s="50"/>
    </row>
    <row r="132" spans="1:35" x14ac:dyDescent="0.2">
      <c r="W132" s="336"/>
      <c r="X132" s="333"/>
      <c r="Y132" s="39"/>
      <c r="Z132" s="222"/>
      <c r="AA132" s="50"/>
      <c r="AB132" s="50"/>
      <c r="AC132" s="50"/>
      <c r="AD132" s="50"/>
      <c r="AE132" s="50"/>
      <c r="AF132" s="50"/>
      <c r="AG132" s="50"/>
      <c r="AH132" s="50"/>
      <c r="AI132" s="50"/>
    </row>
    <row r="133" spans="1:35" x14ac:dyDescent="0.2">
      <c r="W133" s="336">
        <v>-1217</v>
      </c>
      <c r="X133" s="333"/>
      <c r="Y133" s="39"/>
      <c r="Z133" s="222"/>
      <c r="AA133" s="50"/>
      <c r="AB133" s="50"/>
      <c r="AC133" s="50"/>
      <c r="AD133" s="50"/>
      <c r="AE133" s="50"/>
      <c r="AF133" s="50"/>
      <c r="AG133" s="50"/>
      <c r="AH133" s="50"/>
      <c r="AI133" s="50"/>
    </row>
    <row r="134" spans="1:35" x14ac:dyDescent="0.2">
      <c r="W134" s="336">
        <f>9445-60</f>
        <v>9385</v>
      </c>
      <c r="X134" s="337">
        <f>(W134+W133)*100/W128</f>
        <v>82.982830437874625</v>
      </c>
      <c r="Y134" s="39">
        <f>Y128*0.825</f>
        <v>9744.57</v>
      </c>
      <c r="Z134" s="222">
        <f>Y134*100/Y128</f>
        <v>82.5</v>
      </c>
      <c r="AA134" s="56">
        <f>AA128*AA124</f>
        <v>11192.67216</v>
      </c>
      <c r="AB134" s="56">
        <f t="shared" ref="AB134:AI134" si="13">AB128*AB124</f>
        <v>12855.952142999999</v>
      </c>
      <c r="AC134" s="56">
        <f t="shared" si="13"/>
        <v>14766.380997299997</v>
      </c>
      <c r="AD134" s="56">
        <f t="shared" si="13"/>
        <v>16960.679584672493</v>
      </c>
      <c r="AE134" s="56">
        <f t="shared" si="13"/>
        <v>19481.024175817493</v>
      </c>
      <c r="AF134" s="56">
        <f t="shared" si="13"/>
        <v>22375.856853650857</v>
      </c>
      <c r="AG134" s="56">
        <f t="shared" si="13"/>
        <v>25700.816290878342</v>
      </c>
      <c r="AH134" s="56">
        <f t="shared" si="13"/>
        <v>29519.806780066927</v>
      </c>
      <c r="AI134" s="56">
        <f t="shared" si="13"/>
        <v>33906.226049467325</v>
      </c>
    </row>
    <row r="135" spans="1:35" x14ac:dyDescent="0.2">
      <c r="W135" s="336">
        <v>48</v>
      </c>
      <c r="X135" s="333">
        <f>W135*100/W128</f>
        <v>0.48765620237732399</v>
      </c>
      <c r="Y135" s="336"/>
      <c r="Z135" s="222"/>
      <c r="AA135" s="50"/>
      <c r="AB135" s="50"/>
      <c r="AC135" s="50"/>
      <c r="AD135" s="50"/>
      <c r="AE135" s="50"/>
      <c r="AF135" s="50"/>
      <c r="AG135" s="50"/>
      <c r="AH135" s="50"/>
      <c r="AI135" s="50"/>
    </row>
    <row r="136" spans="1:35" x14ac:dyDescent="0.2">
      <c r="W136" s="336">
        <v>485</v>
      </c>
      <c r="X136" s="333">
        <f>W136*100/W128</f>
        <v>4.9273595448542107</v>
      </c>
      <c r="Y136" s="336"/>
      <c r="Z136" s="222"/>
      <c r="AA136" s="25">
        <v>0.09</v>
      </c>
      <c r="AB136" s="25">
        <v>8.8999999999999996E-2</v>
      </c>
      <c r="AC136" s="25">
        <v>8.7999999999999995E-2</v>
      </c>
      <c r="AD136" s="25">
        <v>8.6999999999999994E-2</v>
      </c>
      <c r="AE136" s="25">
        <v>8.5999999999999993E-2</v>
      </c>
      <c r="AF136" s="25">
        <v>8.5000000000000006E-2</v>
      </c>
      <c r="AG136" s="25">
        <v>8.4000000000000005E-2</v>
      </c>
      <c r="AH136" s="25">
        <v>8.3000000000000004E-2</v>
      </c>
      <c r="AI136" s="25">
        <v>8.2000000000000003E-2</v>
      </c>
    </row>
    <row r="137" spans="1:35" x14ac:dyDescent="0.2">
      <c r="W137" s="336">
        <f>96+108</f>
        <v>204</v>
      </c>
      <c r="X137" s="333">
        <f>W137*100/W128</f>
        <v>2.0725388601036268</v>
      </c>
      <c r="Y137" s="336"/>
      <c r="Z137" s="222"/>
      <c r="AA137" s="50"/>
      <c r="AB137" s="50"/>
      <c r="AC137" s="50"/>
      <c r="AD137" s="50"/>
      <c r="AE137" s="50"/>
      <c r="AF137" s="50"/>
      <c r="AG137" s="50"/>
      <c r="AH137" s="50"/>
      <c r="AI137" s="50"/>
    </row>
    <row r="138" spans="1:35" x14ac:dyDescent="0.2">
      <c r="W138" s="243">
        <v>289</v>
      </c>
      <c r="X138" s="333">
        <f>W138*100/W128</f>
        <v>2.9360967184801381</v>
      </c>
      <c r="Y138" s="347">
        <f>974+240</f>
        <v>1214</v>
      </c>
      <c r="Z138" s="222">
        <f>Y138*100/Y128</f>
        <v>10.278031765383183</v>
      </c>
      <c r="AA138" s="50">
        <f>AA128*AA136+AA131</f>
        <v>1462.5006000000001</v>
      </c>
      <c r="AB138" s="50">
        <f t="shared" ref="AB138:AI138" si="14">AB128*AB136+AB131</f>
        <v>1630.2548489999997</v>
      </c>
      <c r="AC138" s="50">
        <f t="shared" si="14"/>
        <v>1820.8291091999997</v>
      </c>
      <c r="AD138" s="50">
        <f t="shared" si="14"/>
        <v>2037.2949133574994</v>
      </c>
      <c r="AE138" s="50">
        <f t="shared" si="14"/>
        <v>2283.1318038052491</v>
      </c>
      <c r="AF138" s="50">
        <f t="shared" si="14"/>
        <v>2322.2806258367805</v>
      </c>
      <c r="AG138" s="50">
        <f t="shared" si="14"/>
        <v>2639.2036288921527</v>
      </c>
      <c r="AH138" s="50">
        <f t="shared" si="14"/>
        <v>2998.9522187828093</v>
      </c>
      <c r="AI138" s="50">
        <f t="shared" si="14"/>
        <v>3407.2433039905891</v>
      </c>
    </row>
    <row r="139" spans="1:35" x14ac:dyDescent="0.2">
      <c r="W139" s="336"/>
      <c r="X139" s="333"/>
      <c r="Y139" s="39"/>
      <c r="Z139" s="222"/>
      <c r="AA139" s="50"/>
      <c r="AB139" s="50"/>
      <c r="AC139" s="50"/>
      <c r="AD139" s="50"/>
      <c r="AE139" s="50"/>
      <c r="AF139" s="50"/>
      <c r="AG139" s="50"/>
      <c r="AH139" s="50"/>
      <c r="AI139" s="50"/>
    </row>
    <row r="140" spans="1:35" x14ac:dyDescent="0.2">
      <c r="W140" s="237">
        <f>SUM(W133:W138)</f>
        <v>9194</v>
      </c>
      <c r="X140" s="333"/>
      <c r="Y140" s="237">
        <f>SUM(Y133:Y138)</f>
        <v>10958.57</v>
      </c>
      <c r="Z140" s="222"/>
      <c r="AA140" s="56">
        <f>AA134+AA138</f>
        <v>12655.172759999999</v>
      </c>
      <c r="AB140" s="56">
        <f t="shared" ref="AB140:AI140" si="15">AB134+AB138</f>
        <v>14486.206991999998</v>
      </c>
      <c r="AC140" s="56">
        <f t="shared" si="15"/>
        <v>16587.210106499995</v>
      </c>
      <c r="AD140" s="56">
        <f t="shared" si="15"/>
        <v>18997.974498029991</v>
      </c>
      <c r="AE140" s="56">
        <f t="shared" si="15"/>
        <v>21764.155979622741</v>
      </c>
      <c r="AF140" s="56">
        <f t="shared" si="15"/>
        <v>24698.137479487639</v>
      </c>
      <c r="AG140" s="56">
        <f t="shared" si="15"/>
        <v>28340.019919770493</v>
      </c>
      <c r="AH140" s="56">
        <f t="shared" si="15"/>
        <v>32518.758998849735</v>
      </c>
      <c r="AI140" s="56">
        <f t="shared" si="15"/>
        <v>37313.469353457913</v>
      </c>
    </row>
    <row r="141" spans="1:35" x14ac:dyDescent="0.2">
      <c r="W141" s="336"/>
      <c r="X141" s="333"/>
      <c r="Y141" s="39"/>
      <c r="Z141" s="222"/>
      <c r="AA141" s="50"/>
      <c r="AB141" s="50"/>
      <c r="AC141" s="50"/>
      <c r="AD141" s="50"/>
      <c r="AE141" s="50"/>
      <c r="AF141" s="50"/>
      <c r="AG141" s="50"/>
      <c r="AH141" s="50"/>
      <c r="AI141" s="50"/>
    </row>
    <row r="142" spans="1:35" x14ac:dyDescent="0.2">
      <c r="W142" s="336"/>
      <c r="X142" s="333"/>
      <c r="Y142" s="39"/>
      <c r="Z142" s="222"/>
      <c r="AA142" s="50"/>
      <c r="AB142" s="50"/>
      <c r="AC142" s="50"/>
      <c r="AD142" s="50"/>
      <c r="AE142" s="50"/>
      <c r="AF142" s="50"/>
      <c r="AG142" s="50"/>
      <c r="AH142" s="50"/>
      <c r="AI142" s="50"/>
    </row>
    <row r="143" spans="1:35" x14ac:dyDescent="0.2">
      <c r="W143" s="237">
        <f>W128-W140</f>
        <v>649</v>
      </c>
      <c r="X143" s="333">
        <f>W143*100/W128</f>
        <v>6.5935182363100679</v>
      </c>
      <c r="Y143" s="237">
        <f>Y128-Y140</f>
        <v>853.03000000000065</v>
      </c>
      <c r="Z143" s="222">
        <f>Y143*100/Y128</f>
        <v>7.2219682346168224</v>
      </c>
      <c r="AA143" s="56">
        <f>AA128-AA140</f>
        <v>928.16724000000067</v>
      </c>
      <c r="AB143" s="56">
        <f t="shared" ref="AB143:AI143" si="16">AB128-AB140</f>
        <v>1134.6340080000009</v>
      </c>
      <c r="AC143" s="56">
        <f t="shared" si="16"/>
        <v>1376.7570435000016</v>
      </c>
      <c r="AD143" s="56">
        <f t="shared" si="16"/>
        <v>1660.5877244700023</v>
      </c>
      <c r="AE143" s="56">
        <f t="shared" si="16"/>
        <v>1993.190576252251</v>
      </c>
      <c r="AF143" s="56">
        <f t="shared" si="16"/>
        <v>2622.8110597685991</v>
      </c>
      <c r="AG143" s="56">
        <f t="shared" si="16"/>
        <v>3079.0709003741795</v>
      </c>
      <c r="AH143" s="56">
        <f t="shared" si="16"/>
        <v>3613.1954443166396</v>
      </c>
      <c r="AI143" s="56">
        <f t="shared" si="16"/>
        <v>4238.2782561834174</v>
      </c>
    </row>
    <row r="144" spans="1:35" x14ac:dyDescent="0.2">
      <c r="W144" s="336"/>
      <c r="X144" s="333"/>
      <c r="Y144" s="39"/>
      <c r="Z144" s="222"/>
      <c r="AA144" s="50"/>
      <c r="AB144" s="50"/>
      <c r="AC144" s="50"/>
      <c r="AD144" s="50"/>
      <c r="AE144" s="50"/>
      <c r="AF144" s="50"/>
      <c r="AG144" s="50"/>
      <c r="AH144" s="50"/>
      <c r="AI144" s="50"/>
    </row>
    <row r="145" spans="1:35" x14ac:dyDescent="0.2">
      <c r="W145" s="336">
        <v>168</v>
      </c>
      <c r="X145" s="333">
        <f>W145*100/W128</f>
        <v>1.7067967083206339</v>
      </c>
      <c r="Y145" s="39">
        <v>186</v>
      </c>
      <c r="Z145" s="222">
        <f>Y145*100/Y128</f>
        <v>1.5747231535101087</v>
      </c>
      <c r="AA145" s="50">
        <f>AA128*AA126</f>
        <v>233.63344800000002</v>
      </c>
      <c r="AB145" s="50">
        <f t="shared" ref="AB145:AI145" si="17">AB128*AB126</f>
        <v>268.67846519999995</v>
      </c>
      <c r="AC145" s="50">
        <f t="shared" si="17"/>
        <v>308.98023497999992</v>
      </c>
      <c r="AD145" s="50">
        <f t="shared" si="17"/>
        <v>355.32727022699987</v>
      </c>
      <c r="AE145" s="50">
        <f t="shared" si="17"/>
        <v>408.62636076104985</v>
      </c>
      <c r="AF145" s="50">
        <f t="shared" si="17"/>
        <v>469.92031487520728</v>
      </c>
      <c r="AG145" s="50">
        <f t="shared" si="17"/>
        <v>540.40836210648843</v>
      </c>
      <c r="AH145" s="50">
        <f t="shared" si="17"/>
        <v>621.46961642246163</v>
      </c>
      <c r="AI145" s="50">
        <f t="shared" si="17"/>
        <v>714.69005888583092</v>
      </c>
    </row>
    <row r="146" spans="1:35" x14ac:dyDescent="0.2">
      <c r="W146" s="336">
        <v>19</v>
      </c>
      <c r="X146" s="333"/>
      <c r="Y146" s="39"/>
      <c r="Z146" s="222"/>
      <c r="AA146" s="50"/>
      <c r="AB146" s="50"/>
      <c r="AC146" s="50"/>
      <c r="AD146" s="50"/>
      <c r="AE146" s="50"/>
      <c r="AF146" s="50"/>
      <c r="AG146" s="50"/>
      <c r="AH146" s="50"/>
      <c r="AI146" s="50"/>
    </row>
    <row r="147" spans="1:35" x14ac:dyDescent="0.2">
      <c r="E147" s="52"/>
      <c r="F147" s="52" t="s">
        <v>498</v>
      </c>
      <c r="G147" s="52"/>
      <c r="W147" s="336"/>
      <c r="X147" s="333"/>
      <c r="Y147" s="39"/>
      <c r="Z147" s="222"/>
      <c r="AA147" s="50"/>
      <c r="AB147" s="50"/>
      <c r="AC147" s="50"/>
      <c r="AD147" s="50"/>
      <c r="AE147" s="50"/>
      <c r="AF147" s="50"/>
      <c r="AG147" s="50"/>
      <c r="AH147" s="50"/>
      <c r="AI147" s="50"/>
    </row>
    <row r="148" spans="1:35" x14ac:dyDescent="0.2">
      <c r="W148" s="336"/>
      <c r="X148" s="333"/>
      <c r="Y148" s="39"/>
      <c r="Z148" s="222"/>
      <c r="AA148" s="50"/>
      <c r="AB148" s="50"/>
      <c r="AC148" s="50"/>
      <c r="AD148" s="50"/>
      <c r="AE148" s="50"/>
      <c r="AF148" s="50"/>
      <c r="AG148" s="50"/>
      <c r="AH148" s="50"/>
      <c r="AI148" s="50"/>
    </row>
    <row r="149" spans="1:35" x14ac:dyDescent="0.2">
      <c r="W149" s="336"/>
      <c r="X149" s="333"/>
      <c r="Y149" s="39"/>
      <c r="Z149" s="222"/>
      <c r="AA149" s="50"/>
      <c r="AB149" s="50"/>
      <c r="AC149" s="50"/>
      <c r="AD149" s="50"/>
      <c r="AE149" s="50"/>
      <c r="AF149" s="50"/>
      <c r="AG149" s="50"/>
      <c r="AH149" s="50"/>
      <c r="AI149" s="50"/>
    </row>
    <row r="150" spans="1:35" ht="18" x14ac:dyDescent="0.25">
      <c r="A150" s="208" t="s">
        <v>496</v>
      </c>
      <c r="W150" s="237">
        <f>W143-W145+W146-W147</f>
        <v>500</v>
      </c>
      <c r="X150" s="333">
        <f>W150*100/W128</f>
        <v>5.0797521080971251</v>
      </c>
      <c r="Y150" s="237">
        <f>Y143-Y145+Y146-Y147</f>
        <v>667.03000000000065</v>
      </c>
      <c r="Z150" s="222">
        <f>Y150*100/Y128</f>
        <v>5.6472450811067132</v>
      </c>
      <c r="AA150" s="56">
        <f>AA143-AA145</f>
        <v>694.53379200000063</v>
      </c>
      <c r="AB150" s="56">
        <f t="shared" ref="AB150:AI150" si="18">AB143-AB145</f>
        <v>865.95554280000101</v>
      </c>
      <c r="AC150" s="56">
        <f t="shared" si="18"/>
        <v>1067.7768085200016</v>
      </c>
      <c r="AD150" s="56">
        <f t="shared" si="18"/>
        <v>1305.2604542430024</v>
      </c>
      <c r="AE150" s="56">
        <f t="shared" si="18"/>
        <v>1584.5642154912011</v>
      </c>
      <c r="AF150" s="56">
        <f t="shared" si="18"/>
        <v>2152.8907448933919</v>
      </c>
      <c r="AG150" s="56">
        <f t="shared" si="18"/>
        <v>2538.6625382676912</v>
      </c>
      <c r="AH150" s="56">
        <f t="shared" si="18"/>
        <v>2991.7258278941781</v>
      </c>
      <c r="AI150" s="56">
        <f t="shared" si="18"/>
        <v>3523.5881972975867</v>
      </c>
    </row>
    <row r="151" spans="1:35" ht="18" x14ac:dyDescent="0.25">
      <c r="A151" s="208" t="s">
        <v>497</v>
      </c>
      <c r="W151" s="336"/>
      <c r="X151" s="333"/>
      <c r="Y151" s="39"/>
      <c r="Z151" s="222"/>
      <c r="AA151" s="50"/>
      <c r="AB151" s="50"/>
      <c r="AC151" s="50"/>
      <c r="AD151" s="50"/>
      <c r="AE151" s="50"/>
      <c r="AF151" s="50"/>
      <c r="AG151" s="50"/>
      <c r="AH151" s="50"/>
      <c r="AI151" s="50"/>
    </row>
    <row r="152" spans="1:35" ht="18" x14ac:dyDescent="0.25">
      <c r="A152" s="185"/>
      <c r="W152" s="336">
        <f>W150*0.3</f>
        <v>150</v>
      </c>
      <c r="X152" s="333">
        <f>W152*100/W128</f>
        <v>1.5239256324291375</v>
      </c>
      <c r="Y152" s="39">
        <f>Y150*0.3</f>
        <v>200.10900000000018</v>
      </c>
      <c r="Z152" s="222">
        <f>Y152*100/Y128</f>
        <v>1.6941735243320142</v>
      </c>
      <c r="AA152" s="50">
        <f>AA150*0.3</f>
        <v>208.36013760000017</v>
      </c>
      <c r="AB152" s="50">
        <f t="shared" ref="AB152:AI152" si="19">AB150*0.3</f>
        <v>259.7866628400003</v>
      </c>
      <c r="AC152" s="50">
        <f t="shared" si="19"/>
        <v>320.33304255600046</v>
      </c>
      <c r="AD152" s="50">
        <f t="shared" si="19"/>
        <v>391.57813627290074</v>
      </c>
      <c r="AE152" s="50">
        <f t="shared" si="19"/>
        <v>475.3692646473603</v>
      </c>
      <c r="AF152" s="50">
        <f t="shared" si="19"/>
        <v>645.86722346801753</v>
      </c>
      <c r="AG152" s="50">
        <f t="shared" si="19"/>
        <v>761.5987614803073</v>
      </c>
      <c r="AH152" s="50">
        <f t="shared" si="19"/>
        <v>897.51774836825336</v>
      </c>
      <c r="AI152" s="50">
        <f t="shared" si="19"/>
        <v>1057.076459189276</v>
      </c>
    </row>
    <row r="153" spans="1:35" x14ac:dyDescent="0.2">
      <c r="W153" s="336"/>
      <c r="X153" s="333"/>
      <c r="Y153" s="39"/>
      <c r="Z153" s="222"/>
      <c r="AA153" s="50"/>
      <c r="AB153" s="50"/>
      <c r="AC153" s="50"/>
      <c r="AD153" s="50"/>
      <c r="AE153" s="50"/>
      <c r="AF153" s="50"/>
      <c r="AG153" s="50"/>
      <c r="AH153" s="50"/>
      <c r="AI153" s="50"/>
    </row>
    <row r="154" spans="1:35" ht="13.5" thickBot="1" x14ac:dyDescent="0.25">
      <c r="C154" s="186"/>
      <c r="D154" s="186"/>
      <c r="E154" s="186"/>
      <c r="F154" s="186" t="s">
        <v>269</v>
      </c>
      <c r="G154" s="186"/>
      <c r="W154" s="244">
        <f>W150-W152</f>
        <v>350</v>
      </c>
      <c r="X154" s="338">
        <f>W154*100/W128</f>
        <v>3.5558264756679874</v>
      </c>
      <c r="Y154" s="244">
        <f>Y150-Y152</f>
        <v>466.9210000000005</v>
      </c>
      <c r="Z154" s="227">
        <f>Y154*100/Y128</f>
        <v>3.9530715567747001</v>
      </c>
      <c r="AA154" s="56">
        <f>AA150-AA152</f>
        <v>486.17365440000049</v>
      </c>
      <c r="AB154" s="56">
        <f t="shared" ref="AB154:AI154" si="20">AB150-AB152</f>
        <v>606.16887996000071</v>
      </c>
      <c r="AC154" s="56">
        <f t="shared" si="20"/>
        <v>747.44376596400116</v>
      </c>
      <c r="AD154" s="56">
        <f t="shared" si="20"/>
        <v>913.68231797010162</v>
      </c>
      <c r="AE154" s="56">
        <f t="shared" si="20"/>
        <v>1109.1949508438408</v>
      </c>
      <c r="AF154" s="56">
        <f t="shared" si="20"/>
        <v>1507.0235214253744</v>
      </c>
      <c r="AG154" s="56">
        <f t="shared" si="20"/>
        <v>1777.0637767873839</v>
      </c>
      <c r="AH154" s="56">
        <f t="shared" si="20"/>
        <v>2094.2080795259249</v>
      </c>
      <c r="AI154" s="56">
        <f t="shared" si="20"/>
        <v>2466.511738108311</v>
      </c>
    </row>
    <row r="155" spans="1:35" x14ac:dyDescent="0.2">
      <c r="AA155" s="48">
        <f t="shared" ref="AA155:AI155" si="21">AA154*100/AA128</f>
        <v>3.579190791072008</v>
      </c>
      <c r="AB155" s="48">
        <f t="shared" si="21"/>
        <v>3.8805137313669653</v>
      </c>
      <c r="AC155" s="48">
        <f t="shared" si="21"/>
        <v>4.1607945490147555</v>
      </c>
      <c r="AD155" s="48">
        <f t="shared" si="21"/>
        <v>4.4227778687084855</v>
      </c>
      <c r="AE155" s="48">
        <f t="shared" si="21"/>
        <v>4.6688503206160714</v>
      </c>
      <c r="AF155" s="48">
        <f t="shared" si="21"/>
        <v>5.5160000000000018</v>
      </c>
      <c r="AG155" s="48">
        <f t="shared" si="21"/>
        <v>5.6560000000000032</v>
      </c>
      <c r="AH155" s="48">
        <f t="shared" si="21"/>
        <v>5.7960000000000056</v>
      </c>
      <c r="AI155" s="48">
        <f t="shared" si="21"/>
        <v>5.9360000000000035</v>
      </c>
    </row>
    <row r="156" spans="1:35" ht="16.5" thickBot="1" x14ac:dyDescent="0.3">
      <c r="B156" s="192" t="s">
        <v>404</v>
      </c>
      <c r="C156" s="216"/>
      <c r="D156" s="216"/>
      <c r="E156" s="217"/>
      <c r="F156" s="368" t="s">
        <v>445</v>
      </c>
      <c r="G156" s="367"/>
      <c r="AA156" s="48"/>
      <c r="AB156" s="48"/>
      <c r="AC156" s="48"/>
      <c r="AD156" s="48"/>
      <c r="AE156" s="48"/>
      <c r="AF156" s="48"/>
      <c r="AG156" s="48"/>
      <c r="AH156" s="48"/>
      <c r="AI156" s="48"/>
    </row>
    <row r="157" spans="1:35" ht="16.5" thickBot="1" x14ac:dyDescent="0.3">
      <c r="B157" s="188">
        <v>2008</v>
      </c>
      <c r="C157" s="355">
        <v>2009</v>
      </c>
      <c r="D157" s="355">
        <v>2010</v>
      </c>
      <c r="E157" s="355">
        <v>2011</v>
      </c>
      <c r="F157" s="356" t="s">
        <v>499</v>
      </c>
      <c r="G157" s="212"/>
      <c r="W157" s="183" t="s">
        <v>391</v>
      </c>
      <c r="Y157" s="42">
        <f>Y154</f>
        <v>466.9210000000005</v>
      </c>
      <c r="AA157" s="42">
        <f>Y157+AA154</f>
        <v>953.09465440000099</v>
      </c>
      <c r="AB157" s="42">
        <f>AA157+AB154</f>
        <v>1559.2635343600018</v>
      </c>
      <c r="AC157" s="42">
        <f t="shared" ref="AC157:AI157" si="22">AB157+AC154</f>
        <v>2306.707300324003</v>
      </c>
      <c r="AD157" s="351">
        <f t="shared" si="22"/>
        <v>3220.3896182941044</v>
      </c>
      <c r="AE157" s="351">
        <f t="shared" si="22"/>
        <v>4329.5845691379454</v>
      </c>
      <c r="AF157" s="42">
        <f t="shared" si="22"/>
        <v>5836.6080905633198</v>
      </c>
      <c r="AG157" s="42">
        <f t="shared" si="22"/>
        <v>7613.6718673507039</v>
      </c>
      <c r="AH157" s="42">
        <f t="shared" si="22"/>
        <v>9707.8799468766283</v>
      </c>
      <c r="AI157" s="42">
        <f t="shared" si="22"/>
        <v>12174.391684984939</v>
      </c>
    </row>
    <row r="158" spans="1:35" x14ac:dyDescent="0.2">
      <c r="B158" s="89"/>
      <c r="C158" s="70"/>
      <c r="D158" s="70"/>
      <c r="E158" s="70"/>
      <c r="F158" s="70"/>
      <c r="G158" s="6"/>
      <c r="W158" s="183" t="s">
        <v>392</v>
      </c>
      <c r="Y158" s="350">
        <v>1</v>
      </c>
      <c r="Z158" s="350"/>
      <c r="AA158" s="350">
        <v>2</v>
      </c>
      <c r="AB158" s="350">
        <v>3</v>
      </c>
      <c r="AC158" s="350">
        <v>4</v>
      </c>
      <c r="AD158" s="350">
        <v>5</v>
      </c>
      <c r="AE158" s="350">
        <v>6</v>
      </c>
      <c r="AF158" s="350">
        <v>7</v>
      </c>
      <c r="AG158" s="350">
        <v>8</v>
      </c>
      <c r="AH158" s="350">
        <v>9</v>
      </c>
      <c r="AI158" s="350">
        <v>10</v>
      </c>
    </row>
    <row r="160" spans="1:35" x14ac:dyDescent="0.2">
      <c r="B160" s="50"/>
      <c r="C160" s="50"/>
      <c r="D160" s="50"/>
      <c r="E160" s="50"/>
    </row>
    <row r="161" spans="1:35" x14ac:dyDescent="0.2">
      <c r="A161" t="s">
        <v>252</v>
      </c>
      <c r="B161" s="50">
        <v>7624</v>
      </c>
      <c r="C161" s="50">
        <v>7730</v>
      </c>
      <c r="D161" s="50">
        <v>9842</v>
      </c>
      <c r="E161" s="50">
        <v>13100</v>
      </c>
      <c r="F161" s="50">
        <v>14350</v>
      </c>
      <c r="G161" s="50"/>
      <c r="W161" s="183" t="s">
        <v>393</v>
      </c>
      <c r="Y161" s="42">
        <f>Y106</f>
        <v>323.61000000000081</v>
      </c>
      <c r="AA161" s="42">
        <f>AA106</f>
        <v>351.66167714999983</v>
      </c>
      <c r="AB161" s="42">
        <f t="shared" ref="AB161:AI161" si="23">AB106</f>
        <v>390.17871417000038</v>
      </c>
      <c r="AC161" s="42">
        <f t="shared" si="23"/>
        <v>431.2483006991248</v>
      </c>
      <c r="AD161" s="42">
        <f t="shared" si="23"/>
        <v>475.02939909573865</v>
      </c>
      <c r="AE161" s="42">
        <f t="shared" si="23"/>
        <v>521.69048658026372</v>
      </c>
      <c r="AF161" s="42">
        <f t="shared" si="23"/>
        <v>739.4101093155025</v>
      </c>
      <c r="AG161" s="42">
        <f t="shared" si="23"/>
        <v>792.37746810781528</v>
      </c>
      <c r="AH161" s="42">
        <f t="shared" si="23"/>
        <v>848.79303750607141</v>
      </c>
      <c r="AI161" s="42">
        <f t="shared" si="23"/>
        <v>908.86922017387997</v>
      </c>
    </row>
    <row r="162" spans="1:35" x14ac:dyDescent="0.2">
      <c r="B162" s="50"/>
      <c r="C162" s="50"/>
      <c r="D162" s="50"/>
      <c r="E162" s="50"/>
    </row>
    <row r="163" spans="1:35" x14ac:dyDescent="0.2">
      <c r="A163" s="1" t="s">
        <v>266</v>
      </c>
      <c r="B163" s="187">
        <f>B161</f>
        <v>7624</v>
      </c>
      <c r="C163" s="187">
        <f>C161</f>
        <v>7730</v>
      </c>
      <c r="D163" s="187">
        <f>D161</f>
        <v>9842</v>
      </c>
      <c r="E163" s="187">
        <f>E161</f>
        <v>13100</v>
      </c>
      <c r="F163" s="187">
        <f>F161</f>
        <v>14350</v>
      </c>
      <c r="G163" s="123"/>
      <c r="W163" s="183" t="s">
        <v>394</v>
      </c>
      <c r="Y163" s="42">
        <f>Y154</f>
        <v>466.9210000000005</v>
      </c>
      <c r="AA163" s="42">
        <f>AA154</f>
        <v>486.17365440000049</v>
      </c>
      <c r="AB163" s="42">
        <f t="shared" ref="AB163:AI163" si="24">AB154</f>
        <v>606.16887996000071</v>
      </c>
      <c r="AC163" s="42">
        <f t="shared" si="24"/>
        <v>747.44376596400116</v>
      </c>
      <c r="AD163" s="42">
        <f t="shared" si="24"/>
        <v>913.68231797010162</v>
      </c>
      <c r="AE163" s="42">
        <f t="shared" si="24"/>
        <v>1109.1949508438408</v>
      </c>
      <c r="AF163" s="42">
        <f t="shared" si="24"/>
        <v>1507.0235214253744</v>
      </c>
      <c r="AG163" s="42">
        <f t="shared" si="24"/>
        <v>1777.0637767873839</v>
      </c>
      <c r="AH163" s="42">
        <f t="shared" si="24"/>
        <v>2094.2080795259249</v>
      </c>
      <c r="AI163" s="42">
        <f t="shared" si="24"/>
        <v>2466.511738108311</v>
      </c>
    </row>
    <row r="164" spans="1:35" x14ac:dyDescent="0.2">
      <c r="B164" s="50"/>
      <c r="C164" s="50"/>
      <c r="D164" s="50"/>
      <c r="E164" s="50"/>
    </row>
    <row r="165" spans="1:35" x14ac:dyDescent="0.2">
      <c r="B165" s="48"/>
      <c r="C165" s="48"/>
      <c r="D165" s="48"/>
      <c r="E165" s="48"/>
    </row>
    <row r="166" spans="1:35" x14ac:dyDescent="0.2">
      <c r="A166" t="s">
        <v>254</v>
      </c>
      <c r="B166" s="50">
        <v>-244</v>
      </c>
      <c r="C166" s="50">
        <v>-384</v>
      </c>
      <c r="D166" s="50">
        <v>-1217</v>
      </c>
      <c r="E166" s="50">
        <v>-432</v>
      </c>
      <c r="F166" s="50">
        <v>0</v>
      </c>
      <c r="G166" s="50"/>
    </row>
    <row r="167" spans="1:35" x14ac:dyDescent="0.2">
      <c r="A167" s="183" t="s">
        <v>258</v>
      </c>
      <c r="B167" s="50">
        <v>6757</v>
      </c>
      <c r="C167" s="50">
        <v>6869</v>
      </c>
      <c r="D167" s="50">
        <v>9373</v>
      </c>
      <c r="E167" s="50">
        <v>11286</v>
      </c>
      <c r="F167" s="50">
        <v>11870</v>
      </c>
      <c r="G167" s="50"/>
    </row>
    <row r="168" spans="1:35" x14ac:dyDescent="0.2">
      <c r="A168" s="191"/>
      <c r="B168" s="50"/>
      <c r="C168" s="50"/>
      <c r="D168" s="50"/>
      <c r="E168" s="50"/>
    </row>
    <row r="169" spans="1:35" x14ac:dyDescent="0.2">
      <c r="A169" s="1" t="s">
        <v>406</v>
      </c>
      <c r="B169" s="187">
        <f>B166+B167</f>
        <v>6513</v>
      </c>
      <c r="C169" s="187">
        <f>C166+C167</f>
        <v>6485</v>
      </c>
      <c r="D169" s="187">
        <f>D166+D167</f>
        <v>8156</v>
      </c>
      <c r="E169" s="187">
        <f>E166+E167</f>
        <v>10854</v>
      </c>
      <c r="F169" s="187">
        <f>F166+F167</f>
        <v>11870</v>
      </c>
      <c r="G169" s="123"/>
    </row>
    <row r="170" spans="1:35" x14ac:dyDescent="0.2">
      <c r="A170" s="1"/>
      <c r="B170" s="123"/>
      <c r="C170" s="123"/>
      <c r="D170" s="123"/>
      <c r="E170" s="123"/>
      <c r="F170" s="123"/>
      <c r="G170" s="123"/>
    </row>
    <row r="171" spans="1:35" x14ac:dyDescent="0.2">
      <c r="A171" s="191" t="s">
        <v>407</v>
      </c>
      <c r="B171" s="174">
        <f>B173*100/B161</f>
        <v>14.572402938090242</v>
      </c>
      <c r="C171" s="174">
        <f>C173*100/C161</f>
        <v>16.106080206985769</v>
      </c>
      <c r="D171" s="174">
        <f>D173*100/D161</f>
        <v>17.130664499085551</v>
      </c>
      <c r="E171" s="174">
        <f>E173*100/E161</f>
        <v>17.145038167938932</v>
      </c>
      <c r="F171" s="174">
        <f>F173*100/F161</f>
        <v>17.282229965156795</v>
      </c>
      <c r="G171" s="174"/>
    </row>
    <row r="172" spans="1:35" x14ac:dyDescent="0.2">
      <c r="A172" s="1"/>
      <c r="B172" s="50"/>
      <c r="C172" s="50"/>
      <c r="D172" s="50"/>
      <c r="E172" s="50"/>
    </row>
    <row r="173" spans="1:35" ht="15.75" x14ac:dyDescent="0.25">
      <c r="A173" s="184" t="s">
        <v>405</v>
      </c>
      <c r="B173" s="187">
        <f>B163-B169</f>
        <v>1111</v>
      </c>
      <c r="C173" s="187">
        <f>C163-C169</f>
        <v>1245</v>
      </c>
      <c r="D173" s="187">
        <f>D163-D169</f>
        <v>1686</v>
      </c>
      <c r="E173" s="187">
        <f>E163-E169</f>
        <v>2246</v>
      </c>
      <c r="F173" s="187">
        <f>F163-F169</f>
        <v>2480</v>
      </c>
      <c r="G173" s="123"/>
    </row>
    <row r="174" spans="1:35" x14ac:dyDescent="0.2">
      <c r="A174" s="183"/>
      <c r="B174" s="50"/>
      <c r="C174" s="50"/>
      <c r="D174" s="50"/>
      <c r="E174" s="50"/>
    </row>
    <row r="175" spans="1:35" x14ac:dyDescent="0.2">
      <c r="A175" s="183" t="s">
        <v>259</v>
      </c>
      <c r="B175" s="50">
        <v>32</v>
      </c>
      <c r="C175" s="50">
        <v>39</v>
      </c>
      <c r="D175" s="50">
        <v>55</v>
      </c>
      <c r="E175" s="50">
        <v>82</v>
      </c>
      <c r="F175" s="50">
        <v>86</v>
      </c>
      <c r="G175" s="50"/>
    </row>
    <row r="176" spans="1:35" x14ac:dyDescent="0.2">
      <c r="A176" s="183" t="s">
        <v>260</v>
      </c>
      <c r="B176" s="50">
        <v>331</v>
      </c>
      <c r="C176" s="50">
        <v>414</v>
      </c>
      <c r="D176" s="50">
        <v>485</v>
      </c>
      <c r="E176" s="50">
        <v>575</v>
      </c>
      <c r="F176" s="50">
        <v>620</v>
      </c>
      <c r="G176" s="50"/>
    </row>
    <row r="177" spans="1:8" x14ac:dyDescent="0.2">
      <c r="A177" s="183" t="s">
        <v>268</v>
      </c>
      <c r="B177" s="50">
        <v>90</v>
      </c>
      <c r="C177" s="50">
        <v>106</v>
      </c>
      <c r="D177" s="50">
        <v>262</v>
      </c>
      <c r="E177" s="50">
        <v>302</v>
      </c>
      <c r="F177" s="50">
        <v>310</v>
      </c>
      <c r="G177" s="50"/>
      <c r="H177" s="183"/>
    </row>
    <row r="178" spans="1:8" x14ac:dyDescent="0.2">
      <c r="A178" s="183" t="s">
        <v>261</v>
      </c>
      <c r="B178" s="50">
        <v>288</v>
      </c>
      <c r="C178" s="190">
        <v>265</v>
      </c>
      <c r="D178" s="190">
        <v>299</v>
      </c>
      <c r="E178" s="190">
        <v>429</v>
      </c>
      <c r="F178" s="30">
        <v>460</v>
      </c>
      <c r="G178" s="30"/>
      <c r="H178" s="183"/>
    </row>
    <row r="179" spans="1:8" x14ac:dyDescent="0.2">
      <c r="B179" s="50"/>
      <c r="C179" s="50"/>
      <c r="D179" s="50"/>
      <c r="E179" s="50"/>
    </row>
    <row r="180" spans="1:8" x14ac:dyDescent="0.2">
      <c r="A180" s="1" t="s">
        <v>267</v>
      </c>
      <c r="B180" s="187">
        <f>SUM(B175:B178)</f>
        <v>741</v>
      </c>
      <c r="C180" s="187">
        <f>SUM(C175:C178)</f>
        <v>824</v>
      </c>
      <c r="D180" s="187">
        <f>SUM(D175:D178)</f>
        <v>1101</v>
      </c>
      <c r="E180" s="187">
        <f>SUM(E175:E178)</f>
        <v>1388</v>
      </c>
      <c r="F180" s="187">
        <f>SUM(F175:F178)</f>
        <v>1476</v>
      </c>
      <c r="G180" s="123"/>
    </row>
    <row r="181" spans="1:8" x14ac:dyDescent="0.2">
      <c r="B181" s="50"/>
      <c r="C181" s="50"/>
      <c r="D181" s="50"/>
      <c r="E181" s="50"/>
    </row>
    <row r="182" spans="1:8" x14ac:dyDescent="0.2">
      <c r="B182" s="50"/>
      <c r="C182" s="50"/>
      <c r="D182" s="50"/>
      <c r="E182" s="50"/>
    </row>
    <row r="183" spans="1:8" ht="15.75" x14ac:dyDescent="0.25">
      <c r="A183" s="184" t="s">
        <v>255</v>
      </c>
      <c r="B183" s="187">
        <f>B173-B180</f>
        <v>370</v>
      </c>
      <c r="C183" s="187">
        <f>C173-C180</f>
        <v>421</v>
      </c>
      <c r="D183" s="187">
        <f>D173-D180</f>
        <v>585</v>
      </c>
      <c r="E183" s="187">
        <f>E173-E180</f>
        <v>858</v>
      </c>
      <c r="F183" s="187">
        <f>F173-F180</f>
        <v>1004</v>
      </c>
      <c r="G183" s="123"/>
    </row>
    <row r="184" spans="1:8" x14ac:dyDescent="0.2">
      <c r="B184" s="50"/>
      <c r="C184" s="50"/>
      <c r="D184" s="50"/>
      <c r="E184" s="50"/>
    </row>
    <row r="185" spans="1:8" x14ac:dyDescent="0.2">
      <c r="A185" s="183" t="s">
        <v>262</v>
      </c>
      <c r="B185" s="50">
        <v>142</v>
      </c>
      <c r="C185" s="50">
        <v>126</v>
      </c>
      <c r="D185" s="50">
        <v>206</v>
      </c>
      <c r="E185" s="50">
        <v>378</v>
      </c>
      <c r="F185" s="50">
        <v>410</v>
      </c>
      <c r="G185" s="50"/>
      <c r="H185" s="183"/>
    </row>
    <row r="186" spans="1:8" x14ac:dyDescent="0.2">
      <c r="A186" s="183" t="s">
        <v>263</v>
      </c>
      <c r="B186" s="50">
        <v>6</v>
      </c>
      <c r="C186" s="50">
        <v>5</v>
      </c>
      <c r="D186" s="50">
        <v>22</v>
      </c>
      <c r="E186" s="50">
        <v>41</v>
      </c>
      <c r="F186" s="50">
        <v>30</v>
      </c>
      <c r="G186" s="50"/>
    </row>
    <row r="187" spans="1:8" x14ac:dyDescent="0.2">
      <c r="A187" s="183" t="s">
        <v>264</v>
      </c>
      <c r="B187" s="50"/>
      <c r="C187" s="50"/>
      <c r="D187" s="50">
        <v>1</v>
      </c>
      <c r="E187" s="50"/>
    </row>
    <row r="188" spans="1:8" x14ac:dyDescent="0.2">
      <c r="B188" s="50"/>
      <c r="C188" s="50"/>
      <c r="D188" s="50"/>
      <c r="E188" s="50"/>
    </row>
    <row r="189" spans="1:8" x14ac:dyDescent="0.2">
      <c r="B189" s="50"/>
      <c r="C189" s="50"/>
      <c r="D189" s="50"/>
      <c r="E189" s="50"/>
    </row>
    <row r="190" spans="1:8" ht="15.75" x14ac:dyDescent="0.25">
      <c r="A190" s="184" t="s">
        <v>256</v>
      </c>
      <c r="B190" s="187">
        <f>B183-B185+B186-B187</f>
        <v>234</v>
      </c>
      <c r="C190" s="187">
        <f>C183-C185+C186-C187</f>
        <v>300</v>
      </c>
      <c r="D190" s="187">
        <f>D183-D185+D186-D187</f>
        <v>400</v>
      </c>
      <c r="E190" s="187">
        <f>E183-E185+E186-E187</f>
        <v>521</v>
      </c>
      <c r="F190" s="187">
        <f>F183-F185+F186-F187</f>
        <v>624</v>
      </c>
      <c r="G190" s="123"/>
    </row>
    <row r="191" spans="1:8" x14ac:dyDescent="0.2">
      <c r="B191" s="50"/>
      <c r="C191" s="50"/>
      <c r="D191" s="50"/>
      <c r="E191" s="50"/>
    </row>
    <row r="192" spans="1:8" x14ac:dyDescent="0.2">
      <c r="A192" s="183" t="s">
        <v>265</v>
      </c>
      <c r="B192" s="50">
        <v>70</v>
      </c>
      <c r="C192" s="50">
        <v>97</v>
      </c>
      <c r="D192" s="50">
        <v>123</v>
      </c>
      <c r="E192" s="50">
        <v>156</v>
      </c>
      <c r="F192" s="42">
        <f>F190*0.3</f>
        <v>187.2</v>
      </c>
      <c r="G192" s="42"/>
    </row>
    <row r="193" spans="1:8" x14ac:dyDescent="0.2">
      <c r="B193" s="50"/>
      <c r="C193" s="50"/>
      <c r="D193" s="50"/>
      <c r="E193" s="50"/>
    </row>
    <row r="194" spans="1:8" ht="15.75" x14ac:dyDescent="0.25">
      <c r="A194" s="184" t="s">
        <v>257</v>
      </c>
      <c r="B194" s="187">
        <f>B190-B192</f>
        <v>164</v>
      </c>
      <c r="C194" s="187">
        <f>C190-C192</f>
        <v>203</v>
      </c>
      <c r="D194" s="187">
        <f>D190-D192</f>
        <v>277</v>
      </c>
      <c r="E194" s="187">
        <f>E190-E192</f>
        <v>365</v>
      </c>
      <c r="F194" s="187">
        <f>F190-F192</f>
        <v>436.8</v>
      </c>
      <c r="G194" s="123"/>
    </row>
    <row r="195" spans="1:8" ht="15.75" x14ac:dyDescent="0.25">
      <c r="A195" s="184"/>
      <c r="B195" s="123"/>
      <c r="C195" s="123"/>
      <c r="D195" s="123"/>
      <c r="E195" s="123"/>
    </row>
    <row r="196" spans="1:8" ht="15.75" x14ac:dyDescent="0.25">
      <c r="A196" s="184"/>
      <c r="B196" s="123"/>
      <c r="C196" s="123"/>
      <c r="D196" s="123"/>
      <c r="E196" s="123"/>
    </row>
    <row r="207" spans="1:8" x14ac:dyDescent="0.2">
      <c r="E207" s="52"/>
      <c r="F207" s="186"/>
      <c r="G207" s="186"/>
      <c r="H207" s="479" t="s">
        <v>756</v>
      </c>
    </row>
    <row r="210" spans="1:8" ht="18" x14ac:dyDescent="0.25">
      <c r="A210" s="208" t="s">
        <v>761</v>
      </c>
    </row>
    <row r="211" spans="1:8" ht="18" x14ac:dyDescent="0.25">
      <c r="A211" s="208" t="s">
        <v>762</v>
      </c>
    </row>
    <row r="212" spans="1:8" ht="18" x14ac:dyDescent="0.25">
      <c r="A212" s="185"/>
    </row>
    <row r="214" spans="1:8" x14ac:dyDescent="0.2">
      <c r="C214" s="186"/>
      <c r="D214" s="186"/>
      <c r="E214" s="186"/>
      <c r="F214" s="186"/>
      <c r="G214" s="186"/>
      <c r="H214" s="186" t="s">
        <v>269</v>
      </c>
    </row>
    <row r="216" spans="1:8" ht="15.75" x14ac:dyDescent="0.25">
      <c r="B216" s="192" t="s">
        <v>763</v>
      </c>
      <c r="C216" s="216"/>
      <c r="D216" s="216"/>
      <c r="E216" s="216"/>
      <c r="F216" s="493"/>
      <c r="G216" s="368"/>
      <c r="H216" s="368" t="s">
        <v>372</v>
      </c>
    </row>
    <row r="217" spans="1:8" ht="15.75" x14ac:dyDescent="0.25">
      <c r="B217" s="188">
        <v>2008</v>
      </c>
      <c r="C217" s="256">
        <v>2009</v>
      </c>
      <c r="D217" s="256">
        <v>2010</v>
      </c>
      <c r="E217" s="355">
        <v>2011</v>
      </c>
      <c r="F217" s="356">
        <v>2012</v>
      </c>
      <c r="G217" s="356"/>
      <c r="H217" s="356">
        <v>2013</v>
      </c>
    </row>
    <row r="218" spans="1:8" x14ac:dyDescent="0.2">
      <c r="B218" s="89"/>
      <c r="C218" s="70"/>
      <c r="D218" s="70"/>
      <c r="E218" s="70"/>
      <c r="F218" s="70"/>
      <c r="G218" s="70"/>
      <c r="H218" s="70"/>
    </row>
    <row r="220" spans="1:8" x14ac:dyDescent="0.2">
      <c r="B220" s="50"/>
      <c r="C220" s="50"/>
      <c r="D220" s="50"/>
      <c r="E220" s="50"/>
    </row>
    <row r="221" spans="1:8" x14ac:dyDescent="0.2">
      <c r="A221" t="s">
        <v>252</v>
      </c>
      <c r="B221" s="50">
        <v>7624</v>
      </c>
      <c r="C221" s="50">
        <v>7730</v>
      </c>
      <c r="D221" s="50">
        <v>9842</v>
      </c>
      <c r="E221" s="50">
        <v>13100</v>
      </c>
      <c r="F221" s="50">
        <v>15113</v>
      </c>
      <c r="G221" s="50"/>
      <c r="H221" s="50">
        <v>17000</v>
      </c>
    </row>
    <row r="222" spans="1:8" x14ac:dyDescent="0.2">
      <c r="B222" s="50"/>
      <c r="C222" s="50"/>
      <c r="D222" s="50"/>
      <c r="E222" s="50"/>
    </row>
    <row r="223" spans="1:8" x14ac:dyDescent="0.2">
      <c r="A223" s="1" t="s">
        <v>266</v>
      </c>
      <c r="B223" s="187">
        <f t="shared" ref="B223:H223" si="25">B221</f>
        <v>7624</v>
      </c>
      <c r="C223" s="187">
        <f t="shared" si="25"/>
        <v>7730</v>
      </c>
      <c r="D223" s="187">
        <f t="shared" si="25"/>
        <v>9842</v>
      </c>
      <c r="E223" s="187">
        <f t="shared" si="25"/>
        <v>13100</v>
      </c>
      <c r="F223" s="187">
        <f t="shared" si="25"/>
        <v>15113</v>
      </c>
      <c r="G223" s="187"/>
      <c r="H223" s="187">
        <f t="shared" si="25"/>
        <v>17000</v>
      </c>
    </row>
    <row r="224" spans="1:8" x14ac:dyDescent="0.2">
      <c r="B224" s="50"/>
      <c r="C224" s="50"/>
      <c r="D224" s="50"/>
      <c r="E224" s="50"/>
    </row>
    <row r="225" spans="1:9" x14ac:dyDescent="0.2">
      <c r="B225" s="48"/>
      <c r="C225" s="48"/>
      <c r="D225" s="48"/>
      <c r="E225" s="48"/>
    </row>
    <row r="226" spans="1:9" x14ac:dyDescent="0.2">
      <c r="A226" t="s">
        <v>254</v>
      </c>
      <c r="B226" s="50">
        <v>-244</v>
      </c>
      <c r="C226" s="50">
        <v>-384</v>
      </c>
      <c r="D226" s="50">
        <v>-1217</v>
      </c>
      <c r="E226" s="50">
        <v>-432</v>
      </c>
      <c r="F226" s="50">
        <v>0</v>
      </c>
      <c r="G226" s="50"/>
      <c r="H226" s="50">
        <v>0</v>
      </c>
    </row>
    <row r="227" spans="1:9" x14ac:dyDescent="0.2">
      <c r="A227" s="183" t="s">
        <v>258</v>
      </c>
      <c r="B227" s="50">
        <v>6757</v>
      </c>
      <c r="C227" s="50">
        <v>6869</v>
      </c>
      <c r="D227" s="50">
        <v>9373</v>
      </c>
      <c r="E227" s="50">
        <v>11286</v>
      </c>
      <c r="F227" s="50">
        <f>13771.052-1148.039</f>
        <v>12623.012999999999</v>
      </c>
      <c r="G227" s="50"/>
      <c r="H227" s="50">
        <v>14110</v>
      </c>
    </row>
    <row r="228" spans="1:9" x14ac:dyDescent="0.2">
      <c r="A228" s="191"/>
      <c r="B228" s="50"/>
      <c r="C228" s="50"/>
      <c r="D228" s="50"/>
      <c r="E228" s="50"/>
    </row>
    <row r="229" spans="1:9" x14ac:dyDescent="0.2">
      <c r="A229" s="1" t="s">
        <v>406</v>
      </c>
      <c r="B229" s="187">
        <f t="shared" ref="B229:H229" si="26">B226+B227</f>
        <v>6513</v>
      </c>
      <c r="C229" s="187">
        <f t="shared" si="26"/>
        <v>6485</v>
      </c>
      <c r="D229" s="187">
        <f t="shared" si="26"/>
        <v>8156</v>
      </c>
      <c r="E229" s="187">
        <f t="shared" si="26"/>
        <v>10854</v>
      </c>
      <c r="F229" s="187">
        <f t="shared" si="26"/>
        <v>12623.012999999999</v>
      </c>
      <c r="G229" s="187"/>
      <c r="H229" s="187">
        <f t="shared" si="26"/>
        <v>14110</v>
      </c>
    </row>
    <row r="230" spans="1:9" x14ac:dyDescent="0.2">
      <c r="A230" s="1"/>
      <c r="B230" s="123"/>
      <c r="C230" s="123"/>
      <c r="D230" s="123"/>
      <c r="E230" s="123"/>
      <c r="F230" s="123"/>
      <c r="G230" s="123"/>
      <c r="H230" s="123"/>
    </row>
    <row r="231" spans="1:9" x14ac:dyDescent="0.2">
      <c r="A231" s="191" t="s">
        <v>407</v>
      </c>
      <c r="B231" s="174">
        <f t="shared" ref="B231:H231" si="27">B233*100/B221</f>
        <v>14.572402938090242</v>
      </c>
      <c r="C231" s="174">
        <f t="shared" si="27"/>
        <v>16.106080206985769</v>
      </c>
      <c r="D231" s="174">
        <f t="shared" si="27"/>
        <v>17.130664499085551</v>
      </c>
      <c r="E231" s="174">
        <f t="shared" si="27"/>
        <v>17.145038167938932</v>
      </c>
      <c r="F231" s="174">
        <f t="shared" si="27"/>
        <v>16.475795672599755</v>
      </c>
      <c r="G231" s="174"/>
      <c r="H231" s="174">
        <f t="shared" si="27"/>
        <v>17</v>
      </c>
    </row>
    <row r="232" spans="1:9" x14ac:dyDescent="0.2">
      <c r="A232" s="1"/>
      <c r="B232" s="50"/>
      <c r="C232" s="50"/>
      <c r="D232" s="50"/>
      <c r="E232" s="50"/>
    </row>
    <row r="233" spans="1:9" ht="15.75" x14ac:dyDescent="0.25">
      <c r="A233" s="184" t="s">
        <v>405</v>
      </c>
      <c r="B233" s="187">
        <f t="shared" ref="B233:H233" si="28">B223-B229</f>
        <v>1111</v>
      </c>
      <c r="C233" s="187">
        <f t="shared" si="28"/>
        <v>1245</v>
      </c>
      <c r="D233" s="187">
        <f t="shared" si="28"/>
        <v>1686</v>
      </c>
      <c r="E233" s="187">
        <f t="shared" si="28"/>
        <v>2246</v>
      </c>
      <c r="F233" s="187">
        <f t="shared" si="28"/>
        <v>2489.987000000001</v>
      </c>
      <c r="G233" s="187"/>
      <c r="H233" s="187">
        <f t="shared" si="28"/>
        <v>2890</v>
      </c>
    </row>
    <row r="234" spans="1:9" x14ac:dyDescent="0.2">
      <c r="A234" s="183"/>
      <c r="B234" s="50"/>
      <c r="C234" s="50"/>
      <c r="D234" s="50"/>
      <c r="E234" s="50"/>
    </row>
    <row r="235" spans="1:9" x14ac:dyDescent="0.2">
      <c r="A235" s="183" t="s">
        <v>259</v>
      </c>
      <c r="B235" s="50">
        <v>32</v>
      </c>
      <c r="C235" s="50">
        <v>39</v>
      </c>
      <c r="D235" s="50">
        <v>55</v>
      </c>
      <c r="E235" s="50">
        <v>82</v>
      </c>
      <c r="F235" s="50">
        <v>104</v>
      </c>
      <c r="G235" s="50"/>
      <c r="H235" s="50">
        <v>110</v>
      </c>
    </row>
    <row r="236" spans="1:9" x14ac:dyDescent="0.2">
      <c r="A236" s="183" t="s">
        <v>260</v>
      </c>
      <c r="B236" s="50">
        <v>331</v>
      </c>
      <c r="C236" s="50">
        <v>414</v>
      </c>
      <c r="D236" s="50">
        <v>485</v>
      </c>
      <c r="E236" s="50">
        <v>575</v>
      </c>
      <c r="F236" s="50">
        <v>689</v>
      </c>
      <c r="G236" s="50"/>
      <c r="H236" s="50">
        <v>720</v>
      </c>
    </row>
    <row r="237" spans="1:9" x14ac:dyDescent="0.2">
      <c r="A237" s="183" t="s">
        <v>268</v>
      </c>
      <c r="B237" s="50">
        <v>90</v>
      </c>
      <c r="C237" s="50">
        <v>106</v>
      </c>
      <c r="D237" s="50">
        <v>262</v>
      </c>
      <c r="E237" s="50">
        <v>302</v>
      </c>
      <c r="F237" s="50">
        <v>320</v>
      </c>
      <c r="G237" s="50"/>
      <c r="H237" s="50">
        <v>300</v>
      </c>
    </row>
    <row r="238" spans="1:9" x14ac:dyDescent="0.2">
      <c r="A238" s="183" t="s">
        <v>261</v>
      </c>
      <c r="B238" s="50">
        <v>288</v>
      </c>
      <c r="C238" s="190">
        <v>265</v>
      </c>
      <c r="D238" s="190">
        <v>299</v>
      </c>
      <c r="E238" s="190">
        <v>429</v>
      </c>
      <c r="F238" s="30">
        <v>627</v>
      </c>
      <c r="G238" s="30" t="s">
        <v>302</v>
      </c>
      <c r="H238" s="30">
        <v>650</v>
      </c>
      <c r="I238" s="30" t="s">
        <v>302</v>
      </c>
    </row>
    <row r="239" spans="1:9" x14ac:dyDescent="0.2">
      <c r="B239" s="50"/>
      <c r="C239" s="50"/>
      <c r="D239" s="50"/>
      <c r="E239" s="50"/>
    </row>
    <row r="240" spans="1:9" x14ac:dyDescent="0.2">
      <c r="A240" s="1" t="s">
        <v>267</v>
      </c>
      <c r="B240" s="187">
        <f t="shared" ref="B240:H240" si="29">SUM(B235:B238)</f>
        <v>741</v>
      </c>
      <c r="C240" s="187">
        <f t="shared" si="29"/>
        <v>824</v>
      </c>
      <c r="D240" s="187">
        <f t="shared" si="29"/>
        <v>1101</v>
      </c>
      <c r="E240" s="187">
        <f t="shared" si="29"/>
        <v>1388</v>
      </c>
      <c r="F240" s="187">
        <f t="shared" si="29"/>
        <v>1740</v>
      </c>
      <c r="G240" s="187"/>
      <c r="H240" s="187">
        <f t="shared" si="29"/>
        <v>1780</v>
      </c>
    </row>
    <row r="241" spans="1:9" x14ac:dyDescent="0.2">
      <c r="B241" s="50"/>
      <c r="C241" s="50"/>
      <c r="D241" s="50"/>
      <c r="E241" s="50"/>
    </row>
    <row r="242" spans="1:9" x14ac:dyDescent="0.2">
      <c r="B242" s="50"/>
      <c r="C242" s="50"/>
      <c r="D242" s="50"/>
      <c r="E242" s="50"/>
    </row>
    <row r="243" spans="1:9" ht="15.75" x14ac:dyDescent="0.25">
      <c r="A243" s="184" t="s">
        <v>255</v>
      </c>
      <c r="B243" s="187">
        <f t="shared" ref="B243:H243" si="30">B233-B240</f>
        <v>370</v>
      </c>
      <c r="C243" s="187">
        <f t="shared" si="30"/>
        <v>421</v>
      </c>
      <c r="D243" s="187">
        <f t="shared" si="30"/>
        <v>585</v>
      </c>
      <c r="E243" s="187">
        <f t="shared" si="30"/>
        <v>858</v>
      </c>
      <c r="F243" s="187">
        <f t="shared" si="30"/>
        <v>749.98700000000099</v>
      </c>
      <c r="G243" s="187"/>
      <c r="H243" s="187">
        <f t="shared" si="30"/>
        <v>1110</v>
      </c>
    </row>
    <row r="244" spans="1:9" x14ac:dyDescent="0.2">
      <c r="B244" s="50"/>
      <c r="C244" s="50"/>
      <c r="D244" s="50"/>
      <c r="E244" s="50"/>
    </row>
    <row r="245" spans="1:9" x14ac:dyDescent="0.2">
      <c r="A245" s="183" t="s">
        <v>262</v>
      </c>
      <c r="B245" s="50">
        <v>142</v>
      </c>
      <c r="C245" s="50">
        <v>126</v>
      </c>
      <c r="D245" s="50">
        <v>206</v>
      </c>
      <c r="E245" s="50">
        <v>378</v>
      </c>
      <c r="F245" s="50">
        <v>534</v>
      </c>
      <c r="G245" s="50" t="s">
        <v>659</v>
      </c>
      <c r="H245" s="50">
        <v>510</v>
      </c>
      <c r="I245" s="50" t="s">
        <v>659</v>
      </c>
    </row>
    <row r="246" spans="1:9" x14ac:dyDescent="0.2">
      <c r="A246" s="183" t="s">
        <v>263</v>
      </c>
      <c r="B246" s="50">
        <v>6</v>
      </c>
      <c r="C246" s="50">
        <v>5</v>
      </c>
      <c r="D246" s="50">
        <v>22</v>
      </c>
      <c r="E246" s="50">
        <v>41</v>
      </c>
      <c r="F246" s="50">
        <v>8</v>
      </c>
      <c r="G246" s="50"/>
      <c r="H246" s="50"/>
    </row>
    <row r="247" spans="1:9" x14ac:dyDescent="0.2">
      <c r="A247" s="183" t="s">
        <v>264</v>
      </c>
      <c r="B247" s="50"/>
      <c r="C247" s="50"/>
      <c r="D247" s="50">
        <v>1</v>
      </c>
      <c r="E247" s="50"/>
      <c r="F247" s="480">
        <v>2</v>
      </c>
    </row>
    <row r="248" spans="1:9" x14ac:dyDescent="0.2">
      <c r="B248" s="50"/>
      <c r="C248" s="50"/>
      <c r="D248" s="50"/>
      <c r="E248" s="50"/>
    </row>
    <row r="249" spans="1:9" x14ac:dyDescent="0.2">
      <c r="B249" s="50"/>
      <c r="C249" s="50"/>
      <c r="D249" s="50"/>
      <c r="E249" s="50"/>
    </row>
    <row r="250" spans="1:9" ht="15.75" x14ac:dyDescent="0.25">
      <c r="A250" s="184" t="s">
        <v>256</v>
      </c>
      <c r="B250" s="187">
        <f t="shared" ref="B250:H250" si="31">B243-B245+B246-B247</f>
        <v>234</v>
      </c>
      <c r="C250" s="187">
        <f t="shared" si="31"/>
        <v>300</v>
      </c>
      <c r="D250" s="187">
        <f t="shared" si="31"/>
        <v>400</v>
      </c>
      <c r="E250" s="187">
        <f t="shared" si="31"/>
        <v>521</v>
      </c>
      <c r="F250" s="187">
        <f t="shared" si="31"/>
        <v>221.98700000000099</v>
      </c>
      <c r="G250" s="187"/>
      <c r="H250" s="187">
        <f t="shared" si="31"/>
        <v>600</v>
      </c>
    </row>
    <row r="251" spans="1:9" x14ac:dyDescent="0.2">
      <c r="B251" s="50"/>
      <c r="C251" s="50"/>
      <c r="D251" s="50"/>
      <c r="E251" s="50"/>
    </row>
    <row r="252" spans="1:9" x14ac:dyDescent="0.2">
      <c r="A252" s="183" t="s">
        <v>265</v>
      </c>
      <c r="B252" s="50">
        <v>70</v>
      </c>
      <c r="C252" s="50">
        <v>97</v>
      </c>
      <c r="D252" s="50">
        <v>123</v>
      </c>
      <c r="E252" s="50">
        <v>156</v>
      </c>
      <c r="F252" s="42">
        <v>90</v>
      </c>
      <c r="G252" s="42"/>
      <c r="H252" s="42">
        <f>H250*0.3</f>
        <v>180</v>
      </c>
    </row>
    <row r="253" spans="1:9" x14ac:dyDescent="0.2">
      <c r="B253" s="50"/>
      <c r="C253" s="50"/>
      <c r="D253" s="50"/>
      <c r="E253" s="50"/>
    </row>
    <row r="254" spans="1:9" ht="15.75" x14ac:dyDescent="0.25">
      <c r="A254" s="184" t="s">
        <v>257</v>
      </c>
      <c r="B254" s="187">
        <f t="shared" ref="B254:H254" si="32">B250-B252</f>
        <v>164</v>
      </c>
      <c r="C254" s="187">
        <f t="shared" si="32"/>
        <v>203</v>
      </c>
      <c r="D254" s="187">
        <f t="shared" si="32"/>
        <v>277</v>
      </c>
      <c r="E254" s="187">
        <f t="shared" si="32"/>
        <v>365</v>
      </c>
      <c r="F254" s="187">
        <f t="shared" si="32"/>
        <v>131.98700000000099</v>
      </c>
      <c r="G254" s="187"/>
      <c r="H254" s="187">
        <f t="shared" si="32"/>
        <v>420</v>
      </c>
    </row>
    <row r="255" spans="1:9" ht="15.75" x14ac:dyDescent="0.25">
      <c r="A255" s="184"/>
      <c r="B255" s="123"/>
      <c r="C255" s="123"/>
      <c r="D255" s="123"/>
      <c r="E255" s="123"/>
    </row>
    <row r="256" spans="1:9" ht="1.5" customHeight="1" x14ac:dyDescent="0.2">
      <c r="B256" s="48">
        <f t="shared" ref="B256:H256" si="33">B254*100/B221</f>
        <v>2.1511017838405038</v>
      </c>
      <c r="C256" s="48">
        <f t="shared" si="33"/>
        <v>2.6261319534282017</v>
      </c>
      <c r="D256" s="48">
        <f t="shared" si="33"/>
        <v>2.8144686039422884</v>
      </c>
      <c r="E256" s="48">
        <f t="shared" si="33"/>
        <v>2.7862595419847329</v>
      </c>
      <c r="F256" s="48">
        <f t="shared" si="33"/>
        <v>0.87333421557600077</v>
      </c>
      <c r="G256" s="48"/>
      <c r="H256" s="48">
        <f t="shared" si="33"/>
        <v>2.4705882352941178</v>
      </c>
    </row>
    <row r="258" spans="1:10" x14ac:dyDescent="0.2">
      <c r="A258" t="s">
        <v>757</v>
      </c>
    </row>
    <row r="259" spans="1:10" x14ac:dyDescent="0.2">
      <c r="A259" t="s">
        <v>760</v>
      </c>
    </row>
    <row r="262" spans="1:10" x14ac:dyDescent="0.2">
      <c r="A262" t="s">
        <v>758</v>
      </c>
    </row>
    <row r="264" spans="1:10" x14ac:dyDescent="0.2">
      <c r="A264" t="s">
        <v>759</v>
      </c>
    </row>
    <row r="265" spans="1:10" x14ac:dyDescent="0.2">
      <c r="A265" s="422"/>
      <c r="B265" s="55"/>
    </row>
    <row r="266" spans="1:10" x14ac:dyDescent="0.2">
      <c r="B266" s="55"/>
      <c r="C266" s="423"/>
    </row>
    <row r="267" spans="1:10" x14ac:dyDescent="0.2">
      <c r="B267" s="55"/>
      <c r="C267" s="423"/>
    </row>
    <row r="268" spans="1:10" x14ac:dyDescent="0.2">
      <c r="B268" s="55"/>
      <c r="C268" s="423"/>
    </row>
    <row r="269" spans="1:10" ht="15.75" x14ac:dyDescent="0.25">
      <c r="B269" s="55"/>
      <c r="C269" s="473" t="s">
        <v>737</v>
      </c>
    </row>
    <row r="270" spans="1:10" x14ac:dyDescent="0.2">
      <c r="B270" s="55"/>
      <c r="C270" s="423"/>
    </row>
    <row r="271" spans="1:10" x14ac:dyDescent="0.2">
      <c r="B271" s="55"/>
      <c r="C271" s="423"/>
    </row>
    <row r="272" spans="1:10" x14ac:dyDescent="0.2">
      <c r="B272" s="55"/>
      <c r="C272" s="423"/>
      <c r="J272" s="186" t="s">
        <v>738</v>
      </c>
    </row>
    <row r="275" spans="1:11" x14ac:dyDescent="0.2">
      <c r="A275" s="255"/>
      <c r="B275" s="255"/>
      <c r="C275" s="255"/>
      <c r="D275" s="255"/>
      <c r="E275" s="255"/>
      <c r="F275" s="255"/>
      <c r="H275" s="255"/>
      <c r="J275" s="64"/>
    </row>
    <row r="276" spans="1:11" x14ac:dyDescent="0.2">
      <c r="A276" s="99" t="s">
        <v>736</v>
      </c>
      <c r="B276" s="99" t="s">
        <v>727</v>
      </c>
      <c r="C276" s="99" t="s">
        <v>72</v>
      </c>
      <c r="D276" s="99" t="s">
        <v>70</v>
      </c>
      <c r="E276" s="99" t="s">
        <v>330</v>
      </c>
      <c r="F276" s="118" t="s">
        <v>696</v>
      </c>
      <c r="H276" s="99" t="s">
        <v>734</v>
      </c>
      <c r="J276" s="99" t="s">
        <v>671</v>
      </c>
    </row>
    <row r="277" spans="1:11" x14ac:dyDescent="0.2">
      <c r="A277" s="66"/>
      <c r="B277" s="99"/>
      <c r="C277" s="99"/>
      <c r="D277" s="99"/>
      <c r="E277" s="99" t="s">
        <v>728</v>
      </c>
      <c r="F277" s="99"/>
      <c r="H277" s="99" t="s">
        <v>735</v>
      </c>
      <c r="J277" s="99"/>
    </row>
    <row r="278" spans="1:11" x14ac:dyDescent="0.2">
      <c r="A278" s="70"/>
      <c r="B278" s="70"/>
      <c r="C278" s="70"/>
      <c r="D278" s="70"/>
      <c r="E278" s="70"/>
      <c r="F278" s="70"/>
      <c r="H278" s="70"/>
      <c r="J278" s="65"/>
    </row>
    <row r="279" spans="1:11" x14ac:dyDescent="0.2">
      <c r="A279" s="255"/>
      <c r="C279" s="255"/>
      <c r="E279" s="255"/>
      <c r="F279" s="255"/>
      <c r="H279" s="255"/>
      <c r="J279" s="255"/>
    </row>
    <row r="280" spans="1:11" x14ac:dyDescent="0.2">
      <c r="A280" s="66"/>
      <c r="B280" s="50"/>
      <c r="C280" s="22"/>
      <c r="D280" s="50"/>
      <c r="E280" s="22"/>
      <c r="F280" s="22"/>
      <c r="G280" s="50"/>
      <c r="H280" s="22"/>
      <c r="I280" s="50"/>
      <c r="J280" s="22"/>
      <c r="K280" s="50"/>
    </row>
    <row r="281" spans="1:11" x14ac:dyDescent="0.2">
      <c r="A281" s="148" t="s">
        <v>729</v>
      </c>
      <c r="B281" s="395">
        <v>100000</v>
      </c>
      <c r="C281" s="22">
        <v>25000</v>
      </c>
      <c r="D281" s="50">
        <v>25000</v>
      </c>
      <c r="E281" s="22">
        <v>20000</v>
      </c>
      <c r="F281" s="22"/>
      <c r="G281" s="50"/>
      <c r="H281" s="22"/>
      <c r="I281" s="50"/>
      <c r="J281" s="22">
        <f>SUM(B281:H281)</f>
        <v>170000</v>
      </c>
      <c r="K281" s="50"/>
    </row>
    <row r="282" spans="1:11" x14ac:dyDescent="0.2">
      <c r="A282" s="73"/>
      <c r="B282" s="50"/>
      <c r="C282" s="22"/>
      <c r="D282" s="50"/>
      <c r="E282" s="22"/>
      <c r="F282" s="22"/>
      <c r="G282" s="50"/>
      <c r="H282" s="22"/>
      <c r="I282" s="50"/>
      <c r="J282" s="22"/>
      <c r="K282" s="50"/>
    </row>
    <row r="283" spans="1:11" x14ac:dyDescent="0.2">
      <c r="A283" s="148" t="s">
        <v>730</v>
      </c>
      <c r="B283" s="50">
        <v>700000</v>
      </c>
      <c r="C283" s="22">
        <v>250000</v>
      </c>
      <c r="D283" s="50">
        <v>200000</v>
      </c>
      <c r="E283" s="22">
        <v>400000</v>
      </c>
      <c r="F283" s="22"/>
      <c r="G283" s="50"/>
      <c r="H283" s="22"/>
      <c r="I283" s="50"/>
      <c r="J283" s="22">
        <f t="shared" ref="J283:J293" si="34">SUM(B283:H283)</f>
        <v>1550000</v>
      </c>
      <c r="K283" s="50"/>
    </row>
    <row r="284" spans="1:11" x14ac:dyDescent="0.2">
      <c r="A284" s="73"/>
      <c r="B284" s="50"/>
      <c r="C284" s="22"/>
      <c r="D284" s="50"/>
      <c r="E284" s="22"/>
      <c r="F284" s="22"/>
      <c r="G284" s="50"/>
      <c r="H284" s="22"/>
      <c r="I284" s="50"/>
      <c r="J284" s="22"/>
      <c r="K284" s="50"/>
    </row>
    <row r="285" spans="1:11" x14ac:dyDescent="0.2">
      <c r="A285" s="148" t="s">
        <v>731</v>
      </c>
      <c r="B285" s="50">
        <v>150000</v>
      </c>
      <c r="C285" s="22">
        <v>100000</v>
      </c>
      <c r="D285" s="50">
        <v>75000</v>
      </c>
      <c r="E285" s="22">
        <v>150000</v>
      </c>
      <c r="F285" s="22"/>
      <c r="G285" s="50"/>
      <c r="H285" s="22"/>
      <c r="I285" s="50"/>
      <c r="J285" s="22">
        <f t="shared" si="34"/>
        <v>475000</v>
      </c>
      <c r="K285" s="50"/>
    </row>
    <row r="286" spans="1:11" x14ac:dyDescent="0.2">
      <c r="A286" s="73"/>
      <c r="B286" s="50"/>
      <c r="C286" s="22"/>
      <c r="D286" s="50"/>
      <c r="E286" s="22"/>
      <c r="F286" s="22"/>
      <c r="G286" s="50"/>
      <c r="H286" s="22"/>
      <c r="I286" s="50"/>
      <c r="J286" s="22"/>
      <c r="K286" s="50"/>
    </row>
    <row r="287" spans="1:11" x14ac:dyDescent="0.2">
      <c r="A287" s="148" t="s">
        <v>655</v>
      </c>
      <c r="B287" s="50">
        <v>200000</v>
      </c>
      <c r="C287" s="22"/>
      <c r="D287" s="50">
        <v>75000</v>
      </c>
      <c r="E287" s="22">
        <v>150000</v>
      </c>
      <c r="F287" s="22"/>
      <c r="G287" s="50"/>
      <c r="H287" s="22"/>
      <c r="I287" s="50"/>
      <c r="J287" s="22">
        <f t="shared" si="34"/>
        <v>425000</v>
      </c>
      <c r="K287" s="50"/>
    </row>
    <row r="288" spans="1:11" x14ac:dyDescent="0.2">
      <c r="A288" s="73"/>
      <c r="B288" s="50"/>
      <c r="C288" s="22"/>
      <c r="D288" s="50"/>
      <c r="E288" s="22"/>
      <c r="F288" s="22"/>
      <c r="G288" s="50"/>
      <c r="H288" s="22"/>
      <c r="I288" s="50"/>
      <c r="J288" s="22"/>
      <c r="K288" s="50"/>
    </row>
    <row r="289" spans="1:11" x14ac:dyDescent="0.2">
      <c r="A289" s="148" t="s">
        <v>732</v>
      </c>
      <c r="B289" s="50">
        <v>100000</v>
      </c>
      <c r="C289" s="22"/>
      <c r="D289" s="50"/>
      <c r="E289" s="22"/>
      <c r="F289" s="22"/>
      <c r="G289" s="50"/>
      <c r="H289" s="22"/>
      <c r="I289" s="50"/>
      <c r="J289" s="22">
        <f t="shared" si="34"/>
        <v>100000</v>
      </c>
      <c r="K289" s="50"/>
    </row>
    <row r="290" spans="1:11" x14ac:dyDescent="0.2">
      <c r="A290" s="73"/>
      <c r="B290" s="50"/>
      <c r="C290" s="22"/>
      <c r="D290" s="50"/>
      <c r="E290" s="22"/>
      <c r="F290" s="22"/>
      <c r="G290" s="50"/>
      <c r="H290" s="22"/>
      <c r="I290" s="50"/>
      <c r="J290" s="22"/>
      <c r="K290" s="50"/>
    </row>
    <row r="291" spans="1:11" x14ac:dyDescent="0.2">
      <c r="A291" s="148" t="s">
        <v>733</v>
      </c>
      <c r="B291" s="50">
        <v>700000</v>
      </c>
      <c r="C291" s="22"/>
      <c r="D291" s="50"/>
      <c r="E291" s="22"/>
      <c r="F291" s="22"/>
      <c r="G291" s="50"/>
      <c r="H291" s="22"/>
      <c r="I291" s="50"/>
      <c r="J291" s="22">
        <f t="shared" si="34"/>
        <v>700000</v>
      </c>
      <c r="K291" s="50"/>
    </row>
    <row r="292" spans="1:11" x14ac:dyDescent="0.2">
      <c r="A292" s="73"/>
      <c r="B292" s="50"/>
      <c r="C292" s="22"/>
      <c r="D292" s="50"/>
      <c r="E292" s="22"/>
      <c r="F292" s="22"/>
      <c r="G292" s="50"/>
      <c r="H292" s="22"/>
      <c r="I292" s="50"/>
      <c r="J292" s="22"/>
      <c r="K292" s="50"/>
    </row>
    <row r="293" spans="1:11" x14ac:dyDescent="0.2">
      <c r="A293" s="148" t="s">
        <v>495</v>
      </c>
      <c r="B293" s="50"/>
      <c r="C293" s="22"/>
      <c r="D293" s="50"/>
      <c r="E293" s="22"/>
      <c r="F293" s="22">
        <v>1500000</v>
      </c>
      <c r="G293" s="50"/>
      <c r="H293" s="22">
        <v>500000</v>
      </c>
      <c r="I293" s="50"/>
      <c r="J293" s="22">
        <f t="shared" si="34"/>
        <v>2000000</v>
      </c>
      <c r="K293" s="50"/>
    </row>
    <row r="294" spans="1:11" x14ac:dyDescent="0.2">
      <c r="A294" s="148"/>
      <c r="B294" s="50"/>
      <c r="C294" s="375"/>
      <c r="D294" s="50"/>
      <c r="E294" s="375"/>
      <c r="F294" s="375"/>
      <c r="G294" s="50"/>
      <c r="H294" s="375"/>
      <c r="I294" s="50"/>
      <c r="J294" s="375"/>
      <c r="K294" s="50"/>
    </row>
    <row r="295" spans="1:11" x14ac:dyDescent="0.2">
      <c r="A295" s="255"/>
      <c r="B295" s="374"/>
      <c r="C295" s="374"/>
      <c r="D295" s="374"/>
      <c r="E295" s="374"/>
      <c r="F295" s="374"/>
      <c r="G295" s="50"/>
      <c r="H295" s="374"/>
      <c r="I295" s="50"/>
      <c r="J295" s="374"/>
      <c r="K295" s="50"/>
    </row>
    <row r="296" spans="1:11" x14ac:dyDescent="0.2">
      <c r="A296" s="99" t="s">
        <v>671</v>
      </c>
      <c r="B296" s="22">
        <f>SUM(B281:B295)</f>
        <v>1950000</v>
      </c>
      <c r="C296" s="22">
        <f>SUM(C281:C295)</f>
        <v>375000</v>
      </c>
      <c r="D296" s="22">
        <f>SUM(D281:D295)</f>
        <v>375000</v>
      </c>
      <c r="E296" s="22">
        <f>SUM(E281:E295)</f>
        <v>720000</v>
      </c>
      <c r="F296" s="22">
        <f>SUM(F281:F295)</f>
        <v>1500000</v>
      </c>
      <c r="G296" s="50"/>
      <c r="H296" s="22">
        <f>SUM(H281:H295)</f>
        <v>500000</v>
      </c>
      <c r="I296" s="50"/>
      <c r="J296" s="22">
        <f>SUM(J281:J295)</f>
        <v>5420000</v>
      </c>
      <c r="K296" s="50"/>
    </row>
    <row r="297" spans="1:11" x14ac:dyDescent="0.2">
      <c r="A297" s="66"/>
      <c r="B297" s="22"/>
      <c r="C297" s="22"/>
      <c r="D297" s="22"/>
      <c r="E297" s="22"/>
      <c r="F297" s="22"/>
      <c r="G297" s="50"/>
      <c r="H297" s="22"/>
      <c r="I297" s="50"/>
      <c r="J297" s="22"/>
      <c r="K297" s="50"/>
    </row>
    <row r="298" spans="1:11" x14ac:dyDescent="0.2">
      <c r="A298" s="70"/>
      <c r="B298" s="375"/>
      <c r="C298" s="375"/>
      <c r="D298" s="375"/>
      <c r="E298" s="375"/>
      <c r="F298" s="375"/>
      <c r="G298" s="50"/>
      <c r="H298" s="375"/>
      <c r="I298" s="50"/>
      <c r="J298" s="375"/>
      <c r="K298" s="50"/>
    </row>
    <row r="299" spans="1:11" x14ac:dyDescent="0.2">
      <c r="B299" s="50"/>
      <c r="C299" s="50"/>
      <c r="D299" s="50"/>
      <c r="E299" s="50"/>
      <c r="F299" s="50"/>
      <c r="G299" s="50"/>
      <c r="H299" s="50"/>
      <c r="I299" s="50"/>
      <c r="J299" s="50"/>
      <c r="K299" s="50"/>
    </row>
    <row r="300" spans="1:11" x14ac:dyDescent="0.2">
      <c r="B300" s="50"/>
      <c r="C300" s="50"/>
      <c r="D300" s="50"/>
      <c r="E300" s="50"/>
      <c r="F300" s="50"/>
      <c r="G300" s="50"/>
      <c r="H300" s="50"/>
      <c r="I300" s="50"/>
      <c r="J300" s="50"/>
      <c r="K300" s="50"/>
    </row>
    <row r="301" spans="1:11" x14ac:dyDescent="0.2">
      <c r="B301" s="50"/>
      <c r="C301" s="50"/>
      <c r="D301" s="50"/>
      <c r="E301" s="50"/>
      <c r="F301" s="50"/>
      <c r="G301" s="50"/>
      <c r="H301" s="50"/>
      <c r="I301" s="50"/>
      <c r="J301" s="50"/>
      <c r="K301" s="50"/>
    </row>
    <row r="302" spans="1:11" x14ac:dyDescent="0.2">
      <c r="B302" s="50"/>
      <c r="C302" s="50"/>
      <c r="D302" s="50"/>
      <c r="E302" s="50"/>
      <c r="F302" s="50"/>
      <c r="G302" s="50"/>
      <c r="H302" s="50"/>
      <c r="I302" s="50"/>
      <c r="J302" s="50"/>
      <c r="K302" s="50"/>
    </row>
    <row r="303" spans="1:11" x14ac:dyDescent="0.2">
      <c r="B303" s="50"/>
      <c r="C303" s="50"/>
      <c r="D303" s="50"/>
      <c r="E303" s="50"/>
      <c r="F303" s="50"/>
      <c r="G303" s="50"/>
      <c r="H303" s="50"/>
      <c r="I303" s="50"/>
      <c r="J303" s="50"/>
      <c r="K303" s="50"/>
    </row>
    <row r="304" spans="1:11" x14ac:dyDescent="0.2">
      <c r="B304" s="50"/>
      <c r="C304" s="50"/>
      <c r="D304" s="50"/>
      <c r="E304" s="50"/>
      <c r="F304" s="50"/>
      <c r="G304" s="50"/>
      <c r="H304" s="50"/>
      <c r="I304" s="50"/>
      <c r="J304" s="50"/>
      <c r="K304" s="50"/>
    </row>
    <row r="305" spans="1:11" x14ac:dyDescent="0.2">
      <c r="E305" s="52"/>
      <c r="F305" s="186"/>
      <c r="G305" s="186"/>
      <c r="H305" s="479" t="s">
        <v>771</v>
      </c>
      <c r="I305" s="50"/>
      <c r="J305" s="50"/>
      <c r="K305" s="50"/>
    </row>
    <row r="306" spans="1:11" x14ac:dyDescent="0.2">
      <c r="I306" s="48"/>
      <c r="J306" s="48"/>
    </row>
    <row r="307" spans="1:11" x14ac:dyDescent="0.2">
      <c r="I307" s="48"/>
      <c r="J307" s="48"/>
    </row>
    <row r="308" spans="1:11" ht="18" x14ac:dyDescent="0.25">
      <c r="A308" s="208" t="s">
        <v>761</v>
      </c>
      <c r="I308" s="48"/>
      <c r="J308" s="48"/>
    </row>
    <row r="309" spans="1:11" ht="18" x14ac:dyDescent="0.25">
      <c r="A309" s="208" t="s">
        <v>762</v>
      </c>
      <c r="I309" s="48"/>
      <c r="J309" s="48"/>
    </row>
    <row r="310" spans="1:11" ht="18" x14ac:dyDescent="0.25">
      <c r="A310" s="185"/>
    </row>
    <row r="312" spans="1:11" x14ac:dyDescent="0.2">
      <c r="C312" s="186"/>
      <c r="D312" s="186"/>
      <c r="E312" s="186"/>
      <c r="F312" s="186"/>
      <c r="G312" s="186"/>
      <c r="H312" s="186" t="s">
        <v>269</v>
      </c>
    </row>
    <row r="314" spans="1:11" ht="15.75" x14ac:dyDescent="0.25">
      <c r="B314" s="192" t="s">
        <v>763</v>
      </c>
      <c r="C314" s="216"/>
      <c r="D314" s="216"/>
      <c r="E314" s="216"/>
      <c r="F314" s="493"/>
      <c r="G314" s="368"/>
      <c r="H314" s="368" t="s">
        <v>372</v>
      </c>
    </row>
    <row r="315" spans="1:11" ht="15.75" x14ac:dyDescent="0.25">
      <c r="B315" s="188">
        <v>2008</v>
      </c>
      <c r="C315" s="256">
        <v>2009</v>
      </c>
      <c r="D315" s="256">
        <v>2010</v>
      </c>
      <c r="E315" s="355">
        <v>2011</v>
      </c>
      <c r="F315" s="356">
        <v>2012</v>
      </c>
      <c r="G315" s="356"/>
      <c r="H315" s="356">
        <v>2013</v>
      </c>
    </row>
    <row r="316" spans="1:11" x14ac:dyDescent="0.2">
      <c r="B316" s="89"/>
      <c r="C316" s="70"/>
      <c r="D316" s="70"/>
      <c r="E316" s="70"/>
      <c r="F316" s="70"/>
      <c r="G316" s="70"/>
      <c r="H316" s="70"/>
    </row>
    <row r="318" spans="1:11" x14ac:dyDescent="0.2">
      <c r="B318" s="50"/>
      <c r="C318" s="50"/>
      <c r="D318" s="50"/>
      <c r="E318" s="50"/>
    </row>
    <row r="319" spans="1:11" x14ac:dyDescent="0.2">
      <c r="A319" t="s">
        <v>252</v>
      </c>
      <c r="B319" s="50">
        <v>7624</v>
      </c>
      <c r="C319" s="50">
        <v>7730</v>
      </c>
      <c r="D319" s="50">
        <v>9842</v>
      </c>
      <c r="E319" s="50">
        <v>13100</v>
      </c>
      <c r="F319" s="50">
        <v>15113</v>
      </c>
      <c r="G319" s="50"/>
      <c r="H319" s="50">
        <v>17000</v>
      </c>
    </row>
    <row r="320" spans="1:11" x14ac:dyDescent="0.2">
      <c r="B320" s="50"/>
      <c r="C320" s="50"/>
      <c r="D320" s="50"/>
      <c r="E320" s="50"/>
    </row>
    <row r="321" spans="1:8" x14ac:dyDescent="0.2">
      <c r="A321" s="1" t="s">
        <v>266</v>
      </c>
      <c r="B321" s="187">
        <f>B319</f>
        <v>7624</v>
      </c>
      <c r="C321" s="187">
        <f>C319</f>
        <v>7730</v>
      </c>
      <c r="D321" s="187">
        <f>D319</f>
        <v>9842</v>
      </c>
      <c r="E321" s="187">
        <f>E319</f>
        <v>13100</v>
      </c>
      <c r="F321" s="187">
        <f>F319</f>
        <v>15113</v>
      </c>
      <c r="G321" s="187"/>
      <c r="H321" s="187">
        <f>H319</f>
        <v>17000</v>
      </c>
    </row>
    <row r="322" spans="1:8" x14ac:dyDescent="0.2">
      <c r="B322" s="50"/>
      <c r="C322" s="50"/>
      <c r="D322" s="50"/>
      <c r="E322" s="50"/>
    </row>
    <row r="323" spans="1:8" x14ac:dyDescent="0.2">
      <c r="B323" s="48"/>
      <c r="C323" s="48"/>
      <c r="D323" s="48"/>
      <c r="E323" s="48"/>
    </row>
    <row r="324" spans="1:8" x14ac:dyDescent="0.2">
      <c r="A324" t="s">
        <v>254</v>
      </c>
      <c r="B324" s="50">
        <v>-244</v>
      </c>
      <c r="C324" s="50">
        <v>-384</v>
      </c>
      <c r="D324" s="50">
        <v>-1217</v>
      </c>
      <c r="E324" s="50">
        <v>-432</v>
      </c>
      <c r="F324" s="50">
        <v>0</v>
      </c>
      <c r="G324" s="50"/>
      <c r="H324" s="50">
        <v>0</v>
      </c>
    </row>
    <row r="325" spans="1:8" x14ac:dyDescent="0.2">
      <c r="A325" s="183" t="s">
        <v>258</v>
      </c>
      <c r="B325" s="50">
        <v>6757</v>
      </c>
      <c r="C325" s="50">
        <v>6869</v>
      </c>
      <c r="D325" s="50">
        <v>9373</v>
      </c>
      <c r="E325" s="50">
        <v>11286</v>
      </c>
      <c r="F325" s="50">
        <f>13771.052-1148.039</f>
        <v>12623.012999999999</v>
      </c>
      <c r="G325" s="50"/>
      <c r="H325" s="50">
        <v>14220</v>
      </c>
    </row>
    <row r="326" spans="1:8" x14ac:dyDescent="0.2">
      <c r="A326" s="191"/>
      <c r="B326" s="50"/>
      <c r="C326" s="50"/>
      <c r="D326" s="50"/>
      <c r="E326" s="50"/>
    </row>
    <row r="327" spans="1:8" x14ac:dyDescent="0.2">
      <c r="A327" s="1" t="s">
        <v>406</v>
      </c>
      <c r="B327" s="187">
        <f>B324+B325</f>
        <v>6513</v>
      </c>
      <c r="C327" s="187">
        <f>C324+C325</f>
        <v>6485</v>
      </c>
      <c r="D327" s="187">
        <f>D324+D325</f>
        <v>8156</v>
      </c>
      <c r="E327" s="187">
        <f>E324+E325</f>
        <v>10854</v>
      </c>
      <c r="F327" s="187">
        <f>F324+F325</f>
        <v>12623.012999999999</v>
      </c>
      <c r="G327" s="187"/>
      <c r="H327" s="187">
        <f>H324+H325</f>
        <v>14220</v>
      </c>
    </row>
    <row r="328" spans="1:8" x14ac:dyDescent="0.2">
      <c r="A328" s="1"/>
      <c r="B328" s="123"/>
      <c r="C328" s="123"/>
      <c r="D328" s="123"/>
      <c r="E328" s="123"/>
      <c r="F328" s="123"/>
      <c r="G328" s="123"/>
      <c r="H328" s="123"/>
    </row>
    <row r="329" spans="1:8" x14ac:dyDescent="0.2">
      <c r="A329" s="494" t="s">
        <v>407</v>
      </c>
      <c r="B329" s="174">
        <f>B331*100/B319</f>
        <v>14.572402938090242</v>
      </c>
      <c r="C329" s="174">
        <f>C331*100/C319</f>
        <v>16.106080206985769</v>
      </c>
      <c r="D329" s="174">
        <f>D331*100/D319</f>
        <v>17.130664499085551</v>
      </c>
      <c r="E329" s="174">
        <f>E331*100/E319</f>
        <v>17.145038167938932</v>
      </c>
      <c r="F329" s="174">
        <f>F331*100/F319</f>
        <v>16.475795672599755</v>
      </c>
      <c r="G329" s="174"/>
      <c r="H329" s="174">
        <f>H331*100/H319</f>
        <v>16.352941176470587</v>
      </c>
    </row>
    <row r="330" spans="1:8" x14ac:dyDescent="0.2">
      <c r="A330" s="1"/>
      <c r="B330" s="50"/>
      <c r="C330" s="50"/>
      <c r="D330" s="50"/>
      <c r="E330" s="50"/>
    </row>
    <row r="331" spans="1:8" ht="15.75" x14ac:dyDescent="0.25">
      <c r="A331" s="184" t="s">
        <v>405</v>
      </c>
      <c r="B331" s="187">
        <f>B321-B327</f>
        <v>1111</v>
      </c>
      <c r="C331" s="187">
        <f>C321-C327</f>
        <v>1245</v>
      </c>
      <c r="D331" s="187">
        <f>D321-D327</f>
        <v>1686</v>
      </c>
      <c r="E331" s="187">
        <f>E321-E327</f>
        <v>2246</v>
      </c>
      <c r="F331" s="187">
        <f>F321-F327</f>
        <v>2489.987000000001</v>
      </c>
      <c r="G331" s="187"/>
      <c r="H331" s="187">
        <f>H321-H327</f>
        <v>2780</v>
      </c>
    </row>
    <row r="332" spans="1:8" x14ac:dyDescent="0.2">
      <c r="A332" s="183"/>
      <c r="B332" s="50"/>
      <c r="C332" s="50"/>
      <c r="D332" s="50"/>
      <c r="E332" s="50"/>
    </row>
    <row r="333" spans="1:8" x14ac:dyDescent="0.2">
      <c r="A333" s="183" t="s">
        <v>259</v>
      </c>
      <c r="B333" s="50">
        <v>32</v>
      </c>
      <c r="C333" s="50">
        <v>39</v>
      </c>
      <c r="D333" s="50">
        <v>55</v>
      </c>
      <c r="E333" s="50">
        <v>82</v>
      </c>
      <c r="F333" s="50">
        <v>104</v>
      </c>
      <c r="G333" s="50"/>
      <c r="H333" s="50">
        <v>110</v>
      </c>
    </row>
    <row r="334" spans="1:8" x14ac:dyDescent="0.2">
      <c r="A334" s="183" t="s">
        <v>260</v>
      </c>
      <c r="B334" s="50">
        <v>331</v>
      </c>
      <c r="C334" s="50">
        <v>414</v>
      </c>
      <c r="D334" s="50">
        <v>485</v>
      </c>
      <c r="E334" s="50">
        <v>575</v>
      </c>
      <c r="F334" s="50">
        <v>689</v>
      </c>
      <c r="G334" s="50"/>
      <c r="H334" s="50">
        <v>780</v>
      </c>
    </row>
    <row r="335" spans="1:8" x14ac:dyDescent="0.2">
      <c r="A335" s="183" t="s">
        <v>268</v>
      </c>
      <c r="B335" s="50">
        <v>90</v>
      </c>
      <c r="C335" s="50">
        <v>106</v>
      </c>
      <c r="D335" s="50">
        <v>262</v>
      </c>
      <c r="E335" s="50">
        <v>302</v>
      </c>
      <c r="F335" s="50">
        <v>320</v>
      </c>
      <c r="G335" s="50"/>
      <c r="H335" s="50">
        <v>300</v>
      </c>
    </row>
    <row r="336" spans="1:8" x14ac:dyDescent="0.2">
      <c r="A336" s="183" t="s">
        <v>261</v>
      </c>
      <c r="B336" s="50">
        <v>288</v>
      </c>
      <c r="C336" s="190">
        <v>265</v>
      </c>
      <c r="D336" s="190">
        <v>299</v>
      </c>
      <c r="E336" s="190">
        <v>429</v>
      </c>
      <c r="F336" s="30">
        <v>627</v>
      </c>
      <c r="G336" s="30" t="s">
        <v>302</v>
      </c>
      <c r="H336" s="30">
        <v>750</v>
      </c>
    </row>
    <row r="337" spans="1:8" x14ac:dyDescent="0.2">
      <c r="B337" s="50"/>
      <c r="C337" s="50"/>
      <c r="D337" s="50"/>
      <c r="E337" s="50"/>
    </row>
    <row r="338" spans="1:8" x14ac:dyDescent="0.2">
      <c r="A338" s="1" t="s">
        <v>267</v>
      </c>
      <c r="B338" s="187">
        <f>SUM(B333:B336)</f>
        <v>741</v>
      </c>
      <c r="C338" s="187">
        <f>SUM(C333:C336)</f>
        <v>824</v>
      </c>
      <c r="D338" s="187">
        <f>SUM(D333:D336)</f>
        <v>1101</v>
      </c>
      <c r="E338" s="187">
        <f>SUM(E333:E336)</f>
        <v>1388</v>
      </c>
      <c r="F338" s="187">
        <f>SUM(F333:F336)</f>
        <v>1740</v>
      </c>
      <c r="G338" s="187"/>
      <c r="H338" s="187">
        <f>SUM(H333:H336)</f>
        <v>1940</v>
      </c>
    </row>
    <row r="339" spans="1:8" x14ac:dyDescent="0.2">
      <c r="B339" s="50"/>
      <c r="C339" s="50"/>
      <c r="D339" s="50"/>
      <c r="E339" s="50"/>
    </row>
    <row r="340" spans="1:8" x14ac:dyDescent="0.2">
      <c r="B340" s="50"/>
      <c r="C340" s="50"/>
      <c r="D340" s="50"/>
      <c r="E340" s="50"/>
    </row>
    <row r="341" spans="1:8" ht="15.75" x14ac:dyDescent="0.25">
      <c r="A341" s="184" t="s">
        <v>255</v>
      </c>
      <c r="B341" s="187">
        <f>B331-B338</f>
        <v>370</v>
      </c>
      <c r="C341" s="187">
        <f>C331-C338</f>
        <v>421</v>
      </c>
      <c r="D341" s="187">
        <f>D331-D338</f>
        <v>585</v>
      </c>
      <c r="E341" s="187">
        <f>E331-E338</f>
        <v>858</v>
      </c>
      <c r="F341" s="187">
        <f>F331-F338</f>
        <v>749.98700000000099</v>
      </c>
      <c r="G341" s="187"/>
      <c r="H341" s="187">
        <f>H331-H338</f>
        <v>840</v>
      </c>
    </row>
    <row r="342" spans="1:8" x14ac:dyDescent="0.2">
      <c r="B342" s="50"/>
      <c r="C342" s="50"/>
      <c r="D342" s="50"/>
      <c r="E342" s="50"/>
    </row>
    <row r="343" spans="1:8" x14ac:dyDescent="0.2">
      <c r="A343" s="183" t="s">
        <v>262</v>
      </c>
      <c r="B343" s="50">
        <v>142</v>
      </c>
      <c r="C343" s="50">
        <v>126</v>
      </c>
      <c r="D343" s="50">
        <v>206</v>
      </c>
      <c r="E343" s="50">
        <v>378</v>
      </c>
      <c r="F343" s="50">
        <v>534</v>
      </c>
      <c r="G343" s="50" t="s">
        <v>659</v>
      </c>
      <c r="H343" s="50">
        <v>620</v>
      </c>
    </row>
    <row r="344" spans="1:8" x14ac:dyDescent="0.2">
      <c r="A344" s="183" t="s">
        <v>263</v>
      </c>
      <c r="B344" s="50">
        <v>6</v>
      </c>
      <c r="C344" s="50">
        <v>5</v>
      </c>
      <c r="D344" s="50">
        <v>22</v>
      </c>
      <c r="E344" s="50">
        <v>41</v>
      </c>
      <c r="F344" s="50">
        <v>8</v>
      </c>
      <c r="G344" s="50"/>
      <c r="H344" s="50"/>
    </row>
    <row r="345" spans="1:8" x14ac:dyDescent="0.2">
      <c r="A345" s="183" t="s">
        <v>264</v>
      </c>
      <c r="B345" s="50"/>
      <c r="C345" s="50"/>
      <c r="D345" s="50">
        <v>1</v>
      </c>
      <c r="E345" s="50"/>
      <c r="F345" s="480">
        <v>2</v>
      </c>
    </row>
    <row r="346" spans="1:8" x14ac:dyDescent="0.2">
      <c r="B346" s="50"/>
      <c r="C346" s="50"/>
      <c r="D346" s="50"/>
      <c r="E346" s="50"/>
    </row>
    <row r="347" spans="1:8" x14ac:dyDescent="0.2">
      <c r="B347" s="50"/>
      <c r="C347" s="50"/>
      <c r="D347" s="50"/>
      <c r="E347" s="50"/>
    </row>
    <row r="348" spans="1:8" ht="15.75" x14ac:dyDescent="0.25">
      <c r="A348" s="184" t="s">
        <v>256</v>
      </c>
      <c r="B348" s="187">
        <f>B341-B343+B344-B345</f>
        <v>234</v>
      </c>
      <c r="C348" s="187">
        <f>C341-C343+C344-C345</f>
        <v>300</v>
      </c>
      <c r="D348" s="187">
        <f>D341-D343+D344-D345</f>
        <v>400</v>
      </c>
      <c r="E348" s="187">
        <f>E341-E343+E344-E345</f>
        <v>521</v>
      </c>
      <c r="F348" s="187">
        <f>F341-F343+F344-F345</f>
        <v>221.98700000000099</v>
      </c>
      <c r="G348" s="187"/>
      <c r="H348" s="187">
        <f>H341-H343+H344-H345</f>
        <v>220</v>
      </c>
    </row>
    <row r="349" spans="1:8" x14ac:dyDescent="0.2">
      <c r="B349" s="50"/>
      <c r="C349" s="50"/>
      <c r="D349" s="50"/>
      <c r="E349" s="50"/>
    </row>
    <row r="350" spans="1:8" x14ac:dyDescent="0.2">
      <c r="A350" s="183" t="s">
        <v>265</v>
      </c>
      <c r="B350" s="50">
        <v>70</v>
      </c>
      <c r="C350" s="50">
        <v>97</v>
      </c>
      <c r="D350" s="50">
        <v>123</v>
      </c>
      <c r="E350" s="50">
        <v>156</v>
      </c>
      <c r="F350" s="42">
        <v>90</v>
      </c>
      <c r="G350" s="42"/>
      <c r="H350" s="42">
        <f>H348*0.3</f>
        <v>66</v>
      </c>
    </row>
    <row r="351" spans="1:8" x14ac:dyDescent="0.2">
      <c r="B351" s="50"/>
      <c r="C351" s="50"/>
      <c r="D351" s="50"/>
      <c r="E351" s="50"/>
    </row>
    <row r="352" spans="1:8" ht="15.75" x14ac:dyDescent="0.25">
      <c r="A352" s="184" t="s">
        <v>257</v>
      </c>
      <c r="B352" s="187">
        <f>B348-B350</f>
        <v>164</v>
      </c>
      <c r="C352" s="187">
        <f>C348-C350</f>
        <v>203</v>
      </c>
      <c r="D352" s="187">
        <f>D348-D350</f>
        <v>277</v>
      </c>
      <c r="E352" s="187">
        <f>E348-E350</f>
        <v>365</v>
      </c>
      <c r="F352" s="187">
        <f>F348-F350</f>
        <v>131.98700000000099</v>
      </c>
      <c r="G352" s="187"/>
      <c r="H352" s="187">
        <f>H348-H350</f>
        <v>154</v>
      </c>
    </row>
    <row r="353" spans="1:8" ht="15.75" x14ac:dyDescent="0.25">
      <c r="A353" s="184"/>
      <c r="B353" s="123"/>
      <c r="C353" s="123"/>
      <c r="D353" s="123"/>
      <c r="E353" s="123"/>
    </row>
    <row r="354" spans="1:8" x14ac:dyDescent="0.2">
      <c r="B354" s="48">
        <f>B352*100/B319</f>
        <v>2.1511017838405038</v>
      </c>
      <c r="C354" s="48">
        <f>C352*100/C319</f>
        <v>2.6261319534282017</v>
      </c>
      <c r="D354" s="48">
        <f>D352*100/D319</f>
        <v>2.8144686039422884</v>
      </c>
      <c r="E354" s="48">
        <f>E352*100/E319</f>
        <v>2.7862595419847329</v>
      </c>
      <c r="F354" s="48">
        <f>F352*100/F319</f>
        <v>0.87333421557600077</v>
      </c>
      <c r="G354" s="48"/>
      <c r="H354" s="48">
        <f>H352*100/H319</f>
        <v>0.90588235294117647</v>
      </c>
    </row>
    <row r="356" spans="1:8" x14ac:dyDescent="0.2">
      <c r="A356" t="s">
        <v>772</v>
      </c>
    </row>
    <row r="357" spans="1:8" x14ac:dyDescent="0.2">
      <c r="A357" t="s">
        <v>773</v>
      </c>
    </row>
    <row r="360" spans="1:8" x14ac:dyDescent="0.2">
      <c r="A360" t="s">
        <v>758</v>
      </c>
    </row>
    <row r="362" spans="1:8" x14ac:dyDescent="0.2">
      <c r="A362" t="s">
        <v>759</v>
      </c>
    </row>
    <row r="363" spans="1:8" x14ac:dyDescent="0.2">
      <c r="A363" s="422" t="s">
        <v>774</v>
      </c>
      <c r="B363" s="55"/>
    </row>
    <row r="385" spans="1:9" x14ac:dyDescent="0.2">
      <c r="I385" s="48"/>
    </row>
    <row r="386" spans="1:9" ht="18" x14ac:dyDescent="0.25">
      <c r="A386" s="208"/>
      <c r="I386" s="48"/>
    </row>
    <row r="387" spans="1:9" ht="18" x14ac:dyDescent="0.25">
      <c r="A387" s="185"/>
    </row>
    <row r="389" spans="1:9" x14ac:dyDescent="0.2">
      <c r="C389" s="186"/>
      <c r="D389" s="186"/>
      <c r="E389" s="186"/>
      <c r="F389" s="186"/>
      <c r="G389" s="186"/>
    </row>
    <row r="390" spans="1:9" ht="8.25" customHeight="1" x14ac:dyDescent="0.2"/>
    <row r="391" spans="1:9" s="163" customFormat="1" ht="18" x14ac:dyDescent="0.25">
      <c r="A391" s="1761" t="s">
        <v>853</v>
      </c>
      <c r="B391" s="1761"/>
      <c r="C391" s="1761"/>
      <c r="D391" s="1761"/>
      <c r="E391" s="1761"/>
      <c r="F391" s="673"/>
      <c r="G391" s="212"/>
      <c r="H391" s="212"/>
    </row>
    <row r="392" spans="1:9" s="163" customFormat="1" ht="15.75" x14ac:dyDescent="0.25">
      <c r="B392" s="1760"/>
      <c r="C392" s="1760"/>
      <c r="D392" s="1760"/>
      <c r="E392" s="1760"/>
      <c r="F392" s="1760"/>
      <c r="G392" s="212"/>
      <c r="H392" s="212"/>
    </row>
    <row r="393" spans="1:9" s="163" customFormat="1" ht="12.75" customHeight="1" x14ac:dyDescent="0.2">
      <c r="B393" s="1760"/>
      <c r="C393" s="1760"/>
      <c r="D393" s="1760"/>
      <c r="E393" s="1760"/>
      <c r="F393" s="1760"/>
    </row>
    <row r="394" spans="1:9" x14ac:dyDescent="0.2">
      <c r="B394" s="55" t="s">
        <v>854</v>
      </c>
      <c r="C394" s="55" t="s">
        <v>851</v>
      </c>
      <c r="D394" s="55" t="s">
        <v>855</v>
      </c>
      <c r="G394" s="186" t="s">
        <v>269</v>
      </c>
    </row>
    <row r="395" spans="1:9" x14ac:dyDescent="0.2">
      <c r="C395" s="50"/>
      <c r="D395" s="50"/>
    </row>
    <row r="396" spans="1:9" x14ac:dyDescent="0.2">
      <c r="A396" t="s">
        <v>252</v>
      </c>
      <c r="B396" s="29">
        <v>1158</v>
      </c>
      <c r="C396" s="29">
        <v>1272</v>
      </c>
      <c r="D396" s="50">
        <v>2544</v>
      </c>
      <c r="F396" s="29"/>
      <c r="G396" s="29"/>
      <c r="H396" s="29"/>
    </row>
    <row r="397" spans="1:9" x14ac:dyDescent="0.2">
      <c r="C397" s="29"/>
      <c r="D397" s="50"/>
      <c r="F397" s="6"/>
      <c r="G397" s="6"/>
      <c r="H397" s="6"/>
    </row>
    <row r="398" spans="1:9" x14ac:dyDescent="0.2">
      <c r="A398" s="1" t="s">
        <v>266</v>
      </c>
      <c r="C398" s="123">
        <f>C396</f>
        <v>1272</v>
      </c>
      <c r="D398" s="187">
        <f>D396</f>
        <v>2544</v>
      </c>
      <c r="F398" s="123"/>
      <c r="G398" s="123"/>
      <c r="H398" s="123"/>
    </row>
    <row r="399" spans="1:9" x14ac:dyDescent="0.2">
      <c r="C399" s="29"/>
      <c r="D399" s="50"/>
      <c r="F399" s="6"/>
      <c r="G399" s="6"/>
      <c r="H399" s="6"/>
    </row>
    <row r="400" spans="1:9" x14ac:dyDescent="0.2">
      <c r="C400" s="158"/>
      <c r="D400" s="48"/>
      <c r="F400" s="6"/>
      <c r="G400" s="6"/>
      <c r="H400" s="6"/>
    </row>
    <row r="401" spans="1:8" x14ac:dyDescent="0.2">
      <c r="A401" t="s">
        <v>254</v>
      </c>
      <c r="C401" s="29"/>
      <c r="D401" s="50"/>
      <c r="F401" s="29"/>
      <c r="G401" s="29"/>
      <c r="H401" s="29"/>
    </row>
    <row r="402" spans="1:8" x14ac:dyDescent="0.2">
      <c r="A402" s="183" t="s">
        <v>258</v>
      </c>
      <c r="C402" s="29"/>
      <c r="D402" s="50"/>
      <c r="F402" s="29"/>
      <c r="G402" s="29"/>
      <c r="H402" s="29"/>
    </row>
    <row r="403" spans="1:8" x14ac:dyDescent="0.2">
      <c r="A403" s="191"/>
      <c r="C403" s="29"/>
      <c r="D403" s="50"/>
      <c r="F403" s="6"/>
      <c r="G403" s="6"/>
      <c r="H403" s="6"/>
    </row>
    <row r="404" spans="1:8" x14ac:dyDescent="0.2">
      <c r="A404" s="1" t="s">
        <v>406</v>
      </c>
      <c r="C404" s="123">
        <v>1097</v>
      </c>
      <c r="D404" s="187">
        <v>2194</v>
      </c>
      <c r="F404" s="123"/>
      <c r="G404" s="123"/>
      <c r="H404" s="123"/>
    </row>
    <row r="405" spans="1:8" x14ac:dyDescent="0.2">
      <c r="A405" s="1"/>
      <c r="C405" s="123"/>
      <c r="D405" s="123"/>
      <c r="F405" s="123"/>
      <c r="G405" s="123"/>
      <c r="H405" s="123"/>
    </row>
    <row r="406" spans="1:8" x14ac:dyDescent="0.2">
      <c r="A406" s="494" t="s">
        <v>407</v>
      </c>
      <c r="C406" s="174">
        <f>C408*100/C396</f>
        <v>13.757861635220126</v>
      </c>
      <c r="D406" s="174">
        <f>D408*100/D396</f>
        <v>13.757861635220126</v>
      </c>
      <c r="F406" s="174"/>
      <c r="G406" s="174"/>
      <c r="H406" s="174"/>
    </row>
    <row r="407" spans="1:8" x14ac:dyDescent="0.2">
      <c r="A407" s="1"/>
      <c r="C407" s="29"/>
      <c r="D407" s="50"/>
      <c r="F407" s="6"/>
      <c r="G407" s="6"/>
      <c r="H407" s="6"/>
    </row>
    <row r="408" spans="1:8" ht="15.75" x14ac:dyDescent="0.25">
      <c r="A408" s="184" t="s">
        <v>405</v>
      </c>
      <c r="C408" s="123">
        <f>C398-C404</f>
        <v>175</v>
      </c>
      <c r="D408" s="187">
        <f>D398-D404</f>
        <v>350</v>
      </c>
      <c r="F408" s="123"/>
      <c r="G408" s="123"/>
      <c r="H408" s="123"/>
    </row>
    <row r="409" spans="1:8" x14ac:dyDescent="0.2">
      <c r="A409" s="183"/>
      <c r="C409" s="29"/>
      <c r="D409" s="50"/>
      <c r="F409" s="6"/>
      <c r="G409" s="6"/>
      <c r="H409" s="6"/>
    </row>
    <row r="410" spans="1:8" x14ac:dyDescent="0.2">
      <c r="A410" s="183" t="s">
        <v>259</v>
      </c>
      <c r="B410">
        <v>12</v>
      </c>
      <c r="C410" s="29">
        <v>7</v>
      </c>
      <c r="D410" s="50">
        <v>13</v>
      </c>
      <c r="F410" s="29"/>
      <c r="G410" s="29"/>
      <c r="H410" s="29"/>
    </row>
    <row r="411" spans="1:8" x14ac:dyDescent="0.2">
      <c r="A411" s="183" t="s">
        <v>260</v>
      </c>
      <c r="B411">
        <v>75</v>
      </c>
      <c r="C411" s="29">
        <v>52</v>
      </c>
      <c r="D411" s="50">
        <v>104</v>
      </c>
      <c r="F411" s="29"/>
      <c r="G411" s="29"/>
      <c r="H411" s="29"/>
    </row>
    <row r="412" spans="1:8" x14ac:dyDescent="0.2">
      <c r="A412" s="183" t="s">
        <v>268</v>
      </c>
      <c r="B412">
        <v>32</v>
      </c>
      <c r="C412" s="29">
        <v>26</v>
      </c>
      <c r="D412" s="50">
        <v>51</v>
      </c>
      <c r="F412" s="29"/>
      <c r="G412" s="29"/>
      <c r="H412" s="29"/>
    </row>
    <row r="413" spans="1:8" x14ac:dyDescent="0.2">
      <c r="A413" s="183" t="s">
        <v>261</v>
      </c>
      <c r="B413">
        <v>45</v>
      </c>
      <c r="C413" s="674">
        <v>23</v>
      </c>
      <c r="D413" s="50">
        <v>45</v>
      </c>
      <c r="F413" s="30"/>
      <c r="G413" s="30"/>
      <c r="H413" s="30"/>
    </row>
    <row r="414" spans="1:8" x14ac:dyDescent="0.2">
      <c r="C414" s="29"/>
      <c r="D414" s="50"/>
      <c r="F414" s="6"/>
      <c r="G414" s="6"/>
      <c r="H414" s="6"/>
    </row>
    <row r="415" spans="1:8" x14ac:dyDescent="0.2">
      <c r="A415" s="1" t="s">
        <v>267</v>
      </c>
      <c r="C415" s="123">
        <f>SUM(C410:C413)</f>
        <v>108</v>
      </c>
      <c r="D415" s="187">
        <f>SUM(D410:D413)</f>
        <v>213</v>
      </c>
      <c r="F415" s="123"/>
      <c r="G415" s="123"/>
      <c r="H415" s="123"/>
    </row>
    <row r="416" spans="1:8" x14ac:dyDescent="0.2">
      <c r="C416" s="29"/>
      <c r="D416" s="50"/>
      <c r="F416" s="6"/>
      <c r="G416" s="6"/>
      <c r="H416" s="6"/>
    </row>
    <row r="417" spans="1:8" x14ac:dyDescent="0.2">
      <c r="C417" s="29"/>
      <c r="D417" s="50"/>
      <c r="F417" s="6"/>
      <c r="G417" s="6"/>
      <c r="H417" s="6"/>
    </row>
    <row r="418" spans="1:8" ht="15.75" x14ac:dyDescent="0.25">
      <c r="A418" s="184" t="s">
        <v>255</v>
      </c>
      <c r="C418" s="123">
        <f>C408-C415</f>
        <v>67</v>
      </c>
      <c r="D418" s="187">
        <f>D408-D415</f>
        <v>137</v>
      </c>
      <c r="F418" s="123"/>
      <c r="G418" s="123"/>
      <c r="H418" s="123"/>
    </row>
    <row r="419" spans="1:8" x14ac:dyDescent="0.2">
      <c r="C419" s="29"/>
      <c r="D419" s="50"/>
      <c r="F419" s="6"/>
      <c r="G419" s="6"/>
      <c r="H419" s="6"/>
    </row>
    <row r="420" spans="1:8" x14ac:dyDescent="0.2">
      <c r="A420" s="183" t="s">
        <v>262</v>
      </c>
      <c r="B420">
        <v>48</v>
      </c>
      <c r="C420" s="29">
        <v>52</v>
      </c>
      <c r="D420" s="50">
        <v>104</v>
      </c>
      <c r="F420" s="29"/>
      <c r="G420" s="29"/>
      <c r="H420" s="29"/>
    </row>
    <row r="421" spans="1:8" x14ac:dyDescent="0.2">
      <c r="A421" s="183" t="s">
        <v>263</v>
      </c>
      <c r="C421" s="29"/>
      <c r="D421" s="50"/>
      <c r="F421" s="29"/>
      <c r="G421" s="29"/>
      <c r="H421" s="29"/>
    </row>
    <row r="422" spans="1:8" x14ac:dyDescent="0.2">
      <c r="A422" s="183" t="s">
        <v>264</v>
      </c>
      <c r="C422" s="29"/>
      <c r="D422" s="50"/>
      <c r="F422" s="675"/>
      <c r="G422" s="6"/>
      <c r="H422" s="6"/>
    </row>
    <row r="423" spans="1:8" x14ac:dyDescent="0.2">
      <c r="C423" s="29"/>
      <c r="D423" s="50"/>
      <c r="F423" s="6"/>
      <c r="G423" s="6"/>
      <c r="H423" s="6"/>
    </row>
    <row r="424" spans="1:8" x14ac:dyDescent="0.2">
      <c r="C424" s="29"/>
      <c r="D424" s="50"/>
      <c r="F424" s="6"/>
      <c r="G424" s="6"/>
      <c r="H424" s="6"/>
    </row>
    <row r="425" spans="1:8" ht="15.75" x14ac:dyDescent="0.25">
      <c r="A425" s="184" t="s">
        <v>256</v>
      </c>
      <c r="C425" s="123">
        <f>C418-C420+C421-C422</f>
        <v>15</v>
      </c>
      <c r="D425" s="187">
        <f>D418-D420+D421-D422</f>
        <v>33</v>
      </c>
      <c r="F425" s="123"/>
      <c r="G425" s="123"/>
      <c r="H425" s="123"/>
    </row>
    <row r="426" spans="1:8" x14ac:dyDescent="0.2">
      <c r="C426" s="29"/>
      <c r="D426" s="50"/>
      <c r="F426" s="6"/>
      <c r="G426" s="6"/>
      <c r="H426" s="6"/>
    </row>
    <row r="427" spans="1:8" x14ac:dyDescent="0.2">
      <c r="A427" s="183" t="s">
        <v>265</v>
      </c>
      <c r="C427" s="29">
        <v>8</v>
      </c>
      <c r="D427" s="50">
        <v>19</v>
      </c>
      <c r="F427" s="570"/>
      <c r="G427" s="570"/>
      <c r="H427" s="570"/>
    </row>
    <row r="428" spans="1:8" x14ac:dyDescent="0.2">
      <c r="C428" s="29"/>
      <c r="D428" s="50"/>
      <c r="F428" s="6"/>
      <c r="G428" s="6"/>
      <c r="H428" s="6"/>
    </row>
    <row r="429" spans="1:8" ht="15.75" x14ac:dyDescent="0.25">
      <c r="A429" s="184" t="s">
        <v>257</v>
      </c>
      <c r="C429" s="123">
        <f>C425-C427</f>
        <v>7</v>
      </c>
      <c r="D429" s="187">
        <f>D425-D427</f>
        <v>14</v>
      </c>
      <c r="F429" s="123"/>
      <c r="G429" s="123"/>
      <c r="H429" s="123"/>
    </row>
    <row r="430" spans="1:8" ht="15.75" x14ac:dyDescent="0.25">
      <c r="A430" s="184"/>
      <c r="C430" s="123"/>
      <c r="D430" s="123"/>
      <c r="F430" s="6"/>
      <c r="G430" s="6"/>
      <c r="H430" s="6"/>
    </row>
    <row r="431" spans="1:8" x14ac:dyDescent="0.2">
      <c r="C431" s="158">
        <f>C429*100/C396</f>
        <v>0.55031446540880502</v>
      </c>
      <c r="D431" s="48">
        <f>D429*100/D396</f>
        <v>0.55031446540880502</v>
      </c>
      <c r="F431" s="158"/>
      <c r="G431" s="158"/>
      <c r="H431" s="158"/>
    </row>
    <row r="435" spans="1:5" x14ac:dyDescent="0.2">
      <c r="A435" s="1" t="s">
        <v>856</v>
      </c>
    </row>
    <row r="436" spans="1:5" x14ac:dyDescent="0.2">
      <c r="A436" s="54"/>
    </row>
    <row r="437" spans="1:5" x14ac:dyDescent="0.2">
      <c r="A437" s="1"/>
      <c r="B437" s="676" t="s">
        <v>854</v>
      </c>
      <c r="C437" s="676" t="s">
        <v>851</v>
      </c>
      <c r="D437" s="676" t="s">
        <v>855</v>
      </c>
    </row>
    <row r="438" spans="1:5" x14ac:dyDescent="0.2">
      <c r="A438" s="483" t="s">
        <v>865</v>
      </c>
      <c r="B438" s="677">
        <v>5400</v>
      </c>
      <c r="C438" s="677"/>
      <c r="D438" s="678">
        <v>3000</v>
      </c>
      <c r="E438" s="483"/>
    </row>
    <row r="439" spans="1:5" x14ac:dyDescent="0.2">
      <c r="A439" s="483" t="s">
        <v>866</v>
      </c>
      <c r="B439" s="677">
        <v>180</v>
      </c>
      <c r="C439" s="677"/>
      <c r="D439" s="678">
        <v>200</v>
      </c>
    </row>
    <row r="440" spans="1:5" x14ac:dyDescent="0.2">
      <c r="A440" s="483" t="s">
        <v>867</v>
      </c>
      <c r="B440" s="677">
        <v>1475</v>
      </c>
      <c r="C440" s="677"/>
      <c r="D440" s="678">
        <v>4888</v>
      </c>
    </row>
    <row r="441" spans="1:5" x14ac:dyDescent="0.2">
      <c r="A441" s="483" t="s">
        <v>868</v>
      </c>
      <c r="B441" s="677">
        <v>160</v>
      </c>
      <c r="C441" s="677"/>
      <c r="D441" s="678">
        <v>187</v>
      </c>
    </row>
    <row r="442" spans="1:5" x14ac:dyDescent="0.2">
      <c r="A442" s="483" t="s">
        <v>869</v>
      </c>
      <c r="B442" s="677">
        <v>1026</v>
      </c>
      <c r="C442" s="677"/>
      <c r="D442" s="678">
        <v>1107</v>
      </c>
    </row>
    <row r="443" spans="1:5" x14ac:dyDescent="0.2">
      <c r="A443" s="483" t="s">
        <v>858</v>
      </c>
      <c r="B443" s="677">
        <f>2566.396+1500</f>
        <v>4066.3960000000002</v>
      </c>
      <c r="C443" s="677"/>
      <c r="D443" s="678">
        <f>2112+2952</f>
        <v>5064</v>
      </c>
    </row>
    <row r="444" spans="1:5" x14ac:dyDescent="0.2">
      <c r="A444" s="483" t="s">
        <v>857</v>
      </c>
      <c r="B444" s="677">
        <v>0</v>
      </c>
      <c r="D444" s="678">
        <v>0</v>
      </c>
    </row>
    <row r="446" spans="1:5" x14ac:dyDescent="0.2">
      <c r="A446" s="1" t="s">
        <v>859</v>
      </c>
    </row>
    <row r="447" spans="1:5" x14ac:dyDescent="0.2">
      <c r="A447" s="54"/>
    </row>
    <row r="448" spans="1:5" x14ac:dyDescent="0.2">
      <c r="A448" s="483" t="s">
        <v>860</v>
      </c>
      <c r="B448" s="677">
        <v>63547.696000000004</v>
      </c>
      <c r="D448" s="678">
        <v>88041.498999999996</v>
      </c>
    </row>
    <row r="449" spans="1:4" x14ac:dyDescent="0.2">
      <c r="A449" s="483" t="s">
        <v>861</v>
      </c>
      <c r="B449" s="677">
        <v>10847.592000000001</v>
      </c>
      <c r="D449" s="678">
        <v>15028.683000000001</v>
      </c>
    </row>
    <row r="451" spans="1:4" x14ac:dyDescent="0.2">
      <c r="A451" s="1" t="s">
        <v>862</v>
      </c>
    </row>
    <row r="452" spans="1:4" x14ac:dyDescent="0.2">
      <c r="A452" s="1"/>
    </row>
    <row r="453" spans="1:4" x14ac:dyDescent="0.2">
      <c r="A453" s="483" t="s">
        <v>918</v>
      </c>
      <c r="B453" s="677">
        <v>5831.99</v>
      </c>
      <c r="D453">
        <v>14000</v>
      </c>
    </row>
    <row r="456" spans="1:4" x14ac:dyDescent="0.2">
      <c r="A456" s="1" t="s">
        <v>863</v>
      </c>
    </row>
    <row r="459" spans="1:4" x14ac:dyDescent="0.2">
      <c r="A459" s="483" t="s">
        <v>371</v>
      </c>
      <c r="B459" s="677">
        <v>44173.491000000002</v>
      </c>
      <c r="D459" s="677">
        <v>45253.535000000003</v>
      </c>
    </row>
    <row r="460" spans="1:4" x14ac:dyDescent="0.2">
      <c r="A460" s="483" t="s">
        <v>864</v>
      </c>
      <c r="B460" s="677">
        <v>500</v>
      </c>
      <c r="D460" s="677">
        <v>500</v>
      </c>
    </row>
    <row r="461" spans="1:4" x14ac:dyDescent="0.2">
      <c r="A461" s="483" t="s">
        <v>62</v>
      </c>
      <c r="B461" s="677">
        <v>5000</v>
      </c>
      <c r="D461" s="677">
        <v>5000</v>
      </c>
    </row>
    <row r="462" spans="1:4" x14ac:dyDescent="0.2">
      <c r="A462" s="483" t="s">
        <v>916</v>
      </c>
      <c r="B462" s="677">
        <v>1000</v>
      </c>
      <c r="D462" s="677">
        <v>1000</v>
      </c>
    </row>
    <row r="463" spans="1:4" x14ac:dyDescent="0.2">
      <c r="A463" s="483" t="s">
        <v>917</v>
      </c>
      <c r="B463" s="677">
        <v>1200</v>
      </c>
      <c r="D463" s="677">
        <v>1200</v>
      </c>
    </row>
    <row r="464" spans="1:4" x14ac:dyDescent="0.2">
      <c r="B464" s="677"/>
      <c r="D464" s="677"/>
    </row>
    <row r="465" spans="2:2" x14ac:dyDescent="0.2">
      <c r="B465" s="677"/>
    </row>
    <row r="500" spans="1:10" x14ac:dyDescent="0.2">
      <c r="I500" s="48"/>
      <c r="J500" s="48"/>
    </row>
    <row r="501" spans="1:10" ht="18" x14ac:dyDescent="0.25">
      <c r="A501" s="208" t="s">
        <v>761</v>
      </c>
      <c r="I501" s="48"/>
      <c r="J501" s="48"/>
    </row>
    <row r="502" spans="1:10" ht="18" x14ac:dyDescent="0.25">
      <c r="A502" s="208" t="s">
        <v>762</v>
      </c>
      <c r="I502" s="48"/>
      <c r="J502" s="48"/>
    </row>
    <row r="503" spans="1:10" ht="18" x14ac:dyDescent="0.25">
      <c r="A503" s="185"/>
    </row>
    <row r="505" spans="1:10" x14ac:dyDescent="0.2">
      <c r="C505" s="186"/>
      <c r="D505" s="186"/>
      <c r="E505" s="186"/>
      <c r="F505" s="186"/>
      <c r="G505" s="186"/>
      <c r="H505" s="186" t="s">
        <v>269</v>
      </c>
    </row>
    <row r="507" spans="1:10" ht="15.75" x14ac:dyDescent="0.25">
      <c r="B507" s="192" t="s">
        <v>763</v>
      </c>
      <c r="C507" s="216"/>
      <c r="D507" s="216"/>
      <c r="E507" s="216"/>
      <c r="F507" s="928"/>
      <c r="G507" s="368"/>
      <c r="H507" s="368" t="s">
        <v>372</v>
      </c>
    </row>
    <row r="508" spans="1:10" ht="15.75" x14ac:dyDescent="0.25">
      <c r="B508" s="188">
        <v>2008</v>
      </c>
      <c r="C508" s="256">
        <v>2009</v>
      </c>
      <c r="D508" s="256">
        <v>2010</v>
      </c>
      <c r="E508" s="355">
        <v>2011</v>
      </c>
      <c r="F508" s="356">
        <v>2012</v>
      </c>
      <c r="G508" s="356"/>
      <c r="H508" s="356">
        <v>2013</v>
      </c>
    </row>
    <row r="509" spans="1:10" x14ac:dyDescent="0.2">
      <c r="B509" s="89"/>
      <c r="C509" s="929"/>
      <c r="D509" s="929"/>
      <c r="E509" s="929"/>
      <c r="F509" s="929"/>
      <c r="G509" s="929"/>
      <c r="H509" s="929"/>
    </row>
    <row r="511" spans="1:10" x14ac:dyDescent="0.2">
      <c r="B511" s="50"/>
      <c r="C511" s="50"/>
      <c r="D511" s="50"/>
      <c r="E511" s="50"/>
    </row>
    <row r="512" spans="1:10" x14ac:dyDescent="0.2">
      <c r="A512" t="s">
        <v>252</v>
      </c>
      <c r="B512" s="50">
        <v>7624</v>
      </c>
      <c r="C512" s="50">
        <v>7730</v>
      </c>
      <c r="D512" s="50">
        <v>9842</v>
      </c>
      <c r="E512" s="50">
        <v>13100</v>
      </c>
      <c r="F512" s="50">
        <v>15113</v>
      </c>
      <c r="G512" s="50"/>
      <c r="H512" s="50">
        <v>17000</v>
      </c>
    </row>
    <row r="513" spans="1:8" x14ac:dyDescent="0.2">
      <c r="B513" s="50"/>
      <c r="C513" s="50"/>
      <c r="D513" s="50"/>
      <c r="E513" s="50"/>
    </row>
    <row r="514" spans="1:8" x14ac:dyDescent="0.2">
      <c r="A514" s="1" t="s">
        <v>266</v>
      </c>
      <c r="B514" s="187">
        <f>B512</f>
        <v>7624</v>
      </c>
      <c r="C514" s="187">
        <f>C512</f>
        <v>7730</v>
      </c>
      <c r="D514" s="187">
        <f>D512</f>
        <v>9842</v>
      </c>
      <c r="E514" s="187">
        <f>E512</f>
        <v>13100</v>
      </c>
      <c r="F514" s="187">
        <f>F512</f>
        <v>15113</v>
      </c>
      <c r="G514" s="187"/>
      <c r="H514" s="187">
        <f>H512</f>
        <v>17000</v>
      </c>
    </row>
    <row r="515" spans="1:8" x14ac:dyDescent="0.2">
      <c r="B515" s="50"/>
      <c r="C515" s="50"/>
      <c r="D515" s="50"/>
      <c r="E515" s="50"/>
    </row>
    <row r="516" spans="1:8" x14ac:dyDescent="0.2">
      <c r="B516" s="48"/>
      <c r="C516" s="48"/>
      <c r="D516" s="48"/>
      <c r="E516" s="48"/>
    </row>
    <row r="517" spans="1:8" x14ac:dyDescent="0.2">
      <c r="A517" t="s">
        <v>254</v>
      </c>
      <c r="B517" s="50">
        <v>-244</v>
      </c>
      <c r="C517" s="50">
        <v>-384</v>
      </c>
      <c r="D517" s="50">
        <v>-1217</v>
      </c>
      <c r="E517" s="50">
        <v>-432</v>
      </c>
      <c r="F517" s="50">
        <v>0</v>
      </c>
      <c r="G517" s="50"/>
      <c r="H517" s="50">
        <v>0</v>
      </c>
    </row>
    <row r="518" spans="1:8" x14ac:dyDescent="0.2">
      <c r="A518" s="183" t="s">
        <v>258</v>
      </c>
      <c r="B518" s="50">
        <v>6757</v>
      </c>
      <c r="C518" s="50">
        <v>6869</v>
      </c>
      <c r="D518" s="50">
        <v>9373</v>
      </c>
      <c r="E518" s="50">
        <v>11286</v>
      </c>
      <c r="F518" s="50">
        <f>13771.052-1148.039</f>
        <v>12623.012999999999</v>
      </c>
      <c r="G518" s="50"/>
      <c r="H518" s="50">
        <v>14220</v>
      </c>
    </row>
    <row r="519" spans="1:8" x14ac:dyDescent="0.2">
      <c r="A519" s="191"/>
      <c r="B519" s="50"/>
      <c r="C519" s="50"/>
      <c r="D519" s="50"/>
      <c r="E519" s="50"/>
    </row>
    <row r="520" spans="1:8" x14ac:dyDescent="0.2">
      <c r="A520" s="1" t="s">
        <v>406</v>
      </c>
      <c r="B520" s="187">
        <f>B517+B518</f>
        <v>6513</v>
      </c>
      <c r="C520" s="187">
        <f>C517+C518</f>
        <v>6485</v>
      </c>
      <c r="D520" s="187">
        <f>D517+D518</f>
        <v>8156</v>
      </c>
      <c r="E520" s="187">
        <f>E517+E518</f>
        <v>10854</v>
      </c>
      <c r="F520" s="187">
        <f>F517+F518</f>
        <v>12623.012999999999</v>
      </c>
      <c r="G520" s="187"/>
      <c r="H520" s="187">
        <f>H517+H518</f>
        <v>14220</v>
      </c>
    </row>
    <row r="521" spans="1:8" x14ac:dyDescent="0.2">
      <c r="A521" s="1"/>
      <c r="B521" s="123"/>
      <c r="C521" s="123"/>
      <c r="D521" s="123"/>
      <c r="E521" s="123"/>
      <c r="F521" s="123"/>
      <c r="G521" s="123"/>
      <c r="H521" s="123"/>
    </row>
    <row r="522" spans="1:8" x14ac:dyDescent="0.2">
      <c r="A522" s="494" t="s">
        <v>407</v>
      </c>
      <c r="B522" s="174">
        <f>B524*100/B512</f>
        <v>14.572402938090242</v>
      </c>
      <c r="C522" s="174">
        <f>C524*100/C512</f>
        <v>16.106080206985769</v>
      </c>
      <c r="D522" s="174">
        <f>D524*100/D512</f>
        <v>17.130664499085551</v>
      </c>
      <c r="E522" s="174">
        <f>E524*100/E512</f>
        <v>17.145038167938932</v>
      </c>
      <c r="F522" s="174">
        <f>F524*100/F512</f>
        <v>16.475795672599755</v>
      </c>
      <c r="G522" s="174"/>
      <c r="H522" s="174">
        <f>H524*100/H512</f>
        <v>16.352941176470587</v>
      </c>
    </row>
    <row r="523" spans="1:8" x14ac:dyDescent="0.2">
      <c r="A523" s="1"/>
      <c r="B523" s="50"/>
      <c r="C523" s="50"/>
      <c r="D523" s="50"/>
      <c r="E523" s="50"/>
    </row>
    <row r="524" spans="1:8" ht="15.75" x14ac:dyDescent="0.25">
      <c r="A524" s="184" t="s">
        <v>405</v>
      </c>
      <c r="B524" s="187">
        <f>B514-B520</f>
        <v>1111</v>
      </c>
      <c r="C524" s="187">
        <f>C514-C520</f>
        <v>1245</v>
      </c>
      <c r="D524" s="187">
        <f>D514-D520</f>
        <v>1686</v>
      </c>
      <c r="E524" s="187">
        <f>E514-E520</f>
        <v>2246</v>
      </c>
      <c r="F524" s="187">
        <f>F514-F520</f>
        <v>2489.987000000001</v>
      </c>
      <c r="G524" s="187"/>
      <c r="H524" s="187">
        <f>H514-H520</f>
        <v>2780</v>
      </c>
    </row>
    <row r="525" spans="1:8" x14ac:dyDescent="0.2">
      <c r="A525" s="183"/>
      <c r="B525" s="50"/>
      <c r="C525" s="50"/>
      <c r="D525" s="50"/>
      <c r="E525" s="50"/>
    </row>
    <row r="526" spans="1:8" x14ac:dyDescent="0.2">
      <c r="A526" s="183" t="s">
        <v>259</v>
      </c>
      <c r="B526" s="50">
        <v>32</v>
      </c>
      <c r="C526" s="50">
        <v>39</v>
      </c>
      <c r="D526" s="50">
        <v>55</v>
      </c>
      <c r="E526" s="50">
        <v>82</v>
      </c>
      <c r="F526" s="50">
        <v>104</v>
      </c>
      <c r="G526" s="50"/>
      <c r="H526" s="50">
        <v>110</v>
      </c>
    </row>
    <row r="527" spans="1:8" x14ac:dyDescent="0.2">
      <c r="A527" s="183" t="s">
        <v>260</v>
      </c>
      <c r="B527" s="50">
        <v>331</v>
      </c>
      <c r="C527" s="50">
        <v>414</v>
      </c>
      <c r="D527" s="50">
        <v>485</v>
      </c>
      <c r="E527" s="50">
        <v>575</v>
      </c>
      <c r="F527" s="50">
        <v>689</v>
      </c>
      <c r="G527" s="50"/>
      <c r="H527" s="50">
        <v>780</v>
      </c>
    </row>
    <row r="528" spans="1:8" x14ac:dyDescent="0.2">
      <c r="A528" s="183" t="s">
        <v>268</v>
      </c>
      <c r="B528" s="50">
        <v>90</v>
      </c>
      <c r="C528" s="50">
        <v>106</v>
      </c>
      <c r="D528" s="50">
        <v>262</v>
      </c>
      <c r="E528" s="50">
        <v>302</v>
      </c>
      <c r="F528" s="50">
        <v>320</v>
      </c>
      <c r="G528" s="50"/>
      <c r="H528" s="50">
        <v>300</v>
      </c>
    </row>
    <row r="529" spans="1:8" x14ac:dyDescent="0.2">
      <c r="A529" s="183" t="s">
        <v>261</v>
      </c>
      <c r="B529" s="50">
        <v>288</v>
      </c>
      <c r="C529" s="190">
        <v>265</v>
      </c>
      <c r="D529" s="190">
        <v>299</v>
      </c>
      <c r="E529" s="190">
        <v>429</v>
      </c>
      <c r="F529" s="30">
        <v>627</v>
      </c>
      <c r="G529" s="30" t="s">
        <v>302</v>
      </c>
      <c r="H529" s="30">
        <v>750</v>
      </c>
    </row>
    <row r="530" spans="1:8" x14ac:dyDescent="0.2">
      <c r="B530" s="50"/>
      <c r="C530" s="50"/>
      <c r="D530" s="50"/>
      <c r="E530" s="50"/>
    </row>
    <row r="531" spans="1:8" x14ac:dyDescent="0.2">
      <c r="A531" s="1" t="s">
        <v>267</v>
      </c>
      <c r="B531" s="187">
        <f>SUM(B526:B529)</f>
        <v>741</v>
      </c>
      <c r="C531" s="187">
        <f>SUM(C526:C529)</f>
        <v>824</v>
      </c>
      <c r="D531" s="187">
        <f>SUM(D526:D529)</f>
        <v>1101</v>
      </c>
      <c r="E531" s="187">
        <f>SUM(E526:E529)</f>
        <v>1388</v>
      </c>
      <c r="F531" s="187">
        <f>SUM(F526:F529)</f>
        <v>1740</v>
      </c>
      <c r="G531" s="187"/>
      <c r="H531" s="187">
        <f>SUM(H526:H529)</f>
        <v>1940</v>
      </c>
    </row>
    <row r="532" spans="1:8" x14ac:dyDescent="0.2">
      <c r="B532" s="50"/>
      <c r="C532" s="50"/>
      <c r="D532" s="50"/>
      <c r="E532" s="50"/>
    </row>
    <row r="533" spans="1:8" x14ac:dyDescent="0.2">
      <c r="B533" s="50"/>
      <c r="C533" s="50"/>
      <c r="D533" s="50"/>
      <c r="E533" s="50"/>
    </row>
    <row r="534" spans="1:8" ht="15.75" x14ac:dyDescent="0.25">
      <c r="A534" s="184" t="s">
        <v>255</v>
      </c>
      <c r="B534" s="187">
        <f>B524-B531</f>
        <v>370</v>
      </c>
      <c r="C534" s="187">
        <f>C524-C531</f>
        <v>421</v>
      </c>
      <c r="D534" s="187">
        <f>D524-D531</f>
        <v>585</v>
      </c>
      <c r="E534" s="187">
        <f>E524-E531</f>
        <v>858</v>
      </c>
      <c r="F534" s="187">
        <f>F524-F531</f>
        <v>749.98700000000099</v>
      </c>
      <c r="G534" s="187"/>
      <c r="H534" s="187">
        <f>H524-H531</f>
        <v>840</v>
      </c>
    </row>
    <row r="535" spans="1:8" x14ac:dyDescent="0.2">
      <c r="B535" s="50"/>
      <c r="C535" s="50"/>
      <c r="D535" s="50"/>
      <c r="E535" s="50"/>
    </row>
    <row r="536" spans="1:8" x14ac:dyDescent="0.2">
      <c r="A536" s="183" t="s">
        <v>262</v>
      </c>
      <c r="B536" s="50">
        <v>142</v>
      </c>
      <c r="C536" s="50">
        <v>126</v>
      </c>
      <c r="D536" s="50">
        <v>206</v>
      </c>
      <c r="E536" s="50">
        <v>378</v>
      </c>
      <c r="F536" s="50">
        <v>534</v>
      </c>
      <c r="G536" s="50" t="s">
        <v>659</v>
      </c>
      <c r="H536" s="50">
        <v>620</v>
      </c>
    </row>
    <row r="537" spans="1:8" x14ac:dyDescent="0.2">
      <c r="A537" s="183" t="s">
        <v>263</v>
      </c>
      <c r="B537" s="50">
        <v>6</v>
      </c>
      <c r="C537" s="50">
        <v>5</v>
      </c>
      <c r="D537" s="50">
        <v>22</v>
      </c>
      <c r="E537" s="50">
        <v>41</v>
      </c>
      <c r="F537" s="50">
        <v>8</v>
      </c>
      <c r="G537" s="50"/>
      <c r="H537" s="50"/>
    </row>
    <row r="538" spans="1:8" x14ac:dyDescent="0.2">
      <c r="A538" s="183" t="s">
        <v>264</v>
      </c>
      <c r="B538" s="50"/>
      <c r="C538" s="50"/>
      <c r="D538" s="50">
        <v>1</v>
      </c>
      <c r="E538" s="50"/>
      <c r="F538" s="480">
        <v>2</v>
      </c>
    </row>
    <row r="539" spans="1:8" x14ac:dyDescent="0.2">
      <c r="B539" s="50"/>
      <c r="C539" s="50"/>
      <c r="D539" s="50"/>
      <c r="E539" s="50"/>
    </row>
    <row r="540" spans="1:8" x14ac:dyDescent="0.2">
      <c r="B540" s="50"/>
      <c r="C540" s="50"/>
      <c r="D540" s="50"/>
      <c r="E540" s="50"/>
    </row>
    <row r="541" spans="1:8" ht="15.75" x14ac:dyDescent="0.25">
      <c r="A541" s="184" t="s">
        <v>256</v>
      </c>
      <c r="B541" s="187">
        <f>B534-B536+B537-B538</f>
        <v>234</v>
      </c>
      <c r="C541" s="187">
        <f>C534-C536+C537-C538</f>
        <v>300</v>
      </c>
      <c r="D541" s="187">
        <f>D534-D536+D537-D538</f>
        <v>400</v>
      </c>
      <c r="E541" s="187">
        <f>E534-E536+E537-E538</f>
        <v>521</v>
      </c>
      <c r="F541" s="187">
        <f>F534-F536+F537-F538</f>
        <v>221.98700000000099</v>
      </c>
      <c r="G541" s="187"/>
      <c r="H541" s="187">
        <f>H534-H536+H537-H538</f>
        <v>220</v>
      </c>
    </row>
    <row r="542" spans="1:8" x14ac:dyDescent="0.2">
      <c r="B542" s="50"/>
      <c r="C542" s="50"/>
      <c r="D542" s="50"/>
      <c r="E542" s="50"/>
    </row>
    <row r="543" spans="1:8" x14ac:dyDescent="0.2">
      <c r="A543" s="183" t="s">
        <v>265</v>
      </c>
      <c r="B543" s="50">
        <v>70</v>
      </c>
      <c r="C543" s="50">
        <v>97</v>
      </c>
      <c r="D543" s="50">
        <v>123</v>
      </c>
      <c r="E543" s="50">
        <v>156</v>
      </c>
      <c r="F543" s="42">
        <v>90</v>
      </c>
      <c r="G543" s="42"/>
      <c r="H543" s="42">
        <f>H541*0.3</f>
        <v>66</v>
      </c>
    </row>
    <row r="544" spans="1:8" x14ac:dyDescent="0.2">
      <c r="B544" s="50"/>
      <c r="C544" s="50"/>
      <c r="D544" s="50"/>
      <c r="E544" s="50"/>
    </row>
    <row r="545" spans="1:8" ht="15.75" x14ac:dyDescent="0.25">
      <c r="A545" s="184" t="s">
        <v>257</v>
      </c>
      <c r="B545" s="187">
        <f>B541-B543</f>
        <v>164</v>
      </c>
      <c r="C545" s="187">
        <f>C541-C543</f>
        <v>203</v>
      </c>
      <c r="D545" s="187">
        <f>D541-D543</f>
        <v>277</v>
      </c>
      <c r="E545" s="187">
        <f>E541-E543</f>
        <v>365</v>
      </c>
      <c r="F545" s="187">
        <f>F541-F543</f>
        <v>131.98700000000099</v>
      </c>
      <c r="G545" s="187"/>
      <c r="H545" s="187">
        <f>H541-H543</f>
        <v>154</v>
      </c>
    </row>
    <row r="546" spans="1:8" ht="15.75" x14ac:dyDescent="0.25">
      <c r="A546" s="184"/>
      <c r="B546" s="123"/>
      <c r="C546" s="123"/>
      <c r="D546" s="123"/>
      <c r="E546" s="123"/>
    </row>
    <row r="547" spans="1:8" x14ac:dyDescent="0.2">
      <c r="B547" s="48">
        <f>B545*100/B512</f>
        <v>2.1511017838405038</v>
      </c>
      <c r="C547" s="48">
        <f>C545*100/C512</f>
        <v>2.6261319534282017</v>
      </c>
      <c r="D547" s="48">
        <f>D545*100/D512</f>
        <v>2.8144686039422884</v>
      </c>
      <c r="E547" s="48">
        <f>E545*100/E512</f>
        <v>2.7862595419847329</v>
      </c>
      <c r="F547" s="48">
        <f>F545*100/F512</f>
        <v>0.87333421557600077</v>
      </c>
      <c r="G547" s="48"/>
      <c r="H547" s="48">
        <f>H545*100/H512</f>
        <v>0.90588235294117647</v>
      </c>
    </row>
    <row r="549" spans="1:8" x14ac:dyDescent="0.2">
      <c r="A549" t="s">
        <v>772</v>
      </c>
    </row>
    <row r="550" spans="1:8" x14ac:dyDescent="0.2">
      <c r="A550" t="s">
        <v>773</v>
      </c>
    </row>
    <row r="553" spans="1:8" x14ac:dyDescent="0.2">
      <c r="A553" t="s">
        <v>758</v>
      </c>
    </row>
    <row r="555" spans="1:8" x14ac:dyDescent="0.2">
      <c r="A555" t="s">
        <v>759</v>
      </c>
    </row>
    <row r="556" spans="1:8" x14ac:dyDescent="0.2">
      <c r="A556" s="422" t="s">
        <v>774</v>
      </c>
      <c r="B556" s="930"/>
    </row>
  </sheetData>
  <mergeCells count="2">
    <mergeCell ref="B392:F393"/>
    <mergeCell ref="A391:E391"/>
  </mergeCells>
  <pageMargins left="2.0866141732283467" right="0.70866141732283472" top="0.74803149606299213" bottom="0.74803149606299213" header="0.31496062992125984" footer="0.31496062992125984"/>
  <pageSetup paperSize="9" scale="51" orientation="landscape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pageSetUpPr fitToPage="1"/>
  </sheetPr>
  <dimension ref="A5:D90"/>
  <sheetViews>
    <sheetView workbookViewId="0">
      <selection activeCell="F27" sqref="F27"/>
    </sheetView>
  </sheetViews>
  <sheetFormatPr defaultColWidth="11.42578125" defaultRowHeight="12.75" x14ac:dyDescent="0.2"/>
  <cols>
    <col min="1" max="1" width="3.85546875" customWidth="1"/>
    <col min="2" max="2" width="49.42578125" customWidth="1"/>
    <col min="3" max="3" width="13.85546875" customWidth="1"/>
    <col min="4" max="4" width="32.5703125" customWidth="1"/>
  </cols>
  <sheetData>
    <row r="5" spans="2:4" x14ac:dyDescent="0.2">
      <c r="D5" s="483" t="s">
        <v>995</v>
      </c>
    </row>
    <row r="11" spans="2:4" ht="18" x14ac:dyDescent="0.25">
      <c r="B11" s="257" t="s">
        <v>989</v>
      </c>
    </row>
    <row r="15" spans="2:4" ht="12.75" customHeight="1" x14ac:dyDescent="0.2">
      <c r="B15" s="1762" t="s">
        <v>990</v>
      </c>
      <c r="C15" s="1762" t="s">
        <v>980</v>
      </c>
      <c r="D15" s="1762" t="s">
        <v>981</v>
      </c>
    </row>
    <row r="16" spans="2:4" ht="15.75" customHeight="1" x14ac:dyDescent="0.2">
      <c r="B16" s="1763"/>
      <c r="C16" s="1763"/>
      <c r="D16" s="1763"/>
    </row>
    <row r="17" spans="1:4" ht="12.75" customHeight="1" x14ac:dyDescent="0.2">
      <c r="B17" s="1763"/>
      <c r="C17" s="1763"/>
      <c r="D17" s="1763"/>
    </row>
    <row r="18" spans="1:4" ht="12.75" customHeight="1" x14ac:dyDescent="0.2">
      <c r="B18" s="1764"/>
      <c r="C18" s="1764"/>
      <c r="D18" s="1764"/>
    </row>
    <row r="19" spans="1:4" x14ac:dyDescent="0.2">
      <c r="A19" s="924"/>
      <c r="B19" s="255"/>
      <c r="C19" s="66"/>
      <c r="D19" s="255"/>
    </row>
    <row r="20" spans="1:4" x14ac:dyDescent="0.2">
      <c r="A20" s="924"/>
      <c r="B20" s="66"/>
      <c r="C20" s="258"/>
      <c r="D20" s="66"/>
    </row>
    <row r="21" spans="1:4" x14ac:dyDescent="0.2">
      <c r="A21" s="924">
        <v>1</v>
      </c>
      <c r="B21" s="66" t="s">
        <v>971</v>
      </c>
      <c r="C21" s="258">
        <v>29432.812999999998</v>
      </c>
      <c r="D21" s="73" t="s">
        <v>984</v>
      </c>
    </row>
    <row r="22" spans="1:4" x14ac:dyDescent="0.2">
      <c r="A22" s="924"/>
      <c r="B22" s="66"/>
      <c r="C22" s="258"/>
      <c r="D22" s="66"/>
    </row>
    <row r="23" spans="1:4" x14ac:dyDescent="0.2">
      <c r="A23" s="924"/>
      <c r="B23" s="66"/>
      <c r="C23" s="258"/>
      <c r="D23" s="66"/>
    </row>
    <row r="24" spans="1:4" x14ac:dyDescent="0.2">
      <c r="A24" s="924"/>
      <c r="B24" s="204"/>
      <c r="C24" s="258"/>
      <c r="D24" s="66"/>
    </row>
    <row r="25" spans="1:4" x14ac:dyDescent="0.2">
      <c r="A25" s="924"/>
      <c r="B25" s="66"/>
      <c r="C25" s="258"/>
      <c r="D25" s="66"/>
    </row>
    <row r="26" spans="1:4" x14ac:dyDescent="0.2">
      <c r="A26" s="924">
        <v>2</v>
      </c>
      <c r="B26" s="66" t="s">
        <v>977</v>
      </c>
      <c r="C26" s="258">
        <v>17499.168000000001</v>
      </c>
      <c r="D26" s="73" t="s">
        <v>985</v>
      </c>
    </row>
    <row r="27" spans="1:4" x14ac:dyDescent="0.2">
      <c r="A27" s="924"/>
      <c r="B27" s="66"/>
      <c r="C27" s="258"/>
      <c r="D27" s="66"/>
    </row>
    <row r="28" spans="1:4" x14ac:dyDescent="0.2">
      <c r="A28" s="924"/>
      <c r="B28" s="66"/>
      <c r="C28" s="258"/>
      <c r="D28" s="66"/>
    </row>
    <row r="29" spans="1:4" x14ac:dyDescent="0.2">
      <c r="A29" s="924"/>
      <c r="B29" s="66"/>
      <c r="C29" s="258"/>
      <c r="D29" s="66"/>
    </row>
    <row r="30" spans="1:4" x14ac:dyDescent="0.2">
      <c r="A30" s="924"/>
      <c r="B30" s="66"/>
      <c r="C30" s="258"/>
      <c r="D30" s="66"/>
    </row>
    <row r="31" spans="1:4" x14ac:dyDescent="0.2">
      <c r="A31" s="924">
        <v>3</v>
      </c>
      <c r="B31" s="66" t="s">
        <v>368</v>
      </c>
      <c r="C31" s="258">
        <v>7010</v>
      </c>
      <c r="D31" s="73" t="s">
        <v>986</v>
      </c>
    </row>
    <row r="32" spans="1:4" x14ac:dyDescent="0.2">
      <c r="A32" s="924"/>
      <c r="B32" s="66"/>
      <c r="C32" s="258"/>
      <c r="D32" s="66"/>
    </row>
    <row r="33" spans="1:4" x14ac:dyDescent="0.2">
      <c r="A33" s="924"/>
      <c r="B33" s="66"/>
      <c r="C33" s="258"/>
      <c r="D33" s="66"/>
    </row>
    <row r="34" spans="1:4" x14ac:dyDescent="0.2">
      <c r="A34" s="924">
        <v>4</v>
      </c>
      <c r="B34" s="66" t="s">
        <v>369</v>
      </c>
      <c r="C34" s="258">
        <v>153475.26699999999</v>
      </c>
      <c r="D34" s="73" t="s">
        <v>987</v>
      </c>
    </row>
    <row r="35" spans="1:4" x14ac:dyDescent="0.2">
      <c r="A35" s="924"/>
      <c r="B35" s="66"/>
      <c r="C35" s="258"/>
      <c r="D35" s="66"/>
    </row>
    <row r="36" spans="1:4" x14ac:dyDescent="0.2">
      <c r="A36" s="924"/>
      <c r="B36" s="66" t="s">
        <v>973</v>
      </c>
      <c r="C36" s="258"/>
      <c r="D36" s="66"/>
    </row>
    <row r="37" spans="1:4" x14ac:dyDescent="0.2">
      <c r="A37" s="924"/>
      <c r="B37" s="66" t="s">
        <v>974</v>
      </c>
      <c r="C37" s="258"/>
      <c r="D37" s="66"/>
    </row>
    <row r="38" spans="1:4" x14ac:dyDescent="0.2">
      <c r="A38" s="924"/>
      <c r="B38" s="66" t="s">
        <v>975</v>
      </c>
      <c r="C38" s="258"/>
      <c r="D38" s="66"/>
    </row>
    <row r="39" spans="1:4" x14ac:dyDescent="0.2">
      <c r="A39" s="924"/>
      <c r="B39" s="66" t="s">
        <v>976</v>
      </c>
      <c r="C39" s="258"/>
      <c r="D39" s="66"/>
    </row>
    <row r="40" spans="1:4" x14ac:dyDescent="0.2">
      <c r="A40" s="924"/>
      <c r="B40" s="66" t="s">
        <v>978</v>
      </c>
      <c r="C40" s="258"/>
      <c r="D40" s="66"/>
    </row>
    <row r="41" spans="1:4" x14ac:dyDescent="0.2">
      <c r="A41" s="924"/>
      <c r="B41" s="66" t="s">
        <v>979</v>
      </c>
      <c r="C41" s="258"/>
      <c r="D41" s="66"/>
    </row>
    <row r="42" spans="1:4" x14ac:dyDescent="0.2">
      <c r="A42" s="924"/>
      <c r="B42" s="66"/>
      <c r="C42" s="258"/>
      <c r="D42" s="66"/>
    </row>
    <row r="43" spans="1:4" x14ac:dyDescent="0.2">
      <c r="A43" s="924"/>
      <c r="B43" s="66"/>
      <c r="C43" s="258"/>
      <c r="D43" s="66"/>
    </row>
    <row r="44" spans="1:4" x14ac:dyDescent="0.2">
      <c r="A44" s="924">
        <v>5</v>
      </c>
      <c r="B44" s="66" t="s">
        <v>972</v>
      </c>
      <c r="C44" s="258">
        <v>13550</v>
      </c>
      <c r="D44" s="73" t="s">
        <v>988</v>
      </c>
    </row>
    <row r="45" spans="1:4" x14ac:dyDescent="0.2">
      <c r="A45" s="924"/>
      <c r="B45" s="66"/>
      <c r="C45" s="258"/>
      <c r="D45" s="66"/>
    </row>
    <row r="46" spans="1:4" x14ac:dyDescent="0.2">
      <c r="A46" s="924"/>
      <c r="B46" s="66"/>
      <c r="C46" s="258"/>
      <c r="D46" s="66"/>
    </row>
    <row r="47" spans="1:4" x14ac:dyDescent="0.2">
      <c r="A47" s="924"/>
      <c r="B47" s="66"/>
      <c r="C47" s="258"/>
      <c r="D47" s="66"/>
    </row>
    <row r="48" spans="1:4" x14ac:dyDescent="0.2">
      <c r="A48" s="924"/>
      <c r="B48" s="66"/>
      <c r="C48" s="76"/>
      <c r="D48" s="923"/>
    </row>
    <row r="49" spans="1:4" x14ac:dyDescent="0.2">
      <c r="A49" s="924"/>
      <c r="B49" s="255"/>
      <c r="C49" s="77"/>
    </row>
    <row r="50" spans="1:4" x14ac:dyDescent="0.2">
      <c r="A50" s="924"/>
      <c r="B50" s="99" t="s">
        <v>370</v>
      </c>
      <c r="C50" s="258">
        <f>SUM(C20:C47)</f>
        <v>220967.24799999999</v>
      </c>
    </row>
    <row r="51" spans="1:4" x14ac:dyDescent="0.2">
      <c r="A51" s="924"/>
      <c r="B51" s="923"/>
      <c r="C51" s="76"/>
    </row>
    <row r="52" spans="1:4" x14ac:dyDescent="0.2">
      <c r="A52" s="924"/>
      <c r="B52" s="6"/>
      <c r="C52" s="91"/>
    </row>
    <row r="53" spans="1:4" x14ac:dyDescent="0.2">
      <c r="A53" s="924"/>
      <c r="B53" s="6"/>
      <c r="C53" s="91"/>
    </row>
    <row r="54" spans="1:4" x14ac:dyDescent="0.2">
      <c r="A54" s="924"/>
      <c r="B54" s="6"/>
      <c r="C54" s="91"/>
    </row>
    <row r="55" spans="1:4" ht="18" x14ac:dyDescent="0.25">
      <c r="A55" s="924"/>
      <c r="B55" s="257"/>
      <c r="C55" s="91"/>
    </row>
    <row r="59" spans="1:4" ht="12.75" customHeight="1" x14ac:dyDescent="0.2">
      <c r="B59" s="1762" t="s">
        <v>990</v>
      </c>
      <c r="C59" s="1762" t="s">
        <v>980</v>
      </c>
      <c r="D59" s="1762" t="s">
        <v>981</v>
      </c>
    </row>
    <row r="60" spans="1:4" ht="15.75" customHeight="1" x14ac:dyDescent="0.2">
      <c r="B60" s="1763"/>
      <c r="C60" s="1763"/>
      <c r="D60" s="1763"/>
    </row>
    <row r="61" spans="1:4" ht="12.75" customHeight="1" x14ac:dyDescent="0.2">
      <c r="B61" s="1763"/>
      <c r="C61" s="1763"/>
      <c r="D61" s="1763"/>
    </row>
    <row r="62" spans="1:4" ht="12.75" customHeight="1" x14ac:dyDescent="0.2">
      <c r="B62" s="1764"/>
      <c r="C62" s="1764"/>
      <c r="D62" s="1764"/>
    </row>
    <row r="63" spans="1:4" ht="12.75" customHeight="1" x14ac:dyDescent="0.2">
      <c r="B63" s="925"/>
      <c r="C63" s="925"/>
      <c r="D63" s="925"/>
    </row>
    <row r="64" spans="1:4" ht="12.75" customHeight="1" x14ac:dyDescent="0.2">
      <c r="B64" s="927" t="s">
        <v>551</v>
      </c>
      <c r="C64" s="926"/>
      <c r="D64" s="926"/>
    </row>
    <row r="65" spans="2:4" x14ac:dyDescent="0.2">
      <c r="B65" s="66" t="s">
        <v>982</v>
      </c>
      <c r="C65" s="66"/>
      <c r="D65" s="66"/>
    </row>
    <row r="66" spans="2:4" x14ac:dyDescent="0.2">
      <c r="B66" s="66" t="s">
        <v>983</v>
      </c>
      <c r="C66" s="66"/>
      <c r="D66" s="66"/>
    </row>
    <row r="67" spans="2:4" x14ac:dyDescent="0.2">
      <c r="B67" s="66"/>
      <c r="C67" s="66"/>
      <c r="D67" s="66"/>
    </row>
    <row r="68" spans="2:4" x14ac:dyDescent="0.2">
      <c r="B68" s="66"/>
      <c r="C68" s="66"/>
      <c r="D68" s="66"/>
    </row>
    <row r="69" spans="2:4" x14ac:dyDescent="0.2">
      <c r="B69" s="927" t="s">
        <v>991</v>
      </c>
      <c r="C69" s="66"/>
      <c r="D69" s="66"/>
    </row>
    <row r="70" spans="2:4" x14ac:dyDescent="0.2">
      <c r="B70" s="66" t="s">
        <v>982</v>
      </c>
      <c r="C70" s="66"/>
      <c r="D70" s="66"/>
    </row>
    <row r="71" spans="2:4" x14ac:dyDescent="0.2">
      <c r="B71" s="66" t="s">
        <v>983</v>
      </c>
      <c r="C71" s="66"/>
      <c r="D71" s="66"/>
    </row>
    <row r="72" spans="2:4" x14ac:dyDescent="0.2">
      <c r="B72" s="66"/>
      <c r="C72" s="66"/>
      <c r="D72" s="66"/>
    </row>
    <row r="73" spans="2:4" x14ac:dyDescent="0.2">
      <c r="B73" s="66"/>
      <c r="C73" s="66"/>
      <c r="D73" s="66"/>
    </row>
    <row r="74" spans="2:4" x14ac:dyDescent="0.2">
      <c r="B74" s="927" t="s">
        <v>992</v>
      </c>
      <c r="C74" s="66"/>
      <c r="D74" s="66"/>
    </row>
    <row r="75" spans="2:4" x14ac:dyDescent="0.2">
      <c r="B75" s="66" t="s">
        <v>982</v>
      </c>
      <c r="C75" s="66"/>
      <c r="D75" s="66"/>
    </row>
    <row r="76" spans="2:4" x14ac:dyDescent="0.2">
      <c r="B76" s="66" t="s">
        <v>983</v>
      </c>
      <c r="C76" s="66"/>
      <c r="D76" s="66"/>
    </row>
    <row r="77" spans="2:4" x14ac:dyDescent="0.2">
      <c r="B77" s="66"/>
      <c r="C77" s="66"/>
      <c r="D77" s="66"/>
    </row>
    <row r="78" spans="2:4" x14ac:dyDescent="0.2">
      <c r="B78" s="66"/>
      <c r="C78" s="66"/>
      <c r="D78" s="66"/>
    </row>
    <row r="79" spans="2:4" x14ac:dyDescent="0.2">
      <c r="B79" s="927" t="s">
        <v>558</v>
      </c>
      <c r="C79" s="66"/>
      <c r="D79" s="66"/>
    </row>
    <row r="80" spans="2:4" x14ac:dyDescent="0.2">
      <c r="B80" s="66" t="s">
        <v>982</v>
      </c>
      <c r="C80" s="66"/>
      <c r="D80" s="66"/>
    </row>
    <row r="81" spans="2:4" x14ac:dyDescent="0.2">
      <c r="B81" s="66" t="s">
        <v>983</v>
      </c>
      <c r="C81" s="66"/>
      <c r="D81" s="66"/>
    </row>
    <row r="82" spans="2:4" x14ac:dyDescent="0.2">
      <c r="B82" s="66"/>
      <c r="C82" s="66"/>
      <c r="D82" s="66"/>
    </row>
    <row r="83" spans="2:4" x14ac:dyDescent="0.2">
      <c r="B83" s="66"/>
      <c r="C83" s="66"/>
      <c r="D83" s="66"/>
    </row>
    <row r="84" spans="2:4" x14ac:dyDescent="0.2">
      <c r="B84" s="927" t="s">
        <v>993</v>
      </c>
      <c r="C84" s="66"/>
      <c r="D84" s="66"/>
    </row>
    <row r="85" spans="2:4" x14ac:dyDescent="0.2">
      <c r="B85" s="66"/>
      <c r="C85" s="66"/>
      <c r="D85" s="66"/>
    </row>
    <row r="86" spans="2:4" x14ac:dyDescent="0.2">
      <c r="B86" s="66"/>
      <c r="C86" s="66"/>
      <c r="D86" s="66"/>
    </row>
    <row r="87" spans="2:4" x14ac:dyDescent="0.2">
      <c r="B87" s="927" t="s">
        <v>994</v>
      </c>
      <c r="C87" s="66"/>
      <c r="D87" s="66"/>
    </row>
    <row r="88" spans="2:4" x14ac:dyDescent="0.2">
      <c r="B88" s="927"/>
      <c r="C88" s="66"/>
      <c r="D88" s="66"/>
    </row>
    <row r="89" spans="2:4" x14ac:dyDescent="0.2">
      <c r="B89" s="927"/>
      <c r="C89" s="66"/>
      <c r="D89" s="66"/>
    </row>
    <row r="90" spans="2:4" x14ac:dyDescent="0.2">
      <c r="B90" s="923"/>
      <c r="C90" s="923"/>
      <c r="D90" s="923"/>
    </row>
  </sheetData>
  <mergeCells count="6">
    <mergeCell ref="B15:B18"/>
    <mergeCell ref="C15:C18"/>
    <mergeCell ref="D15:D18"/>
    <mergeCell ref="B59:B62"/>
    <mergeCell ref="C59:C62"/>
    <mergeCell ref="D59:D62"/>
  </mergeCells>
  <pageMargins left="0.70866141732283472" right="0.70866141732283472" top="0.74803149606299213" bottom="0.74803149606299213" header="0.31496062992125984" footer="0.31496062992125984"/>
  <pageSetup paperSize="9" scale="89" orientation="portrait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pageSetUpPr fitToPage="1"/>
  </sheetPr>
  <dimension ref="A1:H441"/>
  <sheetViews>
    <sheetView topLeftCell="A7" workbookViewId="0">
      <selection activeCell="E36" sqref="E36"/>
    </sheetView>
  </sheetViews>
  <sheetFormatPr defaultColWidth="11.42578125" defaultRowHeight="12.75" x14ac:dyDescent="0.2"/>
  <cols>
    <col min="1" max="1" width="43.140625" customWidth="1"/>
    <col min="2" max="2" width="16" customWidth="1"/>
    <col min="3" max="3" width="14.5703125" customWidth="1"/>
    <col min="4" max="4" width="17.5703125" customWidth="1"/>
    <col min="5" max="5" width="16.7109375" customWidth="1"/>
    <col min="6" max="6" width="16.28515625" customWidth="1"/>
    <col min="7" max="7" width="14.7109375" customWidth="1"/>
    <col min="8" max="8" width="15.140625" customWidth="1"/>
  </cols>
  <sheetData>
    <row r="1" spans="1:8" x14ac:dyDescent="0.2">
      <c r="E1" s="52"/>
      <c r="F1" s="52"/>
      <c r="G1" s="52"/>
      <c r="H1" s="52"/>
    </row>
    <row r="4" spans="1:8" ht="18" x14ac:dyDescent="0.25">
      <c r="A4" s="208" t="s">
        <v>503</v>
      </c>
    </row>
    <row r="5" spans="1:8" ht="18" x14ac:dyDescent="0.25">
      <c r="A5" s="185"/>
    </row>
    <row r="7" spans="1:8" x14ac:dyDescent="0.2">
      <c r="C7" s="186"/>
      <c r="D7" s="186"/>
      <c r="E7" s="186"/>
      <c r="F7" s="186"/>
      <c r="G7" s="186"/>
      <c r="H7" s="186" t="s">
        <v>269</v>
      </c>
    </row>
    <row r="9" spans="1:8" ht="15.75" x14ac:dyDescent="0.25">
      <c r="B9" s="355">
        <v>2012</v>
      </c>
      <c r="C9" s="355">
        <v>2013</v>
      </c>
      <c r="D9" s="355">
        <v>2014</v>
      </c>
      <c r="E9" s="355">
        <v>2015</v>
      </c>
      <c r="F9" s="356">
        <v>2016</v>
      </c>
      <c r="G9" s="355">
        <v>2017</v>
      </c>
      <c r="H9" s="356">
        <v>2018</v>
      </c>
    </row>
    <row r="10" spans="1:8" x14ac:dyDescent="0.2">
      <c r="B10" s="70"/>
      <c r="C10" s="70"/>
      <c r="D10" s="70"/>
      <c r="E10" s="70"/>
      <c r="F10" s="70"/>
      <c r="G10" s="70"/>
      <c r="H10" s="70"/>
    </row>
    <row r="12" spans="1:8" x14ac:dyDescent="0.2">
      <c r="B12" s="50"/>
      <c r="C12" s="50"/>
      <c r="D12" s="50"/>
      <c r="E12" s="50"/>
      <c r="G12" s="50"/>
    </row>
    <row r="13" spans="1:8" x14ac:dyDescent="0.2">
      <c r="A13" t="s">
        <v>504</v>
      </c>
      <c r="B13" s="50">
        <f>3.5*30*12</f>
        <v>1260</v>
      </c>
      <c r="C13" s="50">
        <f t="shared" ref="C13:H13" si="0">B13*1.05</f>
        <v>1323</v>
      </c>
      <c r="D13" s="50">
        <f t="shared" si="0"/>
        <v>1389.15</v>
      </c>
      <c r="E13" s="50">
        <f t="shared" si="0"/>
        <v>1458.6075000000001</v>
      </c>
      <c r="F13" s="50">
        <f t="shared" si="0"/>
        <v>1531.5378750000002</v>
      </c>
      <c r="G13" s="50">
        <f t="shared" si="0"/>
        <v>1608.1147687500004</v>
      </c>
      <c r="H13" s="50">
        <f t="shared" si="0"/>
        <v>1688.5205071875005</v>
      </c>
    </row>
    <row r="14" spans="1:8" x14ac:dyDescent="0.2">
      <c r="A14" t="s">
        <v>505</v>
      </c>
      <c r="B14" s="50">
        <v>0</v>
      </c>
      <c r="C14" s="50">
        <v>0</v>
      </c>
      <c r="D14" s="50">
        <f>3.5*30*12</f>
        <v>1260</v>
      </c>
      <c r="E14" s="50">
        <f>4*30*12</f>
        <v>1440</v>
      </c>
      <c r="F14" s="50">
        <f>4.5*30*12</f>
        <v>1620</v>
      </c>
      <c r="G14" s="50">
        <f>5*30*12</f>
        <v>1800</v>
      </c>
      <c r="H14" s="50">
        <f>5*30*12</f>
        <v>1800</v>
      </c>
    </row>
    <row r="15" spans="1:8" x14ac:dyDescent="0.2">
      <c r="B15" s="50"/>
      <c r="C15" s="50"/>
      <c r="D15" s="50"/>
      <c r="E15" s="50"/>
      <c r="G15" s="50"/>
    </row>
    <row r="16" spans="1:8" x14ac:dyDescent="0.2">
      <c r="A16" s="1" t="s">
        <v>266</v>
      </c>
      <c r="B16" s="187">
        <f>B13+B14</f>
        <v>1260</v>
      </c>
      <c r="C16" s="187">
        <f t="shared" ref="C16:H16" si="1">C13+C14</f>
        <v>1323</v>
      </c>
      <c r="D16" s="187">
        <f t="shared" si="1"/>
        <v>2649.15</v>
      </c>
      <c r="E16" s="187">
        <f t="shared" si="1"/>
        <v>2898.6075000000001</v>
      </c>
      <c r="F16" s="187">
        <f t="shared" si="1"/>
        <v>3151.537875</v>
      </c>
      <c r="G16" s="187">
        <f t="shared" si="1"/>
        <v>3408.1147687500006</v>
      </c>
      <c r="H16" s="187">
        <f t="shared" si="1"/>
        <v>3488.5205071875007</v>
      </c>
    </row>
    <row r="17" spans="1:8" x14ac:dyDescent="0.2">
      <c r="B17" s="50"/>
      <c r="C17" s="50"/>
      <c r="D17" s="50"/>
      <c r="E17" s="50"/>
      <c r="G17" s="50"/>
    </row>
    <row r="18" spans="1:8" x14ac:dyDescent="0.2">
      <c r="A18" s="183"/>
      <c r="B18" s="50"/>
      <c r="C18" s="50"/>
      <c r="D18" s="50"/>
      <c r="E18" s="50"/>
      <c r="G18" s="50"/>
    </row>
    <row r="19" spans="1:8" x14ac:dyDescent="0.2">
      <c r="A19" s="183" t="s">
        <v>259</v>
      </c>
      <c r="B19" s="50">
        <f>B16*0.26</f>
        <v>327.60000000000002</v>
      </c>
      <c r="C19" s="50">
        <f t="shared" ref="C19:H19" si="2">C16*0.26</f>
        <v>343.98</v>
      </c>
      <c r="D19" s="50">
        <f t="shared" si="2"/>
        <v>688.779</v>
      </c>
      <c r="E19" s="50">
        <f t="shared" si="2"/>
        <v>753.63795000000005</v>
      </c>
      <c r="F19" s="50">
        <f t="shared" si="2"/>
        <v>819.39984750000008</v>
      </c>
      <c r="G19" s="50">
        <f t="shared" si="2"/>
        <v>886.10983987500015</v>
      </c>
      <c r="H19" s="50">
        <f t="shared" si="2"/>
        <v>907.0153318687502</v>
      </c>
    </row>
    <row r="20" spans="1:8" x14ac:dyDescent="0.2">
      <c r="A20" s="183" t="s">
        <v>260</v>
      </c>
      <c r="B20" s="50">
        <f>B16*0.16</f>
        <v>201.6</v>
      </c>
      <c r="C20" s="50">
        <f t="shared" ref="C20:H20" si="3">C16*0.16</f>
        <v>211.68</v>
      </c>
      <c r="D20" s="50">
        <f t="shared" si="3"/>
        <v>423.86400000000003</v>
      </c>
      <c r="E20" s="50">
        <f t="shared" si="3"/>
        <v>463.77719999999999</v>
      </c>
      <c r="F20" s="50">
        <f t="shared" si="3"/>
        <v>504.24606</v>
      </c>
      <c r="G20" s="50">
        <f t="shared" si="3"/>
        <v>545.29836300000011</v>
      </c>
      <c r="H20" s="50">
        <f t="shared" si="3"/>
        <v>558.1632811500001</v>
      </c>
    </row>
    <row r="21" spans="1:8" x14ac:dyDescent="0.2">
      <c r="A21" s="183" t="s">
        <v>268</v>
      </c>
      <c r="B21" s="50">
        <v>30</v>
      </c>
      <c r="C21" s="50">
        <f>45+6+23</f>
        <v>74</v>
      </c>
      <c r="D21" s="50">
        <f>45+6+23+6</f>
        <v>80</v>
      </c>
      <c r="E21" s="50">
        <f>45+6+23+10</f>
        <v>84</v>
      </c>
      <c r="F21" s="50">
        <f>45+6+23+12</f>
        <v>86</v>
      </c>
      <c r="G21" s="50">
        <f>45+6+23+14</f>
        <v>88</v>
      </c>
      <c r="H21" s="50">
        <f>45+6+23+16</f>
        <v>90</v>
      </c>
    </row>
    <row r="22" spans="1:8" x14ac:dyDescent="0.2">
      <c r="A22" s="183" t="s">
        <v>261</v>
      </c>
      <c r="B22" s="50">
        <f>2.5*12+12</f>
        <v>42</v>
      </c>
      <c r="C22" s="50">
        <f>4.5*12+14</f>
        <v>68</v>
      </c>
      <c r="D22" s="50">
        <f>C22*1.05+16</f>
        <v>87.4</v>
      </c>
      <c r="E22" s="50">
        <f>D22*1.05+18</f>
        <v>109.77000000000001</v>
      </c>
      <c r="F22" s="50">
        <f>E22*1.05+20</f>
        <v>135.25850000000003</v>
      </c>
      <c r="G22" s="50">
        <f>F22*1.05+22</f>
        <v>164.02142500000002</v>
      </c>
      <c r="H22" s="50">
        <f>G22*1.05+24</f>
        <v>196.22249625000003</v>
      </c>
    </row>
    <row r="23" spans="1:8" x14ac:dyDescent="0.2">
      <c r="B23" s="50"/>
      <c r="C23" s="50"/>
      <c r="D23" s="50"/>
      <c r="E23" s="50"/>
      <c r="G23" s="50"/>
    </row>
    <row r="24" spans="1:8" x14ac:dyDescent="0.2">
      <c r="A24" s="1" t="s">
        <v>267</v>
      </c>
      <c r="B24" s="187">
        <f t="shared" ref="B24:H24" si="4">SUM(B19:B22)</f>
        <v>601.20000000000005</v>
      </c>
      <c r="C24" s="187">
        <f t="shared" si="4"/>
        <v>697.66000000000008</v>
      </c>
      <c r="D24" s="187">
        <f t="shared" si="4"/>
        <v>1280.0430000000001</v>
      </c>
      <c r="E24" s="187">
        <f t="shared" si="4"/>
        <v>1411.18515</v>
      </c>
      <c r="F24" s="187">
        <f t="shared" si="4"/>
        <v>1544.9044075000002</v>
      </c>
      <c r="G24" s="187">
        <f t="shared" si="4"/>
        <v>1683.4296278750003</v>
      </c>
      <c r="H24" s="187">
        <f t="shared" si="4"/>
        <v>1751.4011092687501</v>
      </c>
    </row>
    <row r="25" spans="1:8" x14ac:dyDescent="0.2">
      <c r="B25" s="50"/>
      <c r="C25" s="50"/>
      <c r="D25" s="50"/>
      <c r="E25" s="50"/>
      <c r="G25" s="50"/>
    </row>
    <row r="26" spans="1:8" x14ac:dyDescent="0.2">
      <c r="B26" s="50"/>
      <c r="C26" s="50"/>
      <c r="D26" s="50"/>
      <c r="E26" s="50"/>
      <c r="G26" s="50"/>
    </row>
    <row r="27" spans="1:8" ht="15.75" x14ac:dyDescent="0.25">
      <c r="A27" s="184" t="s">
        <v>255</v>
      </c>
      <c r="B27" s="187">
        <f>B16-B24</f>
        <v>658.8</v>
      </c>
      <c r="C27" s="187">
        <f t="shared" ref="C27:H27" si="5">C16-C24</f>
        <v>625.33999999999992</v>
      </c>
      <c r="D27" s="187">
        <f t="shared" si="5"/>
        <v>1369.107</v>
      </c>
      <c r="E27" s="187">
        <f t="shared" si="5"/>
        <v>1487.4223500000001</v>
      </c>
      <c r="F27" s="187">
        <f t="shared" si="5"/>
        <v>1606.6334674999998</v>
      </c>
      <c r="G27" s="187">
        <f t="shared" si="5"/>
        <v>1724.6851408750003</v>
      </c>
      <c r="H27" s="187">
        <f t="shared" si="5"/>
        <v>1737.1193979187506</v>
      </c>
    </row>
    <row r="28" spans="1:8" x14ac:dyDescent="0.2">
      <c r="B28" s="50"/>
      <c r="C28" s="50"/>
      <c r="D28" s="50"/>
      <c r="E28" s="50"/>
      <c r="G28" s="50"/>
    </row>
    <row r="29" spans="1:8" x14ac:dyDescent="0.2">
      <c r="A29" s="183" t="s">
        <v>262</v>
      </c>
      <c r="B29" s="50">
        <v>40</v>
      </c>
      <c r="C29" s="50">
        <v>108</v>
      </c>
      <c r="D29" s="50">
        <f>108+10</f>
        <v>118</v>
      </c>
      <c r="E29" s="50">
        <f>108+12</f>
        <v>120</v>
      </c>
      <c r="F29" s="50">
        <f>108+14</f>
        <v>122</v>
      </c>
      <c r="G29" s="50">
        <f>108+16</f>
        <v>124</v>
      </c>
      <c r="H29" s="50">
        <f>108+18</f>
        <v>126</v>
      </c>
    </row>
    <row r="30" spans="1:8" x14ac:dyDescent="0.2">
      <c r="B30" s="50"/>
      <c r="C30" s="50"/>
      <c r="D30" s="50"/>
      <c r="E30" s="50"/>
      <c r="G30" s="50"/>
    </row>
    <row r="31" spans="1:8" x14ac:dyDescent="0.2">
      <c r="B31" s="50"/>
      <c r="C31" s="50"/>
      <c r="D31" s="50"/>
      <c r="E31" s="50"/>
      <c r="G31" s="50"/>
    </row>
    <row r="32" spans="1:8" ht="15.75" x14ac:dyDescent="0.25">
      <c r="A32" s="184" t="s">
        <v>506</v>
      </c>
      <c r="B32" s="187">
        <f>B27-B29</f>
        <v>618.79999999999995</v>
      </c>
      <c r="C32" s="187">
        <f t="shared" ref="C32:H32" si="6">C27-C29</f>
        <v>517.33999999999992</v>
      </c>
      <c r="D32" s="187">
        <f t="shared" si="6"/>
        <v>1251.107</v>
      </c>
      <c r="E32" s="187">
        <f t="shared" si="6"/>
        <v>1367.4223500000001</v>
      </c>
      <c r="F32" s="187">
        <f t="shared" si="6"/>
        <v>1484.6334674999998</v>
      </c>
      <c r="G32" s="187">
        <f t="shared" si="6"/>
        <v>1600.6851408750003</v>
      </c>
      <c r="H32" s="187">
        <f t="shared" si="6"/>
        <v>1611.1193979187506</v>
      </c>
    </row>
    <row r="33" spans="1:8" x14ac:dyDescent="0.2">
      <c r="B33" s="50"/>
      <c r="C33" s="50"/>
      <c r="D33" s="50"/>
      <c r="E33" s="50"/>
      <c r="G33" s="50"/>
    </row>
    <row r="34" spans="1:8" x14ac:dyDescent="0.2">
      <c r="A34" s="183" t="s">
        <v>507</v>
      </c>
      <c r="B34" s="50">
        <f>B32*0.3</f>
        <v>185.64</v>
      </c>
      <c r="C34" s="50">
        <f t="shared" ref="C34:H34" si="7">C32*0.3</f>
        <v>155.20199999999997</v>
      </c>
      <c r="D34" s="50">
        <f t="shared" si="7"/>
        <v>375.33209999999997</v>
      </c>
      <c r="E34" s="50">
        <f t="shared" si="7"/>
        <v>410.22670499999998</v>
      </c>
      <c r="F34" s="50">
        <f t="shared" si="7"/>
        <v>445.39004024999991</v>
      </c>
      <c r="G34" s="50">
        <f t="shared" si="7"/>
        <v>480.2055422625001</v>
      </c>
      <c r="H34" s="50">
        <f t="shared" si="7"/>
        <v>483.33581937562514</v>
      </c>
    </row>
    <row r="35" spans="1:8" x14ac:dyDescent="0.2">
      <c r="B35" s="50"/>
      <c r="C35" s="50"/>
      <c r="D35" s="50"/>
      <c r="E35" s="50"/>
      <c r="G35" s="50"/>
    </row>
    <row r="36" spans="1:8" ht="15.75" x14ac:dyDescent="0.25">
      <c r="A36" s="184" t="s">
        <v>257</v>
      </c>
      <c r="B36" s="187">
        <f>B32-B34</f>
        <v>433.15999999999997</v>
      </c>
      <c r="C36" s="187">
        <f t="shared" ref="C36:H36" si="8">C32-C34</f>
        <v>362.13799999999992</v>
      </c>
      <c r="D36" s="187">
        <f t="shared" si="8"/>
        <v>875.7749</v>
      </c>
      <c r="E36" s="187">
        <f t="shared" si="8"/>
        <v>957.19564500000001</v>
      </c>
      <c r="F36" s="187">
        <f t="shared" si="8"/>
        <v>1039.24342725</v>
      </c>
      <c r="G36" s="187">
        <f t="shared" si="8"/>
        <v>1120.4795986125002</v>
      </c>
      <c r="H36" s="187">
        <f t="shared" si="8"/>
        <v>1127.7835785431255</v>
      </c>
    </row>
    <row r="37" spans="1:8" ht="15.75" x14ac:dyDescent="0.25">
      <c r="A37" s="184"/>
      <c r="B37" s="123"/>
      <c r="C37" s="123"/>
      <c r="D37" s="123"/>
      <c r="E37" s="123"/>
      <c r="G37" s="123"/>
    </row>
    <row r="38" spans="1:8" x14ac:dyDescent="0.2">
      <c r="A38" t="s">
        <v>508</v>
      </c>
    </row>
    <row r="42" spans="1:8" ht="18" x14ac:dyDescent="0.25">
      <c r="A42" s="376" t="s">
        <v>513</v>
      </c>
    </row>
    <row r="44" spans="1:8" ht="15.75" x14ac:dyDescent="0.25">
      <c r="A44" s="394" t="s">
        <v>514</v>
      </c>
    </row>
    <row r="45" spans="1:8" x14ac:dyDescent="0.2">
      <c r="A45" s="183" t="s">
        <v>515</v>
      </c>
      <c r="B45" s="183" t="s">
        <v>516</v>
      </c>
    </row>
    <row r="47" spans="1:8" x14ac:dyDescent="0.2">
      <c r="A47" s="183" t="s">
        <v>515</v>
      </c>
      <c r="B47" s="183" t="s">
        <v>517</v>
      </c>
    </row>
    <row r="48" spans="1:8" x14ac:dyDescent="0.2">
      <c r="B48" s="183" t="s">
        <v>518</v>
      </c>
    </row>
    <row r="50" spans="1:2" ht="15.75" x14ac:dyDescent="0.25">
      <c r="A50" s="394" t="s">
        <v>535</v>
      </c>
    </row>
    <row r="52" spans="1:2" x14ac:dyDescent="0.2">
      <c r="A52" s="183" t="s">
        <v>259</v>
      </c>
      <c r="B52" s="183" t="s">
        <v>519</v>
      </c>
    </row>
    <row r="53" spans="1:2" x14ac:dyDescent="0.2">
      <c r="A53" s="183"/>
      <c r="B53" s="183"/>
    </row>
    <row r="54" spans="1:2" x14ac:dyDescent="0.2">
      <c r="A54" s="183" t="s">
        <v>260</v>
      </c>
      <c r="B54" s="183" t="s">
        <v>520</v>
      </c>
    </row>
    <row r="55" spans="1:2" x14ac:dyDescent="0.2">
      <c r="A55" s="183"/>
      <c r="B55" s="183"/>
    </row>
    <row r="56" spans="1:2" x14ac:dyDescent="0.2">
      <c r="A56" s="183" t="s">
        <v>268</v>
      </c>
    </row>
    <row r="57" spans="1:2" x14ac:dyDescent="0.2">
      <c r="A57" s="183"/>
    </row>
    <row r="58" spans="1:2" x14ac:dyDescent="0.2">
      <c r="A58" s="183" t="s">
        <v>521</v>
      </c>
      <c r="B58" s="183" t="s">
        <v>522</v>
      </c>
    </row>
    <row r="59" spans="1:2" x14ac:dyDescent="0.2">
      <c r="B59" s="183" t="s">
        <v>523</v>
      </c>
    </row>
    <row r="60" spans="1:2" x14ac:dyDescent="0.2">
      <c r="A60" s="183" t="s">
        <v>524</v>
      </c>
      <c r="B60" s="183" t="s">
        <v>525</v>
      </c>
    </row>
    <row r="61" spans="1:2" x14ac:dyDescent="0.2">
      <c r="A61" s="183" t="s">
        <v>526</v>
      </c>
      <c r="B61" s="183" t="s">
        <v>527</v>
      </c>
    </row>
    <row r="62" spans="1:2" x14ac:dyDescent="0.2">
      <c r="B62" s="183" t="s">
        <v>528</v>
      </c>
    </row>
    <row r="64" spans="1:2" x14ac:dyDescent="0.2">
      <c r="A64" s="183" t="s">
        <v>261</v>
      </c>
      <c r="B64" s="183" t="s">
        <v>529</v>
      </c>
    </row>
    <row r="65" spans="1:6" x14ac:dyDescent="0.2">
      <c r="B65" s="183" t="s">
        <v>530</v>
      </c>
    </row>
    <row r="66" spans="1:6" x14ac:dyDescent="0.2">
      <c r="B66" s="183" t="s">
        <v>531</v>
      </c>
    </row>
    <row r="68" spans="1:6" x14ac:dyDescent="0.2">
      <c r="A68" s="183" t="s">
        <v>262</v>
      </c>
      <c r="B68" s="183" t="s">
        <v>532</v>
      </c>
    </row>
    <row r="69" spans="1:6" x14ac:dyDescent="0.2">
      <c r="B69" s="183" t="s">
        <v>533</v>
      </c>
    </row>
    <row r="70" spans="1:6" x14ac:dyDescent="0.2">
      <c r="B70" s="183" t="s">
        <v>534</v>
      </c>
    </row>
    <row r="71" spans="1:6" x14ac:dyDescent="0.2">
      <c r="B71" s="183"/>
    </row>
    <row r="72" spans="1:6" x14ac:dyDescent="0.2">
      <c r="B72" s="183"/>
    </row>
    <row r="73" spans="1:6" ht="18" x14ac:dyDescent="0.25">
      <c r="A73" s="376" t="s">
        <v>544</v>
      </c>
      <c r="B73" s="183"/>
    </row>
    <row r="74" spans="1:6" x14ac:dyDescent="0.2">
      <c r="B74" s="183"/>
    </row>
    <row r="75" spans="1:6" ht="13.5" thickBot="1" x14ac:dyDescent="0.25">
      <c r="B75" s="183"/>
    </row>
    <row r="76" spans="1:6" x14ac:dyDescent="0.2">
      <c r="A76" s="2"/>
      <c r="B76" s="397"/>
      <c r="C76" s="13"/>
      <c r="D76" s="4"/>
    </row>
    <row r="77" spans="1:6" x14ac:dyDescent="0.2">
      <c r="A77" s="396" t="s">
        <v>392</v>
      </c>
      <c r="B77" s="205">
        <v>2012</v>
      </c>
      <c r="C77" s="205">
        <v>2013</v>
      </c>
      <c r="D77" s="7"/>
    </row>
    <row r="78" spans="1:6" ht="13.5" thickBot="1" x14ac:dyDescent="0.25">
      <c r="A78" s="11"/>
      <c r="B78" s="16"/>
      <c r="C78" s="16"/>
      <c r="D78" s="130"/>
    </row>
    <row r="79" spans="1:6" x14ac:dyDescent="0.2">
      <c r="A79" s="6"/>
      <c r="B79" s="13"/>
      <c r="C79" s="13"/>
      <c r="D79" s="6"/>
    </row>
    <row r="80" spans="1:6" ht="15.75" x14ac:dyDescent="0.25">
      <c r="A80" s="394" t="s">
        <v>540</v>
      </c>
      <c r="B80" s="173">
        <f>SUM(B82:B86)</f>
        <v>1484000</v>
      </c>
      <c r="C80" s="173">
        <f>SUM(C82:C86)</f>
        <v>350000</v>
      </c>
      <c r="D80" s="395"/>
      <c r="E80" s="50"/>
      <c r="F80" s="50"/>
    </row>
    <row r="81" spans="1:6" x14ac:dyDescent="0.2">
      <c r="B81" s="34"/>
      <c r="C81" s="34"/>
      <c r="D81" s="50"/>
      <c r="E81" s="50"/>
      <c r="F81" s="50"/>
    </row>
    <row r="82" spans="1:6" x14ac:dyDescent="0.2">
      <c r="A82" s="183"/>
      <c r="B82" s="34"/>
      <c r="C82" s="34"/>
      <c r="D82" s="50"/>
      <c r="E82" s="50"/>
      <c r="F82" s="50"/>
    </row>
    <row r="83" spans="1:6" x14ac:dyDescent="0.2">
      <c r="A83" s="183" t="s">
        <v>537</v>
      </c>
      <c r="B83" s="34">
        <v>1400000</v>
      </c>
      <c r="C83" s="34"/>
      <c r="D83" s="50"/>
      <c r="E83" s="50"/>
      <c r="F83" s="50"/>
    </row>
    <row r="84" spans="1:6" x14ac:dyDescent="0.2">
      <c r="A84" s="183" t="s">
        <v>538</v>
      </c>
      <c r="B84" s="34">
        <v>84000</v>
      </c>
      <c r="C84" s="34"/>
      <c r="D84" s="50"/>
      <c r="E84" s="50"/>
      <c r="F84" s="50"/>
    </row>
    <row r="85" spans="1:6" x14ac:dyDescent="0.2">
      <c r="A85" s="183" t="s">
        <v>539</v>
      </c>
      <c r="B85" s="34"/>
      <c r="C85" s="120">
        <v>350000</v>
      </c>
      <c r="D85" s="395" t="s">
        <v>302</v>
      </c>
      <c r="E85" s="50"/>
      <c r="F85" s="50"/>
    </row>
    <row r="86" spans="1:6" x14ac:dyDescent="0.2">
      <c r="B86" s="34"/>
      <c r="C86" s="34"/>
      <c r="D86" s="50"/>
      <c r="E86" s="50"/>
      <c r="F86" s="50"/>
    </row>
    <row r="87" spans="1:6" x14ac:dyDescent="0.2">
      <c r="B87" s="34"/>
      <c r="C87" s="34"/>
      <c r="D87" s="50"/>
      <c r="E87" s="50"/>
      <c r="F87" s="50"/>
    </row>
    <row r="88" spans="1:6" ht="15.75" x14ac:dyDescent="0.25">
      <c r="A88" s="394" t="s">
        <v>536</v>
      </c>
      <c r="B88" s="173">
        <f>SUM(B89:B92)</f>
        <v>1484000</v>
      </c>
      <c r="C88" s="173">
        <f>SUM(C89:C92)</f>
        <v>350000</v>
      </c>
      <c r="D88" s="50"/>
      <c r="E88" s="50"/>
      <c r="F88" s="50"/>
    </row>
    <row r="89" spans="1:6" x14ac:dyDescent="0.2">
      <c r="B89" s="34"/>
      <c r="C89" s="34"/>
      <c r="D89" s="50"/>
      <c r="E89" s="50"/>
      <c r="F89" s="50"/>
    </row>
    <row r="90" spans="1:6" x14ac:dyDescent="0.2">
      <c r="A90" s="183" t="s">
        <v>541</v>
      </c>
      <c r="B90" s="34">
        <v>364000</v>
      </c>
      <c r="C90" s="34">
        <f>C85</f>
        <v>350000</v>
      </c>
      <c r="D90" s="50"/>
      <c r="E90" s="50"/>
      <c r="F90" s="50"/>
    </row>
    <row r="91" spans="1:6" x14ac:dyDescent="0.2">
      <c r="A91" s="183" t="s">
        <v>542</v>
      </c>
      <c r="B91" s="34">
        <f>B80-B90</f>
        <v>1120000</v>
      </c>
      <c r="C91" s="34"/>
      <c r="D91" s="50"/>
      <c r="E91" s="50"/>
      <c r="F91" s="50"/>
    </row>
    <row r="92" spans="1:6" ht="13.5" thickBot="1" x14ac:dyDescent="0.25">
      <c r="A92" s="183"/>
      <c r="B92" s="35"/>
      <c r="C92" s="35"/>
      <c r="D92" s="50"/>
      <c r="E92" s="50"/>
      <c r="F92" s="50"/>
    </row>
    <row r="93" spans="1:6" x14ac:dyDescent="0.2">
      <c r="A93" s="183"/>
      <c r="B93" s="29"/>
      <c r="C93" s="29"/>
      <c r="D93" s="50"/>
      <c r="E93" s="50"/>
      <c r="F93" s="50"/>
    </row>
    <row r="94" spans="1:6" x14ac:dyDescent="0.2">
      <c r="A94" s="183"/>
      <c r="B94" s="50"/>
      <c r="C94" s="50"/>
      <c r="D94" s="50"/>
      <c r="E94" s="50"/>
      <c r="F94" s="50"/>
    </row>
    <row r="95" spans="1:6" x14ac:dyDescent="0.2">
      <c r="A95" s="395" t="s">
        <v>543</v>
      </c>
      <c r="B95" s="50"/>
      <c r="C95" s="50"/>
      <c r="D95" s="50"/>
      <c r="E95" s="50"/>
      <c r="F95" s="50"/>
    </row>
    <row r="96" spans="1:6" x14ac:dyDescent="0.2">
      <c r="A96" s="183"/>
      <c r="B96" s="50"/>
      <c r="C96" s="50"/>
      <c r="D96" s="50"/>
      <c r="E96" s="50"/>
      <c r="F96" s="50"/>
    </row>
    <row r="97" spans="1:6" x14ac:dyDescent="0.2">
      <c r="A97" s="183"/>
      <c r="B97" s="50"/>
      <c r="C97" s="50"/>
      <c r="D97" s="50"/>
      <c r="E97" s="50"/>
      <c r="F97" s="50"/>
    </row>
    <row r="98" spans="1:6" x14ac:dyDescent="0.2">
      <c r="A98" s="183"/>
      <c r="B98" s="50"/>
      <c r="C98" s="50"/>
      <c r="D98" s="50"/>
      <c r="E98" s="50"/>
      <c r="F98" s="50"/>
    </row>
    <row r="99" spans="1:6" x14ac:dyDescent="0.2">
      <c r="A99" s="183"/>
      <c r="B99" s="50"/>
      <c r="C99" s="50"/>
      <c r="D99" s="50"/>
      <c r="E99" s="50"/>
      <c r="F99" s="50"/>
    </row>
    <row r="100" spans="1:6" x14ac:dyDescent="0.2">
      <c r="A100" s="183"/>
      <c r="B100" s="50"/>
      <c r="C100" s="50"/>
      <c r="D100" s="50"/>
      <c r="E100" s="50"/>
      <c r="F100" s="50"/>
    </row>
    <row r="101" spans="1:6" ht="15.75" x14ac:dyDescent="0.25">
      <c r="A101" s="394" t="s">
        <v>546</v>
      </c>
      <c r="B101" s="50"/>
      <c r="C101" s="50"/>
      <c r="D101" s="50"/>
      <c r="E101" s="50"/>
      <c r="F101" s="50"/>
    </row>
    <row r="102" spans="1:6" x14ac:dyDescent="0.2">
      <c r="A102" s="183"/>
      <c r="B102" s="50"/>
      <c r="C102" s="50"/>
      <c r="D102" s="50"/>
      <c r="E102" s="50"/>
      <c r="F102" s="50"/>
    </row>
    <row r="103" spans="1:6" x14ac:dyDescent="0.2">
      <c r="A103" s="183"/>
      <c r="B103" s="50"/>
      <c r="C103" s="50"/>
      <c r="D103" s="50"/>
      <c r="E103" s="50"/>
      <c r="F103" s="50"/>
    </row>
    <row r="104" spans="1:6" x14ac:dyDescent="0.2">
      <c r="A104" s="183"/>
      <c r="B104" s="50"/>
      <c r="C104" s="50"/>
      <c r="D104" s="50"/>
      <c r="E104" s="50"/>
      <c r="F104" s="50"/>
    </row>
    <row r="105" spans="1:6" x14ac:dyDescent="0.2">
      <c r="A105" s="183"/>
      <c r="B105" s="50"/>
      <c r="C105" s="50"/>
      <c r="D105" s="50"/>
      <c r="E105" s="50"/>
      <c r="F105" s="50"/>
    </row>
    <row r="106" spans="1:6" x14ac:dyDescent="0.2">
      <c r="A106" s="183"/>
      <c r="B106" s="50"/>
      <c r="C106" s="50"/>
      <c r="D106" s="50"/>
      <c r="E106" s="50"/>
      <c r="F106" s="50"/>
    </row>
    <row r="107" spans="1:6" x14ac:dyDescent="0.2">
      <c r="A107" s="183"/>
      <c r="B107" s="50"/>
      <c r="C107" s="50"/>
      <c r="D107" s="50"/>
      <c r="E107" s="50"/>
      <c r="F107" s="50"/>
    </row>
    <row r="108" spans="1:6" x14ac:dyDescent="0.2">
      <c r="A108" s="183"/>
      <c r="B108" s="50"/>
      <c r="C108" s="50"/>
      <c r="D108" s="50"/>
      <c r="E108" s="50"/>
      <c r="F108" s="50"/>
    </row>
    <row r="109" spans="1:6" x14ac:dyDescent="0.2">
      <c r="A109" s="183"/>
      <c r="B109" s="50"/>
      <c r="C109" s="50"/>
      <c r="D109" s="50"/>
      <c r="E109" s="50"/>
      <c r="F109" s="50"/>
    </row>
    <row r="110" spans="1:6" x14ac:dyDescent="0.2">
      <c r="A110" s="183"/>
      <c r="B110" s="50"/>
      <c r="C110" s="50"/>
      <c r="D110" s="50"/>
      <c r="E110" s="50"/>
      <c r="F110" s="50"/>
    </row>
    <row r="111" spans="1:6" x14ac:dyDescent="0.2">
      <c r="A111" s="183"/>
      <c r="B111" s="50"/>
      <c r="C111" s="50"/>
      <c r="D111" s="50"/>
      <c r="E111" s="50"/>
      <c r="F111" s="50"/>
    </row>
    <row r="112" spans="1:6" x14ac:dyDescent="0.2">
      <c r="A112" s="183"/>
      <c r="B112" s="50"/>
      <c r="C112" s="50"/>
      <c r="D112" s="50"/>
      <c r="E112" s="50"/>
      <c r="F112" s="50"/>
    </row>
    <row r="113" spans="2:6" x14ac:dyDescent="0.2">
      <c r="B113" s="50"/>
      <c r="C113" s="50"/>
      <c r="D113" s="50"/>
      <c r="E113" s="50"/>
      <c r="F113" s="50"/>
    </row>
    <row r="114" spans="2:6" x14ac:dyDescent="0.2">
      <c r="B114" s="50"/>
      <c r="C114" s="50"/>
      <c r="D114" s="50"/>
      <c r="E114" s="50"/>
      <c r="F114" s="50"/>
    </row>
    <row r="115" spans="2:6" x14ac:dyDescent="0.2">
      <c r="B115" s="50"/>
      <c r="C115" s="50"/>
      <c r="D115" s="50"/>
      <c r="E115" s="50"/>
      <c r="F115" s="50"/>
    </row>
    <row r="119" spans="2:6" ht="26.25" x14ac:dyDescent="0.4">
      <c r="B119" s="398" t="s">
        <v>547</v>
      </c>
      <c r="C119" s="398"/>
      <c r="D119" s="398"/>
    </row>
    <row r="120" spans="2:6" ht="26.25" x14ac:dyDescent="0.4">
      <c r="B120" s="398"/>
      <c r="C120" s="398"/>
      <c r="D120" s="398"/>
    </row>
    <row r="121" spans="2:6" ht="26.25" x14ac:dyDescent="0.4">
      <c r="B121" s="398" t="s">
        <v>545</v>
      </c>
      <c r="C121" s="398"/>
      <c r="D121" s="398"/>
    </row>
    <row r="122" spans="2:6" ht="26.25" x14ac:dyDescent="0.4">
      <c r="B122" s="398"/>
      <c r="C122" s="398"/>
      <c r="D122" s="398"/>
    </row>
    <row r="123" spans="2:6" ht="26.25" x14ac:dyDescent="0.4">
      <c r="B123" s="398" t="s">
        <v>548</v>
      </c>
      <c r="C123" s="398"/>
      <c r="D123" s="398"/>
    </row>
    <row r="124" spans="2:6" ht="26.25" x14ac:dyDescent="0.4">
      <c r="B124" s="398"/>
      <c r="C124" s="398"/>
      <c r="D124" s="398"/>
    </row>
    <row r="125" spans="2:6" ht="26.25" x14ac:dyDescent="0.4">
      <c r="B125" s="398"/>
      <c r="C125" s="398"/>
      <c r="D125" s="398"/>
    </row>
    <row r="126" spans="2:6" ht="26.25" x14ac:dyDescent="0.4">
      <c r="B126" s="398"/>
      <c r="C126" s="398"/>
      <c r="D126" s="398"/>
    </row>
    <row r="127" spans="2:6" ht="26.25" x14ac:dyDescent="0.4">
      <c r="B127" s="398"/>
      <c r="C127" s="398"/>
      <c r="D127" s="398"/>
    </row>
    <row r="132" spans="8:8" ht="15.75" x14ac:dyDescent="0.25">
      <c r="H132" s="399">
        <v>41030</v>
      </c>
    </row>
    <row r="150" spans="1:7" ht="15.75" x14ac:dyDescent="0.25">
      <c r="A150" s="394" t="s">
        <v>546</v>
      </c>
    </row>
    <row r="151" spans="1:7" ht="15.75" x14ac:dyDescent="0.25">
      <c r="A151" s="394"/>
    </row>
    <row r="152" spans="1:7" ht="15.75" x14ac:dyDescent="0.25">
      <c r="A152" s="394"/>
    </row>
    <row r="153" spans="1:7" ht="15.75" x14ac:dyDescent="0.25">
      <c r="A153" s="394"/>
    </row>
    <row r="155" spans="1:7" ht="24.75" x14ac:dyDescent="0.5">
      <c r="A155" s="405" t="s">
        <v>600</v>
      </c>
      <c r="B155" s="400"/>
    </row>
    <row r="156" spans="1:7" ht="20.25" x14ac:dyDescent="0.3">
      <c r="A156" s="400"/>
      <c r="B156" s="400"/>
    </row>
    <row r="157" spans="1:7" ht="12" customHeight="1" x14ac:dyDescent="0.2">
      <c r="B157" s="401"/>
      <c r="C157" s="401"/>
      <c r="D157" s="401"/>
    </row>
    <row r="158" spans="1:7" ht="15.75" x14ac:dyDescent="0.25">
      <c r="B158" s="402" t="s">
        <v>594</v>
      </c>
      <c r="C158" s="394"/>
      <c r="D158" s="402" t="s">
        <v>599</v>
      </c>
    </row>
    <row r="160" spans="1:7" x14ac:dyDescent="0.2">
      <c r="A160" s="62" t="s">
        <v>549</v>
      </c>
      <c r="B160" s="50"/>
      <c r="C160" s="50"/>
      <c r="D160" s="56">
        <f>SUM(D161:D172)</f>
        <v>120000</v>
      </c>
      <c r="E160" s="50"/>
      <c r="F160" s="50"/>
      <c r="G160" s="50"/>
    </row>
    <row r="161" spans="1:8" x14ac:dyDescent="0.2">
      <c r="B161" s="50"/>
      <c r="C161" s="50"/>
      <c r="D161" s="50"/>
      <c r="E161" s="50"/>
      <c r="F161" s="50"/>
      <c r="G161" s="50"/>
    </row>
    <row r="162" spans="1:8" x14ac:dyDescent="0.2">
      <c r="A162" s="183" t="s">
        <v>550</v>
      </c>
      <c r="B162" s="50"/>
      <c r="C162" s="50"/>
      <c r="D162" s="50">
        <v>10000</v>
      </c>
      <c r="E162" s="50"/>
      <c r="F162" s="50"/>
      <c r="G162" s="50"/>
    </row>
    <row r="163" spans="1:8" ht="15" x14ac:dyDescent="0.3">
      <c r="A163" s="183" t="s">
        <v>551</v>
      </c>
      <c r="B163" s="50"/>
      <c r="C163" s="50"/>
      <c r="D163" s="50">
        <v>3000</v>
      </c>
      <c r="E163" s="50"/>
      <c r="F163" s="50"/>
      <c r="G163" s="50"/>
      <c r="H163" s="404"/>
    </row>
    <row r="164" spans="1:8" x14ac:dyDescent="0.2">
      <c r="A164" s="183" t="s">
        <v>552</v>
      </c>
      <c r="B164" s="50"/>
      <c r="C164" s="50"/>
      <c r="D164" s="50">
        <f>10000+3000</f>
        <v>13000</v>
      </c>
      <c r="E164" s="50"/>
      <c r="F164" s="50"/>
      <c r="G164" s="50"/>
    </row>
    <row r="165" spans="1:8" x14ac:dyDescent="0.2">
      <c r="A165" s="183" t="s">
        <v>553</v>
      </c>
      <c r="B165" s="50"/>
      <c r="C165" s="50"/>
      <c r="D165" s="50">
        <v>5000</v>
      </c>
      <c r="E165" s="50"/>
      <c r="F165" s="50"/>
      <c r="G165" s="50"/>
    </row>
    <row r="166" spans="1:8" x14ac:dyDescent="0.2">
      <c r="A166" s="183" t="s">
        <v>554</v>
      </c>
      <c r="B166" s="50"/>
      <c r="C166" s="50"/>
      <c r="D166" s="50">
        <v>18000</v>
      </c>
      <c r="E166" s="50"/>
      <c r="F166" s="50"/>
      <c r="G166" s="50"/>
    </row>
    <row r="167" spans="1:8" x14ac:dyDescent="0.2">
      <c r="A167" s="183" t="s">
        <v>555</v>
      </c>
      <c r="B167" s="50"/>
      <c r="C167" s="50"/>
      <c r="D167" s="50">
        <v>10000</v>
      </c>
      <c r="E167" s="50"/>
      <c r="F167" s="50"/>
      <c r="G167" s="50"/>
    </row>
    <row r="168" spans="1:8" x14ac:dyDescent="0.2">
      <c r="A168" s="183" t="s">
        <v>556</v>
      </c>
      <c r="B168" s="50"/>
      <c r="C168" s="50"/>
      <c r="D168" s="50">
        <v>10000</v>
      </c>
      <c r="E168" s="50"/>
      <c r="F168" s="50"/>
      <c r="G168" s="50"/>
    </row>
    <row r="169" spans="1:8" x14ac:dyDescent="0.2">
      <c r="A169" s="183" t="s">
        <v>557</v>
      </c>
      <c r="B169" s="50"/>
      <c r="C169" s="50"/>
      <c r="D169" s="50">
        <v>7000</v>
      </c>
      <c r="E169" s="50"/>
      <c r="F169" s="50"/>
      <c r="G169" s="50"/>
    </row>
    <row r="170" spans="1:8" x14ac:dyDescent="0.2">
      <c r="A170" s="183" t="s">
        <v>558</v>
      </c>
      <c r="B170" s="50"/>
      <c r="C170" s="50"/>
      <c r="D170" s="50">
        <v>10000</v>
      </c>
      <c r="E170" s="50"/>
      <c r="F170" s="50"/>
      <c r="G170" s="50"/>
    </row>
    <row r="171" spans="1:8" x14ac:dyDescent="0.2">
      <c r="A171" s="183" t="s">
        <v>559</v>
      </c>
      <c r="B171" s="50"/>
      <c r="C171" s="50"/>
      <c r="D171" s="50">
        <v>24000</v>
      </c>
      <c r="E171" s="50"/>
      <c r="F171" s="50"/>
      <c r="G171" s="50"/>
    </row>
    <row r="172" spans="1:8" x14ac:dyDescent="0.2">
      <c r="A172" s="183" t="s">
        <v>560</v>
      </c>
      <c r="B172" s="50"/>
      <c r="C172" s="50"/>
      <c r="D172" s="50">
        <v>10000</v>
      </c>
      <c r="E172" s="50"/>
      <c r="F172" s="50"/>
      <c r="G172" s="50"/>
    </row>
    <row r="173" spans="1:8" x14ac:dyDescent="0.2">
      <c r="B173" s="50"/>
      <c r="C173" s="50"/>
      <c r="D173" s="50"/>
      <c r="E173" s="50"/>
      <c r="F173" s="50"/>
      <c r="G173" s="50"/>
    </row>
    <row r="174" spans="1:8" x14ac:dyDescent="0.2">
      <c r="B174" s="50"/>
      <c r="C174" s="50"/>
      <c r="D174" s="50"/>
      <c r="E174" s="50"/>
      <c r="F174" s="50"/>
      <c r="G174" s="50"/>
    </row>
    <row r="175" spans="1:8" x14ac:dyDescent="0.2">
      <c r="A175" s="62" t="s">
        <v>561</v>
      </c>
      <c r="B175" s="50"/>
      <c r="C175" s="50"/>
      <c r="D175" s="56">
        <f>D177+D194+D208</f>
        <v>224300</v>
      </c>
      <c r="E175" s="50"/>
      <c r="F175" s="50"/>
      <c r="G175" s="50"/>
    </row>
    <row r="176" spans="1:8" x14ac:dyDescent="0.2">
      <c r="B176" s="50"/>
      <c r="C176" s="50"/>
      <c r="D176" s="50"/>
      <c r="E176" s="50"/>
      <c r="F176" s="50"/>
      <c r="G176" s="50"/>
    </row>
    <row r="177" spans="1:7" x14ac:dyDescent="0.2">
      <c r="A177" s="1" t="s">
        <v>562</v>
      </c>
      <c r="B177" s="50"/>
      <c r="C177" s="50"/>
      <c r="D177" s="56">
        <f>SUM(D178:D191)</f>
        <v>34300</v>
      </c>
      <c r="E177" s="50"/>
      <c r="F177" s="50"/>
      <c r="G177" s="50"/>
    </row>
    <row r="178" spans="1:7" x14ac:dyDescent="0.2">
      <c r="B178" s="50"/>
      <c r="C178" s="50"/>
      <c r="D178" s="50"/>
      <c r="E178" s="50"/>
      <c r="F178" s="50"/>
      <c r="G178" s="50"/>
    </row>
    <row r="179" spans="1:7" x14ac:dyDescent="0.2">
      <c r="A179" s="183" t="s">
        <v>563</v>
      </c>
      <c r="B179" s="50">
        <v>1</v>
      </c>
      <c r="C179" s="50"/>
      <c r="D179" s="50">
        <v>4000</v>
      </c>
      <c r="E179" s="50"/>
      <c r="F179" s="50"/>
      <c r="G179" s="50"/>
    </row>
    <row r="180" spans="1:7" x14ac:dyDescent="0.2">
      <c r="A180" s="183" t="s">
        <v>564</v>
      </c>
      <c r="B180" s="50">
        <v>1</v>
      </c>
      <c r="C180" s="50"/>
      <c r="D180" s="50">
        <v>3000</v>
      </c>
      <c r="E180" s="50"/>
      <c r="F180" s="50"/>
      <c r="G180" s="50"/>
    </row>
    <row r="181" spans="1:7" x14ac:dyDescent="0.2">
      <c r="A181" s="183" t="s">
        <v>565</v>
      </c>
      <c r="B181" s="50">
        <v>1</v>
      </c>
      <c r="C181" s="50"/>
      <c r="D181" s="50">
        <v>300</v>
      </c>
      <c r="E181" s="50"/>
      <c r="F181" s="50"/>
      <c r="G181" s="50"/>
    </row>
    <row r="182" spans="1:7" x14ac:dyDescent="0.2">
      <c r="A182" s="183" t="s">
        <v>566</v>
      </c>
      <c r="B182" s="50">
        <v>1</v>
      </c>
      <c r="C182" s="50"/>
      <c r="D182" s="50">
        <v>500</v>
      </c>
      <c r="E182" s="50"/>
      <c r="F182" s="50"/>
      <c r="G182" s="50"/>
    </row>
    <row r="183" spans="1:7" x14ac:dyDescent="0.2">
      <c r="A183" s="183" t="s">
        <v>567</v>
      </c>
      <c r="B183" s="50">
        <v>2</v>
      </c>
      <c r="C183" s="50"/>
      <c r="D183" s="50">
        <v>1400</v>
      </c>
      <c r="E183" s="50"/>
      <c r="F183" s="50"/>
      <c r="G183" s="50"/>
    </row>
    <row r="184" spans="1:7" x14ac:dyDescent="0.2">
      <c r="A184" s="183" t="s">
        <v>568</v>
      </c>
      <c r="B184" s="50">
        <v>2</v>
      </c>
      <c r="C184" s="50"/>
      <c r="D184" s="50">
        <v>800</v>
      </c>
      <c r="E184" s="50"/>
      <c r="F184" s="50"/>
      <c r="G184" s="50"/>
    </row>
    <row r="185" spans="1:7" x14ac:dyDescent="0.2">
      <c r="A185" s="183" t="s">
        <v>569</v>
      </c>
      <c r="B185" s="50">
        <v>2</v>
      </c>
      <c r="C185" s="50"/>
      <c r="D185" s="50">
        <v>1200</v>
      </c>
      <c r="E185" s="50"/>
      <c r="F185" s="50"/>
      <c r="G185" s="50"/>
    </row>
    <row r="186" spans="1:7" x14ac:dyDescent="0.2">
      <c r="A186" s="183" t="s">
        <v>570</v>
      </c>
      <c r="B186" s="50">
        <v>2</v>
      </c>
      <c r="C186" s="50"/>
      <c r="D186" s="50">
        <v>1600</v>
      </c>
      <c r="E186" s="50"/>
      <c r="F186" s="50"/>
      <c r="G186" s="50"/>
    </row>
    <row r="187" spans="1:7" x14ac:dyDescent="0.2">
      <c r="A187" s="183" t="s">
        <v>571</v>
      </c>
      <c r="B187" s="50">
        <v>1</v>
      </c>
      <c r="C187" s="50"/>
      <c r="D187" s="50">
        <v>400</v>
      </c>
      <c r="E187" s="50"/>
      <c r="F187" s="50"/>
      <c r="G187" s="50"/>
    </row>
    <row r="188" spans="1:7" x14ac:dyDescent="0.2">
      <c r="A188" s="183" t="s">
        <v>572</v>
      </c>
      <c r="B188" s="50">
        <v>1</v>
      </c>
      <c r="C188" s="50"/>
      <c r="D188" s="50">
        <v>2800</v>
      </c>
      <c r="E188" s="50"/>
      <c r="F188" s="50"/>
      <c r="G188" s="50"/>
    </row>
    <row r="189" spans="1:7" x14ac:dyDescent="0.2">
      <c r="A189" s="183" t="s">
        <v>573</v>
      </c>
      <c r="B189" s="50">
        <v>1</v>
      </c>
      <c r="C189" s="50"/>
      <c r="D189" s="50">
        <v>1300</v>
      </c>
      <c r="E189" s="50"/>
      <c r="F189" s="50"/>
      <c r="G189" s="50"/>
    </row>
    <row r="190" spans="1:7" x14ac:dyDescent="0.2">
      <c r="A190" s="183" t="s">
        <v>574</v>
      </c>
      <c r="B190" s="50">
        <v>1</v>
      </c>
      <c r="C190" s="50"/>
      <c r="D190" s="50">
        <v>14000</v>
      </c>
      <c r="E190" s="50"/>
      <c r="F190" s="50"/>
      <c r="G190" s="50"/>
    </row>
    <row r="191" spans="1:7" x14ac:dyDescent="0.2">
      <c r="A191" s="183" t="s">
        <v>575</v>
      </c>
      <c r="B191" s="50"/>
      <c r="C191" s="50"/>
      <c r="D191" s="50">
        <v>3000</v>
      </c>
      <c r="E191" s="50"/>
      <c r="F191" s="50"/>
      <c r="G191" s="50"/>
    </row>
    <row r="192" spans="1:7" x14ac:dyDescent="0.2">
      <c r="B192" s="50"/>
      <c r="C192" s="50"/>
      <c r="D192" s="50"/>
      <c r="E192" s="50"/>
      <c r="F192" s="50"/>
      <c r="G192" s="50"/>
    </row>
    <row r="193" spans="1:7" x14ac:dyDescent="0.2">
      <c r="B193" s="50"/>
      <c r="C193" s="50"/>
      <c r="D193" s="50"/>
      <c r="E193" s="50"/>
      <c r="F193" s="50"/>
      <c r="G193" s="50"/>
    </row>
    <row r="194" spans="1:7" x14ac:dyDescent="0.2">
      <c r="A194" s="1" t="s">
        <v>576</v>
      </c>
      <c r="B194" s="56"/>
      <c r="C194" s="56"/>
      <c r="D194" s="56">
        <f>SUM(D195:D206)</f>
        <v>39800</v>
      </c>
      <c r="E194" s="50"/>
      <c r="F194" s="50"/>
      <c r="G194" s="50"/>
    </row>
    <row r="195" spans="1:7" x14ac:dyDescent="0.2">
      <c r="B195" s="50"/>
      <c r="C195" s="50"/>
      <c r="D195" s="50"/>
      <c r="E195" s="50"/>
      <c r="F195" s="50"/>
      <c r="G195" s="50"/>
    </row>
    <row r="196" spans="1:7" x14ac:dyDescent="0.2">
      <c r="A196" s="183" t="s">
        <v>577</v>
      </c>
      <c r="B196" s="50">
        <v>1</v>
      </c>
      <c r="C196" s="50"/>
      <c r="D196" s="50">
        <v>11000</v>
      </c>
      <c r="E196" s="50"/>
      <c r="F196" s="50"/>
      <c r="G196" s="50"/>
    </row>
    <row r="197" spans="1:7" x14ac:dyDescent="0.2">
      <c r="A197" s="183" t="s">
        <v>578</v>
      </c>
      <c r="B197" s="50">
        <v>1</v>
      </c>
      <c r="C197" s="50"/>
      <c r="D197" s="50">
        <v>14000</v>
      </c>
      <c r="E197" s="50"/>
      <c r="F197" s="50"/>
      <c r="G197" s="50"/>
    </row>
    <row r="198" spans="1:7" x14ac:dyDescent="0.2">
      <c r="A198" s="183" t="s">
        <v>579</v>
      </c>
      <c r="B198" s="50">
        <v>1</v>
      </c>
      <c r="C198" s="50"/>
      <c r="D198" s="50">
        <v>1000</v>
      </c>
      <c r="E198" s="50"/>
      <c r="F198" s="50"/>
      <c r="G198" s="50"/>
    </row>
    <row r="199" spans="1:7" x14ac:dyDescent="0.2">
      <c r="A199" s="183" t="s">
        <v>580</v>
      </c>
      <c r="B199" s="50">
        <v>1</v>
      </c>
      <c r="C199" s="50"/>
      <c r="D199" s="50">
        <v>2700</v>
      </c>
      <c r="E199" s="50"/>
      <c r="F199" s="50"/>
      <c r="G199" s="50"/>
    </row>
    <row r="200" spans="1:7" x14ac:dyDescent="0.2">
      <c r="A200" s="183" t="s">
        <v>595</v>
      </c>
      <c r="B200" s="50">
        <v>1</v>
      </c>
      <c r="C200" s="50"/>
      <c r="D200" s="50">
        <v>200</v>
      </c>
      <c r="E200" s="50"/>
      <c r="F200" s="50"/>
      <c r="G200" s="50"/>
    </row>
    <row r="201" spans="1:7" x14ac:dyDescent="0.2">
      <c r="A201" s="183" t="s">
        <v>596</v>
      </c>
      <c r="B201" s="50">
        <v>1</v>
      </c>
      <c r="C201" s="50"/>
      <c r="D201" s="50">
        <v>1200</v>
      </c>
      <c r="E201" s="50"/>
      <c r="F201" s="50"/>
      <c r="G201" s="50"/>
    </row>
    <row r="202" spans="1:7" x14ac:dyDescent="0.2">
      <c r="A202" s="183" t="s">
        <v>581</v>
      </c>
      <c r="B202" s="50">
        <v>3</v>
      </c>
      <c r="C202" s="50"/>
      <c r="D202" s="50">
        <v>3900</v>
      </c>
      <c r="E202" s="50"/>
      <c r="F202" s="50"/>
      <c r="G202" s="50"/>
    </row>
    <row r="203" spans="1:7" x14ac:dyDescent="0.2">
      <c r="A203" s="183" t="s">
        <v>582</v>
      </c>
      <c r="B203" s="50">
        <v>1</v>
      </c>
      <c r="C203" s="50"/>
      <c r="D203" s="50">
        <v>700</v>
      </c>
      <c r="E203" s="50"/>
      <c r="F203" s="50"/>
      <c r="G203" s="50"/>
    </row>
    <row r="204" spans="1:7" x14ac:dyDescent="0.2">
      <c r="A204" s="183" t="s">
        <v>583</v>
      </c>
      <c r="B204" s="50">
        <v>1</v>
      </c>
      <c r="C204" s="50"/>
      <c r="D204" s="50">
        <v>1200</v>
      </c>
      <c r="E204" s="50"/>
      <c r="F204" s="50"/>
      <c r="G204" s="50"/>
    </row>
    <row r="205" spans="1:7" x14ac:dyDescent="0.2">
      <c r="A205" s="183" t="s">
        <v>584</v>
      </c>
      <c r="B205" s="50">
        <v>1</v>
      </c>
      <c r="C205" s="50"/>
      <c r="D205" s="50">
        <v>900</v>
      </c>
      <c r="E205" s="50"/>
      <c r="F205" s="50"/>
      <c r="G205" s="50"/>
    </row>
    <row r="206" spans="1:7" x14ac:dyDescent="0.2">
      <c r="A206" s="183" t="s">
        <v>585</v>
      </c>
      <c r="B206" s="50"/>
      <c r="C206" s="50"/>
      <c r="D206" s="50">
        <v>3000</v>
      </c>
      <c r="E206" s="50"/>
      <c r="F206" s="50"/>
      <c r="G206" s="50"/>
    </row>
    <row r="207" spans="1:7" x14ac:dyDescent="0.2">
      <c r="B207" s="50"/>
      <c r="C207" s="50"/>
      <c r="D207" s="50"/>
      <c r="E207" s="50"/>
      <c r="F207" s="50"/>
      <c r="G207" s="50"/>
    </row>
    <row r="208" spans="1:7" x14ac:dyDescent="0.2">
      <c r="A208" s="1" t="s">
        <v>586</v>
      </c>
      <c r="B208" s="56"/>
      <c r="C208" s="56"/>
      <c r="D208" s="56">
        <f>SUM(D209:D216)</f>
        <v>150200</v>
      </c>
      <c r="E208" s="50"/>
      <c r="F208" s="50"/>
      <c r="G208" s="50"/>
    </row>
    <row r="209" spans="1:7" x14ac:dyDescent="0.2">
      <c r="B209" s="50"/>
      <c r="C209" s="50"/>
      <c r="D209" s="50"/>
      <c r="E209" s="50"/>
      <c r="F209" s="50"/>
      <c r="G209" s="50"/>
    </row>
    <row r="210" spans="1:7" x14ac:dyDescent="0.2">
      <c r="A210" s="183" t="s">
        <v>587</v>
      </c>
      <c r="B210" s="50">
        <v>75</v>
      </c>
      <c r="C210" s="50">
        <v>320</v>
      </c>
      <c r="D210" s="50">
        <f>B210*C210</f>
        <v>24000</v>
      </c>
      <c r="E210" s="50"/>
      <c r="F210" s="50"/>
      <c r="G210" s="50"/>
    </row>
    <row r="211" spans="1:7" x14ac:dyDescent="0.2">
      <c r="A211" s="183" t="s">
        <v>588</v>
      </c>
      <c r="B211" s="50">
        <v>300</v>
      </c>
      <c r="C211" s="50">
        <v>260</v>
      </c>
      <c r="D211" s="50">
        <f>B211*C211</f>
        <v>78000</v>
      </c>
      <c r="E211" s="50"/>
      <c r="F211" s="50"/>
      <c r="G211" s="50"/>
    </row>
    <row r="212" spans="1:7" x14ac:dyDescent="0.2">
      <c r="A212" s="183" t="s">
        <v>589</v>
      </c>
      <c r="B212" s="50">
        <v>2</v>
      </c>
      <c r="C212" s="50"/>
      <c r="D212" s="50">
        <v>14000</v>
      </c>
      <c r="E212" s="50"/>
      <c r="F212" s="50"/>
      <c r="G212" s="50"/>
    </row>
    <row r="213" spans="1:7" x14ac:dyDescent="0.2">
      <c r="A213" s="183" t="s">
        <v>590</v>
      </c>
      <c r="B213" s="50">
        <v>6</v>
      </c>
      <c r="C213" s="50"/>
      <c r="D213" s="50">
        <v>4200</v>
      </c>
      <c r="E213" s="50"/>
      <c r="F213" s="50"/>
      <c r="G213" s="50"/>
    </row>
    <row r="214" spans="1:7" x14ac:dyDescent="0.2">
      <c r="A214" s="183" t="s">
        <v>591</v>
      </c>
      <c r="B214" s="50">
        <v>8</v>
      </c>
      <c r="C214" s="50"/>
      <c r="D214" s="50">
        <v>3000</v>
      </c>
      <c r="E214" s="50"/>
      <c r="F214" s="50"/>
      <c r="G214" s="50"/>
    </row>
    <row r="215" spans="1:7" x14ac:dyDescent="0.2">
      <c r="A215" s="183" t="s">
        <v>592</v>
      </c>
      <c r="B215" s="50"/>
      <c r="C215" s="50"/>
      <c r="D215" s="50">
        <v>15000</v>
      </c>
      <c r="E215" s="50"/>
      <c r="F215" s="50"/>
      <c r="G215" s="50"/>
    </row>
    <row r="216" spans="1:7" x14ac:dyDescent="0.2">
      <c r="A216" s="183" t="s">
        <v>593</v>
      </c>
      <c r="B216" s="50">
        <v>8</v>
      </c>
      <c r="C216" s="50"/>
      <c r="D216" s="50">
        <v>12000</v>
      </c>
      <c r="E216" s="50"/>
      <c r="F216" s="50"/>
      <c r="G216" s="50"/>
    </row>
    <row r="217" spans="1:7" x14ac:dyDescent="0.2">
      <c r="B217" s="50"/>
      <c r="C217" s="50"/>
      <c r="D217" s="50"/>
      <c r="E217" s="50"/>
      <c r="F217" s="50"/>
      <c r="G217" s="50"/>
    </row>
    <row r="218" spans="1:7" x14ac:dyDescent="0.2">
      <c r="A218" s="1" t="s">
        <v>597</v>
      </c>
      <c r="B218" s="50"/>
      <c r="C218" s="50"/>
      <c r="D218" s="50">
        <f>350000-344300</f>
        <v>5700</v>
      </c>
      <c r="E218" s="50"/>
      <c r="F218" s="50"/>
      <c r="G218" s="50"/>
    </row>
    <row r="219" spans="1:7" x14ac:dyDescent="0.2">
      <c r="B219" s="50"/>
      <c r="C219" s="50"/>
      <c r="D219" s="395"/>
      <c r="E219" s="50"/>
      <c r="F219" s="50"/>
      <c r="G219" s="50"/>
    </row>
    <row r="220" spans="1:7" x14ac:dyDescent="0.2">
      <c r="B220" s="50"/>
      <c r="C220" s="50"/>
      <c r="D220" s="50"/>
      <c r="E220" s="50"/>
      <c r="F220" s="50"/>
      <c r="G220" s="50"/>
    </row>
    <row r="221" spans="1:7" ht="22.5" x14ac:dyDescent="0.55000000000000004">
      <c r="A221" s="376" t="s">
        <v>598</v>
      </c>
      <c r="B221" s="50"/>
      <c r="C221" s="50"/>
      <c r="D221" s="403">
        <f>D218+D175+D160</f>
        <v>350000</v>
      </c>
      <c r="E221" s="50"/>
      <c r="F221" s="50"/>
      <c r="G221" s="50"/>
    </row>
    <row r="222" spans="1:7" x14ac:dyDescent="0.2">
      <c r="B222" s="50"/>
      <c r="C222" s="50"/>
      <c r="D222" s="50"/>
      <c r="E222" s="50"/>
      <c r="F222" s="50"/>
      <c r="G222" s="50"/>
    </row>
    <row r="223" spans="1:7" x14ac:dyDescent="0.2">
      <c r="B223" s="50"/>
      <c r="C223" s="50"/>
      <c r="D223" s="50"/>
      <c r="E223" s="50"/>
      <c r="F223" s="50"/>
      <c r="G223" s="50"/>
    </row>
    <row r="224" spans="1:7" x14ac:dyDescent="0.2">
      <c r="B224" s="50"/>
      <c r="C224" s="50"/>
      <c r="D224" s="50"/>
      <c r="E224" s="50"/>
      <c r="F224" s="50"/>
      <c r="G224" s="50"/>
    </row>
    <row r="225" spans="2:7" x14ac:dyDescent="0.2">
      <c r="B225" s="50"/>
      <c r="C225" s="50"/>
      <c r="D225" s="50"/>
      <c r="E225" s="50"/>
      <c r="F225" s="50"/>
      <c r="G225" s="50"/>
    </row>
    <row r="226" spans="2:7" x14ac:dyDescent="0.2">
      <c r="B226" s="50"/>
      <c r="C226" s="50"/>
      <c r="D226" s="50"/>
      <c r="E226" s="50"/>
      <c r="F226" s="50"/>
      <c r="G226" s="50"/>
    </row>
    <row r="227" spans="2:7" x14ac:dyDescent="0.2">
      <c r="B227" s="50"/>
      <c r="C227" s="50"/>
      <c r="D227" s="50"/>
      <c r="E227" s="50"/>
      <c r="F227" s="50"/>
      <c r="G227" s="50"/>
    </row>
    <row r="228" spans="2:7" x14ac:dyDescent="0.2">
      <c r="B228" s="50"/>
      <c r="C228" s="50"/>
      <c r="D228" s="50"/>
      <c r="E228" s="50"/>
      <c r="F228" s="50"/>
      <c r="G228" s="50"/>
    </row>
    <row r="229" spans="2:7" x14ac:dyDescent="0.2">
      <c r="B229" s="50"/>
      <c r="C229" s="50"/>
      <c r="D229" s="50"/>
      <c r="E229" s="50"/>
      <c r="F229" s="50"/>
      <c r="G229" s="50"/>
    </row>
    <row r="230" spans="2:7" x14ac:dyDescent="0.2">
      <c r="B230" s="50"/>
      <c r="C230" s="50"/>
      <c r="D230" s="50"/>
      <c r="E230" s="50"/>
      <c r="F230" s="50"/>
      <c r="G230" s="50"/>
    </row>
    <row r="231" spans="2:7" x14ac:dyDescent="0.2">
      <c r="B231" s="50"/>
      <c r="C231" s="50"/>
      <c r="D231" s="50"/>
      <c r="E231" s="50"/>
      <c r="F231" s="50"/>
      <c r="G231" s="50"/>
    </row>
    <row r="232" spans="2:7" x14ac:dyDescent="0.2">
      <c r="B232" s="50"/>
      <c r="C232" s="50"/>
      <c r="D232" s="50"/>
      <c r="E232" s="50"/>
      <c r="F232" s="50"/>
      <c r="G232" s="50"/>
    </row>
    <row r="233" spans="2:7" x14ac:dyDescent="0.2">
      <c r="B233" s="50"/>
      <c r="C233" s="50"/>
      <c r="D233" s="50"/>
      <c r="E233" s="50"/>
      <c r="F233" s="50"/>
      <c r="G233" s="50"/>
    </row>
    <row r="234" spans="2:7" x14ac:dyDescent="0.2">
      <c r="B234" s="50"/>
      <c r="C234" s="50"/>
      <c r="D234" s="50"/>
      <c r="E234" s="50"/>
      <c r="F234" s="50"/>
      <c r="G234" s="50"/>
    </row>
    <row r="235" spans="2:7" x14ac:dyDescent="0.2">
      <c r="B235" s="50"/>
      <c r="C235" s="50"/>
      <c r="D235" s="50"/>
      <c r="E235" s="50"/>
      <c r="F235" s="50"/>
      <c r="G235" s="50"/>
    </row>
    <row r="236" spans="2:7" x14ac:dyDescent="0.2">
      <c r="B236" s="50"/>
      <c r="C236" s="50"/>
      <c r="D236" s="50"/>
      <c r="E236" s="50"/>
      <c r="F236" s="50"/>
      <c r="G236" s="50"/>
    </row>
    <row r="237" spans="2:7" x14ac:dyDescent="0.2">
      <c r="B237" s="50"/>
      <c r="C237" s="50"/>
      <c r="D237" s="50"/>
      <c r="E237" s="50"/>
      <c r="F237" s="50"/>
      <c r="G237" s="50"/>
    </row>
    <row r="238" spans="2:7" x14ac:dyDescent="0.2">
      <c r="B238" s="50"/>
      <c r="C238" s="50"/>
      <c r="D238" s="50"/>
      <c r="E238" s="50"/>
      <c r="F238" s="50"/>
      <c r="G238" s="50"/>
    </row>
    <row r="239" spans="2:7" x14ac:dyDescent="0.2">
      <c r="B239" s="50"/>
      <c r="C239" s="50"/>
      <c r="D239" s="50"/>
      <c r="E239" s="50"/>
      <c r="F239" s="50"/>
      <c r="G239" s="50"/>
    </row>
    <row r="240" spans="2:7" x14ac:dyDescent="0.2">
      <c r="B240" s="50"/>
      <c r="C240" s="50"/>
      <c r="D240" s="50"/>
      <c r="E240" s="50"/>
      <c r="F240" s="50"/>
      <c r="G240" s="50"/>
    </row>
    <row r="241" spans="2:7" x14ac:dyDescent="0.2">
      <c r="B241" s="50"/>
      <c r="C241" s="50"/>
      <c r="D241" s="50"/>
      <c r="E241" s="50"/>
      <c r="F241" s="50"/>
      <c r="G241" s="50"/>
    </row>
    <row r="242" spans="2:7" x14ac:dyDescent="0.2">
      <c r="B242" s="50"/>
      <c r="C242" s="50"/>
      <c r="D242" s="50"/>
      <c r="E242" s="50"/>
      <c r="F242" s="50"/>
      <c r="G242" s="50"/>
    </row>
    <row r="243" spans="2:7" x14ac:dyDescent="0.2">
      <c r="B243" s="50"/>
      <c r="C243" s="50"/>
      <c r="D243" s="50"/>
      <c r="E243" s="50"/>
      <c r="F243" s="50"/>
      <c r="G243" s="50"/>
    </row>
    <row r="244" spans="2:7" x14ac:dyDescent="0.2">
      <c r="B244" s="50"/>
      <c r="C244" s="50"/>
      <c r="D244" s="50"/>
      <c r="E244" s="50"/>
      <c r="F244" s="50"/>
      <c r="G244" s="50"/>
    </row>
    <row r="245" spans="2:7" x14ac:dyDescent="0.2">
      <c r="B245" s="50"/>
      <c r="C245" s="50"/>
      <c r="D245" s="50"/>
      <c r="E245" s="50"/>
      <c r="F245" s="50"/>
      <c r="G245" s="50"/>
    </row>
    <row r="246" spans="2:7" x14ac:dyDescent="0.2">
      <c r="B246" s="50"/>
      <c r="C246" s="50"/>
      <c r="D246" s="50"/>
      <c r="E246" s="50"/>
      <c r="F246" s="50"/>
      <c r="G246" s="50"/>
    </row>
    <row r="247" spans="2:7" x14ac:dyDescent="0.2">
      <c r="B247" s="50"/>
      <c r="C247" s="50"/>
      <c r="D247" s="50"/>
      <c r="E247" s="50"/>
      <c r="F247" s="50"/>
      <c r="G247" s="50"/>
    </row>
    <row r="248" spans="2:7" x14ac:dyDescent="0.2">
      <c r="B248" s="50"/>
      <c r="C248" s="50"/>
      <c r="D248" s="50"/>
      <c r="E248" s="50"/>
      <c r="F248" s="50"/>
      <c r="G248" s="50"/>
    </row>
    <row r="249" spans="2:7" x14ac:dyDescent="0.2">
      <c r="B249" s="50"/>
      <c r="C249" s="50"/>
      <c r="D249" s="50"/>
      <c r="E249" s="50"/>
      <c r="F249" s="50"/>
      <c r="G249" s="50"/>
    </row>
    <row r="250" spans="2:7" x14ac:dyDescent="0.2">
      <c r="B250" s="50"/>
      <c r="C250" s="50"/>
      <c r="D250" s="50"/>
      <c r="E250" s="50"/>
      <c r="F250" s="50"/>
      <c r="G250" s="50"/>
    </row>
    <row r="251" spans="2:7" x14ac:dyDescent="0.2">
      <c r="B251" s="50"/>
      <c r="C251" s="50"/>
      <c r="D251" s="50"/>
      <c r="E251" s="50"/>
      <c r="F251" s="50"/>
      <c r="G251" s="50"/>
    </row>
    <row r="252" spans="2:7" x14ac:dyDescent="0.2">
      <c r="B252" s="50"/>
      <c r="C252" s="50"/>
      <c r="D252" s="50"/>
      <c r="E252" s="50"/>
      <c r="F252" s="50"/>
      <c r="G252" s="50"/>
    </row>
    <row r="253" spans="2:7" x14ac:dyDescent="0.2">
      <c r="B253" s="50"/>
      <c r="C253" s="50"/>
      <c r="D253" s="50"/>
      <c r="E253" s="50"/>
      <c r="F253" s="50"/>
      <c r="G253" s="50"/>
    </row>
    <row r="254" spans="2:7" x14ac:dyDescent="0.2">
      <c r="B254" s="50"/>
      <c r="C254" s="50"/>
      <c r="D254" s="50"/>
      <c r="E254" s="50"/>
      <c r="F254" s="50"/>
      <c r="G254" s="50"/>
    </row>
    <row r="255" spans="2:7" x14ac:dyDescent="0.2">
      <c r="B255" s="50"/>
      <c r="C255" s="50"/>
      <c r="D255" s="50"/>
      <c r="E255" s="50"/>
      <c r="F255" s="50"/>
      <c r="G255" s="50"/>
    </row>
    <row r="256" spans="2:7" x14ac:dyDescent="0.2">
      <c r="B256" s="50"/>
      <c r="C256" s="50"/>
      <c r="D256" s="50"/>
      <c r="E256" s="50"/>
      <c r="F256" s="50"/>
      <c r="G256" s="50"/>
    </row>
    <row r="257" spans="2:7" x14ac:dyDescent="0.2">
      <c r="B257" s="50"/>
      <c r="C257" s="50"/>
      <c r="D257" s="50"/>
      <c r="E257" s="50"/>
      <c r="F257" s="50"/>
      <c r="G257" s="50"/>
    </row>
    <row r="258" spans="2:7" x14ac:dyDescent="0.2">
      <c r="B258" s="50"/>
      <c r="C258" s="50"/>
      <c r="D258" s="50"/>
      <c r="E258" s="50"/>
      <c r="F258" s="50"/>
      <c r="G258" s="50"/>
    </row>
    <row r="259" spans="2:7" x14ac:dyDescent="0.2">
      <c r="B259" s="50"/>
      <c r="C259" s="50"/>
      <c r="D259" s="50"/>
      <c r="E259" s="50"/>
      <c r="F259" s="50"/>
      <c r="G259" s="50"/>
    </row>
    <row r="260" spans="2:7" x14ac:dyDescent="0.2">
      <c r="B260" s="50"/>
      <c r="C260" s="50"/>
      <c r="D260" s="50"/>
      <c r="E260" s="50"/>
      <c r="F260" s="50"/>
      <c r="G260" s="50"/>
    </row>
    <row r="261" spans="2:7" x14ac:dyDescent="0.2">
      <c r="B261" s="50"/>
      <c r="C261" s="50"/>
      <c r="D261" s="50"/>
      <c r="E261" s="50"/>
      <c r="F261" s="50"/>
      <c r="G261" s="50"/>
    </row>
    <row r="262" spans="2:7" x14ac:dyDescent="0.2">
      <c r="B262" s="50"/>
      <c r="C262" s="50"/>
      <c r="D262" s="50"/>
      <c r="E262" s="50"/>
      <c r="F262" s="50"/>
      <c r="G262" s="50"/>
    </row>
    <row r="263" spans="2:7" x14ac:dyDescent="0.2">
      <c r="B263" s="50"/>
      <c r="C263" s="50"/>
      <c r="D263" s="50"/>
      <c r="E263" s="50"/>
      <c r="F263" s="50"/>
      <c r="G263" s="50"/>
    </row>
    <row r="264" spans="2:7" x14ac:dyDescent="0.2">
      <c r="B264" s="50"/>
      <c r="C264" s="50"/>
      <c r="D264" s="50"/>
      <c r="E264" s="50"/>
      <c r="F264" s="50"/>
      <c r="G264" s="50"/>
    </row>
    <row r="265" spans="2:7" x14ac:dyDescent="0.2">
      <c r="B265" s="50"/>
      <c r="C265" s="50"/>
      <c r="D265" s="50"/>
      <c r="E265" s="50"/>
      <c r="F265" s="50"/>
      <c r="G265" s="50"/>
    </row>
    <row r="266" spans="2:7" x14ac:dyDescent="0.2">
      <c r="B266" s="50"/>
      <c r="C266" s="50"/>
      <c r="D266" s="50"/>
      <c r="E266" s="50"/>
      <c r="F266" s="50"/>
      <c r="G266" s="50"/>
    </row>
    <row r="267" spans="2:7" x14ac:dyDescent="0.2">
      <c r="B267" s="50"/>
      <c r="C267" s="50"/>
      <c r="D267" s="50"/>
      <c r="E267" s="50"/>
      <c r="F267" s="50"/>
      <c r="G267" s="50"/>
    </row>
    <row r="268" spans="2:7" x14ac:dyDescent="0.2">
      <c r="B268" s="50"/>
      <c r="C268" s="50"/>
      <c r="D268" s="50"/>
      <c r="E268" s="50"/>
      <c r="F268" s="50"/>
      <c r="G268" s="50"/>
    </row>
    <row r="269" spans="2:7" x14ac:dyDescent="0.2">
      <c r="B269" s="50"/>
      <c r="C269" s="50"/>
      <c r="D269" s="50"/>
      <c r="E269" s="50"/>
      <c r="F269" s="50"/>
      <c r="G269" s="50"/>
    </row>
    <row r="270" spans="2:7" x14ac:dyDescent="0.2">
      <c r="B270" s="50"/>
      <c r="C270" s="50"/>
      <c r="D270" s="50"/>
      <c r="E270" s="50"/>
      <c r="F270" s="50"/>
      <c r="G270" s="50"/>
    </row>
    <row r="271" spans="2:7" x14ac:dyDescent="0.2">
      <c r="B271" s="50"/>
      <c r="C271" s="50"/>
      <c r="D271" s="50"/>
      <c r="E271" s="50"/>
      <c r="F271" s="50"/>
      <c r="G271" s="50"/>
    </row>
    <row r="272" spans="2:7" x14ac:dyDescent="0.2">
      <c r="B272" s="50"/>
      <c r="C272" s="50"/>
      <c r="D272" s="50"/>
      <c r="E272" s="50"/>
      <c r="F272" s="50"/>
      <c r="G272" s="50"/>
    </row>
    <row r="273" spans="2:7" x14ac:dyDescent="0.2">
      <c r="B273" s="50"/>
      <c r="C273" s="50"/>
      <c r="D273" s="50"/>
      <c r="E273" s="50"/>
      <c r="F273" s="50"/>
      <c r="G273" s="50"/>
    </row>
    <row r="274" spans="2:7" x14ac:dyDescent="0.2">
      <c r="B274" s="50"/>
      <c r="C274" s="50"/>
      <c r="D274" s="50"/>
      <c r="E274" s="50"/>
      <c r="F274" s="50"/>
      <c r="G274" s="50"/>
    </row>
    <row r="275" spans="2:7" x14ac:dyDescent="0.2">
      <c r="B275" s="50"/>
      <c r="C275" s="50"/>
      <c r="D275" s="50"/>
      <c r="E275" s="50"/>
      <c r="F275" s="50"/>
      <c r="G275" s="50"/>
    </row>
    <row r="276" spans="2:7" x14ac:dyDescent="0.2">
      <c r="B276" s="50"/>
      <c r="C276" s="50"/>
      <c r="D276" s="50"/>
      <c r="E276" s="50"/>
      <c r="F276" s="50"/>
      <c r="G276" s="50"/>
    </row>
    <row r="277" spans="2:7" x14ac:dyDescent="0.2">
      <c r="B277" s="50"/>
      <c r="C277" s="50"/>
      <c r="D277" s="50"/>
      <c r="E277" s="50"/>
      <c r="F277" s="50"/>
      <c r="G277" s="50"/>
    </row>
    <row r="278" spans="2:7" x14ac:dyDescent="0.2">
      <c r="B278" s="50"/>
      <c r="C278" s="50"/>
      <c r="D278" s="50"/>
      <c r="E278" s="50"/>
      <c r="F278" s="50"/>
      <c r="G278" s="50"/>
    </row>
    <row r="279" spans="2:7" x14ac:dyDescent="0.2">
      <c r="B279" s="50"/>
      <c r="C279" s="50"/>
      <c r="D279" s="50"/>
      <c r="E279" s="50"/>
      <c r="F279" s="50"/>
      <c r="G279" s="50"/>
    </row>
    <row r="280" spans="2:7" x14ac:dyDescent="0.2">
      <c r="B280" s="50"/>
      <c r="C280" s="50"/>
      <c r="D280" s="50"/>
      <c r="E280" s="50"/>
      <c r="F280" s="50"/>
      <c r="G280" s="50"/>
    </row>
    <row r="281" spans="2:7" x14ac:dyDescent="0.2">
      <c r="B281" s="50"/>
      <c r="C281" s="50"/>
      <c r="D281" s="50"/>
      <c r="E281" s="50"/>
      <c r="F281" s="50"/>
      <c r="G281" s="50"/>
    </row>
    <row r="282" spans="2:7" x14ac:dyDescent="0.2">
      <c r="B282" s="50"/>
      <c r="C282" s="50"/>
      <c r="D282" s="50"/>
      <c r="E282" s="50"/>
      <c r="F282" s="50"/>
      <c r="G282" s="50"/>
    </row>
    <row r="283" spans="2:7" x14ac:dyDescent="0.2">
      <c r="B283" s="50"/>
      <c r="C283" s="50"/>
      <c r="D283" s="50"/>
      <c r="E283" s="50"/>
      <c r="F283" s="50"/>
      <c r="G283" s="50"/>
    </row>
    <row r="284" spans="2:7" x14ac:dyDescent="0.2">
      <c r="B284" s="50"/>
      <c r="C284" s="50"/>
      <c r="D284" s="50"/>
      <c r="E284" s="50"/>
      <c r="F284" s="50"/>
      <c r="G284" s="50"/>
    </row>
    <row r="285" spans="2:7" x14ac:dyDescent="0.2">
      <c r="B285" s="50"/>
      <c r="C285" s="50"/>
      <c r="D285" s="50"/>
      <c r="E285" s="50"/>
      <c r="F285" s="50"/>
      <c r="G285" s="50"/>
    </row>
    <row r="286" spans="2:7" x14ac:dyDescent="0.2">
      <c r="B286" s="50"/>
      <c r="C286" s="50"/>
      <c r="D286" s="50"/>
      <c r="E286" s="50"/>
      <c r="F286" s="50"/>
      <c r="G286" s="50"/>
    </row>
    <row r="287" spans="2:7" x14ac:dyDescent="0.2">
      <c r="B287" s="50"/>
      <c r="C287" s="50"/>
      <c r="D287" s="50"/>
      <c r="E287" s="50"/>
      <c r="F287" s="50"/>
      <c r="G287" s="50"/>
    </row>
    <row r="288" spans="2:7" x14ac:dyDescent="0.2">
      <c r="B288" s="50"/>
      <c r="C288" s="50"/>
      <c r="D288" s="50"/>
      <c r="E288" s="50"/>
      <c r="F288" s="50"/>
      <c r="G288" s="50"/>
    </row>
    <row r="289" spans="2:7" x14ac:dyDescent="0.2">
      <c r="B289" s="50"/>
      <c r="C289" s="50"/>
      <c r="D289" s="50"/>
      <c r="E289" s="50"/>
      <c r="F289" s="50"/>
      <c r="G289" s="50"/>
    </row>
    <row r="290" spans="2:7" x14ac:dyDescent="0.2">
      <c r="B290" s="50"/>
      <c r="C290" s="50"/>
      <c r="D290" s="50"/>
      <c r="E290" s="50"/>
      <c r="F290" s="50"/>
      <c r="G290" s="50"/>
    </row>
    <row r="291" spans="2:7" x14ac:dyDescent="0.2">
      <c r="B291" s="50"/>
      <c r="C291" s="50"/>
      <c r="D291" s="50"/>
      <c r="E291" s="50"/>
      <c r="F291" s="50"/>
      <c r="G291" s="50"/>
    </row>
    <row r="292" spans="2:7" x14ac:dyDescent="0.2">
      <c r="B292" s="50"/>
      <c r="C292" s="50"/>
      <c r="D292" s="50"/>
      <c r="E292" s="50"/>
      <c r="F292" s="50"/>
      <c r="G292" s="50"/>
    </row>
    <row r="293" spans="2:7" x14ac:dyDescent="0.2">
      <c r="B293" s="50"/>
      <c r="C293" s="50"/>
      <c r="D293" s="50"/>
      <c r="E293" s="50"/>
      <c r="F293" s="50"/>
      <c r="G293" s="50"/>
    </row>
    <row r="294" spans="2:7" x14ac:dyDescent="0.2">
      <c r="B294" s="50"/>
      <c r="C294" s="50"/>
      <c r="D294" s="50"/>
      <c r="E294" s="50"/>
      <c r="F294" s="50"/>
      <c r="G294" s="50"/>
    </row>
    <row r="295" spans="2:7" x14ac:dyDescent="0.2">
      <c r="B295" s="50"/>
      <c r="C295" s="50"/>
      <c r="D295" s="50"/>
      <c r="E295" s="50"/>
      <c r="F295" s="50"/>
      <c r="G295" s="50"/>
    </row>
    <row r="296" spans="2:7" x14ac:dyDescent="0.2">
      <c r="B296" s="50"/>
      <c r="C296" s="50"/>
      <c r="D296" s="50"/>
      <c r="E296" s="50"/>
      <c r="F296" s="50"/>
      <c r="G296" s="50"/>
    </row>
    <row r="297" spans="2:7" x14ac:dyDescent="0.2">
      <c r="B297" s="50"/>
      <c r="C297" s="50"/>
      <c r="D297" s="50"/>
      <c r="E297" s="50"/>
      <c r="F297" s="50"/>
      <c r="G297" s="50"/>
    </row>
    <row r="298" spans="2:7" x14ac:dyDescent="0.2">
      <c r="B298" s="50"/>
      <c r="C298" s="50"/>
      <c r="D298" s="50"/>
      <c r="E298" s="50"/>
      <c r="F298" s="50"/>
      <c r="G298" s="50"/>
    </row>
    <row r="299" spans="2:7" x14ac:dyDescent="0.2">
      <c r="B299" s="50"/>
      <c r="C299" s="50"/>
      <c r="D299" s="50"/>
      <c r="E299" s="50"/>
      <c r="F299" s="50"/>
      <c r="G299" s="50"/>
    </row>
    <row r="300" spans="2:7" x14ac:dyDescent="0.2">
      <c r="B300" s="50"/>
      <c r="C300" s="50"/>
      <c r="D300" s="50"/>
      <c r="E300" s="50"/>
      <c r="F300" s="50"/>
      <c r="G300" s="50"/>
    </row>
    <row r="301" spans="2:7" x14ac:dyDescent="0.2">
      <c r="B301" s="50"/>
      <c r="C301" s="50"/>
      <c r="D301" s="50"/>
      <c r="E301" s="50"/>
      <c r="F301" s="50"/>
      <c r="G301" s="50"/>
    </row>
    <row r="302" spans="2:7" x14ac:dyDescent="0.2">
      <c r="B302" s="50"/>
      <c r="C302" s="50"/>
      <c r="D302" s="50"/>
      <c r="E302" s="50"/>
      <c r="F302" s="50"/>
      <c r="G302" s="50"/>
    </row>
    <row r="303" spans="2:7" x14ac:dyDescent="0.2">
      <c r="B303" s="50"/>
      <c r="C303" s="50"/>
      <c r="D303" s="50"/>
      <c r="E303" s="50"/>
      <c r="F303" s="50"/>
      <c r="G303" s="50"/>
    </row>
    <row r="304" spans="2:7" x14ac:dyDescent="0.2">
      <c r="B304" s="50"/>
      <c r="C304" s="50"/>
      <c r="D304" s="50"/>
      <c r="E304" s="50"/>
      <c r="F304" s="50"/>
      <c r="G304" s="50"/>
    </row>
    <row r="305" spans="2:7" x14ac:dyDescent="0.2">
      <c r="B305" s="50"/>
      <c r="C305" s="50"/>
      <c r="D305" s="50"/>
      <c r="E305" s="50"/>
      <c r="F305" s="50"/>
      <c r="G305" s="50"/>
    </row>
    <row r="306" spans="2:7" x14ac:dyDescent="0.2">
      <c r="B306" s="50"/>
      <c r="C306" s="50"/>
      <c r="D306" s="50"/>
      <c r="E306" s="50"/>
      <c r="F306" s="50"/>
      <c r="G306" s="50"/>
    </row>
    <row r="307" spans="2:7" x14ac:dyDescent="0.2">
      <c r="B307" s="50"/>
      <c r="C307" s="50"/>
      <c r="D307" s="50"/>
      <c r="E307" s="50"/>
      <c r="F307" s="50"/>
      <c r="G307" s="50"/>
    </row>
    <row r="308" spans="2:7" x14ac:dyDescent="0.2">
      <c r="B308" s="50"/>
      <c r="C308" s="50"/>
      <c r="D308" s="50"/>
      <c r="E308" s="50"/>
      <c r="F308" s="50"/>
      <c r="G308" s="50"/>
    </row>
    <row r="309" spans="2:7" x14ac:dyDescent="0.2">
      <c r="B309" s="50"/>
      <c r="C309" s="50"/>
      <c r="D309" s="50"/>
      <c r="E309" s="50"/>
      <c r="F309" s="50"/>
      <c r="G309" s="50"/>
    </row>
    <row r="310" spans="2:7" x14ac:dyDescent="0.2">
      <c r="B310" s="50"/>
      <c r="C310" s="50"/>
      <c r="D310" s="50"/>
      <c r="E310" s="50"/>
      <c r="F310" s="50"/>
      <c r="G310" s="50"/>
    </row>
    <row r="311" spans="2:7" x14ac:dyDescent="0.2">
      <c r="B311" s="50"/>
      <c r="C311" s="50"/>
      <c r="D311" s="50"/>
      <c r="E311" s="50"/>
      <c r="F311" s="50"/>
      <c r="G311" s="50"/>
    </row>
    <row r="312" spans="2:7" x14ac:dyDescent="0.2">
      <c r="B312" s="50"/>
      <c r="C312" s="50"/>
      <c r="D312" s="50"/>
      <c r="E312" s="50"/>
      <c r="F312" s="50"/>
      <c r="G312" s="50"/>
    </row>
    <row r="313" spans="2:7" x14ac:dyDescent="0.2">
      <c r="B313" s="50"/>
      <c r="C313" s="50"/>
      <c r="D313" s="50"/>
      <c r="E313" s="50"/>
      <c r="F313" s="50"/>
      <c r="G313" s="50"/>
    </row>
    <row r="314" spans="2:7" x14ac:dyDescent="0.2">
      <c r="B314" s="50"/>
      <c r="C314" s="50"/>
      <c r="D314" s="50"/>
      <c r="E314" s="50"/>
      <c r="F314" s="50"/>
      <c r="G314" s="50"/>
    </row>
    <row r="315" spans="2:7" x14ac:dyDescent="0.2">
      <c r="B315" s="50"/>
      <c r="C315" s="50"/>
      <c r="D315" s="50"/>
      <c r="E315" s="50"/>
      <c r="F315" s="50"/>
      <c r="G315" s="50"/>
    </row>
    <row r="316" spans="2:7" x14ac:dyDescent="0.2">
      <c r="B316" s="50"/>
      <c r="C316" s="50"/>
      <c r="D316" s="50"/>
      <c r="E316" s="50"/>
      <c r="F316" s="50"/>
      <c r="G316" s="50"/>
    </row>
    <row r="317" spans="2:7" x14ac:dyDescent="0.2">
      <c r="B317" s="50"/>
      <c r="C317" s="50"/>
      <c r="D317" s="50"/>
      <c r="E317" s="50"/>
      <c r="F317" s="50"/>
      <c r="G317" s="50"/>
    </row>
    <row r="318" spans="2:7" x14ac:dyDescent="0.2">
      <c r="B318" s="50"/>
      <c r="C318" s="50"/>
      <c r="D318" s="50"/>
      <c r="E318" s="50"/>
      <c r="F318" s="50"/>
      <c r="G318" s="50"/>
    </row>
    <row r="319" spans="2:7" x14ac:dyDescent="0.2">
      <c r="B319" s="50"/>
      <c r="C319" s="50"/>
      <c r="D319" s="50"/>
      <c r="E319" s="50"/>
      <c r="F319" s="50"/>
      <c r="G319" s="50"/>
    </row>
    <row r="320" spans="2:7" x14ac:dyDescent="0.2">
      <c r="B320" s="50"/>
      <c r="C320" s="50"/>
      <c r="D320" s="50"/>
      <c r="E320" s="50"/>
      <c r="F320" s="50"/>
      <c r="G320" s="50"/>
    </row>
    <row r="321" spans="2:7" x14ac:dyDescent="0.2">
      <c r="B321" s="50"/>
      <c r="C321" s="50"/>
      <c r="D321" s="50"/>
      <c r="E321" s="50"/>
      <c r="F321" s="50"/>
      <c r="G321" s="50"/>
    </row>
    <row r="322" spans="2:7" x14ac:dyDescent="0.2">
      <c r="B322" s="50"/>
      <c r="C322" s="50"/>
      <c r="D322" s="50"/>
      <c r="E322" s="50"/>
      <c r="F322" s="50"/>
      <c r="G322" s="50"/>
    </row>
    <row r="323" spans="2:7" x14ac:dyDescent="0.2">
      <c r="B323" s="50"/>
      <c r="C323" s="50"/>
      <c r="D323" s="50"/>
      <c r="E323" s="50"/>
      <c r="F323" s="50"/>
      <c r="G323" s="50"/>
    </row>
    <row r="324" spans="2:7" x14ac:dyDescent="0.2">
      <c r="B324" s="50"/>
      <c r="C324" s="50"/>
      <c r="D324" s="50"/>
      <c r="E324" s="50"/>
      <c r="F324" s="50"/>
      <c r="G324" s="50"/>
    </row>
    <row r="325" spans="2:7" x14ac:dyDescent="0.2">
      <c r="B325" s="50"/>
      <c r="C325" s="50"/>
      <c r="D325" s="50"/>
      <c r="E325" s="50"/>
      <c r="F325" s="50"/>
      <c r="G325" s="50"/>
    </row>
    <row r="326" spans="2:7" x14ac:dyDescent="0.2">
      <c r="B326" s="50"/>
      <c r="C326" s="50"/>
      <c r="D326" s="50"/>
      <c r="E326" s="50"/>
      <c r="F326" s="50"/>
      <c r="G326" s="50"/>
    </row>
    <row r="327" spans="2:7" x14ac:dyDescent="0.2">
      <c r="B327" s="50"/>
      <c r="C327" s="50"/>
      <c r="D327" s="50"/>
      <c r="E327" s="50"/>
      <c r="F327" s="50"/>
      <c r="G327" s="50"/>
    </row>
    <row r="328" spans="2:7" x14ac:dyDescent="0.2">
      <c r="B328" s="50"/>
      <c r="C328" s="50"/>
      <c r="D328" s="50"/>
      <c r="E328" s="50"/>
      <c r="F328" s="50"/>
      <c r="G328" s="50"/>
    </row>
    <row r="329" spans="2:7" x14ac:dyDescent="0.2">
      <c r="B329" s="50"/>
      <c r="C329" s="50"/>
      <c r="D329" s="50"/>
      <c r="E329" s="50"/>
      <c r="F329" s="50"/>
      <c r="G329" s="50"/>
    </row>
    <row r="330" spans="2:7" x14ac:dyDescent="0.2">
      <c r="B330" s="50"/>
      <c r="C330" s="50"/>
      <c r="D330" s="50"/>
      <c r="E330" s="50"/>
      <c r="F330" s="50"/>
      <c r="G330" s="50"/>
    </row>
    <row r="331" spans="2:7" x14ac:dyDescent="0.2">
      <c r="B331" s="50"/>
      <c r="C331" s="50"/>
      <c r="D331" s="50"/>
      <c r="E331" s="50"/>
      <c r="F331" s="50"/>
      <c r="G331" s="50"/>
    </row>
    <row r="332" spans="2:7" x14ac:dyDescent="0.2">
      <c r="B332" s="50"/>
      <c r="C332" s="50"/>
      <c r="D332" s="50"/>
      <c r="E332" s="50"/>
      <c r="F332" s="50"/>
      <c r="G332" s="50"/>
    </row>
    <row r="333" spans="2:7" x14ac:dyDescent="0.2">
      <c r="B333" s="50"/>
      <c r="C333" s="50"/>
      <c r="D333" s="50"/>
      <c r="E333" s="50"/>
      <c r="F333" s="50"/>
      <c r="G333" s="50"/>
    </row>
    <row r="334" spans="2:7" x14ac:dyDescent="0.2">
      <c r="B334" s="50"/>
      <c r="C334" s="50"/>
      <c r="D334" s="50"/>
      <c r="E334" s="50"/>
      <c r="F334" s="50"/>
      <c r="G334" s="50"/>
    </row>
    <row r="335" spans="2:7" x14ac:dyDescent="0.2">
      <c r="B335" s="50"/>
      <c r="C335" s="50"/>
      <c r="D335" s="50"/>
      <c r="E335" s="50"/>
      <c r="F335" s="50"/>
      <c r="G335" s="50"/>
    </row>
    <row r="336" spans="2:7" x14ac:dyDescent="0.2">
      <c r="B336" s="50"/>
      <c r="C336" s="50"/>
      <c r="D336" s="50"/>
      <c r="E336" s="50"/>
      <c r="F336" s="50"/>
      <c r="G336" s="50"/>
    </row>
    <row r="337" spans="2:7" x14ac:dyDescent="0.2">
      <c r="B337" s="50"/>
      <c r="C337" s="50"/>
      <c r="D337" s="50"/>
      <c r="E337" s="50"/>
      <c r="F337" s="50"/>
      <c r="G337" s="50"/>
    </row>
    <row r="338" spans="2:7" x14ac:dyDescent="0.2">
      <c r="B338" s="50"/>
      <c r="C338" s="50"/>
      <c r="D338" s="50"/>
      <c r="E338" s="50"/>
      <c r="F338" s="50"/>
      <c r="G338" s="50"/>
    </row>
    <row r="339" spans="2:7" x14ac:dyDescent="0.2">
      <c r="B339" s="50"/>
      <c r="C339" s="50"/>
      <c r="D339" s="50"/>
      <c r="E339" s="50"/>
      <c r="F339" s="50"/>
      <c r="G339" s="50"/>
    </row>
    <row r="340" spans="2:7" x14ac:dyDescent="0.2">
      <c r="B340" s="50"/>
      <c r="C340" s="50"/>
      <c r="D340" s="50"/>
      <c r="E340" s="50"/>
      <c r="F340" s="50"/>
      <c r="G340" s="50"/>
    </row>
    <row r="341" spans="2:7" x14ac:dyDescent="0.2">
      <c r="B341" s="50"/>
      <c r="C341" s="50"/>
      <c r="D341" s="50"/>
      <c r="E341" s="50"/>
      <c r="F341" s="50"/>
      <c r="G341" s="50"/>
    </row>
    <row r="342" spans="2:7" x14ac:dyDescent="0.2">
      <c r="B342" s="50"/>
      <c r="C342" s="50"/>
      <c r="D342" s="50"/>
      <c r="E342" s="50"/>
      <c r="F342" s="50"/>
      <c r="G342" s="50"/>
    </row>
    <row r="343" spans="2:7" x14ac:dyDescent="0.2">
      <c r="B343" s="50"/>
      <c r="C343" s="50"/>
      <c r="D343" s="50"/>
      <c r="E343" s="50"/>
      <c r="F343" s="50"/>
      <c r="G343" s="50"/>
    </row>
    <row r="344" spans="2:7" x14ac:dyDescent="0.2">
      <c r="B344" s="50"/>
      <c r="C344" s="50"/>
      <c r="D344" s="50"/>
      <c r="E344" s="50"/>
      <c r="F344" s="50"/>
      <c r="G344" s="50"/>
    </row>
    <row r="345" spans="2:7" x14ac:dyDescent="0.2">
      <c r="B345" s="50"/>
      <c r="C345" s="50"/>
      <c r="D345" s="50"/>
      <c r="E345" s="50"/>
      <c r="F345" s="50"/>
      <c r="G345" s="50"/>
    </row>
    <row r="346" spans="2:7" x14ac:dyDescent="0.2">
      <c r="B346" s="50"/>
      <c r="C346" s="50"/>
      <c r="D346" s="50"/>
      <c r="E346" s="50"/>
      <c r="F346" s="50"/>
      <c r="G346" s="50"/>
    </row>
    <row r="347" spans="2:7" x14ac:dyDescent="0.2">
      <c r="B347" s="50"/>
      <c r="C347" s="50"/>
      <c r="D347" s="50"/>
      <c r="E347" s="50"/>
      <c r="F347" s="50"/>
      <c r="G347" s="50"/>
    </row>
    <row r="348" spans="2:7" x14ac:dyDescent="0.2">
      <c r="B348" s="50"/>
      <c r="C348" s="50"/>
      <c r="D348" s="50"/>
      <c r="E348" s="50"/>
      <c r="F348" s="50"/>
      <c r="G348" s="50"/>
    </row>
    <row r="349" spans="2:7" x14ac:dyDescent="0.2">
      <c r="B349" s="50"/>
      <c r="C349" s="50"/>
      <c r="D349" s="50"/>
      <c r="E349" s="50"/>
      <c r="F349" s="50"/>
      <c r="G349" s="50"/>
    </row>
    <row r="350" spans="2:7" x14ac:dyDescent="0.2">
      <c r="B350" s="50"/>
      <c r="C350" s="50"/>
      <c r="D350" s="50"/>
      <c r="E350" s="50"/>
      <c r="F350" s="50"/>
      <c r="G350" s="50"/>
    </row>
    <row r="351" spans="2:7" x14ac:dyDescent="0.2">
      <c r="B351" s="50"/>
      <c r="C351" s="50"/>
      <c r="D351" s="50"/>
      <c r="E351" s="50"/>
      <c r="F351" s="50"/>
      <c r="G351" s="50"/>
    </row>
    <row r="352" spans="2:7" x14ac:dyDescent="0.2">
      <c r="B352" s="50"/>
      <c r="C352" s="50"/>
      <c r="D352" s="50"/>
      <c r="E352" s="50"/>
      <c r="F352" s="50"/>
      <c r="G352" s="50"/>
    </row>
    <row r="353" spans="2:7" x14ac:dyDescent="0.2">
      <c r="B353" s="50"/>
      <c r="C353" s="50"/>
      <c r="D353" s="50"/>
      <c r="E353" s="50"/>
      <c r="F353" s="50"/>
      <c r="G353" s="50"/>
    </row>
    <row r="354" spans="2:7" x14ac:dyDescent="0.2">
      <c r="B354" s="50"/>
      <c r="C354" s="50"/>
      <c r="D354" s="50"/>
      <c r="E354" s="50"/>
      <c r="F354" s="50"/>
      <c r="G354" s="50"/>
    </row>
    <row r="355" spans="2:7" x14ac:dyDescent="0.2">
      <c r="B355" s="50"/>
      <c r="C355" s="50"/>
      <c r="D355" s="50"/>
      <c r="E355" s="50"/>
      <c r="F355" s="50"/>
      <c r="G355" s="50"/>
    </row>
    <row r="356" spans="2:7" x14ac:dyDescent="0.2">
      <c r="B356" s="50"/>
      <c r="C356" s="50"/>
      <c r="D356" s="50"/>
      <c r="E356" s="50"/>
      <c r="F356" s="50"/>
      <c r="G356" s="50"/>
    </row>
    <row r="357" spans="2:7" x14ac:dyDescent="0.2">
      <c r="B357" s="50"/>
      <c r="C357" s="50"/>
      <c r="D357" s="50"/>
      <c r="E357" s="50"/>
      <c r="F357" s="50"/>
      <c r="G357" s="50"/>
    </row>
    <row r="358" spans="2:7" x14ac:dyDescent="0.2">
      <c r="B358" s="50"/>
      <c r="C358" s="50"/>
      <c r="D358" s="50"/>
      <c r="E358" s="50"/>
      <c r="F358" s="50"/>
      <c r="G358" s="50"/>
    </row>
    <row r="359" spans="2:7" x14ac:dyDescent="0.2">
      <c r="B359" s="50"/>
      <c r="C359" s="50"/>
      <c r="D359" s="50"/>
      <c r="E359" s="50"/>
      <c r="F359" s="50"/>
      <c r="G359" s="50"/>
    </row>
    <row r="360" spans="2:7" x14ac:dyDescent="0.2">
      <c r="B360" s="50"/>
      <c r="C360" s="50"/>
      <c r="D360" s="50"/>
      <c r="E360" s="50"/>
      <c r="F360" s="50"/>
      <c r="G360" s="50"/>
    </row>
    <row r="361" spans="2:7" x14ac:dyDescent="0.2">
      <c r="B361" s="50"/>
      <c r="C361" s="50"/>
      <c r="D361" s="50"/>
      <c r="E361" s="50"/>
      <c r="F361" s="50"/>
      <c r="G361" s="50"/>
    </row>
    <row r="362" spans="2:7" x14ac:dyDescent="0.2">
      <c r="B362" s="50"/>
      <c r="C362" s="50"/>
      <c r="D362" s="50"/>
      <c r="E362" s="50"/>
      <c r="F362" s="50"/>
      <c r="G362" s="50"/>
    </row>
    <row r="363" spans="2:7" x14ac:dyDescent="0.2">
      <c r="B363" s="50"/>
      <c r="C363" s="50"/>
      <c r="D363" s="50"/>
      <c r="E363" s="50"/>
      <c r="F363" s="50"/>
      <c r="G363" s="50"/>
    </row>
    <row r="364" spans="2:7" x14ac:dyDescent="0.2">
      <c r="B364" s="50"/>
      <c r="C364" s="50"/>
      <c r="D364" s="50"/>
      <c r="E364" s="50"/>
      <c r="F364" s="50"/>
      <c r="G364" s="50"/>
    </row>
    <row r="365" spans="2:7" x14ac:dyDescent="0.2">
      <c r="B365" s="50"/>
      <c r="C365" s="50"/>
      <c r="D365" s="50"/>
      <c r="E365" s="50"/>
      <c r="F365" s="50"/>
      <c r="G365" s="50"/>
    </row>
    <row r="366" spans="2:7" x14ac:dyDescent="0.2">
      <c r="B366" s="50"/>
      <c r="C366" s="50"/>
      <c r="D366" s="50"/>
      <c r="E366" s="50"/>
      <c r="F366" s="50"/>
      <c r="G366" s="50"/>
    </row>
    <row r="367" spans="2:7" x14ac:dyDescent="0.2">
      <c r="B367" s="50"/>
      <c r="C367" s="50"/>
      <c r="D367" s="50"/>
      <c r="E367" s="50"/>
      <c r="F367" s="50"/>
      <c r="G367" s="50"/>
    </row>
    <row r="368" spans="2:7" x14ac:dyDescent="0.2">
      <c r="B368" s="50"/>
      <c r="C368" s="50"/>
      <c r="D368" s="50"/>
      <c r="E368" s="50"/>
      <c r="F368" s="50"/>
      <c r="G368" s="50"/>
    </row>
    <row r="369" spans="2:7" x14ac:dyDescent="0.2">
      <c r="B369" s="50"/>
      <c r="C369" s="50"/>
      <c r="D369" s="50"/>
      <c r="E369" s="50"/>
      <c r="F369" s="50"/>
      <c r="G369" s="50"/>
    </row>
    <row r="370" spans="2:7" x14ac:dyDescent="0.2">
      <c r="B370" s="50"/>
      <c r="C370" s="50"/>
      <c r="D370" s="50"/>
      <c r="E370" s="50"/>
      <c r="F370" s="50"/>
      <c r="G370" s="50"/>
    </row>
    <row r="371" spans="2:7" x14ac:dyDescent="0.2">
      <c r="B371" s="50"/>
      <c r="C371" s="50"/>
      <c r="D371" s="50"/>
      <c r="E371" s="50"/>
      <c r="F371" s="50"/>
      <c r="G371" s="50"/>
    </row>
    <row r="372" spans="2:7" x14ac:dyDescent="0.2">
      <c r="B372" s="50"/>
      <c r="C372" s="50"/>
      <c r="D372" s="50"/>
      <c r="E372" s="50"/>
      <c r="F372" s="50"/>
      <c r="G372" s="50"/>
    </row>
    <row r="373" spans="2:7" x14ac:dyDescent="0.2">
      <c r="B373" s="50"/>
      <c r="C373" s="50"/>
      <c r="D373" s="50"/>
      <c r="E373" s="50"/>
      <c r="F373" s="50"/>
      <c r="G373" s="50"/>
    </row>
    <row r="374" spans="2:7" x14ac:dyDescent="0.2">
      <c r="B374" s="50"/>
      <c r="C374" s="50"/>
      <c r="D374" s="50"/>
      <c r="E374" s="50"/>
      <c r="F374" s="50"/>
      <c r="G374" s="50"/>
    </row>
    <row r="375" spans="2:7" x14ac:dyDescent="0.2">
      <c r="B375" s="50"/>
      <c r="C375" s="50"/>
      <c r="D375" s="50"/>
      <c r="E375" s="50"/>
      <c r="F375" s="50"/>
      <c r="G375" s="50"/>
    </row>
    <row r="376" spans="2:7" x14ac:dyDescent="0.2">
      <c r="B376" s="50"/>
      <c r="C376" s="50"/>
      <c r="D376" s="50"/>
      <c r="E376" s="50"/>
      <c r="F376" s="50"/>
      <c r="G376" s="50"/>
    </row>
    <row r="377" spans="2:7" x14ac:dyDescent="0.2">
      <c r="B377" s="50"/>
      <c r="C377" s="50"/>
      <c r="D377" s="50"/>
      <c r="E377" s="50"/>
      <c r="F377" s="50"/>
      <c r="G377" s="50"/>
    </row>
    <row r="378" spans="2:7" x14ac:dyDescent="0.2">
      <c r="B378" s="50"/>
      <c r="C378" s="50"/>
      <c r="D378" s="50"/>
      <c r="E378" s="50"/>
      <c r="F378" s="50"/>
      <c r="G378" s="50"/>
    </row>
    <row r="379" spans="2:7" x14ac:dyDescent="0.2">
      <c r="B379" s="50"/>
      <c r="C379" s="50"/>
      <c r="D379" s="50"/>
      <c r="E379" s="50"/>
      <c r="F379" s="50"/>
      <c r="G379" s="50"/>
    </row>
    <row r="380" spans="2:7" x14ac:dyDescent="0.2">
      <c r="B380" s="50"/>
      <c r="C380" s="50"/>
      <c r="D380" s="50"/>
      <c r="E380" s="50"/>
      <c r="F380" s="50"/>
      <c r="G380" s="50"/>
    </row>
    <row r="381" spans="2:7" x14ac:dyDescent="0.2">
      <c r="B381" s="50"/>
      <c r="C381" s="50"/>
      <c r="D381" s="50"/>
      <c r="E381" s="50"/>
      <c r="F381" s="50"/>
      <c r="G381" s="50"/>
    </row>
    <row r="382" spans="2:7" x14ac:dyDescent="0.2">
      <c r="B382" s="50"/>
      <c r="C382" s="50"/>
      <c r="D382" s="50"/>
      <c r="E382" s="50"/>
      <c r="F382" s="50"/>
      <c r="G382" s="50"/>
    </row>
    <row r="383" spans="2:7" x14ac:dyDescent="0.2">
      <c r="B383" s="50"/>
      <c r="C383" s="50"/>
      <c r="D383" s="50"/>
      <c r="E383" s="50"/>
      <c r="F383" s="50"/>
      <c r="G383" s="50"/>
    </row>
    <row r="384" spans="2:7" x14ac:dyDescent="0.2">
      <c r="B384" s="50"/>
      <c r="C384" s="50"/>
      <c r="D384" s="50"/>
      <c r="E384" s="50"/>
      <c r="F384" s="50"/>
      <c r="G384" s="50"/>
    </row>
    <row r="385" spans="2:7" x14ac:dyDescent="0.2">
      <c r="B385" s="50"/>
      <c r="C385" s="50"/>
      <c r="D385" s="50"/>
      <c r="E385" s="50"/>
      <c r="F385" s="50"/>
      <c r="G385" s="50"/>
    </row>
    <row r="386" spans="2:7" x14ac:dyDescent="0.2">
      <c r="B386" s="50"/>
      <c r="C386" s="50"/>
      <c r="D386" s="50"/>
      <c r="E386" s="50"/>
      <c r="F386" s="50"/>
      <c r="G386" s="50"/>
    </row>
    <row r="387" spans="2:7" x14ac:dyDescent="0.2">
      <c r="B387" s="50"/>
      <c r="C387" s="50"/>
      <c r="D387" s="50"/>
      <c r="E387" s="50"/>
      <c r="F387" s="50"/>
      <c r="G387" s="50"/>
    </row>
    <row r="388" spans="2:7" x14ac:dyDescent="0.2">
      <c r="B388" s="50"/>
      <c r="C388" s="50"/>
      <c r="D388" s="50"/>
      <c r="E388" s="50"/>
      <c r="F388" s="50"/>
      <c r="G388" s="50"/>
    </row>
    <row r="389" spans="2:7" x14ac:dyDescent="0.2">
      <c r="B389" s="50"/>
      <c r="C389" s="50"/>
      <c r="D389" s="50"/>
      <c r="E389" s="50"/>
      <c r="F389" s="50"/>
      <c r="G389" s="50"/>
    </row>
    <row r="390" spans="2:7" x14ac:dyDescent="0.2">
      <c r="B390" s="50"/>
      <c r="C390" s="50"/>
      <c r="D390" s="50"/>
      <c r="E390" s="50"/>
      <c r="F390" s="50"/>
      <c r="G390" s="50"/>
    </row>
    <row r="391" spans="2:7" x14ac:dyDescent="0.2">
      <c r="B391" s="50"/>
      <c r="C391" s="50"/>
      <c r="D391" s="50"/>
      <c r="E391" s="50"/>
      <c r="F391" s="50"/>
      <c r="G391" s="50"/>
    </row>
    <row r="392" spans="2:7" x14ac:dyDescent="0.2">
      <c r="B392" s="50"/>
      <c r="C392" s="50"/>
      <c r="D392" s="50"/>
      <c r="E392" s="50"/>
      <c r="F392" s="50"/>
      <c r="G392" s="50"/>
    </row>
    <row r="393" spans="2:7" x14ac:dyDescent="0.2">
      <c r="B393" s="50"/>
      <c r="C393" s="50"/>
      <c r="D393" s="50"/>
      <c r="E393" s="50"/>
      <c r="F393" s="50"/>
      <c r="G393" s="50"/>
    </row>
    <row r="394" spans="2:7" x14ac:dyDescent="0.2">
      <c r="B394" s="50"/>
      <c r="C394" s="50"/>
      <c r="D394" s="50"/>
      <c r="E394" s="50"/>
      <c r="F394" s="50"/>
      <c r="G394" s="50"/>
    </row>
    <row r="395" spans="2:7" x14ac:dyDescent="0.2">
      <c r="B395" s="50"/>
      <c r="C395" s="50"/>
      <c r="D395" s="50"/>
      <c r="E395" s="50"/>
      <c r="F395" s="50"/>
      <c r="G395" s="50"/>
    </row>
    <row r="396" spans="2:7" x14ac:dyDescent="0.2">
      <c r="B396" s="50"/>
      <c r="C396" s="50"/>
      <c r="D396" s="50"/>
      <c r="E396" s="50"/>
      <c r="F396" s="50"/>
      <c r="G396" s="50"/>
    </row>
    <row r="397" spans="2:7" x14ac:dyDescent="0.2">
      <c r="B397" s="50"/>
      <c r="C397" s="50"/>
      <c r="D397" s="50"/>
      <c r="E397" s="50"/>
      <c r="F397" s="50"/>
      <c r="G397" s="50"/>
    </row>
    <row r="398" spans="2:7" x14ac:dyDescent="0.2">
      <c r="B398" s="50"/>
      <c r="C398" s="50"/>
      <c r="D398" s="50"/>
      <c r="E398" s="50"/>
      <c r="F398" s="50"/>
      <c r="G398" s="50"/>
    </row>
    <row r="399" spans="2:7" x14ac:dyDescent="0.2">
      <c r="B399" s="50"/>
      <c r="C399" s="50"/>
      <c r="D399" s="50"/>
      <c r="E399" s="50"/>
      <c r="F399" s="50"/>
      <c r="G399" s="50"/>
    </row>
    <row r="400" spans="2:7" x14ac:dyDescent="0.2">
      <c r="B400" s="50"/>
      <c r="C400" s="50"/>
      <c r="D400" s="50"/>
      <c r="E400" s="50"/>
      <c r="F400" s="50"/>
      <c r="G400" s="50"/>
    </row>
    <row r="401" spans="2:7" x14ac:dyDescent="0.2">
      <c r="B401" s="50"/>
      <c r="C401" s="50"/>
      <c r="D401" s="50"/>
      <c r="E401" s="50"/>
      <c r="F401" s="50"/>
      <c r="G401" s="50"/>
    </row>
    <row r="402" spans="2:7" x14ac:dyDescent="0.2">
      <c r="B402" s="50"/>
      <c r="C402" s="50"/>
      <c r="D402" s="50"/>
      <c r="E402" s="50"/>
      <c r="F402" s="50"/>
      <c r="G402" s="50"/>
    </row>
    <row r="403" spans="2:7" x14ac:dyDescent="0.2">
      <c r="B403" s="50"/>
      <c r="C403" s="50"/>
      <c r="D403" s="50"/>
      <c r="E403" s="50"/>
      <c r="F403" s="50"/>
      <c r="G403" s="50"/>
    </row>
    <row r="404" spans="2:7" x14ac:dyDescent="0.2">
      <c r="B404" s="50"/>
      <c r="C404" s="50"/>
      <c r="D404" s="50"/>
      <c r="E404" s="50"/>
      <c r="F404" s="50"/>
      <c r="G404" s="50"/>
    </row>
    <row r="405" spans="2:7" x14ac:dyDescent="0.2">
      <c r="B405" s="50"/>
      <c r="C405" s="50"/>
      <c r="D405" s="50"/>
      <c r="E405" s="50"/>
      <c r="F405" s="50"/>
      <c r="G405" s="50"/>
    </row>
    <row r="406" spans="2:7" x14ac:dyDescent="0.2">
      <c r="B406" s="50"/>
      <c r="C406" s="50"/>
      <c r="D406" s="50"/>
      <c r="E406" s="50"/>
      <c r="F406" s="50"/>
      <c r="G406" s="50"/>
    </row>
    <row r="407" spans="2:7" x14ac:dyDescent="0.2">
      <c r="B407" s="50"/>
      <c r="C407" s="50"/>
      <c r="D407" s="50"/>
      <c r="E407" s="50"/>
      <c r="F407" s="50"/>
      <c r="G407" s="50"/>
    </row>
    <row r="408" spans="2:7" x14ac:dyDescent="0.2">
      <c r="B408" s="50"/>
      <c r="C408" s="50"/>
      <c r="D408" s="50"/>
      <c r="E408" s="50"/>
      <c r="F408" s="50"/>
      <c r="G408" s="50"/>
    </row>
    <row r="409" spans="2:7" x14ac:dyDescent="0.2">
      <c r="B409" s="50"/>
      <c r="C409" s="50"/>
      <c r="D409" s="50"/>
      <c r="E409" s="50"/>
      <c r="F409" s="50"/>
      <c r="G409" s="50"/>
    </row>
    <row r="410" spans="2:7" x14ac:dyDescent="0.2">
      <c r="B410" s="50"/>
      <c r="C410" s="50"/>
      <c r="D410" s="50"/>
      <c r="E410" s="50"/>
      <c r="F410" s="50"/>
      <c r="G410" s="50"/>
    </row>
    <row r="411" spans="2:7" x14ac:dyDescent="0.2">
      <c r="B411" s="50"/>
      <c r="C411" s="50"/>
      <c r="D411" s="50"/>
      <c r="E411" s="50"/>
      <c r="F411" s="50"/>
      <c r="G411" s="50"/>
    </row>
    <row r="412" spans="2:7" x14ac:dyDescent="0.2">
      <c r="B412" s="50"/>
      <c r="C412" s="50"/>
      <c r="D412" s="50"/>
      <c r="E412" s="50"/>
      <c r="F412" s="50"/>
      <c r="G412" s="50"/>
    </row>
    <row r="413" spans="2:7" x14ac:dyDescent="0.2">
      <c r="B413" s="50"/>
      <c r="C413" s="50"/>
      <c r="D413" s="50"/>
      <c r="E413" s="50"/>
      <c r="F413" s="50"/>
      <c r="G413" s="50"/>
    </row>
    <row r="414" spans="2:7" x14ac:dyDescent="0.2">
      <c r="B414" s="50"/>
      <c r="C414" s="50"/>
      <c r="D414" s="50"/>
      <c r="E414" s="50"/>
      <c r="F414" s="50"/>
      <c r="G414" s="50"/>
    </row>
    <row r="415" spans="2:7" x14ac:dyDescent="0.2">
      <c r="B415" s="50"/>
      <c r="C415" s="50"/>
      <c r="D415" s="50"/>
      <c r="E415" s="50"/>
      <c r="F415" s="50"/>
      <c r="G415" s="50"/>
    </row>
    <row r="416" spans="2:7" x14ac:dyDescent="0.2">
      <c r="B416" s="50"/>
      <c r="C416" s="50"/>
      <c r="D416" s="50"/>
      <c r="E416" s="50"/>
      <c r="F416" s="50"/>
      <c r="G416" s="50"/>
    </row>
    <row r="417" spans="2:7" x14ac:dyDescent="0.2">
      <c r="B417" s="50"/>
      <c r="C417" s="50"/>
      <c r="D417" s="50"/>
      <c r="E417" s="50"/>
      <c r="F417" s="50"/>
      <c r="G417" s="50"/>
    </row>
    <row r="418" spans="2:7" x14ac:dyDescent="0.2">
      <c r="B418" s="50"/>
      <c r="C418" s="50"/>
      <c r="D418" s="50"/>
      <c r="E418" s="50"/>
      <c r="F418" s="50"/>
      <c r="G418" s="50"/>
    </row>
    <row r="419" spans="2:7" x14ac:dyDescent="0.2">
      <c r="B419" s="50"/>
      <c r="C419" s="50"/>
      <c r="D419" s="50"/>
      <c r="E419" s="50"/>
      <c r="F419" s="50"/>
      <c r="G419" s="50"/>
    </row>
    <row r="420" spans="2:7" x14ac:dyDescent="0.2">
      <c r="B420" s="50"/>
      <c r="C420" s="50"/>
      <c r="D420" s="50"/>
      <c r="E420" s="50"/>
      <c r="F420" s="50"/>
      <c r="G420" s="50"/>
    </row>
    <row r="421" spans="2:7" x14ac:dyDescent="0.2">
      <c r="B421" s="50"/>
      <c r="C421" s="50"/>
      <c r="D421" s="50"/>
      <c r="E421" s="50"/>
      <c r="F421" s="50"/>
      <c r="G421" s="50"/>
    </row>
    <row r="422" spans="2:7" x14ac:dyDescent="0.2">
      <c r="B422" s="50"/>
      <c r="C422" s="50"/>
      <c r="D422" s="50"/>
      <c r="E422" s="50"/>
      <c r="F422" s="50"/>
      <c r="G422" s="50"/>
    </row>
    <row r="423" spans="2:7" x14ac:dyDescent="0.2">
      <c r="B423" s="50"/>
      <c r="C423" s="50"/>
      <c r="D423" s="50"/>
      <c r="E423" s="50"/>
      <c r="F423" s="50"/>
      <c r="G423" s="50"/>
    </row>
    <row r="424" spans="2:7" x14ac:dyDescent="0.2">
      <c r="B424" s="50"/>
      <c r="C424" s="50"/>
      <c r="D424" s="50"/>
      <c r="E424" s="50"/>
      <c r="F424" s="50"/>
      <c r="G424" s="50"/>
    </row>
    <row r="425" spans="2:7" x14ac:dyDescent="0.2">
      <c r="B425" s="50"/>
      <c r="C425" s="50"/>
      <c r="D425" s="50"/>
      <c r="E425" s="50"/>
      <c r="F425" s="50"/>
      <c r="G425" s="50"/>
    </row>
    <row r="426" spans="2:7" x14ac:dyDescent="0.2">
      <c r="B426" s="50"/>
      <c r="C426" s="50"/>
      <c r="D426" s="50"/>
      <c r="E426" s="50"/>
      <c r="F426" s="50"/>
      <c r="G426" s="50"/>
    </row>
    <row r="427" spans="2:7" x14ac:dyDescent="0.2">
      <c r="B427" s="50"/>
      <c r="C427" s="50"/>
      <c r="D427" s="50"/>
      <c r="E427" s="50"/>
      <c r="F427" s="50"/>
      <c r="G427" s="50"/>
    </row>
    <row r="428" spans="2:7" x14ac:dyDescent="0.2">
      <c r="B428" s="50"/>
      <c r="C428" s="50"/>
      <c r="D428" s="50"/>
      <c r="E428" s="50"/>
      <c r="F428" s="50"/>
      <c r="G428" s="50"/>
    </row>
    <row r="429" spans="2:7" x14ac:dyDescent="0.2">
      <c r="B429" s="50"/>
      <c r="C429" s="50"/>
      <c r="D429" s="50"/>
      <c r="E429" s="50"/>
      <c r="F429" s="50"/>
      <c r="G429" s="50"/>
    </row>
    <row r="430" spans="2:7" x14ac:dyDescent="0.2">
      <c r="B430" s="50"/>
      <c r="C430" s="50"/>
      <c r="D430" s="50"/>
      <c r="E430" s="50"/>
      <c r="F430" s="50"/>
      <c r="G430" s="50"/>
    </row>
    <row r="431" spans="2:7" x14ac:dyDescent="0.2">
      <c r="B431" s="50"/>
      <c r="C431" s="50"/>
      <c r="D431" s="50"/>
      <c r="E431" s="50"/>
      <c r="F431" s="50"/>
      <c r="G431" s="50"/>
    </row>
    <row r="432" spans="2:7" x14ac:dyDescent="0.2">
      <c r="B432" s="50"/>
      <c r="C432" s="50"/>
      <c r="D432" s="50"/>
      <c r="E432" s="50"/>
      <c r="F432" s="50"/>
      <c r="G432" s="50"/>
    </row>
    <row r="433" spans="2:7" x14ac:dyDescent="0.2">
      <c r="B433" s="50"/>
      <c r="C433" s="50"/>
      <c r="D433" s="50"/>
      <c r="E433" s="50"/>
      <c r="F433" s="50"/>
      <c r="G433" s="50"/>
    </row>
    <row r="434" spans="2:7" x14ac:dyDescent="0.2">
      <c r="B434" s="50"/>
      <c r="C434" s="50"/>
      <c r="D434" s="50"/>
      <c r="E434" s="50"/>
      <c r="F434" s="50"/>
      <c r="G434" s="50"/>
    </row>
    <row r="435" spans="2:7" x14ac:dyDescent="0.2">
      <c r="B435" s="50"/>
      <c r="C435" s="50"/>
      <c r="D435" s="50"/>
      <c r="E435" s="50"/>
      <c r="F435" s="50"/>
      <c r="G435" s="50"/>
    </row>
    <row r="436" spans="2:7" x14ac:dyDescent="0.2">
      <c r="B436" s="50"/>
      <c r="C436" s="50"/>
      <c r="D436" s="50"/>
      <c r="E436" s="50"/>
      <c r="F436" s="50"/>
      <c r="G436" s="50"/>
    </row>
    <row r="437" spans="2:7" x14ac:dyDescent="0.2">
      <c r="B437" s="50"/>
      <c r="C437" s="50"/>
      <c r="D437" s="50"/>
      <c r="E437" s="50"/>
      <c r="F437" s="50"/>
      <c r="G437" s="50"/>
    </row>
    <row r="438" spans="2:7" x14ac:dyDescent="0.2">
      <c r="B438" s="50"/>
      <c r="C438" s="50"/>
      <c r="D438" s="50"/>
      <c r="E438" s="50"/>
      <c r="F438" s="50"/>
      <c r="G438" s="50"/>
    </row>
    <row r="439" spans="2:7" x14ac:dyDescent="0.2">
      <c r="B439" s="50"/>
      <c r="C439" s="50"/>
      <c r="D439" s="50"/>
      <c r="E439" s="50"/>
      <c r="F439" s="50"/>
      <c r="G439" s="50"/>
    </row>
    <row r="440" spans="2:7" x14ac:dyDescent="0.2">
      <c r="B440" s="50"/>
      <c r="C440" s="50"/>
      <c r="D440" s="50"/>
      <c r="E440" s="50"/>
      <c r="F440" s="50"/>
      <c r="G440" s="50"/>
    </row>
    <row r="441" spans="2:7" x14ac:dyDescent="0.2">
      <c r="B441" s="50"/>
      <c r="C441" s="50"/>
      <c r="D441" s="50"/>
      <c r="E441" s="50"/>
      <c r="F441" s="50"/>
      <c r="G441" s="50"/>
    </row>
  </sheetData>
  <pageMargins left="0.70866141732283472" right="0.70866141732283472" top="0.74803149606299213" bottom="0.74803149606299213" header="0.31496062992125984" footer="0.31496062992125984"/>
  <pageSetup paperSize="9" scale="75" fitToWidth="2" orientation="portrait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>
    <pageSetUpPr fitToPage="1"/>
  </sheetPr>
  <dimension ref="A1:P62"/>
  <sheetViews>
    <sheetView workbookViewId="0">
      <selection activeCell="F66" sqref="F66"/>
    </sheetView>
  </sheetViews>
  <sheetFormatPr defaultColWidth="11.42578125" defaultRowHeight="12.75" x14ac:dyDescent="0.2"/>
  <cols>
    <col min="1" max="1" width="41.7109375" customWidth="1"/>
    <col min="2" max="8" width="11.85546875" bestFit="1" customWidth="1"/>
    <col min="9" max="9" width="12.85546875" bestFit="1" customWidth="1"/>
    <col min="10" max="16" width="11.85546875" bestFit="1" customWidth="1"/>
  </cols>
  <sheetData>
    <row r="1" spans="1:16" x14ac:dyDescent="0.2">
      <c r="O1" s="183" t="s">
        <v>686</v>
      </c>
    </row>
    <row r="4" spans="1:16" ht="18" x14ac:dyDescent="0.25">
      <c r="F4" s="257" t="s">
        <v>653</v>
      </c>
      <c r="O4" s="183" t="s">
        <v>654</v>
      </c>
    </row>
    <row r="5" spans="1:16" ht="13.5" thickBot="1" x14ac:dyDescent="0.25"/>
    <row r="6" spans="1:16" x14ac:dyDescent="0.2">
      <c r="A6" s="13"/>
      <c r="B6" s="418" t="s">
        <v>649</v>
      </c>
      <c r="C6" s="418"/>
      <c r="D6" s="419"/>
      <c r="E6" s="417"/>
      <c r="F6" s="418"/>
      <c r="G6" s="418"/>
      <c r="H6" s="418"/>
      <c r="I6" s="418"/>
      <c r="J6" s="418" t="s">
        <v>650</v>
      </c>
      <c r="K6" s="418"/>
      <c r="L6" s="418"/>
      <c r="M6" s="418"/>
      <c r="N6" s="418"/>
      <c r="O6" s="418"/>
      <c r="P6" s="419"/>
    </row>
    <row r="7" spans="1:16" ht="13.5" thickBot="1" x14ac:dyDescent="0.25">
      <c r="A7" s="15"/>
      <c r="B7" s="420"/>
      <c r="C7" s="420"/>
      <c r="D7" s="421"/>
      <c r="E7" s="36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1"/>
    </row>
    <row r="8" spans="1:16" x14ac:dyDescent="0.2">
      <c r="A8" s="205" t="s">
        <v>625</v>
      </c>
      <c r="B8" s="26" t="s">
        <v>21</v>
      </c>
      <c r="C8" s="26" t="s">
        <v>22</v>
      </c>
      <c r="D8" s="26" t="s">
        <v>23</v>
      </c>
      <c r="E8" s="26" t="s">
        <v>24</v>
      </c>
      <c r="F8" s="26" t="s">
        <v>35</v>
      </c>
      <c r="G8" s="26" t="s">
        <v>36</v>
      </c>
      <c r="H8" s="26" t="s">
        <v>396</v>
      </c>
      <c r="I8" s="26" t="s">
        <v>651</v>
      </c>
      <c r="J8" s="26" t="s">
        <v>486</v>
      </c>
      <c r="K8" s="26" t="s">
        <v>652</v>
      </c>
      <c r="L8" s="26" t="s">
        <v>608</v>
      </c>
      <c r="M8" s="26" t="s">
        <v>44</v>
      </c>
      <c r="N8" s="26" t="s">
        <v>21</v>
      </c>
      <c r="O8" s="26" t="s">
        <v>22</v>
      </c>
      <c r="P8" s="26" t="s">
        <v>23</v>
      </c>
    </row>
    <row r="9" spans="1:16" ht="13.5" thickBot="1" x14ac:dyDescent="0.25">
      <c r="A9" s="16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</row>
    <row r="10" spans="1:16" x14ac:dyDescent="0.2">
      <c r="A10" s="26" t="s">
        <v>626</v>
      </c>
      <c r="B10" s="173">
        <v>-143364</v>
      </c>
      <c r="C10" s="173">
        <f t="shared" ref="C10:P10" si="0">B60</f>
        <v>-152820.25</v>
      </c>
      <c r="D10" s="173">
        <f t="shared" si="0"/>
        <v>-134176.5</v>
      </c>
      <c r="E10" s="173">
        <f t="shared" si="0"/>
        <v>-99190.75</v>
      </c>
      <c r="F10" s="173">
        <f t="shared" si="0"/>
        <v>-49205</v>
      </c>
      <c r="G10" s="173">
        <f t="shared" si="0"/>
        <v>-105219.25</v>
      </c>
      <c r="H10" s="173">
        <f t="shared" si="0"/>
        <v>-131233.5</v>
      </c>
      <c r="I10" s="173">
        <f t="shared" si="0"/>
        <v>-135247.75</v>
      </c>
      <c r="J10" s="173">
        <f t="shared" si="0"/>
        <v>-111262</v>
      </c>
      <c r="K10" s="173">
        <f t="shared" si="0"/>
        <v>-137276.25</v>
      </c>
      <c r="L10" s="173">
        <f t="shared" si="0"/>
        <v>-141290.5</v>
      </c>
      <c r="M10" s="173">
        <f t="shared" si="0"/>
        <v>-116400.75</v>
      </c>
      <c r="N10" s="173">
        <f t="shared" si="0"/>
        <v>-120857</v>
      </c>
      <c r="O10" s="173">
        <f t="shared" si="0"/>
        <v>-123313.25</v>
      </c>
      <c r="P10" s="173">
        <f t="shared" si="0"/>
        <v>-116636.5</v>
      </c>
    </row>
    <row r="11" spans="1:16" ht="13.5" thickBot="1" x14ac:dyDescent="0.25">
      <c r="A11" s="27" t="s">
        <v>627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</row>
    <row r="12" spans="1:16" x14ac:dyDescent="0.2">
      <c r="A12" s="13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</row>
    <row r="13" spans="1:16" x14ac:dyDescent="0.2">
      <c r="A13" s="415" t="s">
        <v>628</v>
      </c>
      <c r="B13" s="173">
        <f t="shared" ref="B13:P13" si="1">SUM(B15:B25)</f>
        <v>1413984</v>
      </c>
      <c r="C13" s="173">
        <f t="shared" si="1"/>
        <v>1363500</v>
      </c>
      <c r="D13" s="173">
        <f t="shared" si="1"/>
        <v>1290500</v>
      </c>
      <c r="E13" s="173">
        <f t="shared" si="1"/>
        <v>1385500</v>
      </c>
      <c r="F13" s="173">
        <f t="shared" si="1"/>
        <v>1531500</v>
      </c>
      <c r="G13" s="173">
        <f t="shared" si="1"/>
        <v>1581500</v>
      </c>
      <c r="H13" s="173">
        <f t="shared" si="1"/>
        <v>1609500</v>
      </c>
      <c r="I13" s="173">
        <f t="shared" si="1"/>
        <v>1581500</v>
      </c>
      <c r="J13" s="173">
        <f t="shared" si="1"/>
        <v>1631500</v>
      </c>
      <c r="K13" s="173">
        <f t="shared" si="1"/>
        <v>1609500</v>
      </c>
      <c r="L13" s="173">
        <f t="shared" si="1"/>
        <v>1581500</v>
      </c>
      <c r="M13" s="173">
        <f t="shared" si="1"/>
        <v>1581500</v>
      </c>
      <c r="N13" s="173">
        <f t="shared" si="1"/>
        <v>1559500</v>
      </c>
      <c r="O13" s="173">
        <f t="shared" si="1"/>
        <v>1431500</v>
      </c>
      <c r="P13" s="173">
        <f t="shared" si="1"/>
        <v>1402500</v>
      </c>
    </row>
    <row r="14" spans="1:16" x14ac:dyDescent="0.2">
      <c r="A14" s="15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</row>
    <row r="15" spans="1:16" x14ac:dyDescent="0.2">
      <c r="A15" s="414" t="s">
        <v>629</v>
      </c>
      <c r="B15" s="34">
        <f>1065000+130000-8975-50000</f>
        <v>1136025</v>
      </c>
      <c r="C15" s="34">
        <f>894000+215000-100000</f>
        <v>1009000</v>
      </c>
      <c r="D15" s="34">
        <f>850000</f>
        <v>850000</v>
      </c>
      <c r="E15" s="34">
        <v>900000</v>
      </c>
      <c r="F15" s="34">
        <v>1150000</v>
      </c>
      <c r="G15" s="34">
        <v>1200000</v>
      </c>
      <c r="H15" s="34">
        <v>1200000</v>
      </c>
      <c r="I15" s="34">
        <v>1250000</v>
      </c>
      <c r="J15" s="34">
        <v>1250000</v>
      </c>
      <c r="K15" s="34">
        <v>1200000</v>
      </c>
      <c r="L15" s="34">
        <v>1200000</v>
      </c>
      <c r="M15" s="34">
        <v>1200000</v>
      </c>
      <c r="N15" s="34">
        <v>1150000</v>
      </c>
      <c r="O15" s="34">
        <v>1100000</v>
      </c>
      <c r="P15" s="34">
        <v>1050000</v>
      </c>
    </row>
    <row r="16" spans="1:16" x14ac:dyDescent="0.2">
      <c r="A16" s="414" t="s">
        <v>655</v>
      </c>
      <c r="B16" s="34">
        <v>98459</v>
      </c>
      <c r="C16" s="34">
        <v>175000</v>
      </c>
      <c r="D16" s="34">
        <v>240000</v>
      </c>
      <c r="E16" s="34">
        <v>271000</v>
      </c>
      <c r="F16" s="34">
        <v>200000</v>
      </c>
      <c r="G16" s="34">
        <v>200000</v>
      </c>
      <c r="H16" s="34">
        <v>200000</v>
      </c>
      <c r="I16" s="34">
        <v>150000</v>
      </c>
      <c r="J16" s="34">
        <v>200000</v>
      </c>
      <c r="K16" s="34">
        <v>200000</v>
      </c>
      <c r="L16" s="34">
        <v>200000</v>
      </c>
      <c r="M16" s="34">
        <v>200000</v>
      </c>
      <c r="N16" s="34">
        <v>200000</v>
      </c>
      <c r="O16" s="34">
        <v>150000</v>
      </c>
      <c r="P16" s="34">
        <v>150000</v>
      </c>
    </row>
    <row r="17" spans="1:16" x14ac:dyDescent="0.2">
      <c r="A17" s="41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</row>
    <row r="18" spans="1:16" x14ac:dyDescent="0.2">
      <c r="A18" s="414" t="s">
        <v>630</v>
      </c>
      <c r="B18" s="34">
        <v>50000</v>
      </c>
      <c r="C18" s="34">
        <v>50000</v>
      </c>
      <c r="D18" s="34">
        <v>50000</v>
      </c>
      <c r="E18" s="34">
        <v>50000</v>
      </c>
      <c r="F18" s="34">
        <v>50000</v>
      </c>
      <c r="G18" s="34">
        <v>50000</v>
      </c>
      <c r="H18" s="34">
        <v>50000</v>
      </c>
      <c r="I18" s="34">
        <v>50000</v>
      </c>
      <c r="J18" s="34">
        <v>50000</v>
      </c>
      <c r="K18" s="34">
        <v>50000</v>
      </c>
      <c r="L18" s="34">
        <v>50000</v>
      </c>
      <c r="M18" s="34">
        <v>50000</v>
      </c>
      <c r="N18" s="34">
        <v>50000</v>
      </c>
      <c r="O18" s="34">
        <v>50000</v>
      </c>
      <c r="P18" s="34">
        <v>50000</v>
      </c>
    </row>
    <row r="19" spans="1:16" x14ac:dyDescent="0.2">
      <c r="A19" s="414" t="s">
        <v>656</v>
      </c>
      <c r="B19" s="34">
        <v>35000</v>
      </c>
      <c r="C19" s="34">
        <v>35000</v>
      </c>
      <c r="D19" s="34">
        <v>35000</v>
      </c>
      <c r="E19" s="34">
        <v>35000</v>
      </c>
      <c r="F19" s="34">
        <v>35000</v>
      </c>
      <c r="G19" s="34">
        <v>35000</v>
      </c>
      <c r="H19" s="34">
        <v>35000</v>
      </c>
      <c r="I19" s="34">
        <v>35000</v>
      </c>
      <c r="J19" s="34">
        <v>35000</v>
      </c>
      <c r="K19" s="34">
        <v>35000</v>
      </c>
      <c r="L19" s="34">
        <v>35000</v>
      </c>
      <c r="M19" s="34">
        <v>35000</v>
      </c>
      <c r="N19" s="34">
        <v>35000</v>
      </c>
      <c r="O19" s="34">
        <v>35000</v>
      </c>
      <c r="P19" s="34">
        <v>35000</v>
      </c>
    </row>
    <row r="20" spans="1:16" x14ac:dyDescent="0.2">
      <c r="A20" s="41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</row>
    <row r="21" spans="1:16" x14ac:dyDescent="0.2">
      <c r="A21" s="414" t="s">
        <v>631</v>
      </c>
      <c r="B21" s="120">
        <v>42000</v>
      </c>
      <c r="C21" s="34">
        <v>42000</v>
      </c>
      <c r="D21" s="34">
        <v>63000</v>
      </c>
      <c r="E21" s="34">
        <v>75000</v>
      </c>
      <c r="F21" s="34">
        <v>42000</v>
      </c>
      <c r="G21" s="34">
        <v>42000</v>
      </c>
      <c r="H21" s="34">
        <v>70000</v>
      </c>
      <c r="I21" s="34">
        <v>42000</v>
      </c>
      <c r="J21" s="34">
        <v>42000</v>
      </c>
      <c r="K21" s="34">
        <v>70000</v>
      </c>
      <c r="L21" s="34">
        <v>42000</v>
      </c>
      <c r="M21" s="34">
        <v>42000</v>
      </c>
      <c r="N21" s="34">
        <v>70000</v>
      </c>
      <c r="O21" s="34">
        <v>42000</v>
      </c>
      <c r="P21" s="34">
        <v>63000</v>
      </c>
    </row>
    <row r="22" spans="1:16" x14ac:dyDescent="0.2">
      <c r="A22" s="414"/>
      <c r="B22" s="120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</row>
    <row r="23" spans="1:16" x14ac:dyDescent="0.2">
      <c r="A23" s="414" t="s">
        <v>632</v>
      </c>
      <c r="B23" s="34">
        <v>16000</v>
      </c>
      <c r="C23" s="34">
        <v>16000</v>
      </c>
      <c r="D23" s="34">
        <v>16000</v>
      </c>
      <c r="E23" s="34">
        <v>16000</v>
      </c>
      <c r="F23" s="34">
        <v>16000</v>
      </c>
      <c r="G23" s="34">
        <v>16000</v>
      </c>
      <c r="H23" s="34">
        <v>16000</v>
      </c>
      <c r="I23" s="34">
        <v>16000</v>
      </c>
      <c r="J23" s="34">
        <v>16000</v>
      </c>
      <c r="K23" s="34">
        <v>16000</v>
      </c>
      <c r="L23" s="34">
        <v>16000</v>
      </c>
      <c r="M23" s="34">
        <v>16000</v>
      </c>
      <c r="N23" s="34">
        <v>16000</v>
      </c>
      <c r="O23" s="34">
        <v>16000</v>
      </c>
      <c r="P23" s="34">
        <v>16000</v>
      </c>
    </row>
    <row r="24" spans="1:16" x14ac:dyDescent="0.2">
      <c r="A24" s="41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</row>
    <row r="25" spans="1:16" x14ac:dyDescent="0.2">
      <c r="A25" s="414" t="s">
        <v>206</v>
      </c>
      <c r="B25" s="34">
        <v>36500</v>
      </c>
      <c r="C25" s="34">
        <v>36500</v>
      </c>
      <c r="D25" s="34">
        <v>36500</v>
      </c>
      <c r="E25" s="34">
        <v>38500</v>
      </c>
      <c r="F25" s="34">
        <v>38500</v>
      </c>
      <c r="G25" s="34">
        <v>38500</v>
      </c>
      <c r="H25" s="34">
        <v>38500</v>
      </c>
      <c r="I25" s="34">
        <v>38500</v>
      </c>
      <c r="J25" s="34">
        <v>38500</v>
      </c>
      <c r="K25" s="34">
        <v>38500</v>
      </c>
      <c r="L25" s="34">
        <v>38500</v>
      </c>
      <c r="M25" s="34">
        <v>38500</v>
      </c>
      <c r="N25" s="34">
        <v>38500</v>
      </c>
      <c r="O25" s="34">
        <v>38500</v>
      </c>
      <c r="P25" s="34">
        <v>38500</v>
      </c>
    </row>
    <row r="26" spans="1:16" x14ac:dyDescent="0.2">
      <c r="A26" s="15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</row>
    <row r="27" spans="1:16" x14ac:dyDescent="0.2">
      <c r="A27" s="415" t="s">
        <v>633</v>
      </c>
      <c r="B27" s="173">
        <f t="shared" ref="B27:P27" si="2">SUM(B29:B33)</f>
        <v>44514.25</v>
      </c>
      <c r="C27" s="173">
        <f t="shared" si="2"/>
        <v>44514.25</v>
      </c>
      <c r="D27" s="173">
        <f t="shared" si="2"/>
        <v>44514.25</v>
      </c>
      <c r="E27" s="173">
        <f t="shared" si="2"/>
        <v>44514.25</v>
      </c>
      <c r="F27" s="173">
        <f t="shared" si="2"/>
        <v>44514.25</v>
      </c>
      <c r="G27" s="173">
        <f t="shared" si="2"/>
        <v>44514.25</v>
      </c>
      <c r="H27" s="173">
        <f t="shared" si="2"/>
        <v>44514.25</v>
      </c>
      <c r="I27" s="173">
        <f t="shared" si="2"/>
        <v>44514.25</v>
      </c>
      <c r="J27" s="173">
        <f t="shared" si="2"/>
        <v>44514.25</v>
      </c>
      <c r="K27" s="173">
        <f t="shared" si="2"/>
        <v>44514.25</v>
      </c>
      <c r="L27" s="173">
        <f t="shared" si="2"/>
        <v>43610.25</v>
      </c>
      <c r="M27" s="173">
        <f t="shared" si="2"/>
        <v>42956.25</v>
      </c>
      <c r="N27" s="173">
        <f t="shared" si="2"/>
        <v>42956.25</v>
      </c>
      <c r="O27" s="173">
        <f t="shared" si="2"/>
        <v>41823.25</v>
      </c>
      <c r="P27" s="173">
        <f t="shared" si="2"/>
        <v>41823.25</v>
      </c>
    </row>
    <row r="28" spans="1:16" x14ac:dyDescent="0.2">
      <c r="A28" s="15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</row>
    <row r="29" spans="1:16" x14ac:dyDescent="0.2">
      <c r="A29" s="414" t="s">
        <v>634</v>
      </c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</row>
    <row r="30" spans="1:16" x14ac:dyDescent="0.2">
      <c r="A30" s="414" t="s">
        <v>635</v>
      </c>
      <c r="B30" s="34">
        <f t="shared" ref="B30:P30" si="3">4800.751+4174.499</f>
        <v>8975.25</v>
      </c>
      <c r="C30" s="34">
        <f t="shared" si="3"/>
        <v>8975.25</v>
      </c>
      <c r="D30" s="34">
        <f t="shared" si="3"/>
        <v>8975.25</v>
      </c>
      <c r="E30" s="34">
        <f t="shared" si="3"/>
        <v>8975.25</v>
      </c>
      <c r="F30" s="34">
        <f t="shared" si="3"/>
        <v>8975.25</v>
      </c>
      <c r="G30" s="34">
        <f t="shared" si="3"/>
        <v>8975.25</v>
      </c>
      <c r="H30" s="34">
        <f t="shared" si="3"/>
        <v>8975.25</v>
      </c>
      <c r="I30" s="34">
        <f t="shared" si="3"/>
        <v>8975.25</v>
      </c>
      <c r="J30" s="34">
        <f t="shared" si="3"/>
        <v>8975.25</v>
      </c>
      <c r="K30" s="34">
        <f t="shared" si="3"/>
        <v>8975.25</v>
      </c>
      <c r="L30" s="34">
        <f t="shared" si="3"/>
        <v>8975.25</v>
      </c>
      <c r="M30" s="34">
        <f t="shared" si="3"/>
        <v>8975.25</v>
      </c>
      <c r="N30" s="34">
        <f t="shared" si="3"/>
        <v>8975.25</v>
      </c>
      <c r="O30" s="34">
        <f t="shared" si="3"/>
        <v>8975.25</v>
      </c>
      <c r="P30" s="34">
        <f t="shared" si="3"/>
        <v>8975.25</v>
      </c>
    </row>
    <row r="31" spans="1:16" x14ac:dyDescent="0.2">
      <c r="A31" s="414" t="s">
        <v>657</v>
      </c>
      <c r="B31" s="34">
        <v>11097</v>
      </c>
      <c r="C31" s="34">
        <v>11097</v>
      </c>
      <c r="D31" s="34">
        <v>11097</v>
      </c>
      <c r="E31" s="34">
        <v>11097</v>
      </c>
      <c r="F31" s="34">
        <v>11097</v>
      </c>
      <c r="G31" s="34">
        <v>11097</v>
      </c>
      <c r="H31" s="34">
        <v>11097</v>
      </c>
      <c r="I31" s="34">
        <v>11097</v>
      </c>
      <c r="J31" s="34">
        <v>11097</v>
      </c>
      <c r="K31" s="34">
        <v>11097</v>
      </c>
      <c r="L31" s="34">
        <f>11097-904</f>
        <v>10193</v>
      </c>
      <c r="M31" s="34">
        <f>11097-904-654</f>
        <v>9539</v>
      </c>
      <c r="N31" s="34">
        <f>11097-904-654</f>
        <v>9539</v>
      </c>
      <c r="O31" s="34">
        <f>11097-904-654-1133</f>
        <v>8406</v>
      </c>
      <c r="P31" s="34">
        <f>11097-904-654-1133</f>
        <v>8406</v>
      </c>
    </row>
    <row r="32" spans="1:16" x14ac:dyDescent="0.2">
      <c r="A32" s="414" t="s">
        <v>658</v>
      </c>
      <c r="B32" s="34">
        <v>24442</v>
      </c>
      <c r="C32" s="34">
        <v>24442</v>
      </c>
      <c r="D32" s="34">
        <v>24442</v>
      </c>
      <c r="E32" s="34">
        <v>24442</v>
      </c>
      <c r="F32" s="34">
        <v>24442</v>
      </c>
      <c r="G32" s="34">
        <v>24442</v>
      </c>
      <c r="H32" s="34">
        <v>24442</v>
      </c>
      <c r="I32" s="34">
        <v>24442</v>
      </c>
      <c r="J32" s="34">
        <v>24442</v>
      </c>
      <c r="K32" s="34">
        <v>24442</v>
      </c>
      <c r="L32" s="34">
        <v>24442</v>
      </c>
      <c r="M32" s="34">
        <v>24442</v>
      </c>
      <c r="N32" s="34">
        <v>24442</v>
      </c>
      <c r="O32" s="34">
        <v>24442</v>
      </c>
      <c r="P32" s="34">
        <v>24442</v>
      </c>
    </row>
    <row r="33" spans="1:16" x14ac:dyDescent="0.2">
      <c r="A33" s="414" t="s">
        <v>636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</row>
    <row r="34" spans="1:16" ht="13.5" thickBot="1" x14ac:dyDescent="0.25">
      <c r="A34" s="41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</row>
    <row r="35" spans="1:16" x14ac:dyDescent="0.2">
      <c r="A35" s="15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</row>
    <row r="36" spans="1:16" x14ac:dyDescent="0.2">
      <c r="A36" s="416" t="s">
        <v>637</v>
      </c>
      <c r="B36" s="173">
        <f t="shared" ref="B36:P36" si="4">B13+B27</f>
        <v>1458498.25</v>
      </c>
      <c r="C36" s="173">
        <f t="shared" si="4"/>
        <v>1408014.25</v>
      </c>
      <c r="D36" s="173">
        <f t="shared" si="4"/>
        <v>1335014.25</v>
      </c>
      <c r="E36" s="173">
        <f t="shared" si="4"/>
        <v>1430014.25</v>
      </c>
      <c r="F36" s="173">
        <f t="shared" si="4"/>
        <v>1576014.25</v>
      </c>
      <c r="G36" s="173">
        <f t="shared" si="4"/>
        <v>1626014.25</v>
      </c>
      <c r="H36" s="173">
        <f t="shared" si="4"/>
        <v>1654014.25</v>
      </c>
      <c r="I36" s="173">
        <f t="shared" si="4"/>
        <v>1626014.25</v>
      </c>
      <c r="J36" s="173">
        <f t="shared" si="4"/>
        <v>1676014.25</v>
      </c>
      <c r="K36" s="173">
        <f t="shared" si="4"/>
        <v>1654014.25</v>
      </c>
      <c r="L36" s="173">
        <f t="shared" si="4"/>
        <v>1625110.25</v>
      </c>
      <c r="M36" s="173">
        <f t="shared" si="4"/>
        <v>1624456.25</v>
      </c>
      <c r="N36" s="173">
        <f t="shared" si="4"/>
        <v>1602456.25</v>
      </c>
      <c r="O36" s="173">
        <f t="shared" si="4"/>
        <v>1473323.25</v>
      </c>
      <c r="P36" s="173">
        <f t="shared" si="4"/>
        <v>1444323.25</v>
      </c>
    </row>
    <row r="37" spans="1:16" ht="13.5" thickBot="1" x14ac:dyDescent="0.25">
      <c r="A37" s="16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</row>
    <row r="38" spans="1:16" x14ac:dyDescent="0.2">
      <c r="A38" s="1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</row>
    <row r="39" spans="1:16" x14ac:dyDescent="0.2">
      <c r="A39" s="415" t="s">
        <v>638</v>
      </c>
      <c r="B39" s="173">
        <f t="shared" ref="B39:P39" si="5">SUM(B41:B43)</f>
        <v>1449042</v>
      </c>
      <c r="C39" s="173">
        <f t="shared" si="5"/>
        <v>1426658</v>
      </c>
      <c r="D39" s="173">
        <f t="shared" si="5"/>
        <v>1370000</v>
      </c>
      <c r="E39" s="173">
        <f t="shared" si="5"/>
        <v>1480000</v>
      </c>
      <c r="F39" s="173">
        <f t="shared" si="5"/>
        <v>1520000</v>
      </c>
      <c r="G39" s="173">
        <f t="shared" si="5"/>
        <v>1600000</v>
      </c>
      <c r="H39" s="173">
        <f t="shared" si="5"/>
        <v>1650000</v>
      </c>
      <c r="I39" s="173">
        <f t="shared" si="5"/>
        <v>1650000</v>
      </c>
      <c r="J39" s="173">
        <f t="shared" si="5"/>
        <v>1650000</v>
      </c>
      <c r="K39" s="173">
        <f t="shared" si="5"/>
        <v>1650000</v>
      </c>
      <c r="L39" s="173">
        <f t="shared" si="5"/>
        <v>1650000</v>
      </c>
      <c r="M39" s="173">
        <f t="shared" si="5"/>
        <v>1620000</v>
      </c>
      <c r="N39" s="173">
        <f t="shared" si="5"/>
        <v>1600000</v>
      </c>
      <c r="O39" s="173">
        <f t="shared" si="5"/>
        <v>1480000</v>
      </c>
      <c r="P39" s="173">
        <f t="shared" si="5"/>
        <v>1470000</v>
      </c>
    </row>
    <row r="40" spans="1:16" x14ac:dyDescent="0.2">
      <c r="A40" s="15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</row>
    <row r="41" spans="1:16" x14ac:dyDescent="0.2">
      <c r="A41" s="414" t="s">
        <v>639</v>
      </c>
      <c r="B41" s="34">
        <v>160000</v>
      </c>
      <c r="C41" s="34">
        <v>150000</v>
      </c>
      <c r="D41" s="34">
        <v>150000</v>
      </c>
      <c r="E41" s="34">
        <v>200000</v>
      </c>
      <c r="F41" s="34">
        <v>220000</v>
      </c>
      <c r="G41" s="34">
        <v>250000</v>
      </c>
      <c r="H41" s="34">
        <v>250000</v>
      </c>
      <c r="I41" s="34">
        <v>250000</v>
      </c>
      <c r="J41" s="34">
        <v>250000</v>
      </c>
      <c r="K41" s="34">
        <v>250000</v>
      </c>
      <c r="L41" s="34">
        <v>250000</v>
      </c>
      <c r="M41" s="34">
        <v>220000</v>
      </c>
      <c r="N41" s="34">
        <v>200000</v>
      </c>
      <c r="O41" s="34">
        <v>200000</v>
      </c>
      <c r="P41" s="34">
        <v>200000</v>
      </c>
    </row>
    <row r="42" spans="1:16" x14ac:dyDescent="0.2">
      <c r="A42" s="414" t="s">
        <v>640</v>
      </c>
      <c r="B42" s="34">
        <v>803672</v>
      </c>
      <c r="C42" s="34">
        <v>800000</v>
      </c>
      <c r="D42" s="34">
        <v>800000</v>
      </c>
      <c r="E42" s="34">
        <v>850000</v>
      </c>
      <c r="F42" s="34">
        <v>850000</v>
      </c>
      <c r="G42" s="34">
        <v>850000</v>
      </c>
      <c r="H42" s="34">
        <v>850000</v>
      </c>
      <c r="I42" s="34">
        <v>850000</v>
      </c>
      <c r="J42" s="34">
        <v>850000</v>
      </c>
      <c r="K42" s="34">
        <v>850000</v>
      </c>
      <c r="L42" s="34">
        <v>850000</v>
      </c>
      <c r="M42" s="34">
        <v>850000</v>
      </c>
      <c r="N42" s="34">
        <v>850000</v>
      </c>
      <c r="O42" s="34">
        <v>800000</v>
      </c>
      <c r="P42" s="34">
        <v>800000</v>
      </c>
    </row>
    <row r="43" spans="1:16" x14ac:dyDescent="0.2">
      <c r="A43" s="414" t="s">
        <v>641</v>
      </c>
      <c r="B43" s="34">
        <v>485370</v>
      </c>
      <c r="C43" s="34">
        <v>476658</v>
      </c>
      <c r="D43" s="34">
        <v>420000</v>
      </c>
      <c r="E43" s="34">
        <v>430000</v>
      </c>
      <c r="F43" s="34">
        <v>450000</v>
      </c>
      <c r="G43" s="34">
        <v>500000</v>
      </c>
      <c r="H43" s="34">
        <v>550000</v>
      </c>
      <c r="I43" s="34">
        <v>550000</v>
      </c>
      <c r="J43" s="34">
        <v>550000</v>
      </c>
      <c r="K43" s="34">
        <v>550000</v>
      </c>
      <c r="L43" s="34">
        <v>550000</v>
      </c>
      <c r="M43" s="34">
        <v>550000</v>
      </c>
      <c r="N43" s="34">
        <v>550000</v>
      </c>
      <c r="O43" s="34">
        <v>480000</v>
      </c>
      <c r="P43" s="34">
        <v>470000</v>
      </c>
    </row>
    <row r="44" spans="1:16" x14ac:dyDescent="0.2">
      <c r="A44" s="15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</row>
    <row r="45" spans="1:16" x14ac:dyDescent="0.2">
      <c r="A45" s="415" t="s">
        <v>642</v>
      </c>
      <c r="B45" s="173">
        <f t="shared" ref="B45:P45" si="6">SUM(B47:B51)</f>
        <v>0</v>
      </c>
      <c r="C45" s="173">
        <f t="shared" si="6"/>
        <v>0</v>
      </c>
      <c r="D45" s="173">
        <f t="shared" si="6"/>
        <v>0</v>
      </c>
      <c r="E45" s="173">
        <f t="shared" si="6"/>
        <v>0</v>
      </c>
      <c r="F45" s="173">
        <f t="shared" si="6"/>
        <v>0</v>
      </c>
      <c r="G45" s="173">
        <f t="shared" si="6"/>
        <v>0</v>
      </c>
      <c r="H45" s="173">
        <f t="shared" si="6"/>
        <v>0</v>
      </c>
      <c r="I45" s="173">
        <f t="shared" si="6"/>
        <v>0</v>
      </c>
      <c r="J45" s="173">
        <f t="shared" si="6"/>
        <v>0</v>
      </c>
      <c r="K45" s="173">
        <f t="shared" si="6"/>
        <v>0</v>
      </c>
      <c r="L45" s="173">
        <f t="shared" si="6"/>
        <v>0</v>
      </c>
      <c r="M45" s="173">
        <f t="shared" si="6"/>
        <v>0</v>
      </c>
      <c r="N45" s="173">
        <f t="shared" si="6"/>
        <v>0</v>
      </c>
      <c r="O45" s="173">
        <f t="shared" si="6"/>
        <v>0</v>
      </c>
      <c r="P45" s="173">
        <f t="shared" si="6"/>
        <v>0</v>
      </c>
    </row>
    <row r="46" spans="1:16" x14ac:dyDescent="0.2">
      <c r="A46" s="15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</row>
    <row r="47" spans="1:16" x14ac:dyDescent="0.2">
      <c r="A47" s="414" t="s">
        <v>373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</row>
    <row r="48" spans="1:16" x14ac:dyDescent="0.2">
      <c r="A48" s="414" t="s">
        <v>643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</row>
    <row r="49" spans="1:16" x14ac:dyDescent="0.2">
      <c r="A49" s="414" t="s">
        <v>644</v>
      </c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</row>
    <row r="50" spans="1:16" x14ac:dyDescent="0.2">
      <c r="A50" s="414" t="s">
        <v>645</v>
      </c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</row>
    <row r="51" spans="1:16" x14ac:dyDescent="0.2">
      <c r="A51" s="414" t="s">
        <v>636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</row>
    <row r="52" spans="1:16" ht="13.5" thickBot="1" x14ac:dyDescent="0.25">
      <c r="A52" s="41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</row>
    <row r="53" spans="1:16" x14ac:dyDescent="0.2">
      <c r="A53" s="15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</row>
    <row r="54" spans="1:16" x14ac:dyDescent="0.2">
      <c r="A54" s="416" t="s">
        <v>646</v>
      </c>
      <c r="B54" s="173">
        <f t="shared" ref="B54:P54" si="7">B39+B45</f>
        <v>1449042</v>
      </c>
      <c r="C54" s="173">
        <f t="shared" si="7"/>
        <v>1426658</v>
      </c>
      <c r="D54" s="173">
        <f t="shared" si="7"/>
        <v>1370000</v>
      </c>
      <c r="E54" s="173">
        <f t="shared" si="7"/>
        <v>1480000</v>
      </c>
      <c r="F54" s="173">
        <f t="shared" si="7"/>
        <v>1520000</v>
      </c>
      <c r="G54" s="173">
        <f t="shared" si="7"/>
        <v>1600000</v>
      </c>
      <c r="H54" s="173">
        <f t="shared" si="7"/>
        <v>1650000</v>
      </c>
      <c r="I54" s="173">
        <f t="shared" si="7"/>
        <v>1650000</v>
      </c>
      <c r="J54" s="173">
        <f t="shared" si="7"/>
        <v>1650000</v>
      </c>
      <c r="K54" s="173">
        <f t="shared" si="7"/>
        <v>1650000</v>
      </c>
      <c r="L54" s="173">
        <f t="shared" si="7"/>
        <v>1650000</v>
      </c>
      <c r="M54" s="173">
        <f t="shared" si="7"/>
        <v>1620000</v>
      </c>
      <c r="N54" s="173">
        <f t="shared" si="7"/>
        <v>1600000</v>
      </c>
      <c r="O54" s="173">
        <f t="shared" si="7"/>
        <v>1480000</v>
      </c>
      <c r="P54" s="173">
        <f t="shared" si="7"/>
        <v>1470000</v>
      </c>
    </row>
    <row r="55" spans="1:16" ht="13.5" thickBot="1" x14ac:dyDescent="0.25">
      <c r="A55" s="16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</row>
    <row r="56" spans="1:16" x14ac:dyDescent="0.2">
      <c r="A56" s="1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</row>
    <row r="57" spans="1:16" x14ac:dyDescent="0.2">
      <c r="A57" s="416" t="s">
        <v>647</v>
      </c>
      <c r="B57" s="173">
        <f t="shared" ref="B57:P57" si="8">B54-B36</f>
        <v>-9456.25</v>
      </c>
      <c r="C57" s="173">
        <f t="shared" si="8"/>
        <v>18643.75</v>
      </c>
      <c r="D57" s="173">
        <f t="shared" si="8"/>
        <v>34985.75</v>
      </c>
      <c r="E57" s="173">
        <f t="shared" si="8"/>
        <v>49985.75</v>
      </c>
      <c r="F57" s="173">
        <f t="shared" si="8"/>
        <v>-56014.25</v>
      </c>
      <c r="G57" s="173">
        <f t="shared" si="8"/>
        <v>-26014.25</v>
      </c>
      <c r="H57" s="173">
        <f t="shared" si="8"/>
        <v>-4014.25</v>
      </c>
      <c r="I57" s="173">
        <f t="shared" si="8"/>
        <v>23985.75</v>
      </c>
      <c r="J57" s="173">
        <f t="shared" si="8"/>
        <v>-26014.25</v>
      </c>
      <c r="K57" s="173">
        <f t="shared" si="8"/>
        <v>-4014.25</v>
      </c>
      <c r="L57" s="173">
        <f t="shared" si="8"/>
        <v>24889.75</v>
      </c>
      <c r="M57" s="173">
        <f t="shared" si="8"/>
        <v>-4456.25</v>
      </c>
      <c r="N57" s="173">
        <f t="shared" si="8"/>
        <v>-2456.25</v>
      </c>
      <c r="O57" s="173">
        <f t="shared" si="8"/>
        <v>6676.75</v>
      </c>
      <c r="P57" s="173">
        <f t="shared" si="8"/>
        <v>25676.75</v>
      </c>
    </row>
    <row r="58" spans="1:16" ht="13.5" thickBot="1" x14ac:dyDescent="0.25">
      <c r="A58" s="16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</row>
    <row r="59" spans="1:16" x14ac:dyDescent="0.2">
      <c r="A59" s="15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</row>
    <row r="60" spans="1:16" x14ac:dyDescent="0.2">
      <c r="A60" s="416" t="s">
        <v>648</v>
      </c>
      <c r="B60" s="173">
        <f t="shared" ref="B60:P60" si="9">B10+B57</f>
        <v>-152820.25</v>
      </c>
      <c r="C60" s="173">
        <f t="shared" si="9"/>
        <v>-134176.5</v>
      </c>
      <c r="D60" s="173">
        <f t="shared" si="9"/>
        <v>-99190.75</v>
      </c>
      <c r="E60" s="173">
        <f t="shared" si="9"/>
        <v>-49205</v>
      </c>
      <c r="F60" s="173">
        <f t="shared" si="9"/>
        <v>-105219.25</v>
      </c>
      <c r="G60" s="173">
        <f t="shared" si="9"/>
        <v>-131233.5</v>
      </c>
      <c r="H60" s="173">
        <f t="shared" si="9"/>
        <v>-135247.75</v>
      </c>
      <c r="I60" s="173">
        <f t="shared" si="9"/>
        <v>-111262</v>
      </c>
      <c r="J60" s="173">
        <f t="shared" si="9"/>
        <v>-137276.25</v>
      </c>
      <c r="K60" s="173">
        <f t="shared" si="9"/>
        <v>-141290.5</v>
      </c>
      <c r="L60" s="173">
        <f t="shared" si="9"/>
        <v>-116400.75</v>
      </c>
      <c r="M60" s="173">
        <f t="shared" si="9"/>
        <v>-120857</v>
      </c>
      <c r="N60" s="173">
        <f t="shared" si="9"/>
        <v>-123313.25</v>
      </c>
      <c r="O60" s="173">
        <f t="shared" si="9"/>
        <v>-116636.5</v>
      </c>
      <c r="P60" s="173">
        <f t="shared" si="9"/>
        <v>-90959.75</v>
      </c>
    </row>
    <row r="61" spans="1:16" x14ac:dyDescent="0.2">
      <c r="A61" s="15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</row>
    <row r="62" spans="1:16" ht="13.5" thickBot="1" x14ac:dyDescent="0.25">
      <c r="A62" s="16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</row>
  </sheetData>
  <pageMargins left="0.70866141732283472" right="0.70866141732283472" top="0.74803149606299213" bottom="0.74803149606299213" header="0.31496062992125984" footer="0.31496062992125984"/>
  <pageSetup paperSize="9" scale="60" orientation="landscape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3:O96"/>
  <sheetViews>
    <sheetView workbookViewId="0">
      <selection activeCell="H17" sqref="H17"/>
    </sheetView>
  </sheetViews>
  <sheetFormatPr defaultColWidth="11.42578125" defaultRowHeight="12.75" x14ac:dyDescent="0.2"/>
  <cols>
    <col min="1" max="1" width="40.5703125" customWidth="1"/>
    <col min="2" max="6" width="16.140625" customWidth="1"/>
    <col min="7" max="7" width="17.42578125" customWidth="1"/>
    <col min="8" max="8" width="15.7109375" customWidth="1"/>
    <col min="9" max="9" width="3.140625" customWidth="1"/>
    <col min="10" max="10" width="40" customWidth="1"/>
    <col min="11" max="11" width="14.7109375" bestFit="1" customWidth="1"/>
    <col min="12" max="15" width="11.85546875" bestFit="1" customWidth="1"/>
  </cols>
  <sheetData>
    <row r="3" spans="1:15" ht="13.5" thickBot="1" x14ac:dyDescent="0.25"/>
    <row r="4" spans="1:15" x14ac:dyDescent="0.2">
      <c r="A4" s="2"/>
      <c r="B4" s="3"/>
      <c r="C4" s="3"/>
      <c r="D4" s="3"/>
      <c r="E4" s="3"/>
      <c r="F4" s="3"/>
      <c r="G4" s="3"/>
      <c r="H4" s="119">
        <v>42269</v>
      </c>
      <c r="I4" s="60"/>
    </row>
    <row r="5" spans="1:15" x14ac:dyDescent="0.2">
      <c r="B5" s="6"/>
      <c r="C5" s="6"/>
      <c r="D5" s="6"/>
      <c r="E5" s="6"/>
      <c r="F5" s="6"/>
      <c r="G5" s="6"/>
      <c r="H5" s="7"/>
      <c r="I5" s="6"/>
    </row>
    <row r="6" spans="1:15" ht="23.25" x14ac:dyDescent="0.35">
      <c r="B6" s="1733" t="s">
        <v>1092</v>
      </c>
      <c r="C6" s="1733"/>
      <c r="D6" s="1733"/>
      <c r="E6" s="1733"/>
      <c r="F6" s="1733"/>
      <c r="G6" s="1088" t="s">
        <v>1094</v>
      </c>
      <c r="H6" s="7"/>
      <c r="I6" s="6"/>
    </row>
    <row r="7" spans="1:15" x14ac:dyDescent="0.2">
      <c r="B7" s="6"/>
      <c r="C7" s="6"/>
      <c r="D7" s="6"/>
      <c r="E7" s="6"/>
      <c r="F7" s="6"/>
      <c r="G7" s="6"/>
      <c r="H7" s="7"/>
      <c r="I7" s="6"/>
      <c r="K7" s="1084"/>
    </row>
    <row r="8" spans="1:15" ht="23.25" x14ac:dyDescent="0.35">
      <c r="B8" s="6"/>
      <c r="C8" s="6"/>
      <c r="D8" s="1087" t="s">
        <v>1093</v>
      </c>
      <c r="E8" s="1087"/>
      <c r="F8" s="1087"/>
      <c r="G8" s="1087"/>
      <c r="H8" s="1087"/>
      <c r="I8" s="6"/>
    </row>
    <row r="9" spans="1:15" x14ac:dyDescent="0.2">
      <c r="B9" s="6"/>
      <c r="C9" s="482"/>
      <c r="D9" s="482"/>
      <c r="E9" s="6"/>
      <c r="F9" s="6"/>
      <c r="G9" s="6"/>
      <c r="H9" s="7"/>
      <c r="I9" s="6"/>
    </row>
    <row r="10" spans="1:15" x14ac:dyDescent="0.2">
      <c r="B10" s="6"/>
      <c r="C10" s="6"/>
      <c r="D10" s="6"/>
      <c r="E10" s="6"/>
      <c r="F10" s="6"/>
      <c r="G10" s="6"/>
      <c r="H10" s="7"/>
      <c r="I10" s="6"/>
    </row>
    <row r="11" spans="1:15" ht="13.5" thickBot="1" x14ac:dyDescent="0.25">
      <c r="A11" s="11"/>
      <c r="B11" s="12"/>
      <c r="C11" s="12"/>
      <c r="D11" s="12"/>
      <c r="E11" s="12"/>
      <c r="F11" s="12"/>
      <c r="G11" s="12"/>
      <c r="H11" s="130"/>
      <c r="I11" s="6"/>
    </row>
    <row r="12" spans="1:15" ht="13.5" thickBot="1" x14ac:dyDescent="0.25">
      <c r="A12" s="5"/>
      <c r="B12" s="1743" t="s">
        <v>1110</v>
      </c>
      <c r="C12" s="1734" t="s">
        <v>113</v>
      </c>
      <c r="D12" s="1734" t="s">
        <v>70</v>
      </c>
      <c r="E12" s="1734" t="s">
        <v>72</v>
      </c>
      <c r="F12" s="1734" t="s">
        <v>330</v>
      </c>
      <c r="G12" s="1734" t="s">
        <v>888</v>
      </c>
      <c r="H12" s="1734" t="s">
        <v>1095</v>
      </c>
      <c r="I12" s="96"/>
      <c r="J12" s="96" t="s">
        <v>1103</v>
      </c>
    </row>
    <row r="13" spans="1:15" ht="20.25" customHeight="1" thickBot="1" x14ac:dyDescent="0.25">
      <c r="A13" s="5"/>
      <c r="B13" s="1744"/>
      <c r="C13" s="1735"/>
      <c r="D13" s="1735"/>
      <c r="E13" s="1735"/>
      <c r="F13" s="1735"/>
      <c r="G13" s="1735"/>
      <c r="H13" s="1735"/>
      <c r="I13" s="93"/>
      <c r="J13" s="13"/>
    </row>
    <row r="14" spans="1:15" x14ac:dyDescent="0.2">
      <c r="A14" s="5"/>
      <c r="B14" s="33"/>
      <c r="C14" s="33"/>
      <c r="D14" s="33"/>
      <c r="E14" s="33"/>
      <c r="F14" s="33"/>
      <c r="G14" s="33"/>
      <c r="H14" s="33"/>
      <c r="I14" s="29"/>
      <c r="J14" s="15"/>
    </row>
    <row r="15" spans="1:15" ht="15.75" x14ac:dyDescent="0.25">
      <c r="A15" s="43" t="s">
        <v>25</v>
      </c>
      <c r="B15" s="45"/>
      <c r="C15" s="45"/>
      <c r="D15" s="45"/>
      <c r="E15" s="45"/>
      <c r="F15" s="45"/>
      <c r="G15" s="45"/>
      <c r="H15" s="45"/>
      <c r="I15" s="42"/>
      <c r="J15" s="1100"/>
      <c r="K15" s="42"/>
      <c r="L15" s="42"/>
      <c r="M15" s="42"/>
      <c r="N15" s="42"/>
      <c r="O15" s="42"/>
    </row>
    <row r="16" spans="1:15" ht="15.75" x14ac:dyDescent="0.25">
      <c r="A16" s="43"/>
      <c r="B16" s="45"/>
      <c r="C16" s="45"/>
      <c r="D16" s="45"/>
      <c r="E16" s="45"/>
      <c r="F16" s="45"/>
      <c r="G16" s="45"/>
      <c r="H16" s="45"/>
      <c r="I16" s="1082"/>
      <c r="J16" s="1101"/>
      <c r="K16" s="1082"/>
      <c r="L16" s="1082"/>
      <c r="M16" s="1082"/>
      <c r="N16" s="1082"/>
    </row>
    <row r="17" spans="1:15" x14ac:dyDescent="0.2">
      <c r="A17" s="10" t="s">
        <v>133</v>
      </c>
      <c r="B17" s="120">
        <v>1330084</v>
      </c>
      <c r="C17" s="1095"/>
      <c r="D17" s="120"/>
      <c r="E17" s="120"/>
      <c r="F17" s="120"/>
      <c r="G17" s="120"/>
      <c r="H17" s="120">
        <f>+B17-G17</f>
        <v>1330084</v>
      </c>
      <c r="I17" s="1085"/>
      <c r="J17" s="1102" t="s">
        <v>1104</v>
      </c>
    </row>
    <row r="18" spans="1:15" x14ac:dyDescent="0.2">
      <c r="A18" s="491" t="s">
        <v>804</v>
      </c>
      <c r="B18" s="120">
        <v>8835</v>
      </c>
      <c r="C18" s="120"/>
      <c r="D18" s="120"/>
      <c r="E18" s="120"/>
      <c r="F18" s="120"/>
      <c r="G18" s="120"/>
      <c r="H18" s="120">
        <f t="shared" ref="H18:H27" si="0">+B18-G18</f>
        <v>8835</v>
      </c>
      <c r="I18" s="42"/>
      <c r="J18" s="1100"/>
      <c r="K18" s="42"/>
      <c r="L18" s="42"/>
      <c r="M18" s="42"/>
      <c r="N18" s="42"/>
      <c r="O18" s="42"/>
    </row>
    <row r="19" spans="1:15" x14ac:dyDescent="0.2">
      <c r="A19" s="491" t="s">
        <v>805</v>
      </c>
      <c r="B19" s="120">
        <v>24442</v>
      </c>
      <c r="C19" s="120"/>
      <c r="D19" s="120"/>
      <c r="E19" s="120"/>
      <c r="F19" s="120"/>
      <c r="G19" s="120"/>
      <c r="H19" s="120">
        <f t="shared" si="0"/>
        <v>24442</v>
      </c>
      <c r="I19" s="1082"/>
      <c r="J19" s="1101"/>
      <c r="K19" s="1082"/>
      <c r="L19" s="1082"/>
      <c r="M19" s="1082"/>
      <c r="N19" s="1082"/>
    </row>
    <row r="20" spans="1:15" x14ac:dyDescent="0.2">
      <c r="A20" s="10" t="s">
        <v>134</v>
      </c>
      <c r="B20" s="120">
        <v>106577</v>
      </c>
      <c r="C20" s="120"/>
      <c r="D20" s="729"/>
      <c r="E20" s="120"/>
      <c r="F20" s="120"/>
      <c r="G20" s="120"/>
      <c r="H20" s="120">
        <f t="shared" si="0"/>
        <v>106577</v>
      </c>
      <c r="I20" s="1085"/>
      <c r="J20" s="1103"/>
      <c r="N20" s="42"/>
    </row>
    <row r="21" spans="1:15" s="58" customFormat="1" x14ac:dyDescent="0.2">
      <c r="A21" s="727" t="s">
        <v>359</v>
      </c>
      <c r="B21" s="728">
        <v>133269</v>
      </c>
      <c r="C21" s="728"/>
      <c r="D21" s="728"/>
      <c r="E21" s="728"/>
      <c r="F21" s="728"/>
      <c r="G21" s="120"/>
      <c r="H21" s="120">
        <f t="shared" si="0"/>
        <v>133269</v>
      </c>
      <c r="I21" s="1086"/>
      <c r="J21" s="1104"/>
    </row>
    <row r="22" spans="1:15" s="58" customFormat="1" x14ac:dyDescent="0.2">
      <c r="A22" s="1099" t="s">
        <v>1101</v>
      </c>
      <c r="B22" s="728">
        <v>0</v>
      </c>
      <c r="C22" s="728"/>
      <c r="D22" s="728"/>
      <c r="E22" s="728"/>
      <c r="F22" s="728"/>
      <c r="G22" s="120"/>
      <c r="H22" s="120">
        <f t="shared" si="0"/>
        <v>0</v>
      </c>
      <c r="I22" s="1086"/>
      <c r="J22" s="1105" t="s">
        <v>1109</v>
      </c>
    </row>
    <row r="23" spans="1:15" x14ac:dyDescent="0.2">
      <c r="A23" s="10" t="s">
        <v>292</v>
      </c>
      <c r="B23" s="120">
        <v>35000</v>
      </c>
      <c r="C23" s="120"/>
      <c r="D23" s="120"/>
      <c r="E23" s="120"/>
      <c r="F23" s="120"/>
      <c r="G23" s="120"/>
      <c r="H23" s="120">
        <f t="shared" si="0"/>
        <v>35000</v>
      </c>
      <c r="I23" s="1085"/>
      <c r="J23" s="1102" t="s">
        <v>1106</v>
      </c>
    </row>
    <row r="24" spans="1:15" x14ac:dyDescent="0.2">
      <c r="A24" s="10" t="s">
        <v>358</v>
      </c>
      <c r="B24" s="120">
        <v>38557</v>
      </c>
      <c r="C24" s="120"/>
      <c r="D24" s="120"/>
      <c r="E24" s="120"/>
      <c r="F24" s="120"/>
      <c r="G24" s="120"/>
      <c r="H24" s="120">
        <f t="shared" si="0"/>
        <v>38557</v>
      </c>
      <c r="I24" s="1085"/>
      <c r="J24" s="1103"/>
    </row>
    <row r="25" spans="1:15" x14ac:dyDescent="0.2">
      <c r="A25" s="491" t="s">
        <v>806</v>
      </c>
      <c r="B25" s="120">
        <v>10986</v>
      </c>
      <c r="C25" s="120"/>
      <c r="D25" s="120"/>
      <c r="E25" s="120"/>
      <c r="F25" s="120"/>
      <c r="G25" s="120"/>
      <c r="H25" s="120">
        <f t="shared" si="0"/>
        <v>10986</v>
      </c>
      <c r="I25" s="1085"/>
      <c r="J25" s="1103"/>
    </row>
    <row r="26" spans="1:15" x14ac:dyDescent="0.2">
      <c r="A26" s="491" t="s">
        <v>1069</v>
      </c>
      <c r="B26" s="120">
        <v>20000</v>
      </c>
      <c r="C26" s="120"/>
      <c r="D26" s="120"/>
      <c r="E26" s="120"/>
      <c r="F26" s="120"/>
      <c r="G26" s="120"/>
      <c r="H26" s="120">
        <f t="shared" si="0"/>
        <v>20000</v>
      </c>
      <c r="I26" s="1085"/>
      <c r="J26" s="1102" t="s">
        <v>1104</v>
      </c>
    </row>
    <row r="27" spans="1:15" x14ac:dyDescent="0.2">
      <c r="A27" s="10" t="s">
        <v>135</v>
      </c>
      <c r="B27" s="120">
        <v>257750.49999999997</v>
      </c>
      <c r="C27" s="120"/>
      <c r="D27" s="120"/>
      <c r="E27" s="120"/>
      <c r="F27" s="120"/>
      <c r="G27" s="120"/>
      <c r="H27" s="120">
        <f t="shared" si="0"/>
        <v>257750.49999999997</v>
      </c>
      <c r="I27" s="1085"/>
      <c r="J27" s="1102" t="s">
        <v>1105</v>
      </c>
    </row>
    <row r="28" spans="1:15" ht="13.5" thickBot="1" x14ac:dyDescent="0.25">
      <c r="A28" s="10"/>
      <c r="B28" s="120"/>
      <c r="C28" s="120"/>
      <c r="D28" s="120"/>
      <c r="E28" s="120"/>
      <c r="F28" s="120"/>
      <c r="G28" s="120"/>
      <c r="H28" s="120"/>
      <c r="I28" s="1085"/>
      <c r="J28" s="1103"/>
    </row>
    <row r="29" spans="1:15" ht="33" customHeight="1" thickBot="1" x14ac:dyDescent="0.3">
      <c r="A29" s="1093" t="s">
        <v>1096</v>
      </c>
      <c r="B29" s="1090">
        <f>SUM(B17:B28)</f>
        <v>1965500.5</v>
      </c>
      <c r="C29" s="1090">
        <f>SUM(C17:C28)</f>
        <v>0</v>
      </c>
      <c r="D29" s="1090">
        <f>D17+D20+D27+D23+D21+D24+D28+D18+D19+D25+D26</f>
        <v>0</v>
      </c>
      <c r="E29" s="1090">
        <f>E17+E20+E27+E23+E21+E24+E28+E18+E19+E25+E26</f>
        <v>0</v>
      </c>
      <c r="F29" s="1090">
        <f>F17+F20+F27+F23+F21+F24+F28+F18+F19+F25+F26</f>
        <v>0</v>
      </c>
      <c r="G29" s="1090">
        <f>SUM(G17:G27)</f>
        <v>0</v>
      </c>
      <c r="H29" s="1090">
        <f>SUM(H17:H28)</f>
        <v>1965500.5</v>
      </c>
      <c r="I29" s="29"/>
      <c r="J29" s="1103"/>
    </row>
    <row r="30" spans="1:15" ht="33" customHeight="1" thickBot="1" x14ac:dyDescent="0.3">
      <c r="A30" s="1093" t="s">
        <v>1097</v>
      </c>
      <c r="B30" s="1098">
        <f>B29-G29</f>
        <v>1965500.5</v>
      </c>
      <c r="C30" s="1092"/>
      <c r="D30" s="1092"/>
      <c r="E30" s="1092"/>
      <c r="F30" s="1092"/>
      <c r="G30" s="1092"/>
      <c r="H30" s="1092"/>
      <c r="I30" s="29"/>
      <c r="J30" s="1103"/>
    </row>
    <row r="31" spans="1:15" x14ac:dyDescent="0.2">
      <c r="A31" s="5"/>
      <c r="B31" s="33"/>
      <c r="C31" s="21"/>
      <c r="D31" s="21"/>
      <c r="E31" s="21"/>
      <c r="F31" s="21"/>
      <c r="G31" s="21"/>
      <c r="H31" s="21"/>
      <c r="I31" s="29"/>
      <c r="J31" s="1103"/>
    </row>
    <row r="32" spans="1:15" ht="15.75" x14ac:dyDescent="0.25">
      <c r="A32" s="43" t="s">
        <v>136</v>
      </c>
      <c r="B32" s="45">
        <f>SUM(B34:B38)</f>
        <v>2005000</v>
      </c>
      <c r="C32" s="45">
        <f>SUM(C35:C38)</f>
        <v>464313</v>
      </c>
      <c r="D32" s="45">
        <f>D35+D37+D38</f>
        <v>0</v>
      </c>
      <c r="E32" s="45">
        <f>E35+E37+E38</f>
        <v>0</v>
      </c>
      <c r="F32" s="45">
        <f>F35+F37+F38</f>
        <v>0</v>
      </c>
      <c r="G32" s="45">
        <f>SUM(G34:G38)</f>
        <v>464313</v>
      </c>
      <c r="H32" s="45">
        <f>SUM(H35:H38)</f>
        <v>1540687</v>
      </c>
      <c r="I32" s="122"/>
      <c r="J32" s="1106"/>
      <c r="K32" s="722"/>
      <c r="L32" s="42"/>
    </row>
    <row r="33" spans="1:10" ht="10.5" customHeight="1" thickBot="1" x14ac:dyDescent="0.3">
      <c r="A33" s="43"/>
      <c r="B33" s="45"/>
      <c r="C33" s="46"/>
      <c r="D33" s="46"/>
      <c r="E33" s="46"/>
      <c r="F33" s="46"/>
      <c r="G33" s="46"/>
      <c r="H33" s="46"/>
      <c r="I33" s="122"/>
      <c r="J33" s="1103"/>
    </row>
    <row r="34" spans="1:10" x14ac:dyDescent="0.2">
      <c r="A34" s="14"/>
      <c r="B34" s="172"/>
      <c r="C34" s="504"/>
      <c r="D34" s="172"/>
      <c r="E34" s="504"/>
      <c r="F34" s="172"/>
      <c r="G34" s="504"/>
      <c r="H34" s="172"/>
      <c r="I34" s="123"/>
      <c r="J34" s="1103"/>
    </row>
    <row r="35" spans="1:10" x14ac:dyDescent="0.2">
      <c r="A35" s="15" t="s">
        <v>8</v>
      </c>
      <c r="B35" s="34">
        <v>1000000</v>
      </c>
      <c r="C35" s="29">
        <v>362229</v>
      </c>
      <c r="D35" s="34">
        <v>0</v>
      </c>
      <c r="E35" s="29">
        <v>0</v>
      </c>
      <c r="F35" s="34">
        <v>0</v>
      </c>
      <c r="G35" s="29">
        <f>SUM(C35:F35)</f>
        <v>362229</v>
      </c>
      <c r="H35" s="34">
        <f>B35-G35</f>
        <v>637771</v>
      </c>
      <c r="I35" s="29"/>
      <c r="J35" s="1103"/>
    </row>
    <row r="36" spans="1:10" x14ac:dyDescent="0.2">
      <c r="A36" s="1094" t="s">
        <v>1102</v>
      </c>
      <c r="B36" s="34">
        <v>0</v>
      </c>
      <c r="C36" s="29">
        <v>72278</v>
      </c>
      <c r="D36" s="34"/>
      <c r="E36" s="29"/>
      <c r="F36" s="34"/>
      <c r="G36" s="29">
        <f>SUM(C36:F36)</f>
        <v>72278</v>
      </c>
      <c r="H36" s="34">
        <f>B36-G36</f>
        <v>-72278</v>
      </c>
      <c r="I36" s="29"/>
      <c r="J36" s="1102" t="s">
        <v>1109</v>
      </c>
    </row>
    <row r="37" spans="1:10" x14ac:dyDescent="0.2">
      <c r="A37" s="15" t="s">
        <v>26</v>
      </c>
      <c r="B37" s="34">
        <v>400000</v>
      </c>
      <c r="C37" s="29">
        <v>0</v>
      </c>
      <c r="D37" s="34">
        <v>0</v>
      </c>
      <c r="E37" s="29">
        <v>0</v>
      </c>
      <c r="F37" s="34">
        <v>0</v>
      </c>
      <c r="G37" s="29">
        <f>SUM(C37:F37)</f>
        <v>0</v>
      </c>
      <c r="H37" s="34">
        <f>B37-G37</f>
        <v>400000</v>
      </c>
      <c r="I37" s="29"/>
      <c r="J37" s="1107" t="s">
        <v>1107</v>
      </c>
    </row>
    <row r="38" spans="1:10" x14ac:dyDescent="0.2">
      <c r="A38" s="1094" t="s">
        <v>1098</v>
      </c>
      <c r="B38" s="1095">
        <v>605000</v>
      </c>
      <c r="C38" s="1096">
        <v>29806</v>
      </c>
      <c r="D38" s="173">
        <v>0</v>
      </c>
      <c r="E38" s="123">
        <v>0</v>
      </c>
      <c r="F38" s="173">
        <v>0</v>
      </c>
      <c r="G38" s="29">
        <f>SUM(C38:F38)</f>
        <v>29806</v>
      </c>
      <c r="H38" s="34">
        <f>B38-G38</f>
        <v>575194</v>
      </c>
      <c r="I38" s="123"/>
      <c r="J38" s="1736" t="s">
        <v>1108</v>
      </c>
    </row>
    <row r="39" spans="1:10" ht="13.5" thickBot="1" x14ac:dyDescent="0.25">
      <c r="A39" s="1094"/>
      <c r="B39" s="173"/>
      <c r="C39" s="123"/>
      <c r="D39" s="173"/>
      <c r="E39" s="123"/>
      <c r="F39" s="173"/>
      <c r="G39" s="29"/>
      <c r="H39" s="34"/>
      <c r="I39" s="123"/>
      <c r="J39" s="1736"/>
    </row>
    <row r="40" spans="1:10" ht="33" customHeight="1" thickBot="1" x14ac:dyDescent="0.3">
      <c r="A40" s="1089" t="s">
        <v>1096</v>
      </c>
      <c r="B40" s="1090">
        <f>B32</f>
        <v>2005000</v>
      </c>
      <c r="C40" s="1090"/>
      <c r="D40" s="1090">
        <f>D32</f>
        <v>0</v>
      </c>
      <c r="E40" s="1090">
        <f>E32</f>
        <v>0</v>
      </c>
      <c r="F40" s="1090">
        <f>F32</f>
        <v>0</v>
      </c>
      <c r="G40" s="1090">
        <f>G32</f>
        <v>464313</v>
      </c>
      <c r="H40" s="1090">
        <f>H32</f>
        <v>1540687</v>
      </c>
      <c r="I40" s="29"/>
      <c r="J40" s="16"/>
    </row>
    <row r="41" spans="1:10" x14ac:dyDescent="0.2">
      <c r="A41" s="1737" t="s">
        <v>1097</v>
      </c>
      <c r="B41" s="1739">
        <f>B40-G40</f>
        <v>1540687</v>
      </c>
      <c r="C41" s="21"/>
      <c r="D41" s="21"/>
      <c r="E41" s="21"/>
      <c r="F41" s="21"/>
      <c r="G41" s="21"/>
      <c r="H41" s="1741"/>
      <c r="I41" s="29"/>
    </row>
    <row r="42" spans="1:10" ht="21" customHeight="1" thickBot="1" x14ac:dyDescent="0.25">
      <c r="A42" s="1738"/>
      <c r="B42" s="1740"/>
      <c r="C42" s="35"/>
      <c r="D42" s="35"/>
      <c r="E42" s="35"/>
      <c r="F42" s="35"/>
      <c r="G42" s="35"/>
      <c r="H42" s="1742"/>
      <c r="I42" s="29"/>
    </row>
    <row r="43" spans="1:10" x14ac:dyDescent="0.2">
      <c r="A43" s="6"/>
      <c r="B43" s="29"/>
      <c r="C43" s="29"/>
      <c r="D43" s="29"/>
      <c r="E43" s="29"/>
      <c r="F43" s="29"/>
      <c r="G43" s="29"/>
      <c r="H43" s="439"/>
      <c r="I43" s="29"/>
    </row>
    <row r="45" spans="1:10" x14ac:dyDescent="0.2">
      <c r="A45" s="62"/>
    </row>
    <row r="46" spans="1:10" x14ac:dyDescent="0.2">
      <c r="A46" s="577" t="s">
        <v>1100</v>
      </c>
      <c r="B46" s="34">
        <v>-758949</v>
      </c>
      <c r="C46" s="34">
        <v>-302274</v>
      </c>
      <c r="D46" s="34">
        <v>-17970</v>
      </c>
      <c r="E46" s="34">
        <v>-20469</v>
      </c>
      <c r="F46" s="34">
        <v>-118460</v>
      </c>
    </row>
    <row r="47" spans="1:10" x14ac:dyDescent="0.2">
      <c r="A47" s="577"/>
    </row>
    <row r="48" spans="1:10" x14ac:dyDescent="0.2">
      <c r="A48" s="577" t="s">
        <v>1111</v>
      </c>
      <c r="B48" s="34">
        <f>+B46+B32-B29</f>
        <v>-719449.5</v>
      </c>
      <c r="C48" s="34">
        <f>+C46+C32-C29</f>
        <v>162039</v>
      </c>
      <c r="D48" s="34">
        <f>+D46+D32-D29</f>
        <v>-17970</v>
      </c>
      <c r="E48" s="34">
        <f>+E46+E32-E29</f>
        <v>-20469</v>
      </c>
      <c r="F48" s="34">
        <f>+F46+F32-F29</f>
        <v>-118460</v>
      </c>
      <c r="G48" s="42"/>
    </row>
    <row r="49" spans="1:6" x14ac:dyDescent="0.2">
      <c r="A49" s="577"/>
    </row>
    <row r="50" spans="1:6" x14ac:dyDescent="0.2">
      <c r="A50" s="577"/>
      <c r="B50" s="42">
        <f>+B48-' TRESORERIE ATTIJARI 2209 '!C56</f>
        <v>-112779</v>
      </c>
      <c r="C50" s="34">
        <v>-737023.50199999998</v>
      </c>
      <c r="D50" s="34">
        <v>-17970.350999999999</v>
      </c>
      <c r="E50" s="34">
        <v>-35240.278999999995</v>
      </c>
      <c r="F50" s="34">
        <v>-264998.826</v>
      </c>
    </row>
    <row r="51" spans="1:6" x14ac:dyDescent="0.2">
      <c r="A51" s="577"/>
    </row>
    <row r="52" spans="1:6" x14ac:dyDescent="0.2">
      <c r="C52" s="42">
        <f>C50-C48</f>
        <v>-899062.50199999998</v>
      </c>
      <c r="D52" s="42">
        <f>D50-D48</f>
        <v>-0.35099999999874854</v>
      </c>
      <c r="E52" s="42">
        <f>E50-E48</f>
        <v>-14771.278999999995</v>
      </c>
      <c r="F52" s="42">
        <f>F50-F48</f>
        <v>-146538.826</v>
      </c>
    </row>
    <row r="53" spans="1:6" x14ac:dyDescent="0.2">
      <c r="A53" s="1071"/>
    </row>
    <row r="54" spans="1:6" x14ac:dyDescent="0.2">
      <c r="A54" s="577"/>
    </row>
    <row r="55" spans="1:6" x14ac:dyDescent="0.2">
      <c r="A55" s="577"/>
    </row>
    <row r="56" spans="1:6" x14ac:dyDescent="0.2">
      <c r="A56" s="577"/>
    </row>
    <row r="58" spans="1:6" x14ac:dyDescent="0.2">
      <c r="A58" s="1071"/>
    </row>
    <row r="59" spans="1:6" x14ac:dyDescent="0.2">
      <c r="A59" s="577"/>
    </row>
    <row r="60" spans="1:6" x14ac:dyDescent="0.2">
      <c r="A60" s="577"/>
    </row>
    <row r="61" spans="1:6" x14ac:dyDescent="0.2">
      <c r="A61" s="577"/>
    </row>
    <row r="62" spans="1:6" x14ac:dyDescent="0.2">
      <c r="A62" s="577"/>
    </row>
    <row r="63" spans="1:6" x14ac:dyDescent="0.2">
      <c r="A63" s="577"/>
    </row>
    <row r="64" spans="1:6" x14ac:dyDescent="0.2">
      <c r="A64" s="577"/>
    </row>
    <row r="66" spans="1:3" x14ac:dyDescent="0.2">
      <c r="A66" s="577"/>
    </row>
    <row r="67" spans="1:3" x14ac:dyDescent="0.2">
      <c r="A67" s="577"/>
    </row>
    <row r="68" spans="1:3" x14ac:dyDescent="0.2">
      <c r="A68" s="577"/>
    </row>
    <row r="69" spans="1:3" x14ac:dyDescent="0.2">
      <c r="A69" s="577"/>
    </row>
    <row r="70" spans="1:3" x14ac:dyDescent="0.2">
      <c r="A70" s="577"/>
    </row>
    <row r="74" spans="1:3" x14ac:dyDescent="0.2">
      <c r="A74" s="62"/>
    </row>
    <row r="75" spans="1:3" x14ac:dyDescent="0.2">
      <c r="B75" s="568"/>
      <c r="C75" s="568"/>
    </row>
    <row r="76" spans="1:3" x14ac:dyDescent="0.2">
      <c r="A76" s="483"/>
      <c r="B76" s="25"/>
      <c r="C76" s="25"/>
    </row>
    <row r="77" spans="1:3" x14ac:dyDescent="0.2">
      <c r="A77" s="483"/>
      <c r="B77" s="25"/>
      <c r="C77" s="25"/>
    </row>
    <row r="78" spans="1:3" x14ac:dyDescent="0.2">
      <c r="A78" s="483"/>
      <c r="B78" s="25"/>
      <c r="C78" s="25"/>
    </row>
    <row r="79" spans="1:3" x14ac:dyDescent="0.2">
      <c r="A79" s="483"/>
      <c r="B79" s="25"/>
      <c r="C79" s="25"/>
    </row>
    <row r="80" spans="1:3" x14ac:dyDescent="0.2">
      <c r="A80" s="483"/>
      <c r="B80" s="25"/>
      <c r="C80" s="25"/>
    </row>
    <row r="81" spans="1:4" x14ac:dyDescent="0.2">
      <c r="A81" s="483"/>
      <c r="B81" s="25"/>
      <c r="C81" s="25"/>
    </row>
    <row r="82" spans="1:4" x14ac:dyDescent="0.2">
      <c r="A82" s="483"/>
      <c r="B82" s="25"/>
      <c r="C82" s="25"/>
    </row>
    <row r="83" spans="1:4" x14ac:dyDescent="0.2">
      <c r="A83" s="483"/>
      <c r="B83" s="25"/>
      <c r="C83" s="25"/>
    </row>
    <row r="84" spans="1:4" x14ac:dyDescent="0.2">
      <c r="A84" s="483"/>
      <c r="B84" s="1083"/>
      <c r="C84" s="25"/>
    </row>
    <row r="85" spans="1:4" x14ac:dyDescent="0.2">
      <c r="A85" s="483"/>
      <c r="B85" s="25"/>
      <c r="C85" s="25"/>
    </row>
    <row r="86" spans="1:4" x14ac:dyDescent="0.2">
      <c r="A86" s="483"/>
      <c r="B86" s="25"/>
      <c r="C86" s="25"/>
    </row>
    <row r="87" spans="1:4" x14ac:dyDescent="0.2">
      <c r="A87" s="483"/>
      <c r="B87" s="25"/>
      <c r="C87" s="25"/>
    </row>
    <row r="88" spans="1:4" x14ac:dyDescent="0.2">
      <c r="A88" s="483"/>
      <c r="B88" s="25"/>
      <c r="C88" s="25"/>
    </row>
    <row r="89" spans="1:4" x14ac:dyDescent="0.2">
      <c r="A89" s="483"/>
      <c r="B89" s="25"/>
      <c r="C89" s="25"/>
    </row>
    <row r="90" spans="1:4" x14ac:dyDescent="0.2">
      <c r="A90" s="483"/>
      <c r="B90" s="25"/>
      <c r="C90" s="25"/>
    </row>
    <row r="92" spans="1:4" x14ac:dyDescent="0.2">
      <c r="A92" s="483"/>
      <c r="B92" s="495"/>
      <c r="C92" s="495"/>
      <c r="D92" s="495"/>
    </row>
    <row r="93" spans="1:4" x14ac:dyDescent="0.2">
      <c r="B93" s="194"/>
      <c r="C93" s="495"/>
      <c r="D93" s="495"/>
    </row>
    <row r="94" spans="1:4" x14ac:dyDescent="0.2">
      <c r="B94" s="194"/>
      <c r="C94" s="194"/>
    </row>
    <row r="96" spans="1:4" x14ac:dyDescent="0.2">
      <c r="B96" s="194"/>
      <c r="C96" s="25"/>
    </row>
  </sheetData>
  <mergeCells count="12">
    <mergeCell ref="B6:F6"/>
    <mergeCell ref="B12:B13"/>
    <mergeCell ref="C12:C13"/>
    <mergeCell ref="D12:D13"/>
    <mergeCell ref="E12:E13"/>
    <mergeCell ref="F12:F13"/>
    <mergeCell ref="G12:G13"/>
    <mergeCell ref="H12:H13"/>
    <mergeCell ref="J38:J39"/>
    <mergeCell ref="A41:A42"/>
    <mergeCell ref="B41:B42"/>
    <mergeCell ref="H41:H42"/>
  </mergeCells>
  <pageMargins left="1.9685039370078741" right="0.39370078740157483" top="0.19685039370078741" bottom="0.78740157480314965" header="0.51181102362204722" footer="0"/>
  <pageSetup paperSize="9" orientation="landscape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>
    <pageSetUpPr fitToPage="1"/>
  </sheetPr>
  <dimension ref="A1:AU420"/>
  <sheetViews>
    <sheetView topLeftCell="AF38" workbookViewId="0">
      <selection activeCell="AQ36" sqref="AQ36"/>
    </sheetView>
  </sheetViews>
  <sheetFormatPr defaultColWidth="11.42578125" defaultRowHeight="12.75" x14ac:dyDescent="0.2"/>
  <cols>
    <col min="1" max="1" width="7.28515625" customWidth="1"/>
    <col min="3" max="3" width="23.85546875" customWidth="1"/>
    <col min="4" max="4" width="22.42578125" customWidth="1"/>
    <col min="5" max="6" width="15.7109375" customWidth="1"/>
    <col min="7" max="7" width="34.140625" customWidth="1"/>
    <col min="8" max="8" width="32.140625" customWidth="1"/>
    <col min="9" max="42" width="15.7109375" customWidth="1"/>
    <col min="43" max="43" width="11.42578125" customWidth="1"/>
    <col min="45" max="45" width="14.7109375" customWidth="1"/>
  </cols>
  <sheetData>
    <row r="1" spans="2:44" ht="21" x14ac:dyDescent="0.35">
      <c r="B1" s="1796" t="s">
        <v>782</v>
      </c>
      <c r="C1" s="1796"/>
      <c r="D1" s="1796"/>
      <c r="E1" s="1796"/>
      <c r="F1" s="1796"/>
      <c r="G1" s="1796"/>
      <c r="H1" s="1796"/>
      <c r="I1" s="1796"/>
      <c r="J1" s="1796"/>
      <c r="K1" s="1796"/>
      <c r="L1" s="1796"/>
      <c r="M1" s="1796"/>
      <c r="N1" s="1796"/>
      <c r="O1" s="1796"/>
      <c r="P1" s="1796"/>
      <c r="Q1" s="1796"/>
      <c r="R1" s="1796"/>
      <c r="S1" s="1796"/>
      <c r="T1" s="1796"/>
      <c r="U1" s="1796"/>
      <c r="V1" s="1796"/>
      <c r="W1" s="1796"/>
      <c r="X1" s="1796"/>
      <c r="Y1" s="1796"/>
      <c r="Z1" s="1796"/>
      <c r="AA1" s="1796"/>
      <c r="AB1" s="1796"/>
      <c r="AC1" s="1796"/>
      <c r="AD1" s="1796"/>
      <c r="AE1" s="1796"/>
      <c r="AF1" s="1796"/>
      <c r="AG1" s="1796"/>
      <c r="AH1" s="1796"/>
      <c r="AI1" s="1796"/>
      <c r="AJ1" s="1796"/>
      <c r="AK1" s="1796"/>
      <c r="AL1" s="1796"/>
      <c r="AM1" s="1796"/>
      <c r="AN1" s="1796"/>
      <c r="AO1" s="1796"/>
    </row>
    <row r="2" spans="2:44" ht="21" x14ac:dyDescent="0.35">
      <c r="B2" s="1797" t="s">
        <v>1397</v>
      </c>
      <c r="C2" s="1797"/>
      <c r="D2" s="1797"/>
      <c r="E2" s="1797"/>
      <c r="F2" s="1797"/>
      <c r="G2" s="1797"/>
      <c r="H2" s="1797"/>
      <c r="I2" s="748"/>
      <c r="J2" s="748"/>
      <c r="K2" s="748"/>
      <c r="L2" s="748"/>
      <c r="M2" s="748"/>
      <c r="N2" s="748"/>
      <c r="O2" s="748"/>
      <c r="P2" s="731"/>
      <c r="Q2" s="749"/>
      <c r="R2" s="782"/>
      <c r="S2" s="799"/>
      <c r="T2" s="835"/>
      <c r="U2" s="853"/>
      <c r="V2" s="883"/>
      <c r="W2" s="898"/>
      <c r="X2" s="943"/>
      <c r="Y2" s="953"/>
      <c r="Z2" s="1035"/>
      <c r="AA2" s="1048"/>
      <c r="AB2" s="1066"/>
      <c r="AC2" s="1129"/>
      <c r="AD2" s="1157"/>
      <c r="AE2" s="1191"/>
      <c r="AF2" s="1408"/>
      <c r="AG2" s="1447"/>
      <c r="AH2" s="1415"/>
      <c r="AI2" s="1484"/>
      <c r="AJ2" s="1484"/>
      <c r="AK2" s="1543"/>
      <c r="AL2" s="1603"/>
      <c r="AM2" s="1639"/>
      <c r="AN2" s="1725"/>
      <c r="AO2" s="506"/>
    </row>
    <row r="3" spans="2:44" x14ac:dyDescent="0.2">
      <c r="AO3" s="52" t="s">
        <v>783</v>
      </c>
    </row>
    <row r="5" spans="2:44" ht="12.75" customHeight="1" x14ac:dyDescent="0.2">
      <c r="B5" s="102"/>
      <c r="C5" s="87"/>
      <c r="D5" s="80"/>
      <c r="E5" s="1781" t="s">
        <v>24</v>
      </c>
      <c r="F5" s="1781" t="s">
        <v>35</v>
      </c>
      <c r="G5" s="1781" t="s">
        <v>36</v>
      </c>
      <c r="H5" s="1781" t="s">
        <v>396</v>
      </c>
      <c r="I5" s="1781" t="s">
        <v>816</v>
      </c>
      <c r="J5" s="1781" t="s">
        <v>823</v>
      </c>
      <c r="K5" s="1781" t="s">
        <v>824</v>
      </c>
      <c r="L5" s="1781" t="s">
        <v>837</v>
      </c>
      <c r="M5" s="1781" t="s">
        <v>838</v>
      </c>
      <c r="N5" s="1781" t="s">
        <v>852</v>
      </c>
      <c r="O5" s="1781" t="s">
        <v>874</v>
      </c>
      <c r="P5" s="1781" t="s">
        <v>905</v>
      </c>
      <c r="Q5" s="1781" t="s">
        <v>910</v>
      </c>
      <c r="R5" s="1781" t="s">
        <v>912</v>
      </c>
      <c r="S5" s="1781" t="s">
        <v>36</v>
      </c>
      <c r="T5" s="1781" t="s">
        <v>820</v>
      </c>
      <c r="U5" s="1781" t="s">
        <v>816</v>
      </c>
      <c r="V5" s="1781" t="s">
        <v>823</v>
      </c>
      <c r="W5" s="1781" t="s">
        <v>824</v>
      </c>
      <c r="X5" s="1781" t="s">
        <v>803</v>
      </c>
      <c r="Y5" s="1781" t="s">
        <v>838</v>
      </c>
      <c r="Z5" s="1781" t="s">
        <v>852</v>
      </c>
      <c r="AA5" s="1781" t="s">
        <v>874</v>
      </c>
      <c r="AB5" s="1781" t="s">
        <v>905</v>
      </c>
      <c r="AC5" s="1781" t="s">
        <v>910</v>
      </c>
      <c r="AD5" s="1781" t="s">
        <v>912</v>
      </c>
      <c r="AE5" s="1781" t="s">
        <v>933</v>
      </c>
      <c r="AF5" s="1781" t="s">
        <v>820</v>
      </c>
      <c r="AG5" s="1781" t="s">
        <v>816</v>
      </c>
      <c r="AH5" s="1781" t="s">
        <v>823</v>
      </c>
      <c r="AI5" s="1781" t="s">
        <v>824</v>
      </c>
      <c r="AJ5" s="1781" t="s">
        <v>837</v>
      </c>
      <c r="AK5" s="1781" t="s">
        <v>838</v>
      </c>
      <c r="AL5" s="1781" t="s">
        <v>852</v>
      </c>
      <c r="AM5" s="1781" t="s">
        <v>874</v>
      </c>
      <c r="AN5" s="1781" t="s">
        <v>905</v>
      </c>
      <c r="AO5" s="1781" t="s">
        <v>800</v>
      </c>
      <c r="AP5" s="255"/>
    </row>
    <row r="6" spans="2:44" ht="12.75" customHeight="1" x14ac:dyDescent="0.2">
      <c r="B6" s="89"/>
      <c r="C6" s="90"/>
      <c r="D6" s="84"/>
      <c r="E6" s="1782"/>
      <c r="F6" s="1782"/>
      <c r="G6" s="1782"/>
      <c r="H6" s="1782"/>
      <c r="I6" s="1782"/>
      <c r="J6" s="1782"/>
      <c r="K6" s="1782"/>
      <c r="L6" s="1782"/>
      <c r="M6" s="1782"/>
      <c r="N6" s="1782"/>
      <c r="O6" s="1782"/>
      <c r="P6" s="1782"/>
      <c r="Q6" s="1782"/>
      <c r="R6" s="1782"/>
      <c r="S6" s="1782"/>
      <c r="T6" s="1782"/>
      <c r="U6" s="1782"/>
      <c r="V6" s="1782"/>
      <c r="W6" s="1782"/>
      <c r="X6" s="1782"/>
      <c r="Y6" s="1782"/>
      <c r="Z6" s="1782"/>
      <c r="AA6" s="1782"/>
      <c r="AB6" s="1782"/>
      <c r="AC6" s="1782"/>
      <c r="AD6" s="1782"/>
      <c r="AE6" s="1782"/>
      <c r="AF6" s="1782"/>
      <c r="AG6" s="1782"/>
      <c r="AH6" s="1782"/>
      <c r="AI6" s="1782"/>
      <c r="AJ6" s="1782"/>
      <c r="AK6" s="1782"/>
      <c r="AL6" s="1782"/>
      <c r="AM6" s="1782"/>
      <c r="AN6" s="1782"/>
      <c r="AO6" s="1782"/>
      <c r="AP6" s="65" t="s">
        <v>787</v>
      </c>
    </row>
    <row r="7" spans="2:44" ht="18.75" x14ac:dyDescent="0.25">
      <c r="B7" s="1785" t="s">
        <v>819</v>
      </c>
      <c r="C7" s="1786"/>
      <c r="D7" s="1787"/>
      <c r="E7" s="507">
        <f>E9+E14+E18+E23</f>
        <v>0</v>
      </c>
      <c r="F7" s="507">
        <f>F9+F14+F18+F23</f>
        <v>0</v>
      </c>
      <c r="G7" s="507">
        <f>G9+G14+G18+G23</f>
        <v>0</v>
      </c>
      <c r="H7" s="507">
        <f>H9+H14+H18+H23</f>
        <v>0</v>
      </c>
      <c r="I7" s="508">
        <f>+I23+I18+I14+I9</f>
        <v>0</v>
      </c>
      <c r="J7" s="508">
        <f>+J23+J18+J14+J9</f>
        <v>0</v>
      </c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  <c r="AN7" s="508"/>
      <c r="AO7" s="508">
        <f>H7+G7+F7+E7+I7+J7</f>
        <v>0</v>
      </c>
      <c r="AP7" s="556">
        <f>AP9+AP14+AP18+AP23</f>
        <v>550000</v>
      </c>
    </row>
    <row r="8" spans="2:44" ht="15" x14ac:dyDescent="0.2">
      <c r="B8" s="509"/>
      <c r="C8" s="510"/>
      <c r="D8" s="511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352"/>
    </row>
    <row r="9" spans="2:44" ht="15" x14ac:dyDescent="0.25">
      <c r="B9" s="512" t="s">
        <v>113</v>
      </c>
      <c r="C9" s="6"/>
      <c r="D9" s="81"/>
      <c r="E9" s="513"/>
      <c r="F9" s="513"/>
      <c r="G9" s="513"/>
      <c r="H9" s="513">
        <f>H10</f>
        <v>0</v>
      </c>
      <c r="I9" s="513">
        <f>+I10</f>
        <v>0</v>
      </c>
      <c r="J9" s="513">
        <f>+J11</f>
        <v>0</v>
      </c>
      <c r="K9" s="513"/>
      <c r="L9" s="513"/>
      <c r="M9" s="513"/>
      <c r="N9" s="513"/>
      <c r="O9" s="513"/>
      <c r="P9" s="513"/>
      <c r="Q9" s="513"/>
      <c r="R9" s="513"/>
      <c r="S9" s="513"/>
      <c r="T9" s="513"/>
      <c r="U9" s="513">
        <f>+U10</f>
        <v>0</v>
      </c>
      <c r="V9" s="513">
        <f>+V10</f>
        <v>0</v>
      </c>
      <c r="W9" s="513"/>
      <c r="X9" s="513"/>
      <c r="Y9" s="513"/>
      <c r="Z9" s="513"/>
      <c r="AA9" s="513"/>
      <c r="AB9" s="513"/>
      <c r="AC9" s="513"/>
      <c r="AD9" s="513"/>
      <c r="AE9" s="513"/>
      <c r="AF9" s="513">
        <f>+AF10</f>
        <v>0</v>
      </c>
      <c r="AG9" s="513"/>
      <c r="AH9" s="513"/>
      <c r="AI9" s="513"/>
      <c r="AJ9" s="513"/>
      <c r="AK9" s="513"/>
      <c r="AL9" s="513"/>
      <c r="AM9" s="513"/>
      <c r="AN9" s="513"/>
      <c r="AO9" s="513">
        <f>+I9+H9+G9+F9+E9+J9+U9+V9+AH9+AF9</f>
        <v>0</v>
      </c>
      <c r="AP9" s="557">
        <f>F132</f>
        <v>150000</v>
      </c>
    </row>
    <row r="10" spans="2:44" ht="15" x14ac:dyDescent="0.25">
      <c r="B10" s="512"/>
      <c r="C10" s="485"/>
      <c r="D10" s="558"/>
      <c r="E10" s="513"/>
      <c r="F10" s="513"/>
      <c r="G10" s="513"/>
      <c r="H10" s="513"/>
      <c r="I10" s="513"/>
      <c r="J10" s="513"/>
      <c r="K10" s="513"/>
      <c r="L10" s="513"/>
      <c r="M10" s="513"/>
      <c r="N10" s="513"/>
      <c r="O10" s="513"/>
      <c r="P10" s="513"/>
      <c r="Q10" s="513"/>
      <c r="R10" s="513"/>
      <c r="S10" s="513"/>
      <c r="T10" s="513"/>
      <c r="U10" s="513"/>
      <c r="V10" s="513"/>
      <c r="W10" s="513"/>
      <c r="X10" s="513"/>
      <c r="Y10" s="513"/>
      <c r="Z10" s="513"/>
      <c r="AA10" s="513"/>
      <c r="AB10" s="513"/>
      <c r="AC10" s="513"/>
      <c r="AD10" s="513"/>
      <c r="AE10" s="513"/>
      <c r="AF10" s="513"/>
      <c r="AG10" s="513"/>
      <c r="AH10" s="513"/>
      <c r="AI10" s="513"/>
      <c r="AJ10" s="513"/>
      <c r="AK10" s="513"/>
      <c r="AL10" s="513"/>
      <c r="AM10" s="513"/>
      <c r="AN10" s="513"/>
      <c r="AO10" s="513"/>
      <c r="AP10" s="557"/>
      <c r="AQ10" s="94"/>
      <c r="AR10" s="94"/>
    </row>
    <row r="11" spans="2:44" ht="15" x14ac:dyDescent="0.25">
      <c r="B11" s="512"/>
      <c r="C11" s="573"/>
      <c r="D11" s="850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13"/>
      <c r="AP11" s="557"/>
      <c r="AQ11" s="94"/>
    </row>
    <row r="12" spans="2:44" ht="15" x14ac:dyDescent="0.25">
      <c r="B12" s="512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57"/>
      <c r="AQ12" s="94"/>
    </row>
    <row r="13" spans="2:44" x14ac:dyDescent="0.2">
      <c r="B13" s="88"/>
      <c r="C13" s="6"/>
      <c r="D13" s="81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126"/>
    </row>
    <row r="14" spans="2:44" ht="15" x14ac:dyDescent="0.25">
      <c r="B14" s="512" t="s">
        <v>70</v>
      </c>
      <c r="C14" s="572"/>
      <c r="D14" s="81"/>
      <c r="E14" s="513"/>
      <c r="F14" s="513"/>
      <c r="G14" s="513"/>
      <c r="H14" s="513">
        <f>H17</f>
        <v>0</v>
      </c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13"/>
      <c r="T14" s="513"/>
      <c r="U14" s="513"/>
      <c r="V14" s="513"/>
      <c r="W14" s="513">
        <f>+W15</f>
        <v>0</v>
      </c>
      <c r="X14" s="513"/>
      <c r="Y14" s="513"/>
      <c r="Z14" s="513"/>
      <c r="AA14" s="513"/>
      <c r="AB14" s="513"/>
      <c r="AC14" s="513"/>
      <c r="AD14" s="513"/>
      <c r="AE14" s="513"/>
      <c r="AF14" s="513"/>
      <c r="AG14" s="513"/>
      <c r="AH14" s="513">
        <f>+AH15</f>
        <v>0</v>
      </c>
      <c r="AI14" s="513"/>
      <c r="AJ14" s="513"/>
      <c r="AK14" s="513"/>
      <c r="AL14" s="513"/>
      <c r="AM14" s="513"/>
      <c r="AN14" s="513"/>
      <c r="AO14" s="513">
        <f>H14+G14+F14+E14+I14+J14+K14+L14+M14+W14+AH14</f>
        <v>0</v>
      </c>
      <c r="AP14" s="557">
        <f>F140</f>
        <v>100000</v>
      </c>
    </row>
    <row r="15" spans="2:44" ht="15" x14ac:dyDescent="0.25">
      <c r="B15" s="512"/>
      <c r="C15" s="482"/>
      <c r="D15" s="558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3"/>
      <c r="T15" s="513"/>
      <c r="U15" s="51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3"/>
      <c r="AG15" s="513"/>
      <c r="AH15" s="513"/>
      <c r="AI15" s="513"/>
      <c r="AJ15" s="513"/>
      <c r="AK15" s="513"/>
      <c r="AL15" s="513"/>
      <c r="AM15" s="513"/>
      <c r="AN15" s="513"/>
      <c r="AO15" s="513"/>
      <c r="AP15" s="557"/>
    </row>
    <row r="16" spans="2:44" ht="15" x14ac:dyDescent="0.25">
      <c r="B16" s="512"/>
      <c r="C16" s="572"/>
      <c r="D16" s="6"/>
      <c r="E16" s="513"/>
      <c r="F16" s="513"/>
      <c r="G16" s="513"/>
      <c r="H16" s="513"/>
      <c r="I16" s="513"/>
      <c r="J16" s="513"/>
      <c r="K16" s="513"/>
      <c r="L16" s="513"/>
      <c r="M16" s="513"/>
      <c r="N16" s="513"/>
      <c r="O16" s="513"/>
      <c r="P16" s="513"/>
      <c r="Q16" s="513"/>
      <c r="R16" s="513"/>
      <c r="S16" s="513"/>
      <c r="T16" s="513"/>
      <c r="U16" s="513"/>
      <c r="V16" s="513"/>
      <c r="W16" s="513"/>
      <c r="X16" s="513"/>
      <c r="Y16" s="513"/>
      <c r="Z16" s="513"/>
      <c r="AA16" s="513"/>
      <c r="AB16" s="513"/>
      <c r="AC16" s="513"/>
      <c r="AD16" s="513"/>
      <c r="AE16" s="513"/>
      <c r="AF16" s="513"/>
      <c r="AG16" s="513"/>
      <c r="AH16" s="513"/>
      <c r="AI16" s="513"/>
      <c r="AJ16" s="513"/>
      <c r="AK16" s="513"/>
      <c r="AL16" s="513"/>
      <c r="AM16" s="513"/>
      <c r="AN16" s="513"/>
      <c r="AO16" s="513"/>
      <c r="AP16" s="557"/>
    </row>
    <row r="17" spans="2:45" x14ac:dyDescent="0.2">
      <c r="B17" s="88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126"/>
      <c r="AQ17" s="94"/>
    </row>
    <row r="18" spans="2:45" ht="15" x14ac:dyDescent="0.25">
      <c r="B18" s="512" t="s">
        <v>72</v>
      </c>
      <c r="C18" s="6"/>
      <c r="D18" s="81"/>
      <c r="E18" s="553"/>
      <c r="F18" s="513"/>
      <c r="G18" s="513"/>
      <c r="H18" s="513"/>
      <c r="I18" s="513">
        <f>+I20</f>
        <v>0</v>
      </c>
      <c r="J18" s="513"/>
      <c r="K18" s="513"/>
      <c r="L18" s="513"/>
      <c r="M18" s="513"/>
      <c r="N18" s="513">
        <f>+N20</f>
        <v>0</v>
      </c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513"/>
      <c r="AM18" s="513"/>
      <c r="AN18" s="513"/>
      <c r="AO18" s="513">
        <f>H18+G18+F18+E18+I18+N18</f>
        <v>0</v>
      </c>
      <c r="AP18" s="557">
        <f>F147</f>
        <v>100000</v>
      </c>
    </row>
    <row r="19" spans="2:45" x14ac:dyDescent="0.2">
      <c r="B19" s="88"/>
      <c r="C19" s="482"/>
      <c r="D19" s="558"/>
      <c r="E19" s="445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126"/>
    </row>
    <row r="20" spans="2:45" x14ac:dyDescent="0.2">
      <c r="B20" s="88"/>
      <c r="C20" s="572"/>
      <c r="D20" s="850"/>
      <c r="E20" s="445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126"/>
      <c r="AQ20" s="569"/>
    </row>
    <row r="21" spans="2:45" x14ac:dyDescent="0.2">
      <c r="B21" s="88"/>
      <c r="C21" s="6"/>
      <c r="D21" s="558"/>
      <c r="E21" s="445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126"/>
    </row>
    <row r="22" spans="2:45" x14ac:dyDescent="0.2">
      <c r="B22" s="88"/>
      <c r="C22" s="6"/>
      <c r="D22" s="81"/>
      <c r="E22" s="445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126"/>
    </row>
    <row r="23" spans="2:45" ht="15" x14ac:dyDescent="0.25">
      <c r="B23" s="512" t="s">
        <v>691</v>
      </c>
      <c r="C23" s="6"/>
      <c r="D23" s="81"/>
      <c r="E23" s="553"/>
      <c r="F23" s="513">
        <f>+F25+F24</f>
        <v>0</v>
      </c>
      <c r="G23" s="513">
        <f>+G24</f>
        <v>0</v>
      </c>
      <c r="H23" s="513">
        <f>+H26</f>
        <v>0</v>
      </c>
      <c r="I23" s="513">
        <f>I26</f>
        <v>0</v>
      </c>
      <c r="J23" s="513"/>
      <c r="K23" s="513"/>
      <c r="L23" s="513"/>
      <c r="M23" s="513"/>
      <c r="N23" s="513"/>
      <c r="O23" s="513"/>
      <c r="P23" s="513"/>
      <c r="Q23" s="513"/>
      <c r="R23" s="513"/>
      <c r="S23" s="513"/>
      <c r="T23" s="513"/>
      <c r="U23" s="513"/>
      <c r="V23" s="513"/>
      <c r="W23" s="513"/>
      <c r="X23" s="513"/>
      <c r="Y23" s="513"/>
      <c r="Z23" s="513"/>
      <c r="AA23" s="513"/>
      <c r="AB23" s="513"/>
      <c r="AC23" s="513"/>
      <c r="AD23" s="513"/>
      <c r="AE23" s="513"/>
      <c r="AF23" s="513">
        <f>AF26</f>
        <v>0</v>
      </c>
      <c r="AG23" s="513">
        <f>AG25+AG26</f>
        <v>0</v>
      </c>
      <c r="AH23" s="513"/>
      <c r="AI23" s="513"/>
      <c r="AJ23" s="513"/>
      <c r="AK23" s="513"/>
      <c r="AL23" s="513"/>
      <c r="AM23" s="513"/>
      <c r="AN23" s="513"/>
      <c r="AO23" s="513">
        <f>H23+G23+F23+E23+I23+AH23+AG23+AE23+AF23</f>
        <v>0</v>
      </c>
      <c r="AP23" s="557">
        <f>F154</f>
        <v>200000</v>
      </c>
    </row>
    <row r="24" spans="2:45" x14ac:dyDescent="0.2">
      <c r="B24" s="1420"/>
      <c r="C24" s="572"/>
      <c r="D24" s="850"/>
      <c r="E24" s="946"/>
      <c r="F24" s="514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126"/>
    </row>
    <row r="25" spans="2:45" x14ac:dyDescent="0.2">
      <c r="B25" s="1420"/>
      <c r="C25" s="482"/>
      <c r="D25" s="558"/>
      <c r="E25" s="946"/>
      <c r="F25" s="514"/>
      <c r="G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419"/>
      <c r="AI25" s="1419"/>
      <c r="AJ25" s="1419"/>
      <c r="AK25" s="1419"/>
      <c r="AL25" s="1419"/>
      <c r="AM25" s="1419"/>
      <c r="AN25" s="1419"/>
      <c r="AO25" s="22"/>
      <c r="AP25" s="126"/>
      <c r="AQ25" s="94"/>
      <c r="AR25" s="94"/>
    </row>
    <row r="26" spans="2:45" x14ac:dyDescent="0.2">
      <c r="B26" s="88"/>
      <c r="C26" s="482"/>
      <c r="D26" s="558"/>
      <c r="E26" s="946"/>
      <c r="F26" s="514"/>
      <c r="G26" s="22"/>
      <c r="H26" s="55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126"/>
      <c r="AQ26" s="94"/>
      <c r="AR26" s="483"/>
      <c r="AS26">
        <v>50505050505</v>
      </c>
    </row>
    <row r="27" spans="2:45" x14ac:dyDescent="0.2">
      <c r="B27" s="88"/>
      <c r="C27" s="482"/>
      <c r="D27" s="84"/>
      <c r="E27" s="946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71"/>
    </row>
    <row r="28" spans="2:45" ht="12.75" customHeight="1" x14ac:dyDescent="0.2">
      <c r="B28" s="102"/>
      <c r="C28" s="87"/>
      <c r="D28" s="81"/>
      <c r="E28" s="1781" t="s">
        <v>24</v>
      </c>
      <c r="F28" s="1781" t="s">
        <v>35</v>
      </c>
      <c r="G28" s="1781" t="s">
        <v>36</v>
      </c>
      <c r="H28" s="1781" t="s">
        <v>396</v>
      </c>
      <c r="I28" s="1781" t="s">
        <v>816</v>
      </c>
      <c r="J28" s="1781" t="s">
        <v>823</v>
      </c>
      <c r="K28" s="1781" t="s">
        <v>824</v>
      </c>
      <c r="L28" s="1781" t="s">
        <v>837</v>
      </c>
      <c r="M28" s="1781" t="s">
        <v>838</v>
      </c>
      <c r="N28" s="1781" t="s">
        <v>852</v>
      </c>
      <c r="O28" s="1781" t="s">
        <v>874</v>
      </c>
      <c r="P28" s="1781" t="s">
        <v>905</v>
      </c>
      <c r="Q28" s="1781" t="s">
        <v>910</v>
      </c>
      <c r="R28" s="1781" t="s">
        <v>912</v>
      </c>
      <c r="S28" s="1781" t="s">
        <v>933</v>
      </c>
      <c r="T28" s="1781" t="s">
        <v>820</v>
      </c>
      <c r="U28" s="1781" t="s">
        <v>816</v>
      </c>
      <c r="V28" s="1781" t="s">
        <v>823</v>
      </c>
      <c r="W28" s="1781" t="s">
        <v>824</v>
      </c>
      <c r="X28" s="1781" t="s">
        <v>803</v>
      </c>
      <c r="Y28" s="1781" t="s">
        <v>838</v>
      </c>
      <c r="Z28" s="1781" t="s">
        <v>852</v>
      </c>
      <c r="AA28" s="1781" t="s">
        <v>874</v>
      </c>
      <c r="AB28" s="1781" t="s">
        <v>905</v>
      </c>
      <c r="AC28" s="1781" t="s">
        <v>910</v>
      </c>
      <c r="AD28" s="1781" t="s">
        <v>912</v>
      </c>
      <c r="AE28" s="1781" t="s">
        <v>933</v>
      </c>
      <c r="AF28" s="1781" t="s">
        <v>820</v>
      </c>
      <c r="AG28" s="1781" t="s">
        <v>816</v>
      </c>
      <c r="AH28" s="1781" t="s">
        <v>823</v>
      </c>
      <c r="AI28" s="1781" t="s">
        <v>824</v>
      </c>
      <c r="AJ28" s="1781" t="s">
        <v>837</v>
      </c>
      <c r="AK28" s="1781" t="s">
        <v>838</v>
      </c>
      <c r="AL28" s="1781" t="s">
        <v>852</v>
      </c>
      <c r="AM28" s="1781" t="s">
        <v>874</v>
      </c>
      <c r="AN28" s="1781" t="s">
        <v>905</v>
      </c>
      <c r="AO28" s="1781" t="s">
        <v>800</v>
      </c>
      <c r="AP28" s="1781" t="s">
        <v>787</v>
      </c>
    </row>
    <row r="29" spans="2:45" ht="12.75" customHeight="1" x14ac:dyDescent="0.2">
      <c r="B29" s="89"/>
      <c r="C29" s="90"/>
      <c r="D29" s="84"/>
      <c r="E29" s="1782"/>
      <c r="F29" s="1782"/>
      <c r="G29" s="1782"/>
      <c r="H29" s="1782"/>
      <c r="I29" s="1782"/>
      <c r="J29" s="1782"/>
      <c r="K29" s="1782"/>
      <c r="L29" s="1782"/>
      <c r="M29" s="1782"/>
      <c r="N29" s="1782"/>
      <c r="O29" s="1782"/>
      <c r="P29" s="1782"/>
      <c r="Q29" s="1782"/>
      <c r="R29" s="1782"/>
      <c r="S29" s="1782"/>
      <c r="T29" s="1782"/>
      <c r="U29" s="1782"/>
      <c r="V29" s="1782"/>
      <c r="W29" s="1782"/>
      <c r="X29" s="1782"/>
      <c r="Y29" s="1782"/>
      <c r="Z29" s="1782"/>
      <c r="AA29" s="1782"/>
      <c r="AB29" s="1782"/>
      <c r="AC29" s="1782"/>
      <c r="AD29" s="1782"/>
      <c r="AE29" s="1782"/>
      <c r="AF29" s="1782"/>
      <c r="AG29" s="1782"/>
      <c r="AH29" s="1782"/>
      <c r="AI29" s="1782"/>
      <c r="AJ29" s="1782"/>
      <c r="AK29" s="1782"/>
      <c r="AL29" s="1782"/>
      <c r="AM29" s="1782"/>
      <c r="AN29" s="1782"/>
      <c r="AO29" s="1782"/>
      <c r="AP29" s="1782"/>
    </row>
    <row r="30" spans="2:45" ht="15" customHeight="1" x14ac:dyDescent="0.25">
      <c r="B30" s="1785" t="s">
        <v>784</v>
      </c>
      <c r="C30" s="1786"/>
      <c r="D30" s="1787"/>
      <c r="E30" s="515">
        <f>E32+E44+E55+E62</f>
        <v>0</v>
      </c>
      <c r="F30" s="515">
        <f>F32+F44+F55+F62</f>
        <v>0</v>
      </c>
      <c r="G30" s="515">
        <f>G32+G44+G55+G62</f>
        <v>0</v>
      </c>
      <c r="H30" s="515">
        <f>H32+H44+H55+H62</f>
        <v>0</v>
      </c>
      <c r="I30" s="515">
        <f>+I32+I44+I55+I62</f>
        <v>0</v>
      </c>
      <c r="J30" s="515"/>
      <c r="K30" s="515">
        <f>+K32+K44+K55+K62</f>
        <v>0</v>
      </c>
      <c r="L30" s="515">
        <f>+L32</f>
        <v>0</v>
      </c>
      <c r="M30" s="515">
        <f>+M32</f>
        <v>0</v>
      </c>
      <c r="N30" s="515">
        <f>N39+N40+N36+N35+N37</f>
        <v>0</v>
      </c>
      <c r="O30" s="515">
        <f>O41+O37</f>
        <v>0</v>
      </c>
      <c r="P30" s="515">
        <f>P38+P37</f>
        <v>0</v>
      </c>
      <c r="Q30" s="515">
        <f>Q32</f>
        <v>0</v>
      </c>
      <c r="R30" s="515">
        <f>+R32</f>
        <v>0</v>
      </c>
      <c r="S30" s="515"/>
      <c r="T30" s="515"/>
      <c r="U30" s="515"/>
      <c r="V30" s="515"/>
      <c r="W30" s="515"/>
      <c r="X30" s="515"/>
      <c r="Y30" s="515"/>
      <c r="Z30" s="515"/>
      <c r="AA30" s="515"/>
      <c r="AB30" s="515"/>
      <c r="AC30" s="515"/>
      <c r="AD30" s="515"/>
      <c r="AE30" s="515"/>
      <c r="AF30" s="515"/>
      <c r="AG30" s="515"/>
      <c r="AH30" s="515"/>
      <c r="AI30" s="515"/>
      <c r="AJ30" s="515"/>
      <c r="AK30" s="515"/>
      <c r="AL30" s="515"/>
      <c r="AM30" s="515"/>
      <c r="AN30" s="515"/>
      <c r="AO30" s="507">
        <f>+AO32</f>
        <v>483793.83799999999</v>
      </c>
      <c r="AP30" s="556">
        <f>AP32+AP44+AP55+AP62</f>
        <v>600000</v>
      </c>
    </row>
    <row r="31" spans="2:45" ht="15" customHeight="1" x14ac:dyDescent="0.2">
      <c r="B31" s="516"/>
      <c r="C31" s="517"/>
      <c r="D31" s="518"/>
      <c r="E31" s="374"/>
      <c r="F31" s="374"/>
      <c r="G31" s="374"/>
      <c r="H31" s="374"/>
      <c r="I31" s="374"/>
      <c r="J31" s="374"/>
      <c r="K31" s="374"/>
      <c r="L31" s="374"/>
      <c r="M31" s="374"/>
      <c r="N31" s="374"/>
      <c r="O31" s="374"/>
      <c r="P31" s="374"/>
      <c r="Q31" s="374"/>
      <c r="R31" s="374"/>
      <c r="S31" s="374"/>
      <c r="T31" s="374"/>
      <c r="U31" s="374"/>
      <c r="V31" s="374"/>
      <c r="W31" s="374"/>
      <c r="X31" s="374"/>
      <c r="Y31" s="374"/>
      <c r="Z31" s="374"/>
      <c r="AA31" s="374"/>
      <c r="AB31" s="374"/>
      <c r="AC31" s="374"/>
      <c r="AD31" s="374"/>
      <c r="AE31" s="374"/>
      <c r="AF31" s="374"/>
      <c r="AG31" s="374"/>
      <c r="AH31" s="374"/>
      <c r="AI31" s="374"/>
      <c r="AJ31" s="374"/>
      <c r="AK31" s="374"/>
      <c r="AL31" s="374"/>
      <c r="AM31" s="374"/>
      <c r="AN31" s="374"/>
      <c r="AO31" s="255"/>
      <c r="AP31" s="352"/>
    </row>
    <row r="32" spans="2:45" ht="15" customHeight="1" x14ac:dyDescent="0.25">
      <c r="B32" s="512" t="s">
        <v>113</v>
      </c>
      <c r="C32" s="6"/>
      <c r="D32" s="81"/>
      <c r="E32" s="513">
        <f>E34+E36+E38+E40</f>
        <v>0</v>
      </c>
      <c r="F32" s="513">
        <f>F34+F36+F38+F40</f>
        <v>0</v>
      </c>
      <c r="G32" s="513">
        <f>G34+G36+G38+G40</f>
        <v>0</v>
      </c>
      <c r="H32" s="513">
        <f>H34+H36+H38+H40</f>
        <v>0</v>
      </c>
      <c r="I32" s="513">
        <f>I34+I36+I38+I40</f>
        <v>0</v>
      </c>
      <c r="J32" s="513"/>
      <c r="K32" s="513">
        <f>K35+K36+K37</f>
        <v>0</v>
      </c>
      <c r="L32" s="513">
        <f>+L37</f>
        <v>0</v>
      </c>
      <c r="M32" s="513">
        <f>+M37+M38</f>
        <v>0</v>
      </c>
      <c r="N32" s="513">
        <f>N39+N40+N36+N35+N37+N41</f>
        <v>0</v>
      </c>
      <c r="O32" s="513">
        <f>O37+O41</f>
        <v>0</v>
      </c>
      <c r="P32" s="513">
        <f>P37+P38+P41</f>
        <v>0</v>
      </c>
      <c r="Q32" s="513">
        <f>Q37+Q40+Q35+Q39+Q38</f>
        <v>0</v>
      </c>
      <c r="R32" s="513">
        <f>+R38</f>
        <v>0</v>
      </c>
      <c r="S32" s="513">
        <f>S41</f>
        <v>0</v>
      </c>
      <c r="T32" s="513">
        <f>+T41+T39</f>
        <v>0</v>
      </c>
      <c r="U32" s="513">
        <f>U38+U39</f>
        <v>0</v>
      </c>
      <c r="V32" s="513"/>
      <c r="W32" s="513">
        <f>+W41</f>
        <v>0</v>
      </c>
      <c r="X32" s="513">
        <f>X39</f>
        <v>0</v>
      </c>
      <c r="Y32" s="513">
        <f>Y40</f>
        <v>0</v>
      </c>
      <c r="Z32" s="513">
        <f>Z39</f>
        <v>0</v>
      </c>
      <c r="AA32" s="513"/>
      <c r="AB32" s="513"/>
      <c r="AC32" s="513">
        <f>+AC39+AC41+AC38+AC37</f>
        <v>0</v>
      </c>
      <c r="AD32" s="513">
        <f>+AD41</f>
        <v>0</v>
      </c>
      <c r="AE32" s="513">
        <f>+AE41</f>
        <v>0</v>
      </c>
      <c r="AF32" s="513">
        <f>+AF41+AF36</f>
        <v>0</v>
      </c>
      <c r="AG32" s="513">
        <f>+AG36+AG41</f>
        <v>0</v>
      </c>
      <c r="AH32" s="513">
        <f>AH41</f>
        <v>0</v>
      </c>
      <c r="AI32" s="513">
        <f>AI41+AI35</f>
        <v>0</v>
      </c>
      <c r="AJ32" s="513">
        <f>AJ36</f>
        <v>0</v>
      </c>
      <c r="AK32" s="513">
        <f>AK37</f>
        <v>0</v>
      </c>
      <c r="AL32" s="513">
        <f>AL41+AL37</f>
        <v>120500</v>
      </c>
      <c r="AM32" s="513">
        <f>+AM36+AM38</f>
        <v>363293.83799999999</v>
      </c>
      <c r="AN32" s="513"/>
      <c r="AO32" s="519">
        <f>H32+G32+F32+E32+I32+J32+K32+L32+M32+N32+O32+P32+Q32+R32+S32+T32+U32+V32+W32+X32+Y32+Z32+AC32+AD32+AE32+AF32+AG32+AH32+AI32+AJ32+AL32+AK32+AM32</f>
        <v>483793.83799999999</v>
      </c>
      <c r="AP32" s="557">
        <f>F133</f>
        <v>200000</v>
      </c>
    </row>
    <row r="33" spans="2:46" ht="15" customHeight="1" x14ac:dyDescent="0.2">
      <c r="B33" s="88"/>
      <c r="C33" s="6"/>
      <c r="D33" s="81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66"/>
      <c r="AP33" s="126"/>
      <c r="AQ33" s="42"/>
    </row>
    <row r="34" spans="2:46" ht="15" customHeight="1" x14ac:dyDescent="0.2">
      <c r="B34" s="88"/>
      <c r="C34" s="6"/>
      <c r="D34" s="81"/>
      <c r="E34" s="514"/>
      <c r="F34" s="514"/>
      <c r="G34" s="514"/>
      <c r="H34" s="514"/>
      <c r="I34" s="514"/>
      <c r="J34" s="514"/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14"/>
      <c r="AD34" s="514"/>
      <c r="AE34" s="514"/>
      <c r="AF34" s="514"/>
      <c r="AG34" s="514"/>
      <c r="AH34" s="514"/>
      <c r="AI34" s="514"/>
      <c r="AJ34" s="514"/>
      <c r="AK34" s="514"/>
      <c r="AL34" s="514"/>
      <c r="AM34" s="514"/>
      <c r="AN34" s="514"/>
      <c r="AO34" s="520"/>
      <c r="AP34" s="126"/>
    </row>
    <row r="35" spans="2:46" ht="15" customHeight="1" x14ac:dyDescent="0.2">
      <c r="B35" s="88"/>
      <c r="C35" s="482"/>
      <c r="D35" s="558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66"/>
      <c r="AP35" s="126"/>
      <c r="AQ35" s="569"/>
      <c r="AR35" s="483"/>
    </row>
    <row r="36" spans="2:46" ht="15" customHeight="1" x14ac:dyDescent="0.2">
      <c r="B36" s="88"/>
      <c r="C36" s="482" t="s">
        <v>166</v>
      </c>
      <c r="D36" s="558" t="s">
        <v>1275</v>
      </c>
      <c r="E36" s="514"/>
      <c r="F36" s="514"/>
      <c r="G36" s="514"/>
      <c r="H36" s="514"/>
      <c r="I36" s="514"/>
      <c r="J36" s="514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14"/>
      <c r="AD36" s="514"/>
      <c r="AE36" s="514"/>
      <c r="AF36" s="514"/>
      <c r="AG36" s="514"/>
      <c r="AH36" s="514"/>
      <c r="AI36" s="514"/>
      <c r="AJ36" s="514"/>
      <c r="AK36" s="514"/>
      <c r="AL36" s="514"/>
      <c r="AM36" s="514">
        <v>121097</v>
      </c>
      <c r="AN36" s="514"/>
      <c r="AO36" s="520"/>
      <c r="AP36" s="126"/>
      <c r="AQ36" s="569">
        <v>42675</v>
      </c>
      <c r="AR36" s="483"/>
    </row>
    <row r="37" spans="2:46" ht="15" customHeight="1" x14ac:dyDescent="0.2">
      <c r="B37" s="88"/>
      <c r="C37" s="483" t="s">
        <v>49</v>
      </c>
      <c r="D37" s="483" t="s">
        <v>1375</v>
      </c>
      <c r="E37" s="22"/>
      <c r="F37" s="514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>
        <v>35500</v>
      </c>
      <c r="AM37" s="22"/>
      <c r="AN37" s="22"/>
      <c r="AO37" s="616"/>
      <c r="AP37" s="126"/>
      <c r="AQ37" s="569">
        <v>42660</v>
      </c>
      <c r="AR37" s="483"/>
    </row>
    <row r="38" spans="2:46" ht="15" customHeight="1" x14ac:dyDescent="0.2">
      <c r="B38" s="88"/>
      <c r="C38" s="485" t="s">
        <v>1493</v>
      </c>
      <c r="D38" s="558" t="s">
        <v>1390</v>
      </c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  <c r="T38" s="514"/>
      <c r="U38" s="514"/>
      <c r="V38" s="514"/>
      <c r="W38" s="514"/>
      <c r="X38" s="514"/>
      <c r="Y38" s="514"/>
      <c r="Z38" s="514"/>
      <c r="AA38" s="514"/>
      <c r="AB38" s="514"/>
      <c r="AC38" s="514"/>
      <c r="AD38" s="514"/>
      <c r="AE38" s="514"/>
      <c r="AF38" s="514"/>
      <c r="AG38" s="514"/>
      <c r="AH38" s="514"/>
      <c r="AI38" s="514"/>
      <c r="AJ38" s="514"/>
      <c r="AK38" s="514"/>
      <c r="AL38" s="514"/>
      <c r="AM38" s="514">
        <v>242196.83799999999</v>
      </c>
      <c r="AN38" s="514"/>
      <c r="AO38" s="520"/>
      <c r="AP38" s="126"/>
      <c r="AQ38" s="696">
        <v>42694</v>
      </c>
      <c r="AR38" s="569" t="s">
        <v>924</v>
      </c>
    </row>
    <row r="39" spans="2:46" ht="15" hidden="1" customHeight="1" x14ac:dyDescent="0.2">
      <c r="B39" s="88"/>
      <c r="C39" s="485" t="s">
        <v>956</v>
      </c>
      <c r="D39" s="558" t="s">
        <v>996</v>
      </c>
      <c r="E39" s="22"/>
      <c r="F39" s="514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66"/>
      <c r="AP39" s="126"/>
      <c r="AQ39" s="838">
        <v>42373</v>
      </c>
      <c r="AR39" s="569"/>
    </row>
    <row r="40" spans="2:46" ht="15" hidden="1" customHeight="1" x14ac:dyDescent="0.2">
      <c r="B40" s="88"/>
      <c r="C40" s="485"/>
      <c r="D40" s="558"/>
      <c r="E40" s="514"/>
      <c r="F40" s="514"/>
      <c r="G40" s="514"/>
      <c r="H40" s="514"/>
      <c r="I40" s="514"/>
      <c r="J40" s="514"/>
      <c r="K40" s="514"/>
      <c r="L40" s="514"/>
      <c r="M40" s="514"/>
      <c r="N40" s="514"/>
      <c r="O40" s="514"/>
      <c r="P40" s="514"/>
      <c r="Q40" s="514"/>
      <c r="R40" s="514"/>
      <c r="S40" s="514"/>
      <c r="T40" s="514"/>
      <c r="U40" s="514"/>
      <c r="V40" s="514"/>
      <c r="W40" s="514"/>
      <c r="X40" s="514"/>
      <c r="Y40" s="514"/>
      <c r="Z40" s="514"/>
      <c r="AA40" s="514"/>
      <c r="AB40" s="514"/>
      <c r="AC40" s="514"/>
      <c r="AD40" s="514"/>
      <c r="AE40" s="514"/>
      <c r="AF40" s="514"/>
      <c r="AG40" s="514"/>
      <c r="AH40" s="514"/>
      <c r="AI40" s="514"/>
      <c r="AJ40" s="514"/>
      <c r="AK40" s="514"/>
      <c r="AL40" s="514"/>
      <c r="AM40" s="514"/>
      <c r="AN40" s="514"/>
      <c r="AO40" s="66"/>
      <c r="AP40" s="126"/>
      <c r="AQ40" s="596"/>
      <c r="AR40" s="483"/>
    </row>
    <row r="41" spans="2:46" ht="15" customHeight="1" x14ac:dyDescent="0.25">
      <c r="B41" s="88"/>
      <c r="C41" s="485" t="s">
        <v>166</v>
      </c>
      <c r="D41" s="1131" t="s">
        <v>1153</v>
      </c>
      <c r="E41" s="22"/>
      <c r="F41" s="22"/>
      <c r="G41" s="22"/>
      <c r="H41" s="514"/>
      <c r="I41" s="514"/>
      <c r="J41" s="514"/>
      <c r="K41" s="514"/>
      <c r="L41" s="514"/>
      <c r="M41" s="514"/>
      <c r="N41" s="514"/>
      <c r="O41" s="514"/>
      <c r="P41" s="514"/>
      <c r="Q41" s="514"/>
      <c r="R41" s="514"/>
      <c r="S41" s="514"/>
      <c r="T41" s="514"/>
      <c r="U41" s="514"/>
      <c r="V41" s="514"/>
      <c r="W41" s="514"/>
      <c r="X41" s="514"/>
      <c r="Y41" s="514"/>
      <c r="Z41" s="514"/>
      <c r="AA41" s="514"/>
      <c r="AB41" s="514"/>
      <c r="AC41" s="514"/>
      <c r="AD41" s="514"/>
      <c r="AE41" s="514"/>
      <c r="AF41" s="514"/>
      <c r="AG41" s="514"/>
      <c r="AH41" s="514"/>
      <c r="AI41" s="514"/>
      <c r="AJ41" s="514"/>
      <c r="AK41" s="514"/>
      <c r="AL41" s="514">
        <v>85000</v>
      </c>
      <c r="AM41" s="514"/>
      <c r="AN41" s="514"/>
      <c r="AO41" s="66"/>
      <c r="AP41" s="126"/>
      <c r="AQ41" s="562">
        <v>42650</v>
      </c>
      <c r="AR41" s="562"/>
      <c r="AS41" s="562"/>
      <c r="AT41" s="483"/>
    </row>
    <row r="42" spans="2:46" ht="15" customHeight="1" x14ac:dyDescent="0.2">
      <c r="B42" s="521"/>
      <c r="C42" s="522"/>
      <c r="D42" s="523"/>
      <c r="E42" s="375"/>
      <c r="F42" s="524"/>
      <c r="G42" s="524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70"/>
      <c r="AP42" s="71"/>
    </row>
    <row r="43" spans="2:46" ht="15" customHeight="1" x14ac:dyDescent="0.2">
      <c r="B43" s="102"/>
      <c r="C43" s="87"/>
      <c r="D43" s="80"/>
      <c r="E43" s="374"/>
      <c r="F43" s="374"/>
      <c r="G43" s="374"/>
      <c r="H43" s="374"/>
      <c r="I43" s="374"/>
      <c r="J43" s="374"/>
      <c r="K43" s="374"/>
      <c r="L43" s="374"/>
      <c r="M43" s="374"/>
      <c r="N43" s="374"/>
      <c r="O43" s="374"/>
      <c r="P43" s="374"/>
      <c r="Q43" s="374"/>
      <c r="R43" s="374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  <c r="AN43" s="374"/>
      <c r="AO43" s="255"/>
      <c r="AP43" s="352"/>
    </row>
    <row r="44" spans="2:46" ht="15" customHeight="1" x14ac:dyDescent="0.25">
      <c r="B44" s="512" t="s">
        <v>70</v>
      </c>
      <c r="C44" s="525"/>
      <c r="D44" s="526"/>
      <c r="E44" s="513">
        <f>E46+E48</f>
        <v>0</v>
      </c>
      <c r="F44" s="513">
        <f>F46+F48</f>
        <v>0</v>
      </c>
      <c r="G44" s="513">
        <f>G46+G48</f>
        <v>0</v>
      </c>
      <c r="H44" s="513">
        <f>H46+H48</f>
        <v>0</v>
      </c>
      <c r="I44" s="513"/>
      <c r="J44" s="513"/>
      <c r="K44" s="513"/>
      <c r="L44" s="513">
        <f>L45</f>
        <v>0</v>
      </c>
      <c r="M44" s="513"/>
      <c r="N44" s="513">
        <f>N46+N47</f>
        <v>0</v>
      </c>
      <c r="O44" s="513">
        <f>O45</f>
        <v>0</v>
      </c>
      <c r="P44" s="513">
        <f>+P48</f>
        <v>0</v>
      </c>
      <c r="Q44" s="513">
        <f>+Q47+Q46+Q48</f>
        <v>0</v>
      </c>
      <c r="R44" s="513"/>
      <c r="S44" s="513"/>
      <c r="T44" s="513">
        <f>+T48+T46+T47</f>
        <v>0</v>
      </c>
      <c r="U44" s="513"/>
      <c r="V44" s="513"/>
      <c r="W44" s="513">
        <f>W48</f>
        <v>0</v>
      </c>
      <c r="X44" s="513">
        <f>X49</f>
        <v>0</v>
      </c>
      <c r="Y44" s="513">
        <f>+Y47</f>
        <v>0</v>
      </c>
      <c r="Z44" s="513">
        <f>+Z48+Z47</f>
        <v>0</v>
      </c>
      <c r="AA44" s="513">
        <f>AA49</f>
        <v>0</v>
      </c>
      <c r="AB44" s="513"/>
      <c r="AC44" s="513">
        <f>AC47</f>
        <v>0</v>
      </c>
      <c r="AD44" s="513">
        <f>AD50+AD51++AD52</f>
        <v>0</v>
      </c>
      <c r="AE44" s="513"/>
      <c r="AF44" s="513">
        <f>AF48+AF47</f>
        <v>0</v>
      </c>
      <c r="AG44" s="513">
        <f>AG48+AG50+AG51+AG52</f>
        <v>0</v>
      </c>
      <c r="AH44" s="513"/>
      <c r="AI44" s="513">
        <f>+AI52</f>
        <v>0</v>
      </c>
      <c r="AJ44" s="513">
        <f>AJ48+AJ50</f>
        <v>0</v>
      </c>
      <c r="AK44" s="513">
        <f>AK51</f>
        <v>0</v>
      </c>
      <c r="AL44" s="513">
        <f>AL47+AL51</f>
        <v>156070</v>
      </c>
      <c r="AM44" s="513">
        <f>AM48+AM50</f>
        <v>62696</v>
      </c>
      <c r="AN44" s="513"/>
      <c r="AO44" s="519">
        <f>H44+G44+F44+E44+L44+N44+O44+P44+Q44+R44+S44+T44+W44+X44+Y44+Z44+AA44+AC44+AD443+AD44+AF44+AG44+AI44+AJ44+AK44+AL44+AM44</f>
        <v>218766</v>
      </c>
      <c r="AP44" s="557">
        <f>F141</f>
        <v>100000</v>
      </c>
    </row>
    <row r="45" spans="2:46" x14ac:dyDescent="0.2">
      <c r="B45" s="88"/>
      <c r="C45" s="485"/>
      <c r="D45" s="558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66"/>
      <c r="AP45" s="126"/>
      <c r="AQ45" s="94"/>
      <c r="AR45" s="58"/>
    </row>
    <row r="46" spans="2:46" x14ac:dyDescent="0.2">
      <c r="B46" s="88"/>
      <c r="C46" s="482"/>
      <c r="D46" s="558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514"/>
      <c r="Q46" s="514"/>
      <c r="R46" s="514"/>
      <c r="S46" s="514"/>
      <c r="T46" s="514"/>
      <c r="U46" s="514"/>
      <c r="V46" s="514"/>
      <c r="W46" s="514"/>
      <c r="X46" s="514"/>
      <c r="Y46" s="514"/>
      <c r="Z46" s="514"/>
      <c r="AA46" s="514"/>
      <c r="AB46" s="514"/>
      <c r="AC46" s="514"/>
      <c r="AD46" s="514"/>
      <c r="AE46" s="514"/>
      <c r="AF46" s="514"/>
      <c r="AG46" s="514"/>
      <c r="AH46" s="514"/>
      <c r="AI46" s="514"/>
      <c r="AJ46" s="514"/>
      <c r="AK46" s="514"/>
      <c r="AL46" s="514"/>
      <c r="AM46" s="514"/>
      <c r="AN46" s="514"/>
      <c r="AO46" s="66"/>
      <c r="AP46" s="126"/>
      <c r="AQ46" s="94"/>
      <c r="AR46" s="483"/>
      <c r="AT46" s="42">
        <f>Q37+Q39+Q40+Q46+Q47+P48+Q59+Q69+Q70+Q71+Q72+Q73+Q74+Q75+Q76</f>
        <v>0</v>
      </c>
    </row>
    <row r="47" spans="2:46" x14ac:dyDescent="0.2">
      <c r="B47" s="88"/>
      <c r="C47" s="826" t="s">
        <v>352</v>
      </c>
      <c r="D47" s="850" t="s">
        <v>1377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>
        <v>27400</v>
      </c>
      <c r="AM47" s="22"/>
      <c r="AN47" s="22"/>
      <c r="AO47" s="66"/>
      <c r="AP47" s="126"/>
      <c r="AQ47" s="94">
        <v>42653</v>
      </c>
      <c r="AR47" s="483" t="s">
        <v>924</v>
      </c>
    </row>
    <row r="48" spans="2:46" ht="15" x14ac:dyDescent="0.25">
      <c r="B48" s="88"/>
      <c r="C48" s="1421" t="s">
        <v>192</v>
      </c>
      <c r="D48" s="1472" t="s">
        <v>1188</v>
      </c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4"/>
      <c r="P48" s="514"/>
      <c r="Q48" s="514"/>
      <c r="R48" s="514"/>
      <c r="S48" s="514"/>
      <c r="T48" s="514"/>
      <c r="U48" s="514"/>
      <c r="V48" s="514"/>
      <c r="W48" s="514"/>
      <c r="X48" s="514"/>
      <c r="Y48" s="514"/>
      <c r="Z48" s="514"/>
      <c r="AA48" s="514"/>
      <c r="AB48" s="514"/>
      <c r="AC48" s="514"/>
      <c r="AD48" s="514"/>
      <c r="AE48" s="514"/>
      <c r="AF48" s="514"/>
      <c r="AG48" s="514"/>
      <c r="AH48" s="514"/>
      <c r="AI48" s="514"/>
      <c r="AJ48" s="514"/>
      <c r="AK48" s="514"/>
      <c r="AL48" s="514"/>
      <c r="AM48" s="514">
        <v>25796</v>
      </c>
      <c r="AN48" s="514"/>
      <c r="AO48" s="66"/>
      <c r="AP48" s="126"/>
      <c r="AQ48" s="94">
        <v>42683</v>
      </c>
      <c r="AR48" s="483" t="s">
        <v>924</v>
      </c>
    </row>
    <row r="49" spans="2:45" ht="15" hidden="1" x14ac:dyDescent="0.25">
      <c r="B49" s="88"/>
      <c r="C49" s="982" t="s">
        <v>477</v>
      </c>
      <c r="D49" s="983" t="s">
        <v>954</v>
      </c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  <c r="W49" s="514"/>
      <c r="X49" s="514"/>
      <c r="Y49" s="514"/>
      <c r="Z49" s="514"/>
      <c r="AA49" s="514"/>
      <c r="AB49" s="514"/>
      <c r="AC49" s="514"/>
      <c r="AD49" s="514"/>
      <c r="AE49" s="514"/>
      <c r="AF49" s="514"/>
      <c r="AG49" s="514"/>
      <c r="AH49" s="514"/>
      <c r="AI49" s="514"/>
      <c r="AJ49" s="514"/>
      <c r="AK49" s="514"/>
      <c r="AL49" s="514"/>
      <c r="AM49" s="514"/>
      <c r="AN49" s="514"/>
      <c r="AO49" s="66"/>
      <c r="AP49" s="126"/>
      <c r="AQ49" s="94">
        <v>42242</v>
      </c>
      <c r="AR49" s="569">
        <v>42334</v>
      </c>
    </row>
    <row r="50" spans="2:45" ht="15" x14ac:dyDescent="0.25">
      <c r="B50" s="88"/>
      <c r="C50" s="1182" t="s">
        <v>192</v>
      </c>
      <c r="D50" s="1472" t="s">
        <v>1186</v>
      </c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514"/>
      <c r="T50" s="514"/>
      <c r="U50" s="514"/>
      <c r="V50" s="514"/>
      <c r="W50" s="514"/>
      <c r="X50" s="514"/>
      <c r="Y50" s="514"/>
      <c r="Z50" s="514"/>
      <c r="AA50" s="514"/>
      <c r="AB50" s="514"/>
      <c r="AC50" s="514"/>
      <c r="AD50" s="514"/>
      <c r="AE50" s="514"/>
      <c r="AF50" s="514"/>
      <c r="AG50" s="514"/>
      <c r="AH50" s="514"/>
      <c r="AI50" s="514"/>
      <c r="AJ50" s="514"/>
      <c r="AK50" s="514"/>
      <c r="AL50" s="514"/>
      <c r="AM50" s="514">
        <v>36900</v>
      </c>
      <c r="AN50" s="514"/>
      <c r="AO50" s="66"/>
      <c r="AP50" s="126"/>
      <c r="AQ50" s="94">
        <v>42697</v>
      </c>
      <c r="AR50" s="569" t="s">
        <v>924</v>
      </c>
    </row>
    <row r="51" spans="2:45" ht="15" x14ac:dyDescent="0.25">
      <c r="B51" s="88"/>
      <c r="C51" s="1590" t="s">
        <v>166</v>
      </c>
      <c r="D51" s="1472" t="s">
        <v>1362</v>
      </c>
      <c r="E51" s="514"/>
      <c r="F51" s="514"/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4"/>
      <c r="T51" s="514"/>
      <c r="U51" s="514"/>
      <c r="V51" s="514"/>
      <c r="W51" s="514"/>
      <c r="X51" s="514"/>
      <c r="Y51" s="514"/>
      <c r="Z51" s="514"/>
      <c r="AA51" s="514"/>
      <c r="AB51" s="514"/>
      <c r="AC51" s="514"/>
      <c r="AD51" s="514"/>
      <c r="AE51" s="514"/>
      <c r="AF51" s="514"/>
      <c r="AG51" s="514"/>
      <c r="AH51" s="514"/>
      <c r="AI51" s="514"/>
      <c r="AJ51" s="514"/>
      <c r="AK51" s="514"/>
      <c r="AL51" s="514">
        <v>128670</v>
      </c>
      <c r="AM51" s="514"/>
      <c r="AN51" s="514"/>
      <c r="AO51" s="66"/>
      <c r="AP51" s="126"/>
      <c r="AQ51" s="94">
        <v>42669</v>
      </c>
      <c r="AR51" s="569"/>
    </row>
    <row r="52" spans="2:45" ht="15" x14ac:dyDescent="0.25">
      <c r="B52" s="88"/>
      <c r="C52" s="1499"/>
      <c r="D52" s="1500"/>
      <c r="E52" s="514"/>
      <c r="F52" s="514"/>
      <c r="G52" s="514"/>
      <c r="H52" s="514"/>
      <c r="I52" s="514"/>
      <c r="J52" s="514"/>
      <c r="K52" s="514"/>
      <c r="L52" s="514"/>
      <c r="M52" s="514"/>
      <c r="N52" s="514"/>
      <c r="O52" s="514"/>
      <c r="P52" s="514"/>
      <c r="Q52" s="514"/>
      <c r="R52" s="514"/>
      <c r="S52" s="514"/>
      <c r="T52" s="514"/>
      <c r="U52" s="514"/>
      <c r="V52" s="514"/>
      <c r="W52" s="514"/>
      <c r="X52" s="514"/>
      <c r="Y52" s="514"/>
      <c r="Z52" s="514"/>
      <c r="AA52" s="514"/>
      <c r="AB52" s="514"/>
      <c r="AC52" s="514"/>
      <c r="AD52" s="514"/>
      <c r="AE52" s="514"/>
      <c r="AF52" s="514"/>
      <c r="AG52" s="514"/>
      <c r="AH52" s="514"/>
      <c r="AI52" s="514"/>
      <c r="AJ52" s="514"/>
      <c r="AK52" s="514"/>
      <c r="AL52" s="514"/>
      <c r="AM52" s="514"/>
      <c r="AN52" s="514"/>
      <c r="AO52" s="66"/>
      <c r="AP52" s="126"/>
      <c r="AQ52" s="94"/>
      <c r="AR52" s="569"/>
    </row>
    <row r="53" spans="2:45" x14ac:dyDescent="0.2">
      <c r="B53" s="527"/>
      <c r="C53" s="528"/>
      <c r="D53" s="529"/>
      <c r="E53" s="524"/>
      <c r="F53" s="524"/>
      <c r="G53" s="524"/>
      <c r="H53" s="524"/>
      <c r="I53" s="524"/>
      <c r="J53" s="524"/>
      <c r="K53" s="524"/>
      <c r="L53" s="524"/>
      <c r="M53" s="524"/>
      <c r="N53" s="524"/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/>
      <c r="AA53" s="524"/>
      <c r="AB53" s="524"/>
      <c r="AC53" s="524"/>
      <c r="AD53" s="524"/>
      <c r="AE53" s="524"/>
      <c r="AF53" s="524"/>
      <c r="AG53" s="524"/>
      <c r="AH53" s="524"/>
      <c r="AI53" s="524"/>
      <c r="AJ53" s="524"/>
      <c r="AK53" s="524"/>
      <c r="AL53" s="524"/>
      <c r="AM53" s="524"/>
      <c r="AN53" s="524"/>
      <c r="AO53" s="70"/>
      <c r="AP53" s="71"/>
    </row>
    <row r="54" spans="2:45" x14ac:dyDescent="0.2">
      <c r="B54" s="530"/>
      <c r="C54" s="531"/>
      <c r="D54" s="532"/>
      <c r="E54" s="374"/>
      <c r="F54" s="533"/>
      <c r="G54" s="533"/>
      <c r="H54" s="374"/>
      <c r="I54" s="374"/>
      <c r="J54" s="374"/>
      <c r="K54" s="374"/>
      <c r="L54" s="374"/>
      <c r="M54" s="374"/>
      <c r="N54" s="374"/>
      <c r="O54" s="374"/>
      <c r="P54" s="374"/>
      <c r="Q54" s="374"/>
      <c r="R54" s="374"/>
      <c r="S54" s="374"/>
      <c r="T54" s="374"/>
      <c r="U54" s="374"/>
      <c r="V54" s="374"/>
      <c r="W54" s="374"/>
      <c r="X54" s="374"/>
      <c r="Y54" s="374"/>
      <c r="Z54" s="374"/>
      <c r="AA54" s="37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374"/>
      <c r="AO54" s="255"/>
      <c r="AP54" s="352"/>
    </row>
    <row r="55" spans="2:45" ht="15" x14ac:dyDescent="0.25">
      <c r="B55" s="512" t="s">
        <v>72</v>
      </c>
      <c r="C55" s="525"/>
      <c r="D55" s="526"/>
      <c r="E55" s="513">
        <f>E57</f>
        <v>0</v>
      </c>
      <c r="F55" s="513"/>
      <c r="G55" s="513"/>
      <c r="H55" s="513"/>
      <c r="I55" s="513"/>
      <c r="J55" s="513"/>
      <c r="K55" s="513">
        <f>K56+K57</f>
        <v>0</v>
      </c>
      <c r="L55" s="513">
        <f>L56</f>
        <v>0</v>
      </c>
      <c r="M55" s="513">
        <f>M57</f>
        <v>0</v>
      </c>
      <c r="N55" s="513">
        <f>N57</f>
        <v>0</v>
      </c>
      <c r="O55" s="513">
        <f>O56+O58+O57</f>
        <v>0</v>
      </c>
      <c r="P55" s="513">
        <f>P57</f>
        <v>0</v>
      </c>
      <c r="Q55" s="513">
        <f>Q59</f>
        <v>0</v>
      </c>
      <c r="R55" s="513">
        <f>R59</f>
        <v>0</v>
      </c>
      <c r="S55" s="513">
        <f>S59</f>
        <v>0</v>
      </c>
      <c r="T55" s="513">
        <f>T58+T59</f>
        <v>0</v>
      </c>
      <c r="U55" s="513">
        <f>U58</f>
        <v>0</v>
      </c>
      <c r="V55" s="513">
        <f>V58</f>
        <v>0</v>
      </c>
      <c r="W55" s="513">
        <f>+W58</f>
        <v>0</v>
      </c>
      <c r="X55" s="513">
        <f>X58</f>
        <v>0</v>
      </c>
      <c r="Y55" s="513">
        <f>Y57</f>
        <v>0</v>
      </c>
      <c r="Z55" s="513"/>
      <c r="AA55" s="513">
        <f>AA57</f>
        <v>0</v>
      </c>
      <c r="AB55" s="513"/>
      <c r="AC55" s="513"/>
      <c r="AD55" s="513">
        <f>+AD57</f>
        <v>0</v>
      </c>
      <c r="AE55" s="513">
        <f>+AE58+AE57</f>
        <v>0</v>
      </c>
      <c r="AF55" s="513"/>
      <c r="AG55" s="513"/>
      <c r="AH55" s="513">
        <f>AH57+AH58</f>
        <v>0</v>
      </c>
      <c r="AI55" s="513"/>
      <c r="AJ55" s="513"/>
      <c r="AK55" s="513">
        <f>+AK57+AK58</f>
        <v>96869</v>
      </c>
      <c r="AL55" s="513"/>
      <c r="AM55" s="513"/>
      <c r="AN55" s="513"/>
      <c r="AO55" s="519">
        <f>H55+G55+F55+E55+I55+J55+K55+L55+M55+N55+O55+P55+Q55+R55+S55+T55+AO59+W55+U55+V55+Y55+X55+AA55+AD55+AE55+AH55+AK55</f>
        <v>96869</v>
      </c>
      <c r="AP55" s="557">
        <f>F147</f>
        <v>100000</v>
      </c>
    </row>
    <row r="56" spans="2:45" s="58" customFormat="1" x14ac:dyDescent="0.2">
      <c r="B56" s="632"/>
      <c r="C56" s="485"/>
      <c r="D56" s="654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124"/>
      <c r="AP56" s="633"/>
      <c r="AQ56" s="596"/>
    </row>
    <row r="57" spans="2:45" x14ac:dyDescent="0.2">
      <c r="B57" s="534"/>
      <c r="C57" s="482" t="s">
        <v>836</v>
      </c>
      <c r="D57" s="654" t="s">
        <v>1067</v>
      </c>
      <c r="E57" s="514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>
        <v>71869</v>
      </c>
      <c r="AL57" s="22"/>
      <c r="AM57" s="22"/>
      <c r="AN57" s="22"/>
      <c r="AO57" s="66"/>
      <c r="AP57" s="126"/>
      <c r="AQ57" s="569">
        <v>42615</v>
      </c>
      <c r="AR57" s="483"/>
      <c r="AS57" s="483"/>
    </row>
    <row r="58" spans="2:45" x14ac:dyDescent="0.2">
      <c r="B58" s="534"/>
      <c r="C58" s="485" t="s">
        <v>324</v>
      </c>
      <c r="D58" s="558" t="s">
        <v>1014</v>
      </c>
      <c r="E58" s="514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>
        <v>25000</v>
      </c>
      <c r="AL58" s="22"/>
      <c r="AM58" s="22"/>
      <c r="AN58" s="22"/>
      <c r="AO58" s="66"/>
      <c r="AP58" s="126"/>
      <c r="AQ58" s="94">
        <v>42627</v>
      </c>
      <c r="AR58" s="569"/>
    </row>
    <row r="59" spans="2:45" x14ac:dyDescent="0.2">
      <c r="B59" s="534"/>
      <c r="C59" s="485"/>
      <c r="D59" s="558"/>
      <c r="E59" s="514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514"/>
      <c r="AP59" s="126"/>
      <c r="AQ59" s="94"/>
    </row>
    <row r="60" spans="2:45" x14ac:dyDescent="0.2">
      <c r="B60" s="527"/>
      <c r="C60" s="528"/>
      <c r="D60" s="529"/>
      <c r="E60" s="524"/>
      <c r="F60" s="375"/>
      <c r="G60" s="375"/>
      <c r="H60" s="375"/>
      <c r="I60" s="375"/>
      <c r="J60" s="375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375"/>
      <c r="V60" s="375"/>
      <c r="W60" s="375"/>
      <c r="X60" s="375"/>
      <c r="Y60" s="375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70"/>
      <c r="AP60" s="71"/>
    </row>
    <row r="61" spans="2:45" x14ac:dyDescent="0.2">
      <c r="B61" s="88"/>
      <c r="C61" s="6"/>
      <c r="D61" s="81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55"/>
      <c r="AP61" s="352"/>
    </row>
    <row r="62" spans="2:45" ht="15" x14ac:dyDescent="0.25">
      <c r="B62" s="512" t="s">
        <v>691</v>
      </c>
      <c r="C62" s="525"/>
      <c r="D62" s="526"/>
      <c r="E62" s="513">
        <f>E64+E66+E68</f>
        <v>0</v>
      </c>
      <c r="F62" s="513">
        <f>F64+F66+F68</f>
        <v>0</v>
      </c>
      <c r="G62" s="513">
        <f>G64+G66+G68</f>
        <v>0</v>
      </c>
      <c r="H62" s="513">
        <f>H64+H66+H68</f>
        <v>0</v>
      </c>
      <c r="I62" s="513">
        <f>I64+I66+I68</f>
        <v>0</v>
      </c>
      <c r="J62" s="513">
        <f>J64+J66</f>
        <v>0</v>
      </c>
      <c r="K62" s="513">
        <f>K65</f>
        <v>0</v>
      </c>
      <c r="L62" s="513">
        <f>L64+L66</f>
        <v>0</v>
      </c>
      <c r="M62" s="513">
        <f>M68+M67+M64</f>
        <v>0</v>
      </c>
      <c r="N62" s="513">
        <f>+N65+N64</f>
        <v>0</v>
      </c>
      <c r="O62" s="513">
        <f>+O66+O68+O64+O65</f>
        <v>0</v>
      </c>
      <c r="P62" s="513">
        <f>P67+P66</f>
        <v>0</v>
      </c>
      <c r="Q62" s="513">
        <f>Q69+Q70+Q71+Q72+Q73+Q74+Q76+Q75+Q66</f>
        <v>0</v>
      </c>
      <c r="R62" s="513" t="e">
        <f>#REF!</f>
        <v>#REF!</v>
      </c>
      <c r="S62" s="513">
        <f>S77+S78+S66+S67+S68</f>
        <v>0</v>
      </c>
      <c r="T62" s="513">
        <f>T79</f>
        <v>0</v>
      </c>
      <c r="U62" s="513" t="e">
        <f>U81+U80+#REF!+U79</f>
        <v>#REF!</v>
      </c>
      <c r="V62" s="513">
        <f>+V77+V68+V78</f>
        <v>0</v>
      </c>
      <c r="W62" s="513"/>
      <c r="X62" s="513">
        <f>X80+X82+X81+X79+X77</f>
        <v>0</v>
      </c>
      <c r="Y62" s="513">
        <f>+Y77+Y78+Y76+Y75+Y74</f>
        <v>0</v>
      </c>
      <c r="Z62" s="513">
        <f>Z75</f>
        <v>0</v>
      </c>
      <c r="AA62" s="513">
        <f>+AA80+AA82+AA79+AA77+AA83+AA75</f>
        <v>0</v>
      </c>
      <c r="AB62" s="513">
        <f>+AB74+AB75+AB76+AB72+AB83</f>
        <v>0</v>
      </c>
      <c r="AC62" s="513">
        <f>AC73+AC74+AC76+AC83+AC82</f>
        <v>0</v>
      </c>
      <c r="AD62" s="513">
        <f>AD82</f>
        <v>0</v>
      </c>
      <c r="AE62" s="513">
        <f>+AE72+AE83+AE74+AE84</f>
        <v>0</v>
      </c>
      <c r="AF62" s="513">
        <f>AF71</f>
        <v>0</v>
      </c>
      <c r="AG62" s="513">
        <f>AG85+AG72</f>
        <v>0</v>
      </c>
      <c r="AH62" s="513">
        <f>AH72+AH83+AH85</f>
        <v>0</v>
      </c>
      <c r="AI62" s="513">
        <f>+AI70+AI71</f>
        <v>0</v>
      </c>
      <c r="AJ62" s="513">
        <f>AJ69+AJ82</f>
        <v>0</v>
      </c>
      <c r="AK62" s="513">
        <f>AK72+AK74+AK85</f>
        <v>69809</v>
      </c>
      <c r="AL62" s="513">
        <f>+AL70+AL83+AL71+AL68</f>
        <v>193195</v>
      </c>
      <c r="AM62" s="513">
        <f>AM69+AM82</f>
        <v>100120</v>
      </c>
      <c r="AN62" s="513">
        <f>+AN72</f>
        <v>45679</v>
      </c>
      <c r="AO62" s="519">
        <f>X62+Y62+AA62+AB62+AC62+Z62+AD62+AE62+AF62+AG62+AH62+AI62+AJ62+AK62+AL62+AM62+AN62</f>
        <v>408803</v>
      </c>
      <c r="AP62" s="557">
        <f>F155</f>
        <v>200000</v>
      </c>
    </row>
    <row r="63" spans="2:45" x14ac:dyDescent="0.2">
      <c r="B63" s="88"/>
      <c r="C63" s="6"/>
      <c r="D63" s="81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66"/>
      <c r="AP63" s="126"/>
    </row>
    <row r="64" spans="2:45" x14ac:dyDescent="0.2">
      <c r="B64" s="534"/>
      <c r="C64" s="535"/>
      <c r="D64" s="536"/>
      <c r="E64" s="22"/>
      <c r="F64" s="22"/>
      <c r="G64" s="514"/>
      <c r="H64" s="514"/>
      <c r="I64" s="514"/>
      <c r="J64" s="514"/>
      <c r="L64" s="514"/>
      <c r="M64" s="514"/>
      <c r="N64" s="514"/>
      <c r="O64" s="514"/>
      <c r="P64" s="514"/>
      <c r="Q64" s="514"/>
      <c r="R64" s="514"/>
      <c r="S64" s="514"/>
      <c r="T64" s="514"/>
      <c r="U64" s="514"/>
      <c r="V64" s="514"/>
      <c r="W64" s="514"/>
      <c r="X64" s="514"/>
      <c r="Y64" s="514"/>
      <c r="Z64" s="514"/>
      <c r="AA64" s="514"/>
      <c r="AB64" s="514"/>
      <c r="AC64" s="514"/>
      <c r="AD64" s="514"/>
      <c r="AE64" s="514"/>
      <c r="AF64" s="514"/>
      <c r="AG64" s="514"/>
      <c r="AH64" s="514"/>
      <c r="AI64" s="514"/>
      <c r="AJ64" s="514"/>
      <c r="AK64" s="514"/>
      <c r="AL64" s="514"/>
      <c r="AM64" s="514"/>
      <c r="AN64" s="514"/>
      <c r="AO64" s="66"/>
      <c r="AP64" s="126"/>
      <c r="AQ64" s="94"/>
    </row>
    <row r="65" spans="2:47" x14ac:dyDescent="0.2">
      <c r="B65" s="88"/>
      <c r="C65" s="6"/>
      <c r="D65" s="81"/>
      <c r="E65" s="22"/>
      <c r="F65" s="22"/>
      <c r="G65" s="22"/>
      <c r="H65" s="22"/>
      <c r="I65" s="22"/>
      <c r="J65" s="22"/>
      <c r="K65" s="22"/>
      <c r="L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66"/>
      <c r="AP65" s="126"/>
      <c r="AQ65" s="94"/>
    </row>
    <row r="66" spans="2:47" x14ac:dyDescent="0.2">
      <c r="B66" s="534"/>
      <c r="C66" s="482"/>
      <c r="D66" s="558"/>
      <c r="E66" s="514"/>
      <c r="F66" s="514"/>
      <c r="G66" s="514"/>
      <c r="H66" s="514"/>
      <c r="I66" s="514"/>
      <c r="J66" s="514"/>
      <c r="L66" s="514"/>
      <c r="N66" s="514"/>
      <c r="O66" s="514"/>
      <c r="P66" s="514"/>
      <c r="Q66" s="514"/>
      <c r="R66" s="514"/>
      <c r="S66" s="514"/>
      <c r="T66" s="514"/>
      <c r="U66" s="514"/>
      <c r="V66" s="514"/>
      <c r="W66" s="514"/>
      <c r="X66" s="514"/>
      <c r="Y66" s="514"/>
      <c r="Z66" s="514"/>
      <c r="AA66" s="514"/>
      <c r="AB66" s="514"/>
      <c r="AC66" s="514"/>
      <c r="AD66" s="514"/>
      <c r="AE66" s="514"/>
      <c r="AF66" s="514"/>
      <c r="AG66" s="514"/>
      <c r="AH66" s="514"/>
      <c r="AI66" s="514"/>
      <c r="AJ66" s="514"/>
      <c r="AK66" s="514"/>
      <c r="AL66" s="514"/>
      <c r="AM66" s="514"/>
      <c r="AN66" s="514"/>
      <c r="AO66" s="66"/>
      <c r="AP66" s="126"/>
      <c r="AQ66" s="569"/>
    </row>
    <row r="67" spans="2:47" x14ac:dyDescent="0.2">
      <c r="B67" s="88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66"/>
      <c r="AP67" s="126"/>
      <c r="AQ67" s="94"/>
    </row>
    <row r="68" spans="2:47" x14ac:dyDescent="0.2">
      <c r="B68" s="534"/>
      <c r="C68" s="610"/>
      <c r="D68" s="558"/>
      <c r="E68" s="22"/>
      <c r="F68" s="514"/>
      <c r="G68" s="514"/>
      <c r="H68" s="514"/>
      <c r="I68" s="514"/>
      <c r="J68" s="514"/>
      <c r="K68" s="514"/>
      <c r="L68" s="514"/>
      <c r="M68" s="514"/>
      <c r="N68" s="514"/>
      <c r="O68" s="514"/>
      <c r="P68" s="514"/>
      <c r="Q68" s="514"/>
      <c r="R68" s="514"/>
      <c r="S68" s="514"/>
      <c r="T68" s="514"/>
      <c r="U68" s="514"/>
      <c r="V68" s="514"/>
      <c r="W68" s="514"/>
      <c r="X68" s="514"/>
      <c r="Y68" s="514"/>
      <c r="Z68" s="514"/>
      <c r="AA68" s="514"/>
      <c r="AB68" s="514"/>
      <c r="AC68" s="514"/>
      <c r="AD68" s="514"/>
      <c r="AE68" s="514"/>
      <c r="AF68" s="514"/>
      <c r="AG68" s="514"/>
      <c r="AH68" s="514"/>
      <c r="AI68" s="514"/>
      <c r="AJ68" s="514"/>
      <c r="AK68" s="514"/>
      <c r="AL68" s="514"/>
      <c r="AM68" s="514"/>
      <c r="AN68" s="514"/>
      <c r="AO68" s="66"/>
      <c r="AP68" s="126"/>
      <c r="AQ68" s="793"/>
      <c r="AR68" s="569"/>
    </row>
    <row r="69" spans="2:47" x14ac:dyDescent="0.2">
      <c r="B69" s="534"/>
      <c r="C69" s="485" t="s">
        <v>338</v>
      </c>
      <c r="D69" s="558" t="s">
        <v>1285</v>
      </c>
      <c r="E69" s="22"/>
      <c r="F69" s="514"/>
      <c r="G69" s="514"/>
      <c r="H69" s="514"/>
      <c r="I69" s="514"/>
      <c r="J69" s="514"/>
      <c r="K69" s="514"/>
      <c r="L69" s="514"/>
      <c r="M69" s="514"/>
      <c r="N69" s="514"/>
      <c r="O69" s="514"/>
      <c r="P69" s="514"/>
      <c r="Q69" s="514"/>
      <c r="R69" s="514"/>
      <c r="S69" s="514"/>
      <c r="T69" s="514"/>
      <c r="U69" s="514"/>
      <c r="V69" s="514"/>
      <c r="W69" s="514"/>
      <c r="X69" s="514"/>
      <c r="Y69" s="514"/>
      <c r="Z69" s="514"/>
      <c r="AA69" s="514"/>
      <c r="AB69" s="514"/>
      <c r="AC69" s="514"/>
      <c r="AD69" s="514"/>
      <c r="AE69" s="514"/>
      <c r="AF69" s="514"/>
      <c r="AG69" s="514"/>
      <c r="AH69" s="514"/>
      <c r="AI69" s="514"/>
      <c r="AJ69" s="514"/>
      <c r="AK69" s="514"/>
      <c r="AL69" s="514"/>
      <c r="AM69" s="514">
        <v>41470</v>
      </c>
      <c r="AN69" s="514"/>
      <c r="AO69" s="66"/>
      <c r="AP69" s="126"/>
      <c r="AQ69" s="562">
        <v>42682</v>
      </c>
      <c r="AR69" s="483"/>
    </row>
    <row r="70" spans="2:47" x14ac:dyDescent="0.2">
      <c r="B70" s="534"/>
      <c r="C70" s="485" t="s">
        <v>712</v>
      </c>
      <c r="D70" s="558" t="s">
        <v>1310</v>
      </c>
      <c r="E70" s="22"/>
      <c r="F70" s="514"/>
      <c r="G70" s="514"/>
      <c r="H70" s="514"/>
      <c r="I70" s="514"/>
      <c r="J70" s="514"/>
      <c r="K70" s="514"/>
      <c r="L70" s="514"/>
      <c r="M70" s="514"/>
      <c r="N70" s="514"/>
      <c r="O70" s="514"/>
      <c r="P70" s="514"/>
      <c r="Q70" s="514"/>
      <c r="R70" s="514"/>
      <c r="S70" s="514"/>
      <c r="T70" s="514"/>
      <c r="U70" s="514"/>
      <c r="V70" s="514"/>
      <c r="W70" s="514"/>
      <c r="X70" s="514"/>
      <c r="Y70" s="514"/>
      <c r="Z70" s="514"/>
      <c r="AA70" s="514"/>
      <c r="AB70" s="514"/>
      <c r="AC70" s="514"/>
      <c r="AD70" s="514"/>
      <c r="AE70" s="514"/>
      <c r="AF70" s="514"/>
      <c r="AG70" s="514"/>
      <c r="AH70" s="514"/>
      <c r="AI70" s="514"/>
      <c r="AJ70" s="514"/>
      <c r="AK70" s="514"/>
      <c r="AL70" s="514">
        <v>63785</v>
      </c>
      <c r="AM70" s="514"/>
      <c r="AN70" s="514"/>
      <c r="AO70" s="66"/>
      <c r="AP70" s="126"/>
      <c r="AQ70" s="562">
        <v>42649</v>
      </c>
      <c r="AR70" s="483"/>
    </row>
    <row r="71" spans="2:47" x14ac:dyDescent="0.2">
      <c r="B71" s="534"/>
      <c r="C71" s="485" t="s">
        <v>166</v>
      </c>
      <c r="D71" s="558" t="s">
        <v>1276</v>
      </c>
      <c r="E71" s="22"/>
      <c r="F71" s="514"/>
      <c r="G71" s="514"/>
      <c r="H71" s="514"/>
      <c r="I71" s="514"/>
      <c r="J71" s="514"/>
      <c r="K71" s="514"/>
      <c r="L71" s="514"/>
      <c r="M71" s="514"/>
      <c r="N71" s="514"/>
      <c r="O71" s="514"/>
      <c r="P71" s="514"/>
      <c r="Q71" s="514"/>
      <c r="R71" s="514"/>
      <c r="S71" s="514"/>
      <c r="T71" s="514"/>
      <c r="U71" s="514"/>
      <c r="V71" s="514"/>
      <c r="W71" s="514"/>
      <c r="X71" s="514"/>
      <c r="Y71" s="514"/>
      <c r="Z71" s="514"/>
      <c r="AA71" s="514"/>
      <c r="AB71" s="514"/>
      <c r="AC71" s="514"/>
      <c r="AD71" s="514"/>
      <c r="AE71" s="514"/>
      <c r="AF71" s="514"/>
      <c r="AG71" s="514"/>
      <c r="AH71" s="514"/>
      <c r="AI71" s="514"/>
      <c r="AJ71" s="514"/>
      <c r="AK71" s="514"/>
      <c r="AL71" s="514">
        <v>113710</v>
      </c>
      <c r="AM71" s="514"/>
      <c r="AN71" s="514"/>
      <c r="AO71" s="66"/>
      <c r="AP71" s="126"/>
      <c r="AQ71" s="562">
        <v>42668</v>
      </c>
      <c r="AR71" s="575"/>
    </row>
    <row r="72" spans="2:47" x14ac:dyDescent="0.2">
      <c r="B72" s="534"/>
      <c r="C72" s="485" t="s">
        <v>142</v>
      </c>
      <c r="D72" s="850" t="s">
        <v>1344</v>
      </c>
      <c r="E72" s="22"/>
      <c r="F72" s="514"/>
      <c r="G72" s="514"/>
      <c r="H72" s="514"/>
      <c r="I72" s="514"/>
      <c r="J72" s="514"/>
      <c r="K72" s="514"/>
      <c r="L72" s="514"/>
      <c r="M72" s="514"/>
      <c r="N72" s="514"/>
      <c r="O72" s="514"/>
      <c r="P72" s="514"/>
      <c r="Q72" s="514"/>
      <c r="R72" s="514"/>
      <c r="S72" s="514"/>
      <c r="T72" s="514"/>
      <c r="U72" s="514"/>
      <c r="V72" s="514"/>
      <c r="W72" s="514"/>
      <c r="X72" s="514"/>
      <c r="Y72" s="514"/>
      <c r="Z72" s="514"/>
      <c r="AA72" s="514"/>
      <c r="AB72" s="514"/>
      <c r="AC72" s="514"/>
      <c r="AD72" s="514"/>
      <c r="AE72" s="514"/>
      <c r="AF72" s="514"/>
      <c r="AG72" s="514"/>
      <c r="AH72" s="514"/>
      <c r="AI72" s="514"/>
      <c r="AJ72" s="514"/>
      <c r="AK72" s="514"/>
      <c r="AL72" s="514"/>
      <c r="AM72" s="514"/>
      <c r="AN72" s="514">
        <v>45679</v>
      </c>
      <c r="AO72" s="66"/>
      <c r="AP72" s="126"/>
      <c r="AQ72" s="578">
        <v>42709</v>
      </c>
      <c r="AR72" s="483" t="s">
        <v>924</v>
      </c>
      <c r="AS72" s="483"/>
    </row>
    <row r="73" spans="2:47" hidden="1" x14ac:dyDescent="0.2">
      <c r="B73" s="786"/>
      <c r="C73" s="485" t="s">
        <v>1148</v>
      </c>
      <c r="D73" s="790" t="s">
        <v>1149</v>
      </c>
      <c r="E73" s="22"/>
      <c r="F73" s="514"/>
      <c r="G73" s="514"/>
      <c r="H73" s="514"/>
      <c r="I73" s="514"/>
      <c r="J73" s="514"/>
      <c r="K73" s="514"/>
      <c r="L73" s="514"/>
      <c r="M73" s="514"/>
      <c r="N73" s="514"/>
      <c r="O73" s="514"/>
      <c r="P73" s="514"/>
      <c r="Q73" s="514"/>
      <c r="R73" s="514"/>
      <c r="S73" s="514"/>
      <c r="T73" s="514"/>
      <c r="U73" s="514"/>
      <c r="V73" s="514"/>
      <c r="W73" s="514"/>
      <c r="X73" s="514"/>
      <c r="Y73" s="514"/>
      <c r="Z73" s="514"/>
      <c r="AA73" s="514"/>
      <c r="AB73" s="514"/>
      <c r="AC73" s="514"/>
      <c r="AD73" s="514"/>
      <c r="AE73" s="514"/>
      <c r="AF73" s="514"/>
      <c r="AG73" s="514"/>
      <c r="AH73" s="514"/>
      <c r="AI73" s="514"/>
      <c r="AJ73" s="514"/>
      <c r="AK73" s="514"/>
      <c r="AL73" s="514"/>
      <c r="AM73" s="514"/>
      <c r="AN73" s="514"/>
      <c r="AO73" s="66"/>
      <c r="AP73" s="126"/>
      <c r="AQ73" s="562">
        <v>42373</v>
      </c>
      <c r="AR73" s="575"/>
    </row>
    <row r="74" spans="2:47" x14ac:dyDescent="0.2">
      <c r="B74" s="534"/>
      <c r="C74" s="485" t="s">
        <v>69</v>
      </c>
      <c r="D74" s="850" t="s">
        <v>1345</v>
      </c>
      <c r="E74" s="22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  <c r="V74" s="514"/>
      <c r="W74" s="514"/>
      <c r="X74" s="514"/>
      <c r="Y74" s="514"/>
      <c r="Z74" s="514"/>
      <c r="AA74" s="514"/>
      <c r="AB74" s="514"/>
      <c r="AC74" s="514"/>
      <c r="AD74" s="514"/>
      <c r="AE74" s="514"/>
      <c r="AF74" s="514"/>
      <c r="AG74" s="514"/>
      <c r="AH74" s="514"/>
      <c r="AI74" s="514"/>
      <c r="AJ74" s="514"/>
      <c r="AK74" s="514">
        <v>26438</v>
      </c>
      <c r="AL74" s="514"/>
      <c r="AM74" s="514"/>
      <c r="AN74" s="514"/>
      <c r="AO74" s="66"/>
      <c r="AP74" s="126"/>
      <c r="AQ74" s="569">
        <v>42627</v>
      </c>
      <c r="AR74" s="483"/>
      <c r="AS74" s="569"/>
    </row>
    <row r="75" spans="2:47" hidden="1" x14ac:dyDescent="0.2">
      <c r="B75" s="534"/>
      <c r="C75" s="485" t="s">
        <v>748</v>
      </c>
      <c r="D75" s="558" t="s">
        <v>1025</v>
      </c>
      <c r="E75" s="22"/>
      <c r="F75" s="514"/>
      <c r="G75" s="514"/>
      <c r="H75" s="514"/>
      <c r="I75" s="514"/>
      <c r="J75" s="514"/>
      <c r="K75" s="514"/>
      <c r="L75" s="514"/>
      <c r="M75" s="514"/>
      <c r="N75" s="514"/>
      <c r="O75" s="514"/>
      <c r="P75" s="514"/>
      <c r="Q75" s="514"/>
      <c r="R75" s="514"/>
      <c r="S75" s="514"/>
      <c r="T75" s="514"/>
      <c r="U75" s="514"/>
      <c r="V75" s="514"/>
      <c r="W75" s="514"/>
      <c r="X75" s="514"/>
      <c r="Y75" s="514"/>
      <c r="Z75" s="514"/>
      <c r="AA75" s="514"/>
      <c r="AB75" s="514"/>
      <c r="AC75" s="514"/>
      <c r="AD75" s="514"/>
      <c r="AE75" s="514"/>
      <c r="AF75" s="514"/>
      <c r="AG75" s="514"/>
      <c r="AH75" s="514"/>
      <c r="AI75" s="514"/>
      <c r="AJ75" s="514"/>
      <c r="AK75" s="514"/>
      <c r="AL75" s="514"/>
      <c r="AM75" s="514"/>
      <c r="AN75" s="514"/>
      <c r="AO75" s="66"/>
      <c r="AP75" s="126"/>
      <c r="AQ75" s="562">
        <v>42269</v>
      </c>
      <c r="AR75" s="569">
        <v>42299</v>
      </c>
      <c r="AS75" s="94">
        <v>42359</v>
      </c>
    </row>
    <row r="76" spans="2:47" hidden="1" x14ac:dyDescent="0.2">
      <c r="B76" s="534"/>
      <c r="C76" s="485" t="s">
        <v>173</v>
      </c>
      <c r="D76" s="558" t="s">
        <v>1026</v>
      </c>
      <c r="E76" s="22"/>
      <c r="F76" s="514"/>
      <c r="G76" s="514"/>
      <c r="H76" s="514"/>
      <c r="I76" s="514"/>
      <c r="J76" s="514"/>
      <c r="K76" s="514"/>
      <c r="L76" s="514"/>
      <c r="M76" s="514"/>
      <c r="N76" s="514"/>
      <c r="O76" s="514"/>
      <c r="P76" s="514"/>
      <c r="Q76" s="514"/>
      <c r="R76" s="514"/>
      <c r="S76" s="514"/>
      <c r="T76" s="514"/>
      <c r="U76" s="514"/>
      <c r="V76" s="514"/>
      <c r="W76" s="514"/>
      <c r="X76" s="514"/>
      <c r="Y76" s="514"/>
      <c r="Z76" s="514"/>
      <c r="AA76" s="514"/>
      <c r="AB76" s="514"/>
      <c r="AC76" s="514"/>
      <c r="AD76" s="514"/>
      <c r="AE76" s="514"/>
      <c r="AF76" s="514"/>
      <c r="AG76" s="514"/>
      <c r="AH76" s="514"/>
      <c r="AI76" s="514"/>
      <c r="AJ76" s="514"/>
      <c r="AK76" s="514"/>
      <c r="AL76" s="514"/>
      <c r="AM76" s="514"/>
      <c r="AN76" s="514"/>
      <c r="AO76" s="66"/>
      <c r="AP76" s="126"/>
      <c r="AQ76" s="562">
        <v>42277</v>
      </c>
      <c r="AR76" s="569">
        <v>42367</v>
      </c>
    </row>
    <row r="77" spans="2:47" hidden="1" x14ac:dyDescent="0.2">
      <c r="B77" s="534"/>
      <c r="C77" s="485" t="s">
        <v>768</v>
      </c>
      <c r="D77" s="558" t="s">
        <v>922</v>
      </c>
      <c r="E77" s="22"/>
      <c r="F77" s="514"/>
      <c r="G77" s="514"/>
      <c r="H77" s="514"/>
      <c r="I77" s="514"/>
      <c r="J77" s="514"/>
      <c r="K77" s="514"/>
      <c r="L77" s="514"/>
      <c r="M77" s="514"/>
      <c r="N77" s="514"/>
      <c r="O77" s="514"/>
      <c r="P77" s="514"/>
      <c r="Q77" s="514"/>
      <c r="R77" s="514"/>
      <c r="S77" s="514"/>
      <c r="T77" s="514"/>
      <c r="U77" s="514"/>
      <c r="V77" s="514"/>
      <c r="W77" s="514"/>
      <c r="X77" s="514"/>
      <c r="Y77" s="514"/>
      <c r="Z77" s="514"/>
      <c r="AA77" s="514"/>
      <c r="AB77" s="514"/>
      <c r="AC77" s="514"/>
      <c r="AD77" s="514"/>
      <c r="AE77" s="514"/>
      <c r="AF77" s="514"/>
      <c r="AG77" s="514"/>
      <c r="AH77" s="514"/>
      <c r="AI77" s="514"/>
      <c r="AJ77" s="514"/>
      <c r="AK77" s="514"/>
      <c r="AL77" s="514"/>
      <c r="AM77" s="514"/>
      <c r="AN77" s="514"/>
      <c r="AO77" s="66"/>
      <c r="AP77" s="126"/>
      <c r="AQ77" s="562">
        <v>42066</v>
      </c>
      <c r="AR77" s="94">
        <v>42156</v>
      </c>
      <c r="AS77" s="94">
        <v>42247</v>
      </c>
      <c r="AT77" s="569">
        <v>42338</v>
      </c>
      <c r="AU77" s="483"/>
    </row>
    <row r="78" spans="2:47" hidden="1" x14ac:dyDescent="0.2">
      <c r="B78" s="534"/>
      <c r="C78" s="485"/>
      <c r="D78" s="558"/>
      <c r="E78" s="22"/>
      <c r="F78" s="514"/>
      <c r="G78" s="514"/>
      <c r="H78" s="514"/>
      <c r="I78" s="514"/>
      <c r="J78" s="514"/>
      <c r="K78" s="514"/>
      <c r="L78" s="514"/>
      <c r="M78" s="514"/>
      <c r="N78" s="514"/>
      <c r="O78" s="514"/>
      <c r="P78" s="514"/>
      <c r="Q78" s="514"/>
      <c r="R78" s="514"/>
      <c r="S78" s="514"/>
      <c r="T78" s="514"/>
      <c r="U78" s="514"/>
      <c r="V78" s="514"/>
      <c r="W78" s="514"/>
      <c r="X78" s="514"/>
      <c r="Y78" s="514"/>
      <c r="Z78" s="514"/>
      <c r="AA78" s="514"/>
      <c r="AB78" s="514"/>
      <c r="AC78" s="514"/>
      <c r="AD78" s="514"/>
      <c r="AE78" s="514"/>
      <c r="AF78" s="514"/>
      <c r="AG78" s="514"/>
      <c r="AH78" s="514"/>
      <c r="AI78" s="514"/>
      <c r="AJ78" s="514"/>
      <c r="AK78" s="514"/>
      <c r="AL78" s="514"/>
      <c r="AM78" s="514"/>
      <c r="AN78" s="514"/>
      <c r="AO78" s="66"/>
      <c r="AP78" s="126"/>
      <c r="AQ78" s="94">
        <v>42087</v>
      </c>
      <c r="AR78" s="94">
        <v>42177</v>
      </c>
      <c r="AS78" s="94">
        <v>42268</v>
      </c>
      <c r="AT78" s="483"/>
    </row>
    <row r="79" spans="2:47" hidden="1" x14ac:dyDescent="0.2">
      <c r="B79" s="534"/>
      <c r="C79" s="485" t="s">
        <v>145</v>
      </c>
      <c r="D79" s="558" t="s">
        <v>940</v>
      </c>
      <c r="E79" s="22"/>
      <c r="F79" s="514" t="s">
        <v>813</v>
      </c>
      <c r="G79" s="514"/>
      <c r="H79" s="514"/>
      <c r="I79" s="514"/>
      <c r="J79" s="514"/>
      <c r="K79" s="514"/>
      <c r="L79" s="514"/>
      <c r="M79" s="514"/>
      <c r="N79" s="514"/>
      <c r="O79" s="514"/>
      <c r="P79" s="514"/>
      <c r="Q79" s="514"/>
      <c r="R79" s="514"/>
      <c r="S79" s="514"/>
      <c r="T79" s="514"/>
      <c r="U79" s="514"/>
      <c r="V79" s="514"/>
      <c r="W79" s="514"/>
      <c r="X79" s="514"/>
      <c r="Y79" s="514"/>
      <c r="Z79" s="514"/>
      <c r="AA79" s="514"/>
      <c r="AB79" s="514"/>
      <c r="AC79" s="514"/>
      <c r="AD79" s="514"/>
      <c r="AE79" s="514"/>
      <c r="AF79" s="514"/>
      <c r="AG79" s="514"/>
      <c r="AH79" s="514"/>
      <c r="AI79" s="514"/>
      <c r="AJ79" s="514"/>
      <c r="AK79" s="514"/>
      <c r="AL79" s="514"/>
      <c r="AM79" s="514"/>
      <c r="AN79" s="514"/>
      <c r="AO79" s="66"/>
      <c r="AP79" s="126"/>
      <c r="AQ79" s="94">
        <v>42151</v>
      </c>
      <c r="AR79" s="569">
        <v>42241</v>
      </c>
      <c r="AS79" s="94">
        <v>42331</v>
      </c>
    </row>
    <row r="80" spans="2:47" hidden="1" x14ac:dyDescent="0.2">
      <c r="B80" s="534"/>
      <c r="C80" s="485" t="s">
        <v>139</v>
      </c>
      <c r="D80" s="558" t="s">
        <v>945</v>
      </c>
      <c r="E80" s="22"/>
      <c r="F80" s="514"/>
      <c r="G80" s="514"/>
      <c r="H80" s="514"/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514"/>
      <c r="T80" s="514"/>
      <c r="U80" s="514"/>
      <c r="V80" s="514"/>
      <c r="W80" s="514"/>
      <c r="X80" s="514"/>
      <c r="Y80" s="514"/>
      <c r="Z80" s="514"/>
      <c r="AA80" s="514"/>
      <c r="AB80" s="514"/>
      <c r="AC80" s="514"/>
      <c r="AD80" s="514"/>
      <c r="AE80" s="514"/>
      <c r="AF80" s="514"/>
      <c r="AG80" s="514"/>
      <c r="AH80" s="514"/>
      <c r="AI80" s="514"/>
      <c r="AJ80" s="514"/>
      <c r="AK80" s="514"/>
      <c r="AL80" s="514"/>
      <c r="AM80" s="514"/>
      <c r="AN80" s="514"/>
      <c r="AO80" s="66"/>
      <c r="AP80" s="126"/>
      <c r="AQ80" s="94">
        <v>42139</v>
      </c>
      <c r="AR80" s="569">
        <v>42230</v>
      </c>
      <c r="AS80" s="94">
        <v>42320</v>
      </c>
    </row>
    <row r="81" spans="1:45" hidden="1" x14ac:dyDescent="0.2">
      <c r="B81" s="534"/>
      <c r="C81" s="485"/>
      <c r="D81" s="558"/>
      <c r="E81" s="22"/>
      <c r="F81" s="514"/>
      <c r="G81" s="514"/>
      <c r="H81" s="514"/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4"/>
      <c r="T81" s="514"/>
      <c r="U81" s="514"/>
      <c r="V81" s="514"/>
      <c r="W81" s="514"/>
      <c r="X81" s="514"/>
      <c r="Y81" s="514"/>
      <c r="Z81" s="514"/>
      <c r="AA81" s="514"/>
      <c r="AB81" s="514"/>
      <c r="AC81" s="514"/>
      <c r="AD81" s="514"/>
      <c r="AE81" s="514"/>
      <c r="AF81" s="514"/>
      <c r="AG81" s="514"/>
      <c r="AH81" s="514"/>
      <c r="AI81" s="514"/>
      <c r="AJ81" s="514"/>
      <c r="AK81" s="514"/>
      <c r="AL81" s="514"/>
      <c r="AM81" s="514"/>
      <c r="AN81" s="514"/>
      <c r="AO81" s="66"/>
      <c r="AP81" s="126"/>
      <c r="AQ81" s="94">
        <v>42240</v>
      </c>
      <c r="AR81" s="483"/>
      <c r="AS81" s="934" t="s">
        <v>825</v>
      </c>
    </row>
    <row r="82" spans="1:45" x14ac:dyDescent="0.2">
      <c r="B82" s="534"/>
      <c r="C82" s="485" t="s">
        <v>235</v>
      </c>
      <c r="D82" s="850" t="s">
        <v>1361</v>
      </c>
      <c r="E82" s="22"/>
      <c r="F82" s="514"/>
      <c r="G82" s="514"/>
      <c r="H82" s="514"/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4"/>
      <c r="T82" s="514"/>
      <c r="U82" s="514"/>
      <c r="V82" s="514"/>
      <c r="W82" s="514"/>
      <c r="X82" s="514"/>
      <c r="Y82" s="514"/>
      <c r="Z82" s="514"/>
      <c r="AA82" s="514"/>
      <c r="AB82" s="514"/>
      <c r="AC82" s="514"/>
      <c r="AD82" s="514"/>
      <c r="AE82" s="514"/>
      <c r="AF82" s="514"/>
      <c r="AG82" s="514"/>
      <c r="AH82" s="514"/>
      <c r="AI82" s="514"/>
      <c r="AJ82" s="514"/>
      <c r="AK82" s="514"/>
      <c r="AL82" s="514"/>
      <c r="AM82" s="514">
        <v>58650</v>
      </c>
      <c r="AN82" s="514"/>
      <c r="AO82" s="66"/>
      <c r="AP82" s="126"/>
      <c r="AQ82" s="94">
        <v>42704</v>
      </c>
      <c r="AR82" s="483" t="s">
        <v>924</v>
      </c>
      <c r="AS82" s="94"/>
    </row>
    <row r="83" spans="1:45" x14ac:dyDescent="0.2">
      <c r="B83" s="534"/>
      <c r="C83" s="485" t="s">
        <v>198</v>
      </c>
      <c r="D83" s="850" t="s">
        <v>1376</v>
      </c>
      <c r="E83" s="22"/>
      <c r="F83" s="514"/>
      <c r="G83" s="514"/>
      <c r="H83" s="514"/>
      <c r="I83" s="514"/>
      <c r="J83" s="514"/>
      <c r="K83" s="514"/>
      <c r="L83" s="514"/>
      <c r="M83" s="514"/>
      <c r="N83" s="514"/>
      <c r="O83" s="514"/>
      <c r="P83" s="514"/>
      <c r="Q83" s="514"/>
      <c r="R83" s="514"/>
      <c r="S83" s="514"/>
      <c r="T83" s="514"/>
      <c r="U83" s="514"/>
      <c r="V83" s="514"/>
      <c r="W83" s="514"/>
      <c r="X83" s="514"/>
      <c r="Y83" s="514"/>
      <c r="Z83" s="514"/>
      <c r="AA83" s="514"/>
      <c r="AB83" s="514"/>
      <c r="AC83" s="514"/>
      <c r="AD83" s="514"/>
      <c r="AE83" s="514"/>
      <c r="AF83" s="514"/>
      <c r="AG83" s="514"/>
      <c r="AH83" s="514"/>
      <c r="AI83" s="514"/>
      <c r="AJ83" s="514"/>
      <c r="AK83" s="514"/>
      <c r="AL83" s="514">
        <v>15700</v>
      </c>
      <c r="AM83" s="514"/>
      <c r="AN83" s="514"/>
      <c r="AO83" s="66"/>
      <c r="AP83" s="126"/>
      <c r="AQ83" s="94">
        <v>42660</v>
      </c>
      <c r="AR83" s="569"/>
      <c r="AS83" s="569"/>
    </row>
    <row r="84" spans="1:45" x14ac:dyDescent="0.2">
      <c r="B84" s="534"/>
      <c r="C84" s="485"/>
      <c r="D84" s="850"/>
      <c r="E84" s="22"/>
      <c r="F84" s="514"/>
      <c r="G84" s="514"/>
      <c r="H84" s="514"/>
      <c r="I84" s="514"/>
      <c r="J84" s="514"/>
      <c r="K84" s="514"/>
      <c r="L84" s="514"/>
      <c r="M84" s="514"/>
      <c r="N84" s="514"/>
      <c r="O84" s="514"/>
      <c r="P84" s="514"/>
      <c r="Q84" s="514"/>
      <c r="R84" s="514"/>
      <c r="S84" s="514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  <c r="AM84" s="514"/>
      <c r="AN84" s="514"/>
      <c r="AO84" s="1453"/>
      <c r="AP84" s="126"/>
      <c r="AQ84" s="94"/>
      <c r="AR84" s="569"/>
      <c r="AS84" s="569"/>
    </row>
    <row r="85" spans="1:45" x14ac:dyDescent="0.2">
      <c r="B85" s="527"/>
      <c r="C85" s="1461" t="s">
        <v>145</v>
      </c>
      <c r="D85" s="1462" t="s">
        <v>1290</v>
      </c>
      <c r="E85" s="375"/>
      <c r="F85" s="524"/>
      <c r="G85" s="524"/>
      <c r="H85" s="524"/>
      <c r="I85" s="524"/>
      <c r="J85" s="524"/>
      <c r="K85" s="524"/>
      <c r="L85" s="524"/>
      <c r="M85" s="524"/>
      <c r="N85" s="524"/>
      <c r="O85" s="524"/>
      <c r="P85" s="524"/>
      <c r="Q85" s="524"/>
      <c r="R85" s="524"/>
      <c r="S85" s="524"/>
      <c r="T85" s="524"/>
      <c r="U85" s="524"/>
      <c r="V85" s="524"/>
      <c r="W85" s="524"/>
      <c r="X85" s="524"/>
      <c r="Y85" s="524"/>
      <c r="Z85" s="524"/>
      <c r="AA85" s="524"/>
      <c r="AB85" s="524"/>
      <c r="AC85" s="524"/>
      <c r="AD85" s="524"/>
      <c r="AE85" s="524"/>
      <c r="AF85" s="524"/>
      <c r="AG85" s="524"/>
      <c r="AH85" s="524"/>
      <c r="AI85" s="524"/>
      <c r="AJ85" s="524"/>
      <c r="AK85" s="524">
        <v>43371</v>
      </c>
      <c r="AL85" s="524"/>
      <c r="AM85" s="524"/>
      <c r="AN85" s="524"/>
      <c r="AO85" s="70"/>
      <c r="AP85" s="71"/>
      <c r="AQ85" s="94">
        <v>42626</v>
      </c>
      <c r="AR85" s="483"/>
    </row>
    <row r="86" spans="1:45" ht="18.75" x14ac:dyDescent="0.3">
      <c r="B86" s="1788" t="s">
        <v>785</v>
      </c>
      <c r="C86" s="1789"/>
      <c r="D86" s="1790"/>
      <c r="E86" s="836">
        <f>E88</f>
        <v>0</v>
      </c>
      <c r="F86" s="836">
        <f>F88</f>
        <v>0</v>
      </c>
      <c r="G86" s="836">
        <f>G88</f>
        <v>0</v>
      </c>
      <c r="H86" s="836">
        <f>H88</f>
        <v>0</v>
      </c>
      <c r="I86" s="836">
        <f>+I88</f>
        <v>0</v>
      </c>
      <c r="J86" s="513"/>
      <c r="K86" s="513"/>
      <c r="L86" s="513"/>
      <c r="M86" s="513"/>
      <c r="N86" s="513"/>
      <c r="O86" s="513"/>
      <c r="P86" s="513"/>
      <c r="Q86" s="513"/>
      <c r="R86" s="513"/>
      <c r="S86" s="513"/>
      <c r="T86" s="513"/>
      <c r="U86" s="513"/>
      <c r="V86" s="513"/>
      <c r="W86" s="513"/>
      <c r="X86" s="513"/>
      <c r="Y86" s="513"/>
      <c r="Z86" s="513"/>
      <c r="AA86" s="513"/>
      <c r="AB86" s="513"/>
      <c r="AC86" s="513"/>
      <c r="AD86" s="513"/>
      <c r="AE86" s="513"/>
      <c r="AF86" s="513"/>
      <c r="AG86" s="513"/>
      <c r="AH86" s="513"/>
      <c r="AI86" s="513"/>
      <c r="AJ86" s="513"/>
      <c r="AK86" s="513"/>
      <c r="AL86" s="513"/>
      <c r="AM86" s="513"/>
      <c r="AN86" s="513"/>
      <c r="AO86" s="519">
        <f>H86+G86+F86+E86+I86</f>
        <v>0</v>
      </c>
      <c r="AP86" s="837">
        <f>AP88</f>
        <v>100000</v>
      </c>
    </row>
    <row r="87" spans="1:45" ht="18.75" x14ac:dyDescent="0.3">
      <c r="B87" s="537"/>
      <c r="C87" s="538"/>
      <c r="D87" s="539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55"/>
      <c r="AP87" s="352"/>
    </row>
    <row r="88" spans="1:45" ht="15" x14ac:dyDescent="0.25">
      <c r="B88" s="540" t="s">
        <v>113</v>
      </c>
      <c r="C88" s="541"/>
      <c r="D88" s="54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543">
        <f>H88+G88+F88+E88+I88</f>
        <v>0</v>
      </c>
      <c r="AP88" s="557">
        <f>F176</f>
        <v>100000</v>
      </c>
    </row>
    <row r="89" spans="1:45" ht="15" x14ac:dyDescent="0.25">
      <c r="B89" s="540"/>
      <c r="C89" s="541"/>
      <c r="D89" s="54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543"/>
      <c r="AP89" s="557"/>
    </row>
    <row r="90" spans="1:45" ht="18.75" x14ac:dyDescent="0.3">
      <c r="B90" s="1801" t="s">
        <v>817</v>
      </c>
      <c r="C90" s="1802"/>
      <c r="D90" s="1803"/>
      <c r="E90" s="683"/>
      <c r="F90" s="683" t="s">
        <v>35</v>
      </c>
      <c r="G90" s="683" t="s">
        <v>36</v>
      </c>
      <c r="H90" s="683" t="s">
        <v>396</v>
      </c>
      <c r="I90" s="683" t="s">
        <v>651</v>
      </c>
      <c r="J90" s="683" t="s">
        <v>823</v>
      </c>
      <c r="K90" s="683" t="s">
        <v>824</v>
      </c>
      <c r="L90" s="683" t="s">
        <v>837</v>
      </c>
      <c r="M90" s="683" t="s">
        <v>838</v>
      </c>
      <c r="N90" s="683" t="s">
        <v>852</v>
      </c>
      <c r="O90" s="515" t="s">
        <v>874</v>
      </c>
      <c r="P90" s="515" t="s">
        <v>905</v>
      </c>
      <c r="Q90" s="515"/>
      <c r="R90" s="515"/>
      <c r="S90" s="515"/>
      <c r="T90" s="515"/>
      <c r="U90" s="515"/>
      <c r="V90" s="515"/>
      <c r="W90" s="515"/>
      <c r="X90" s="515"/>
      <c r="Y90" s="515"/>
      <c r="Z90" s="515"/>
      <c r="AA90" s="515"/>
      <c r="AB90" s="515"/>
      <c r="AC90" s="515"/>
      <c r="AD90" s="515"/>
      <c r="AE90" s="515"/>
      <c r="AF90" s="515"/>
      <c r="AG90" s="515"/>
      <c r="AH90" s="515"/>
      <c r="AI90" s="515"/>
      <c r="AJ90" s="515"/>
      <c r="AK90" s="515"/>
      <c r="AL90" s="515"/>
      <c r="AM90" s="515"/>
      <c r="AN90" s="515"/>
      <c r="AO90" s="507" t="e">
        <f>H90+G90+F90+E90+I90</f>
        <v>#VALUE!</v>
      </c>
      <c r="AP90" s="556"/>
    </row>
    <row r="91" spans="1:45" ht="15" x14ac:dyDescent="0.25">
      <c r="B91" s="540"/>
      <c r="C91" s="541"/>
      <c r="D91" s="54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543"/>
      <c r="AP91" s="557"/>
    </row>
    <row r="92" spans="1:45" ht="15" x14ac:dyDescent="0.25">
      <c r="B92" s="540" t="s">
        <v>70</v>
      </c>
      <c r="C92" s="679"/>
      <c r="D92" s="595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543"/>
      <c r="AP92" s="557"/>
    </row>
    <row r="93" spans="1:45" ht="15" x14ac:dyDescent="0.25">
      <c r="A93" s="483"/>
      <c r="B93" s="540"/>
      <c r="C93" s="1067"/>
      <c r="D93" s="1180"/>
      <c r="E93" s="66"/>
      <c r="F93" s="22"/>
      <c r="G93" s="514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543"/>
      <c r="AP93" s="557"/>
      <c r="AQ93" s="17"/>
    </row>
    <row r="94" spans="1:45" ht="15" x14ac:dyDescent="0.25">
      <c r="B94" s="540"/>
      <c r="C94" s="1513"/>
      <c r="D94" s="1506"/>
      <c r="E94" s="75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543"/>
      <c r="AP94" s="557"/>
      <c r="AQ94" s="17"/>
    </row>
    <row r="95" spans="1:45" ht="15" x14ac:dyDescent="0.25">
      <c r="B95" s="540"/>
      <c r="C95" s="1505"/>
      <c r="D95" s="1506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543"/>
      <c r="AP95" s="557"/>
    </row>
    <row r="96" spans="1:45" ht="15" x14ac:dyDescent="0.25">
      <c r="B96" s="540"/>
      <c r="C96" s="483"/>
      <c r="D96" s="483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>
        <v>6325</v>
      </c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543"/>
      <c r="AP96" s="557"/>
    </row>
    <row r="97" spans="1:43" ht="15" x14ac:dyDescent="0.25">
      <c r="B97" s="540" t="s">
        <v>330</v>
      </c>
      <c r="C97" s="680"/>
      <c r="D97" s="54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543"/>
      <c r="AP97" s="557"/>
    </row>
    <row r="98" spans="1:43" x14ac:dyDescent="0.2">
      <c r="B98" s="88"/>
      <c r="E98" s="22"/>
      <c r="F98" s="22"/>
      <c r="G98" s="22"/>
      <c r="H98" s="22"/>
      <c r="I98" s="22"/>
      <c r="J98" s="22"/>
      <c r="K98" s="32"/>
      <c r="L98" s="22"/>
      <c r="M98" s="22"/>
      <c r="N98" s="22"/>
      <c r="O98" s="22"/>
      <c r="P98" s="22">
        <v>28600</v>
      </c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543"/>
      <c r="AP98" s="557"/>
    </row>
    <row r="99" spans="1:43" ht="15" x14ac:dyDescent="0.25">
      <c r="B99" s="540"/>
      <c r="C99" s="1487"/>
      <c r="D99" s="1488"/>
      <c r="E99" s="22"/>
      <c r="F99" s="22"/>
      <c r="G99" s="22"/>
      <c r="H99" s="22"/>
      <c r="I99" s="22"/>
      <c r="J99" s="22"/>
      <c r="K99" s="3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543"/>
      <c r="AP99" s="557"/>
      <c r="AQ99" s="17"/>
    </row>
    <row r="100" spans="1:43" ht="15" x14ac:dyDescent="0.25">
      <c r="B100" s="540"/>
      <c r="C100" s="1532"/>
      <c r="D100" s="1533"/>
      <c r="E100" s="704"/>
      <c r="F100" s="22"/>
      <c r="G100" s="22"/>
      <c r="H100" s="22"/>
      <c r="I100" s="22"/>
      <c r="J100" s="22"/>
      <c r="K100" s="3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543"/>
      <c r="AP100" s="557"/>
      <c r="AQ100" s="17"/>
    </row>
    <row r="101" spans="1:43" ht="15" x14ac:dyDescent="0.25">
      <c r="B101" s="540"/>
      <c r="C101" s="1549"/>
      <c r="D101" s="1550"/>
      <c r="E101" s="704"/>
      <c r="F101" s="22"/>
      <c r="G101" s="22"/>
      <c r="H101" s="22"/>
      <c r="I101" s="22"/>
      <c r="J101" s="22"/>
      <c r="K101" s="3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543"/>
      <c r="AP101" s="557"/>
      <c r="AQ101" s="17"/>
    </row>
    <row r="102" spans="1:43" ht="15" x14ac:dyDescent="0.25">
      <c r="B102" s="540"/>
      <c r="C102" s="1557" t="s">
        <v>846</v>
      </c>
      <c r="D102" s="1558" t="s">
        <v>1346</v>
      </c>
      <c r="E102" s="704"/>
      <c r="F102" s="22"/>
      <c r="G102" s="22"/>
      <c r="H102" s="22"/>
      <c r="I102" s="22"/>
      <c r="J102" s="22"/>
      <c r="K102" s="32"/>
      <c r="L102" s="22">
        <v>22750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543"/>
      <c r="AP102" s="557"/>
      <c r="AQ102" s="17"/>
    </row>
    <row r="103" spans="1:43" s="58" customFormat="1" ht="15" x14ac:dyDescent="0.25">
      <c r="A103" s="575"/>
      <c r="B103" s="724"/>
      <c r="C103" s="704" t="s">
        <v>1373</v>
      </c>
      <c r="D103" s="1612" t="s">
        <v>1374</v>
      </c>
      <c r="E103" s="32"/>
      <c r="F103" s="32"/>
      <c r="G103" s="32"/>
      <c r="H103" s="32"/>
      <c r="I103" s="32"/>
      <c r="J103" s="32"/>
      <c r="K103" s="32"/>
      <c r="L103" s="32">
        <v>16000</v>
      </c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725"/>
      <c r="AP103" s="726"/>
      <c r="AQ103" s="59"/>
    </row>
    <row r="104" spans="1:43" ht="15" x14ac:dyDescent="0.25">
      <c r="B104" s="540" t="s">
        <v>72</v>
      </c>
      <c r="C104" s="681"/>
      <c r="D104" s="580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543"/>
      <c r="AP104" s="557"/>
    </row>
    <row r="105" spans="1:43" ht="15" x14ac:dyDescent="0.25">
      <c r="A105" s="483"/>
      <c r="B105" s="540"/>
      <c r="E105" s="75"/>
      <c r="F105" s="22"/>
      <c r="G105" s="514"/>
      <c r="H105" s="514"/>
      <c r="I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543"/>
      <c r="AP105" s="557"/>
      <c r="AQ105" s="17"/>
    </row>
    <row r="106" spans="1:43" ht="15" x14ac:dyDescent="0.25">
      <c r="A106" s="483"/>
      <c r="B106" s="540"/>
      <c r="C106" s="1536" t="s">
        <v>946</v>
      </c>
      <c r="D106" s="1650" t="s">
        <v>1396</v>
      </c>
      <c r="E106" s="75"/>
      <c r="F106" s="22"/>
      <c r="G106" s="514"/>
      <c r="H106" s="514"/>
      <c r="I106" s="22"/>
      <c r="J106" s="22"/>
      <c r="K106" s="22"/>
      <c r="L106" s="22">
        <v>24000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543"/>
      <c r="AP106" s="557"/>
      <c r="AQ106" s="17"/>
    </row>
    <row r="107" spans="1:43" ht="15" x14ac:dyDescent="0.25">
      <c r="B107" s="540"/>
      <c r="C107" s="1132"/>
      <c r="D107" s="1133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543"/>
      <c r="AP107" s="557"/>
    </row>
    <row r="108" spans="1:43" ht="15" x14ac:dyDescent="0.25">
      <c r="B108" s="540" t="s">
        <v>113</v>
      </c>
      <c r="C108" s="681"/>
      <c r="D108" s="580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543"/>
      <c r="AP108" s="557"/>
    </row>
    <row r="109" spans="1:43" ht="15" x14ac:dyDescent="0.25">
      <c r="B109" s="540"/>
      <c r="C109" s="704"/>
      <c r="D109" s="150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543"/>
      <c r="AP109" s="557"/>
    </row>
    <row r="110" spans="1:43" ht="15" x14ac:dyDescent="0.25">
      <c r="B110" s="540"/>
      <c r="C110" s="1513" t="s">
        <v>848</v>
      </c>
      <c r="D110" s="1514" t="s">
        <v>1327</v>
      </c>
      <c r="E110" s="22"/>
      <c r="F110" s="22"/>
      <c r="G110" s="22"/>
      <c r="H110" s="22"/>
      <c r="I110" s="22"/>
      <c r="J110" s="22"/>
      <c r="K110" s="22"/>
      <c r="L110" s="22">
        <v>223409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543"/>
      <c r="AP110" s="557"/>
      <c r="AQ110" s="17"/>
    </row>
    <row r="111" spans="1:43" ht="15" x14ac:dyDescent="0.25">
      <c r="B111" s="540"/>
      <c r="C111" s="986"/>
      <c r="D111" s="558"/>
      <c r="E111" s="81"/>
      <c r="F111" s="66"/>
      <c r="H111" s="22"/>
      <c r="I111" s="29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543"/>
      <c r="AP111" s="557"/>
    </row>
    <row r="112" spans="1:43" ht="15" x14ac:dyDescent="0.25">
      <c r="B112" s="540"/>
      <c r="C112" s="575"/>
      <c r="D112" s="483"/>
      <c r="E112" s="22"/>
      <c r="F112" s="75"/>
      <c r="G112" s="22"/>
      <c r="H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543"/>
      <c r="AP112" s="557"/>
      <c r="AQ112" s="17"/>
    </row>
    <row r="113" spans="2:43" ht="15" x14ac:dyDescent="0.25">
      <c r="B113" s="540"/>
      <c r="C113" s="704"/>
      <c r="D113" s="887"/>
      <c r="E113" s="22"/>
      <c r="F113" s="75"/>
      <c r="G113" s="22"/>
      <c r="H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543"/>
      <c r="AP113" s="557"/>
    </row>
    <row r="114" spans="2:43" ht="15" x14ac:dyDescent="0.25">
      <c r="B114" s="540"/>
      <c r="C114" s="58"/>
      <c r="D114" s="1017"/>
      <c r="E114" s="22"/>
      <c r="F114" s="22"/>
      <c r="G114" s="22"/>
      <c r="H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543"/>
      <c r="AP114" s="557"/>
    </row>
    <row r="115" spans="2:43" ht="18.75" x14ac:dyDescent="0.3">
      <c r="B115" s="537"/>
      <c r="C115" s="538"/>
      <c r="D115" s="538"/>
      <c r="E115" s="22"/>
      <c r="F115" s="22"/>
      <c r="G115" s="22"/>
      <c r="H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543"/>
      <c r="AP115" s="557"/>
    </row>
    <row r="116" spans="2:43" ht="15" x14ac:dyDescent="0.25">
      <c r="B116" s="540"/>
      <c r="C116" s="682"/>
      <c r="D116" s="682"/>
      <c r="E116" s="22"/>
      <c r="F116" s="22"/>
      <c r="G116" s="75"/>
      <c r="H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543"/>
      <c r="AP116" s="557"/>
      <c r="AQ116" s="17"/>
    </row>
    <row r="117" spans="2:43" ht="15" x14ac:dyDescent="0.25">
      <c r="B117" s="540"/>
      <c r="C117" s="682"/>
      <c r="D117" s="682"/>
      <c r="E117" s="22"/>
      <c r="F117" s="22"/>
      <c r="G117" s="22"/>
      <c r="H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543"/>
      <c r="AP117" s="557"/>
    </row>
    <row r="118" spans="2:43" x14ac:dyDescent="0.2">
      <c r="B118" s="89"/>
      <c r="C118" s="90"/>
      <c r="D118" s="84"/>
      <c r="E118" s="524"/>
      <c r="F118" s="524"/>
      <c r="G118" s="524"/>
      <c r="H118" s="524"/>
      <c r="I118" s="524"/>
      <c r="J118" s="524"/>
      <c r="K118" s="524"/>
      <c r="L118" s="524"/>
      <c r="M118" s="524"/>
      <c r="N118" s="524"/>
      <c r="O118" s="524"/>
      <c r="P118" s="524"/>
      <c r="Q118" s="524"/>
      <c r="R118" s="524"/>
      <c r="S118" s="524"/>
      <c r="T118" s="524"/>
      <c r="U118" s="524"/>
      <c r="V118" s="524"/>
      <c r="W118" s="524"/>
      <c r="X118" s="524"/>
      <c r="Y118" s="524"/>
      <c r="Z118" s="524"/>
      <c r="AA118" s="524"/>
      <c r="AB118" s="524"/>
      <c r="AC118" s="524"/>
      <c r="AD118" s="524"/>
      <c r="AE118" s="524"/>
      <c r="AF118" s="524"/>
      <c r="AG118" s="524"/>
      <c r="AH118" s="524"/>
      <c r="AI118" s="524"/>
      <c r="AJ118" s="524"/>
      <c r="AK118" s="524"/>
      <c r="AL118" s="524"/>
      <c r="AM118" s="524"/>
      <c r="AN118" s="524"/>
      <c r="AO118" s="70"/>
      <c r="AP118" s="70"/>
    </row>
    <row r="119" spans="2:43" x14ac:dyDescent="0.2">
      <c r="B119" s="1800"/>
      <c r="C119" s="1800"/>
      <c r="D119" s="1800"/>
      <c r="E119" s="1791"/>
      <c r="F119" s="1791"/>
      <c r="G119" s="1791"/>
      <c r="H119" s="1791"/>
      <c r="I119" s="566"/>
      <c r="J119" s="592"/>
      <c r="K119" s="593"/>
      <c r="L119" s="619"/>
      <c r="M119" s="619"/>
      <c r="N119" s="671"/>
      <c r="O119" s="691"/>
      <c r="P119" s="732"/>
      <c r="Q119" s="750"/>
      <c r="R119" s="781"/>
      <c r="S119" s="801"/>
      <c r="T119" s="834"/>
      <c r="U119" s="852"/>
      <c r="V119" s="884"/>
      <c r="W119" s="899"/>
      <c r="X119" s="944"/>
      <c r="Y119" s="952"/>
      <c r="Z119" s="1034"/>
      <c r="AA119" s="1047"/>
      <c r="AB119" s="1065"/>
      <c r="AC119" s="1126"/>
      <c r="AD119" s="1156"/>
      <c r="AE119" s="1190"/>
      <c r="AF119" s="1407"/>
      <c r="AG119" s="1445"/>
      <c r="AH119" s="1413"/>
      <c r="AI119" s="1481"/>
      <c r="AJ119" s="1481"/>
      <c r="AK119" s="1540"/>
      <c r="AL119" s="1600"/>
      <c r="AM119" s="1636"/>
      <c r="AN119" s="1722"/>
    </row>
    <row r="120" spans="2:43" x14ac:dyDescent="0.2">
      <c r="B120" s="1800"/>
      <c r="C120" s="1800"/>
      <c r="D120" s="1800"/>
      <c r="E120" s="1746"/>
      <c r="F120" s="1746"/>
      <c r="G120" s="1746"/>
      <c r="H120" s="1746"/>
      <c r="I120" s="566"/>
      <c r="J120" s="592"/>
      <c r="K120" s="593"/>
      <c r="L120" s="619"/>
      <c r="M120" s="619"/>
      <c r="N120" s="671"/>
      <c r="O120" s="691"/>
      <c r="P120" s="732"/>
      <c r="Q120" s="750"/>
      <c r="R120" s="781"/>
      <c r="S120" s="801"/>
      <c r="T120" s="834"/>
      <c r="U120" s="852"/>
      <c r="V120" s="884"/>
      <c r="W120" s="899"/>
      <c r="X120" s="944"/>
      <c r="Y120" s="952"/>
      <c r="Z120" s="1034"/>
      <c r="AA120" s="1047"/>
      <c r="AB120" s="1065"/>
      <c r="AC120" s="1126"/>
      <c r="AD120" s="1156"/>
      <c r="AE120" s="1190"/>
      <c r="AF120" s="1407"/>
      <c r="AG120" s="1445"/>
      <c r="AH120" s="1413"/>
      <c r="AI120" s="1481"/>
      <c r="AJ120" s="1481"/>
      <c r="AK120" s="1540"/>
      <c r="AL120" s="1600"/>
      <c r="AM120" s="1636"/>
      <c r="AN120" s="1722"/>
    </row>
    <row r="121" spans="2:43" x14ac:dyDescent="0.2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</row>
    <row r="123" spans="2:43" ht="12.75" customHeight="1" x14ac:dyDescent="0.2">
      <c r="B123" s="1780" t="s">
        <v>786</v>
      </c>
      <c r="C123" s="1780"/>
      <c r="D123" s="1780"/>
      <c r="E123" s="1780"/>
      <c r="F123" s="1780"/>
      <c r="G123" s="544"/>
    </row>
    <row r="124" spans="2:43" ht="23.25" x14ac:dyDescent="0.2">
      <c r="B124" s="1780"/>
      <c r="C124" s="1780"/>
      <c r="D124" s="1780"/>
      <c r="E124" s="1780"/>
      <c r="F124" s="1780"/>
      <c r="G124" s="545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6"/>
      <c r="S124" s="546"/>
      <c r="T124" s="546"/>
      <c r="U124" s="546"/>
      <c r="V124" s="546"/>
      <c r="W124" s="546"/>
      <c r="X124" s="546"/>
      <c r="Y124" s="546"/>
      <c r="Z124" s="546"/>
      <c r="AA124" s="546"/>
      <c r="AB124" s="546"/>
      <c r="AC124" s="546"/>
      <c r="AD124" s="546"/>
      <c r="AE124" s="546"/>
      <c r="AF124" s="546"/>
      <c r="AG124" s="546"/>
      <c r="AH124" s="546"/>
      <c r="AI124" s="546"/>
      <c r="AJ124" s="546"/>
      <c r="AK124" s="546"/>
      <c r="AL124" s="546"/>
      <c r="AM124" s="546"/>
      <c r="AN124" s="546"/>
    </row>
    <row r="125" spans="2:43" ht="23.25" x14ac:dyDescent="0.2">
      <c r="B125" s="545"/>
      <c r="C125" s="545"/>
      <c r="D125" s="545"/>
      <c r="E125" s="545"/>
      <c r="F125" s="545"/>
      <c r="G125" s="545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6"/>
      <c r="AA125" s="546"/>
      <c r="AB125" s="546"/>
      <c r="AC125" s="546"/>
      <c r="AD125" s="546"/>
      <c r="AE125" s="546"/>
      <c r="AF125" s="546"/>
      <c r="AG125" s="546"/>
      <c r="AH125" s="546"/>
      <c r="AI125" s="546"/>
      <c r="AJ125" s="546"/>
      <c r="AK125" s="546"/>
      <c r="AL125" s="546"/>
      <c r="AM125" s="546"/>
      <c r="AN125" s="546"/>
    </row>
    <row r="126" spans="2:43" ht="23.25" x14ac:dyDescent="0.2">
      <c r="B126" s="545"/>
      <c r="C126" s="545"/>
      <c r="D126" s="545"/>
      <c r="E126" s="545"/>
      <c r="F126" s="545"/>
      <c r="G126" s="545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6"/>
      <c r="AA126" s="546"/>
      <c r="AB126" s="546"/>
      <c r="AC126" s="546"/>
      <c r="AD126" s="546"/>
      <c r="AE126" s="546"/>
      <c r="AF126" s="546"/>
      <c r="AG126" s="546"/>
      <c r="AH126" s="546"/>
      <c r="AI126" s="546"/>
      <c r="AJ126" s="546"/>
      <c r="AK126" s="546"/>
      <c r="AL126" s="546"/>
      <c r="AM126" s="546"/>
      <c r="AN126" s="546"/>
    </row>
    <row r="127" spans="2:43" ht="23.25" x14ac:dyDescent="0.25">
      <c r="B127" s="546"/>
      <c r="C127" s="546"/>
      <c r="D127" s="546"/>
      <c r="E127" s="547"/>
      <c r="F127" s="548" t="s">
        <v>787</v>
      </c>
      <c r="G127" s="547"/>
      <c r="H127" s="548" t="s">
        <v>788</v>
      </c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548"/>
      <c r="AB127" s="548"/>
      <c r="AC127" s="548"/>
      <c r="AD127" s="548"/>
      <c r="AE127" s="548"/>
      <c r="AF127" s="548"/>
      <c r="AG127" s="548"/>
      <c r="AH127" s="548"/>
      <c r="AI127" s="548"/>
      <c r="AJ127" s="548"/>
      <c r="AK127" s="548"/>
      <c r="AL127" s="548"/>
      <c r="AM127" s="548"/>
      <c r="AN127" s="548"/>
      <c r="AO127" s="549" t="s">
        <v>789</v>
      </c>
    </row>
    <row r="128" spans="2:43" ht="15.75" x14ac:dyDescent="0.25">
      <c r="B128" s="1792" t="s">
        <v>113</v>
      </c>
      <c r="C128" s="1793"/>
      <c r="D128" s="1793"/>
      <c r="E128" s="102"/>
      <c r="F128" s="548"/>
      <c r="G128" s="102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48"/>
      <c r="W128" s="548"/>
      <c r="X128" s="548"/>
      <c r="Y128" s="548"/>
      <c r="Z128" s="548"/>
      <c r="AA128" s="548"/>
      <c r="AB128" s="548"/>
      <c r="AC128" s="548"/>
      <c r="AD128" s="548"/>
      <c r="AE128" s="548"/>
      <c r="AF128" s="548"/>
      <c r="AG128" s="548"/>
      <c r="AH128" s="548"/>
      <c r="AI128" s="548"/>
      <c r="AJ128" s="548"/>
      <c r="AK128" s="548"/>
      <c r="AL128" s="548"/>
      <c r="AM128" s="548"/>
      <c r="AN128" s="548"/>
      <c r="AO128" s="255"/>
    </row>
    <row r="129" spans="2:42" ht="15.75" x14ac:dyDescent="0.25">
      <c r="B129" s="1794"/>
      <c r="C129" s="1769"/>
      <c r="D129" s="1769"/>
      <c r="E129" s="88"/>
      <c r="F129" s="550">
        <f>F132+F133</f>
        <v>350000</v>
      </c>
      <c r="G129" s="88"/>
      <c r="H129" s="550">
        <f>H132+H133</f>
        <v>483793.83799999999</v>
      </c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50"/>
      <c r="AO129" s="519">
        <f>H129-F129</f>
        <v>133793.83799999999</v>
      </c>
    </row>
    <row r="130" spans="2:42" ht="12.75" customHeight="1" x14ac:dyDescent="0.2">
      <c r="B130" s="1795"/>
      <c r="C130" s="1779"/>
      <c r="D130" s="1779"/>
      <c r="E130" s="89"/>
      <c r="F130" s="84"/>
      <c r="G130" s="89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70"/>
    </row>
    <row r="131" spans="2:42" x14ac:dyDescent="0.2">
      <c r="B131" s="102"/>
      <c r="C131" s="87"/>
      <c r="D131" s="80"/>
      <c r="E131" s="102"/>
      <c r="F131" s="444"/>
      <c r="G131" s="102"/>
      <c r="H131" s="80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</row>
    <row r="132" spans="2:42" x14ac:dyDescent="0.2">
      <c r="B132" s="88" t="s">
        <v>790</v>
      </c>
      <c r="C132" s="6"/>
      <c r="D132" s="81"/>
      <c r="E132" s="88"/>
      <c r="F132" s="445">
        <v>150000</v>
      </c>
      <c r="G132" s="88"/>
      <c r="H132" s="551">
        <f>AO9</f>
        <v>0</v>
      </c>
      <c r="I132" s="570"/>
      <c r="J132" s="570"/>
      <c r="K132" s="570"/>
      <c r="L132" s="570"/>
      <c r="M132" s="570"/>
      <c r="N132" s="570"/>
      <c r="O132" s="570"/>
      <c r="P132" s="570"/>
      <c r="Q132" s="570"/>
      <c r="R132" s="570"/>
      <c r="S132" s="570"/>
      <c r="T132" s="570"/>
      <c r="U132" s="570"/>
      <c r="V132" s="570"/>
      <c r="W132" s="570"/>
      <c r="X132" s="570"/>
      <c r="Y132" s="570"/>
      <c r="Z132" s="570"/>
      <c r="AA132" s="570"/>
      <c r="AB132" s="570"/>
      <c r="AC132" s="570"/>
      <c r="AD132" s="570"/>
      <c r="AE132" s="570"/>
      <c r="AF132" s="570"/>
      <c r="AG132" s="570"/>
      <c r="AH132" s="570"/>
      <c r="AI132" s="570"/>
      <c r="AJ132" s="570"/>
      <c r="AK132" s="570"/>
      <c r="AL132" s="570"/>
      <c r="AM132" s="570"/>
      <c r="AN132" s="570"/>
      <c r="AO132" s="6"/>
    </row>
    <row r="133" spans="2:42" x14ac:dyDescent="0.2">
      <c r="B133" s="88" t="s">
        <v>791</v>
      </c>
      <c r="C133" s="6"/>
      <c r="D133" s="81"/>
      <c r="E133" s="88"/>
      <c r="F133" s="445">
        <v>200000</v>
      </c>
      <c r="G133" s="88"/>
      <c r="H133" s="551">
        <f>AO32</f>
        <v>483793.83799999999</v>
      </c>
      <c r="I133" s="570"/>
      <c r="J133" s="570"/>
      <c r="K133" s="570"/>
      <c r="L133" s="570"/>
      <c r="M133" s="570"/>
      <c r="N133" s="570"/>
      <c r="O133" s="570"/>
      <c r="P133" s="570"/>
      <c r="Q133" s="570"/>
      <c r="R133" s="570"/>
      <c r="S133" s="570"/>
      <c r="T133" s="570"/>
      <c r="U133" s="570"/>
      <c r="V133" s="570"/>
      <c r="W133" s="570"/>
      <c r="X133" s="570"/>
      <c r="Y133" s="570"/>
      <c r="Z133" s="570"/>
      <c r="AA133" s="570"/>
      <c r="AB133" s="570"/>
      <c r="AC133" s="570"/>
      <c r="AD133" s="570"/>
      <c r="AE133" s="570"/>
      <c r="AF133" s="570"/>
      <c r="AG133" s="570"/>
      <c r="AH133" s="570"/>
      <c r="AI133" s="570"/>
      <c r="AJ133" s="570"/>
      <c r="AK133" s="570"/>
      <c r="AL133" s="570"/>
      <c r="AM133" s="570"/>
      <c r="AN133" s="570"/>
      <c r="AO133" s="6"/>
    </row>
    <row r="134" spans="2:42" x14ac:dyDescent="0.2">
      <c r="B134" s="88" t="s">
        <v>792</v>
      </c>
      <c r="C134" s="6"/>
      <c r="D134" s="81"/>
      <c r="E134" s="88"/>
      <c r="F134" s="445">
        <v>100000</v>
      </c>
      <c r="G134" s="88"/>
      <c r="H134" s="551">
        <f>AO88</f>
        <v>0</v>
      </c>
      <c r="I134" s="570"/>
      <c r="J134" s="570"/>
      <c r="K134" s="570"/>
      <c r="L134" s="570"/>
      <c r="M134" s="570"/>
      <c r="N134" s="570"/>
      <c r="O134" s="570"/>
      <c r="P134" s="570"/>
      <c r="Q134" s="570"/>
      <c r="R134" s="570"/>
      <c r="S134" s="570"/>
      <c r="T134" s="570"/>
      <c r="U134" s="570"/>
      <c r="V134" s="570"/>
      <c r="W134" s="570"/>
      <c r="X134" s="570"/>
      <c r="Y134" s="570"/>
      <c r="Z134" s="570"/>
      <c r="AA134" s="570"/>
      <c r="AB134" s="570"/>
      <c r="AC134" s="570"/>
      <c r="AD134" s="570"/>
      <c r="AE134" s="570"/>
      <c r="AF134" s="570"/>
      <c r="AG134" s="570"/>
      <c r="AH134" s="570"/>
      <c r="AI134" s="570"/>
      <c r="AJ134" s="570"/>
      <c r="AK134" s="570"/>
      <c r="AL134" s="570"/>
      <c r="AM134" s="570"/>
      <c r="AN134" s="570"/>
      <c r="AO134" s="6"/>
    </row>
    <row r="135" spans="2:42" ht="13.5" thickBot="1" x14ac:dyDescent="0.25">
      <c r="B135" s="89"/>
      <c r="C135" s="90"/>
      <c r="D135" s="84"/>
      <c r="E135" s="89"/>
      <c r="F135" s="552"/>
      <c r="G135" s="89"/>
      <c r="H135" s="8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</row>
    <row r="136" spans="2:42" ht="12.75" customHeight="1" x14ac:dyDescent="0.2">
      <c r="B136" s="1765" t="s">
        <v>70</v>
      </c>
      <c r="C136" s="1766"/>
      <c r="D136" s="1766"/>
      <c r="E136" s="3"/>
      <c r="F136" s="23"/>
      <c r="G136" s="102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255"/>
    </row>
    <row r="137" spans="2:42" ht="15" x14ac:dyDescent="0.25">
      <c r="B137" s="1768"/>
      <c r="C137" s="1769"/>
      <c r="D137" s="1769"/>
      <c r="E137" s="6"/>
      <c r="F137" s="553">
        <f>F140+F141</f>
        <v>200000</v>
      </c>
      <c r="G137" s="88"/>
      <c r="H137" s="554">
        <f>H140+H141</f>
        <v>218766</v>
      </c>
      <c r="I137" s="554"/>
      <c r="J137" s="554"/>
      <c r="K137" s="554"/>
      <c r="L137" s="554"/>
      <c r="M137" s="554"/>
      <c r="N137" s="554"/>
      <c r="O137" s="554"/>
      <c r="P137" s="554"/>
      <c r="Q137" s="554"/>
      <c r="R137" s="554"/>
      <c r="S137" s="554"/>
      <c r="T137" s="554"/>
      <c r="U137" s="554"/>
      <c r="V137" s="554"/>
      <c r="W137" s="554"/>
      <c r="X137" s="554"/>
      <c r="Y137" s="554"/>
      <c r="Z137" s="554"/>
      <c r="AA137" s="554"/>
      <c r="AB137" s="554"/>
      <c r="AC137" s="554"/>
      <c r="AD137" s="554"/>
      <c r="AE137" s="554"/>
      <c r="AF137" s="554"/>
      <c r="AG137" s="554"/>
      <c r="AH137" s="554"/>
      <c r="AI137" s="554"/>
      <c r="AJ137" s="554"/>
      <c r="AK137" s="554"/>
      <c r="AL137" s="554"/>
      <c r="AM137" s="554"/>
      <c r="AN137" s="554"/>
      <c r="AO137" s="519">
        <f>H137-F137</f>
        <v>18766</v>
      </c>
      <c r="AP137" s="483"/>
    </row>
    <row r="138" spans="2:42" ht="12.75" customHeight="1" x14ac:dyDescent="0.2">
      <c r="B138" s="1778"/>
      <c r="C138" s="1779"/>
      <c r="D138" s="1779"/>
      <c r="E138" s="6"/>
      <c r="F138" s="445"/>
      <c r="G138" s="89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70"/>
    </row>
    <row r="139" spans="2:42" x14ac:dyDescent="0.2">
      <c r="B139" s="102"/>
      <c r="C139" s="87"/>
      <c r="D139" s="80"/>
      <c r="E139" s="102"/>
      <c r="F139" s="444"/>
      <c r="G139" s="102"/>
      <c r="H139" s="80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</row>
    <row r="140" spans="2:42" x14ac:dyDescent="0.2">
      <c r="B140" s="88" t="s">
        <v>793</v>
      </c>
      <c r="C140" s="6"/>
      <c r="D140" s="81"/>
      <c r="E140" s="88"/>
      <c r="F140" s="445">
        <v>100000</v>
      </c>
      <c r="G140" s="88"/>
      <c r="H140" s="551">
        <f>AO14</f>
        <v>0</v>
      </c>
      <c r="I140" s="570"/>
      <c r="J140" s="570"/>
      <c r="K140" s="570"/>
      <c r="L140" s="570"/>
      <c r="M140" s="570"/>
      <c r="N140" s="570"/>
      <c r="O140" s="570"/>
      <c r="P140" s="570"/>
      <c r="Q140" s="570"/>
      <c r="R140" s="570"/>
      <c r="S140" s="570"/>
      <c r="T140" s="570"/>
      <c r="U140" s="570"/>
      <c r="V140" s="570"/>
      <c r="W140" s="570"/>
      <c r="X140" s="570"/>
      <c r="Y140" s="570"/>
      <c r="Z140" s="570"/>
      <c r="AA140" s="570"/>
      <c r="AB140" s="570"/>
      <c r="AC140" s="570"/>
      <c r="AD140" s="570"/>
      <c r="AE140" s="570"/>
      <c r="AF140" s="570"/>
      <c r="AG140" s="570"/>
      <c r="AH140" s="570"/>
      <c r="AI140" s="570"/>
      <c r="AJ140" s="570"/>
      <c r="AK140" s="570"/>
      <c r="AL140" s="570"/>
      <c r="AM140" s="570"/>
      <c r="AN140" s="570"/>
      <c r="AO140" s="6"/>
      <c r="AP140" s="42"/>
    </row>
    <row r="141" spans="2:42" x14ac:dyDescent="0.2">
      <c r="B141" s="88" t="s">
        <v>794</v>
      </c>
      <c r="C141" s="6"/>
      <c r="D141" s="81"/>
      <c r="E141" s="88"/>
      <c r="F141" s="445">
        <v>100000</v>
      </c>
      <c r="G141" s="88"/>
      <c r="H141" s="551">
        <f>AO44</f>
        <v>218766</v>
      </c>
      <c r="I141" s="570"/>
      <c r="J141" s="570"/>
      <c r="K141" s="570"/>
      <c r="L141" s="570"/>
      <c r="M141" s="570"/>
      <c r="N141" s="570"/>
      <c r="O141" s="570"/>
      <c r="P141" s="570"/>
      <c r="Q141" s="570"/>
      <c r="R141" s="570"/>
      <c r="S141" s="570"/>
      <c r="T141" s="570"/>
      <c r="U141" s="570"/>
      <c r="V141" s="570"/>
      <c r="W141" s="570"/>
      <c r="X141" s="570"/>
      <c r="Y141" s="570"/>
      <c r="Z141" s="570"/>
      <c r="AA141" s="570"/>
      <c r="AB141" s="570"/>
      <c r="AC141" s="570"/>
      <c r="AD141" s="570"/>
      <c r="AE141" s="570"/>
      <c r="AF141" s="570"/>
      <c r="AG141" s="570"/>
      <c r="AH141" s="570"/>
      <c r="AI141" s="570"/>
      <c r="AJ141" s="570"/>
      <c r="AK141" s="570"/>
      <c r="AL141" s="570"/>
      <c r="AM141" s="570"/>
      <c r="AN141" s="570"/>
      <c r="AO141" s="6"/>
    </row>
    <row r="142" spans="2:42" ht="13.5" thickBot="1" x14ac:dyDescent="0.25">
      <c r="B142" s="89"/>
      <c r="C142" s="90"/>
      <c r="D142" s="84"/>
      <c r="E142" s="89"/>
      <c r="F142" s="552"/>
      <c r="G142" s="89"/>
      <c r="H142" s="8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</row>
    <row r="143" spans="2:42" ht="12.75" customHeight="1" x14ac:dyDescent="0.2">
      <c r="B143" s="1765" t="s">
        <v>72</v>
      </c>
      <c r="C143" s="1766"/>
      <c r="D143" s="1766"/>
      <c r="E143" s="3"/>
      <c r="F143" s="23"/>
      <c r="G143" s="102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255"/>
    </row>
    <row r="144" spans="2:42" ht="15" x14ac:dyDescent="0.25">
      <c r="B144" s="1768"/>
      <c r="C144" s="1769"/>
      <c r="D144" s="1769"/>
      <c r="E144" s="6"/>
      <c r="F144" s="553">
        <f>F147+F148</f>
        <v>100000</v>
      </c>
      <c r="G144" s="88"/>
      <c r="H144" s="554">
        <f>H147+H148</f>
        <v>96869</v>
      </c>
      <c r="I144" s="554"/>
      <c r="J144" s="554"/>
      <c r="K144" s="554"/>
      <c r="L144" s="554"/>
      <c r="M144" s="554"/>
      <c r="N144" s="554"/>
      <c r="O144" s="554"/>
      <c r="P144" s="554"/>
      <c r="Q144" s="554"/>
      <c r="R144" s="554"/>
      <c r="S144" s="554"/>
      <c r="T144" s="554"/>
      <c r="U144" s="554"/>
      <c r="V144" s="554"/>
      <c r="W144" s="554"/>
      <c r="X144" s="554"/>
      <c r="Y144" s="554"/>
      <c r="Z144" s="554"/>
      <c r="AA144" s="554"/>
      <c r="AB144" s="554"/>
      <c r="AC144" s="554"/>
      <c r="AD144" s="554"/>
      <c r="AE144" s="554"/>
      <c r="AF144" s="554"/>
      <c r="AG144" s="554"/>
      <c r="AH144" s="554"/>
      <c r="AI144" s="554"/>
      <c r="AJ144" s="554"/>
      <c r="AK144" s="554"/>
      <c r="AL144" s="554"/>
      <c r="AM144" s="554"/>
      <c r="AN144" s="554"/>
      <c r="AO144" s="519">
        <f>H144-F144</f>
        <v>-3131</v>
      </c>
      <c r="AP144" s="483"/>
    </row>
    <row r="145" spans="2:42" ht="12.75" customHeight="1" x14ac:dyDescent="0.2">
      <c r="B145" s="1778"/>
      <c r="C145" s="1779"/>
      <c r="D145" s="1779"/>
      <c r="E145" s="6"/>
      <c r="F145" s="445"/>
      <c r="G145" s="89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70"/>
    </row>
    <row r="146" spans="2:42" x14ac:dyDescent="0.2">
      <c r="B146" s="102"/>
      <c r="C146" s="87"/>
      <c r="D146" s="80"/>
      <c r="E146" s="102"/>
      <c r="F146" s="444"/>
      <c r="G146" s="102"/>
      <c r="H146" s="80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</row>
    <row r="147" spans="2:42" x14ac:dyDescent="0.2">
      <c r="B147" s="88" t="s">
        <v>793</v>
      </c>
      <c r="C147" s="6"/>
      <c r="D147" s="81"/>
      <c r="E147" s="88"/>
      <c r="F147" s="445">
        <v>100000</v>
      </c>
      <c r="G147" s="88"/>
      <c r="H147" s="551">
        <f>AO18</f>
        <v>0</v>
      </c>
      <c r="I147" s="570"/>
      <c r="J147" s="570"/>
      <c r="K147" s="570"/>
      <c r="L147" s="570"/>
      <c r="M147" s="570"/>
      <c r="N147" s="570"/>
      <c r="O147" s="570"/>
      <c r="P147" s="570"/>
      <c r="Q147" s="570"/>
      <c r="R147" s="570"/>
      <c r="S147" s="570"/>
      <c r="T147" s="570"/>
      <c r="U147" s="570"/>
      <c r="V147" s="570"/>
      <c r="W147" s="570"/>
      <c r="X147" s="570"/>
      <c r="Y147" s="570"/>
      <c r="Z147" s="570"/>
      <c r="AA147" s="570"/>
      <c r="AB147" s="570"/>
      <c r="AC147" s="570"/>
      <c r="AD147" s="570"/>
      <c r="AE147" s="570"/>
      <c r="AF147" s="570"/>
      <c r="AG147" s="570"/>
      <c r="AH147" s="570"/>
      <c r="AI147" s="570"/>
      <c r="AJ147" s="570"/>
      <c r="AK147" s="570"/>
      <c r="AL147" s="570"/>
      <c r="AM147" s="570"/>
      <c r="AN147" s="570"/>
      <c r="AO147" s="6"/>
    </row>
    <row r="148" spans="2:42" x14ac:dyDescent="0.2">
      <c r="B148" s="88" t="s">
        <v>794</v>
      </c>
      <c r="C148" s="6"/>
      <c r="D148" s="81"/>
      <c r="E148" s="88"/>
      <c r="F148" s="445"/>
      <c r="G148" s="88"/>
      <c r="H148" s="551">
        <f>AO55</f>
        <v>96869</v>
      </c>
      <c r="I148" s="570"/>
      <c r="J148" s="570"/>
      <c r="K148" s="570"/>
      <c r="L148" s="570"/>
      <c r="M148" s="570"/>
      <c r="N148" s="570"/>
      <c r="O148" s="570"/>
      <c r="P148" s="570"/>
      <c r="Q148" s="570"/>
      <c r="R148" s="570"/>
      <c r="S148" s="570"/>
      <c r="T148" s="570"/>
      <c r="U148" s="570"/>
      <c r="V148" s="570"/>
      <c r="W148" s="570"/>
      <c r="X148" s="570"/>
      <c r="Y148" s="570"/>
      <c r="Z148" s="570"/>
      <c r="AA148" s="570"/>
      <c r="AB148" s="570"/>
      <c r="AC148" s="570"/>
      <c r="AD148" s="570"/>
      <c r="AE148" s="570"/>
      <c r="AF148" s="570"/>
      <c r="AG148" s="570"/>
      <c r="AH148" s="570"/>
      <c r="AI148" s="570"/>
      <c r="AJ148" s="570"/>
      <c r="AK148" s="570"/>
      <c r="AL148" s="570"/>
      <c r="AM148" s="570"/>
      <c r="AN148" s="570"/>
      <c r="AO148" s="6"/>
    </row>
    <row r="149" spans="2:42" ht="13.5" thickBot="1" x14ac:dyDescent="0.25">
      <c r="B149" s="89"/>
      <c r="C149" s="90"/>
      <c r="D149" s="84"/>
      <c r="E149" s="89"/>
      <c r="F149" s="552"/>
      <c r="G149" s="89"/>
      <c r="H149" s="8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</row>
    <row r="150" spans="2:42" ht="12.75" customHeight="1" x14ac:dyDescent="0.2">
      <c r="B150" s="1765" t="s">
        <v>330</v>
      </c>
      <c r="C150" s="1766"/>
      <c r="D150" s="1766"/>
      <c r="E150" s="3"/>
      <c r="F150" s="23"/>
      <c r="G150" s="102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255"/>
    </row>
    <row r="151" spans="2:42" ht="15" x14ac:dyDescent="0.25">
      <c r="B151" s="1768"/>
      <c r="C151" s="1769"/>
      <c r="D151" s="1769"/>
      <c r="E151" s="6"/>
      <c r="F151" s="553">
        <f>F154+F155</f>
        <v>400000</v>
      </c>
      <c r="G151" s="88"/>
      <c r="H151" s="553">
        <f>H154+H155</f>
        <v>408803</v>
      </c>
      <c r="I151" s="553"/>
      <c r="J151" s="553"/>
      <c r="K151" s="553"/>
      <c r="L151" s="553"/>
      <c r="M151" s="553"/>
      <c r="N151" s="553"/>
      <c r="O151" s="553"/>
      <c r="P151" s="553"/>
      <c r="Q151" s="553"/>
      <c r="R151" s="553"/>
      <c r="S151" s="553"/>
      <c r="T151" s="553"/>
      <c r="U151" s="553"/>
      <c r="V151" s="553"/>
      <c r="W151" s="553"/>
      <c r="X151" s="553"/>
      <c r="Y151" s="553"/>
      <c r="Z151" s="553"/>
      <c r="AA151" s="553"/>
      <c r="AB151" s="553"/>
      <c r="AC151" s="553"/>
      <c r="AD151" s="553"/>
      <c r="AE151" s="553"/>
      <c r="AF151" s="553"/>
      <c r="AG151" s="553"/>
      <c r="AH151" s="553"/>
      <c r="AI151" s="553"/>
      <c r="AJ151" s="553"/>
      <c r="AK151" s="553"/>
      <c r="AL151" s="553"/>
      <c r="AM151" s="553"/>
      <c r="AN151" s="553"/>
      <c r="AO151" s="519">
        <f>H151-F151</f>
        <v>8803</v>
      </c>
      <c r="AP151" s="483"/>
    </row>
    <row r="152" spans="2:42" ht="12.75" customHeight="1" x14ac:dyDescent="0.2">
      <c r="B152" s="1778"/>
      <c r="C152" s="1779"/>
      <c r="D152" s="1779"/>
      <c r="E152" s="6"/>
      <c r="F152" s="445"/>
      <c r="G152" s="89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70"/>
    </row>
    <row r="153" spans="2:42" x14ac:dyDescent="0.2">
      <c r="B153" s="102"/>
      <c r="C153" s="87"/>
      <c r="D153" s="80"/>
      <c r="E153" s="102"/>
      <c r="F153" s="444"/>
      <c r="G153" s="102"/>
      <c r="H153" s="80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</row>
    <row r="154" spans="2:42" x14ac:dyDescent="0.2">
      <c r="B154" s="88" t="s">
        <v>793</v>
      </c>
      <c r="C154" s="6"/>
      <c r="D154" s="81"/>
      <c r="E154" s="88"/>
      <c r="F154" s="445">
        <v>200000</v>
      </c>
      <c r="G154" s="88"/>
      <c r="H154" s="551">
        <f>AO23</f>
        <v>0</v>
      </c>
      <c r="I154" s="570"/>
      <c r="J154" s="570"/>
      <c r="K154" s="570"/>
      <c r="L154" s="570"/>
      <c r="M154" s="570"/>
      <c r="N154" s="570"/>
      <c r="O154" s="570"/>
      <c r="P154" s="570"/>
      <c r="Q154" s="570"/>
      <c r="R154" s="570"/>
      <c r="S154" s="570"/>
      <c r="T154" s="570"/>
      <c r="U154" s="570"/>
      <c r="V154" s="570"/>
      <c r="W154" s="570"/>
      <c r="X154" s="570"/>
      <c r="Y154" s="570"/>
      <c r="Z154" s="570"/>
      <c r="AA154" s="570"/>
      <c r="AB154" s="570"/>
      <c r="AC154" s="570"/>
      <c r="AD154" s="570"/>
      <c r="AE154" s="570"/>
      <c r="AF154" s="570"/>
      <c r="AG154" s="570"/>
      <c r="AH154" s="570"/>
      <c r="AI154" s="570"/>
      <c r="AJ154" s="570"/>
      <c r="AK154" s="570"/>
      <c r="AL154" s="570"/>
      <c r="AM154" s="570"/>
      <c r="AN154" s="570"/>
      <c r="AO154" s="6"/>
    </row>
    <row r="155" spans="2:42" x14ac:dyDescent="0.2">
      <c r="B155" s="88" t="s">
        <v>794</v>
      </c>
      <c r="C155" s="6"/>
      <c r="D155" s="81"/>
      <c r="E155" s="88"/>
      <c r="F155" s="445">
        <v>200000</v>
      </c>
      <c r="G155" s="88"/>
      <c r="H155" s="551">
        <f>AO62</f>
        <v>408803</v>
      </c>
      <c r="I155" s="570"/>
      <c r="J155" s="570"/>
      <c r="K155" s="570"/>
      <c r="L155" s="570"/>
      <c r="M155" s="570"/>
      <c r="N155" s="570"/>
      <c r="O155" s="570"/>
      <c r="P155" s="570"/>
      <c r="Q155" s="570"/>
      <c r="R155" s="570"/>
      <c r="S155" s="570"/>
      <c r="T155" s="570"/>
      <c r="U155" s="570"/>
      <c r="V155" s="570"/>
      <c r="W155" s="570"/>
      <c r="X155" s="570"/>
      <c r="Y155" s="570"/>
      <c r="Z155" s="570"/>
      <c r="AA155" s="570"/>
      <c r="AB155" s="570"/>
      <c r="AC155" s="570"/>
      <c r="AD155" s="570"/>
      <c r="AE155" s="570"/>
      <c r="AF155" s="570"/>
      <c r="AG155" s="570"/>
      <c r="AH155" s="570"/>
      <c r="AI155" s="570"/>
      <c r="AJ155" s="570"/>
      <c r="AK155" s="570"/>
      <c r="AL155" s="570"/>
      <c r="AM155" s="570"/>
      <c r="AN155" s="570"/>
      <c r="AO155" s="6"/>
    </row>
    <row r="156" spans="2:42" x14ac:dyDescent="0.2">
      <c r="B156" s="89"/>
      <c r="C156" s="90"/>
      <c r="D156" s="84"/>
      <c r="E156" s="89"/>
      <c r="F156" s="555"/>
      <c r="G156" s="89"/>
      <c r="H156" s="8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</row>
    <row r="157" spans="2:42" x14ac:dyDescent="0.2">
      <c r="B157" s="102"/>
      <c r="C157" s="87"/>
      <c r="D157" s="80"/>
      <c r="E157" s="102"/>
      <c r="F157" s="444"/>
      <c r="G157" s="102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255"/>
    </row>
    <row r="158" spans="2:42" ht="15" x14ac:dyDescent="0.25">
      <c r="B158" s="512" t="s">
        <v>671</v>
      </c>
      <c r="C158" s="6"/>
      <c r="D158" s="81"/>
      <c r="E158" s="88"/>
      <c r="F158" s="553">
        <f>F151+F144+F137+F129</f>
        <v>1050000</v>
      </c>
      <c r="G158" s="88"/>
      <c r="H158" s="554">
        <f>H151+H144+H137+H129</f>
        <v>1208231.838</v>
      </c>
      <c r="I158" s="554"/>
      <c r="J158" s="554"/>
      <c r="K158" s="554"/>
      <c r="L158" s="554"/>
      <c r="M158" s="554"/>
      <c r="N158" s="554"/>
      <c r="O158" s="554"/>
      <c r="P158" s="554"/>
      <c r="Q158" s="554"/>
      <c r="R158" s="554"/>
      <c r="S158" s="554"/>
      <c r="T158" s="554"/>
      <c r="U158" s="554"/>
      <c r="V158" s="554"/>
      <c r="W158" s="554"/>
      <c r="X158" s="554"/>
      <c r="Y158" s="554"/>
      <c r="Z158" s="554"/>
      <c r="AA158" s="554"/>
      <c r="AB158" s="554"/>
      <c r="AC158" s="554"/>
      <c r="AD158" s="554"/>
      <c r="AE158" s="554"/>
      <c r="AF158" s="554"/>
      <c r="AG158" s="554"/>
      <c r="AH158" s="554"/>
      <c r="AI158" s="554"/>
      <c r="AJ158" s="554"/>
      <c r="AK158" s="554"/>
      <c r="AL158" s="554"/>
      <c r="AM158" s="554"/>
      <c r="AN158" s="554"/>
      <c r="AO158" s="519">
        <f>H158-F158</f>
        <v>158231.83799999999</v>
      </c>
    </row>
    <row r="159" spans="2:42" x14ac:dyDescent="0.2">
      <c r="B159" s="89"/>
      <c r="C159" s="90"/>
      <c r="D159" s="84"/>
      <c r="E159" s="89"/>
      <c r="F159" s="555"/>
      <c r="G159" s="89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70"/>
    </row>
    <row r="163" spans="1:43" ht="12.75" customHeight="1" x14ac:dyDescent="0.2">
      <c r="B163" s="1780"/>
      <c r="C163" s="1780"/>
      <c r="D163" s="1780"/>
      <c r="E163" s="1780"/>
      <c r="F163" s="1780"/>
      <c r="G163" s="544"/>
    </row>
    <row r="164" spans="1:43" ht="23.25" x14ac:dyDescent="0.2">
      <c r="B164" s="1780"/>
      <c r="C164" s="1780"/>
      <c r="D164" s="1780"/>
      <c r="E164" s="1780"/>
      <c r="F164" s="1780"/>
      <c r="G164" s="545"/>
      <c r="H164" s="546"/>
      <c r="I164" s="546"/>
      <c r="J164" s="546"/>
      <c r="K164" s="546"/>
      <c r="L164" s="546"/>
      <c r="M164" s="546"/>
      <c r="N164" s="546"/>
      <c r="O164" s="546"/>
      <c r="P164" s="546"/>
      <c r="Q164" s="546"/>
      <c r="R164" s="546"/>
      <c r="S164" s="546"/>
      <c r="T164" s="546"/>
      <c r="U164" s="546"/>
      <c r="V164" s="546"/>
      <c r="W164" s="546"/>
      <c r="X164" s="546"/>
      <c r="Y164" s="546"/>
      <c r="Z164" s="546"/>
      <c r="AA164" s="546"/>
      <c r="AB164" s="546"/>
      <c r="AC164" s="546"/>
      <c r="AD164" s="546"/>
      <c r="AE164" s="546"/>
      <c r="AF164" s="546"/>
      <c r="AG164" s="546"/>
      <c r="AH164" s="546"/>
      <c r="AI164" s="546"/>
      <c r="AJ164" s="546"/>
      <c r="AK164" s="546"/>
      <c r="AL164" s="546"/>
      <c r="AM164" s="546"/>
      <c r="AN164" s="546"/>
    </row>
    <row r="165" spans="1:43" s="613" customFormat="1" ht="23.25" customHeight="1" x14ac:dyDescent="0.2">
      <c r="A165" s="1780" t="s">
        <v>1413</v>
      </c>
      <c r="B165" s="1780"/>
      <c r="C165" s="1780"/>
      <c r="D165" s="1780"/>
      <c r="E165" s="1780"/>
      <c r="F165" s="1780"/>
      <c r="G165" s="1780"/>
      <c r="H165" s="1780"/>
      <c r="I165" s="1780"/>
      <c r="J165" s="1780"/>
      <c r="K165" s="1780"/>
      <c r="L165" s="1780"/>
      <c r="M165" s="1780"/>
      <c r="N165" s="1780"/>
      <c r="O165" s="1780"/>
      <c r="P165" s="1780"/>
      <c r="Q165" s="1780"/>
      <c r="R165" s="1780"/>
      <c r="S165" s="1780"/>
      <c r="T165" s="1780"/>
      <c r="U165" s="1780"/>
      <c r="V165" s="1780"/>
      <c r="W165" s="1780"/>
      <c r="X165" s="1780"/>
      <c r="Y165" s="1780"/>
      <c r="Z165" s="1780"/>
      <c r="AA165" s="1780"/>
      <c r="AB165" s="1780"/>
      <c r="AC165" s="1780"/>
      <c r="AD165" s="1780"/>
      <c r="AE165" s="1780"/>
      <c r="AF165" s="1780"/>
      <c r="AG165" s="1780"/>
      <c r="AH165" s="1780"/>
      <c r="AI165" s="1780"/>
      <c r="AJ165" s="1780"/>
      <c r="AK165" s="1780"/>
      <c r="AL165" s="1780"/>
      <c r="AM165" s="1780"/>
      <c r="AN165" s="1780"/>
      <c r="AO165" s="1780"/>
      <c r="AP165" s="1780"/>
    </row>
    <row r="166" spans="1:43" s="613" customFormat="1" ht="23.25" customHeight="1" x14ac:dyDescent="0.2">
      <c r="A166" s="1780"/>
      <c r="B166" s="1780"/>
      <c r="C166" s="1780"/>
      <c r="D166" s="1780"/>
      <c r="E166" s="1780"/>
      <c r="F166" s="1780"/>
      <c r="G166" s="1780"/>
      <c r="H166" s="1780"/>
      <c r="I166" s="1780"/>
      <c r="J166" s="1780"/>
      <c r="K166" s="1780"/>
      <c r="L166" s="1780"/>
      <c r="M166" s="1780"/>
      <c r="N166" s="1780"/>
      <c r="O166" s="1780"/>
      <c r="P166" s="1780"/>
      <c r="Q166" s="1780"/>
      <c r="R166" s="1780"/>
      <c r="S166" s="1780"/>
      <c r="T166" s="1780"/>
      <c r="U166" s="1780"/>
      <c r="V166" s="1780"/>
      <c r="W166" s="1780"/>
      <c r="X166" s="1780"/>
      <c r="Y166" s="1780"/>
      <c r="Z166" s="1780"/>
      <c r="AA166" s="1780"/>
      <c r="AB166" s="1780"/>
      <c r="AC166" s="1780"/>
      <c r="AD166" s="1780"/>
      <c r="AE166" s="1780"/>
      <c r="AF166" s="1780"/>
      <c r="AG166" s="1780"/>
      <c r="AH166" s="1780"/>
      <c r="AI166" s="1780"/>
      <c r="AJ166" s="1780"/>
      <c r="AK166" s="1780"/>
      <c r="AL166" s="1780"/>
      <c r="AM166" s="1780"/>
      <c r="AN166" s="1780"/>
      <c r="AO166" s="1780"/>
      <c r="AP166" s="1780"/>
    </row>
    <row r="167" spans="1:43" ht="23.25" x14ac:dyDescent="0.25">
      <c r="B167" s="545"/>
      <c r="C167" s="545"/>
      <c r="D167" s="545"/>
      <c r="E167" s="545"/>
      <c r="F167" s="545"/>
      <c r="G167" s="615"/>
      <c r="H167" s="545"/>
      <c r="I167" s="567"/>
      <c r="J167" s="591"/>
      <c r="K167" s="594"/>
      <c r="L167" s="620"/>
      <c r="M167" s="620"/>
      <c r="N167" s="670"/>
      <c r="O167" s="690"/>
      <c r="P167" s="733"/>
      <c r="Q167" s="751"/>
      <c r="R167" s="780"/>
      <c r="S167" s="800"/>
      <c r="T167" s="833"/>
      <c r="U167" s="851"/>
      <c r="V167" s="885"/>
      <c r="W167" s="900"/>
      <c r="X167" s="945"/>
      <c r="Y167" s="951"/>
      <c r="Z167" s="1033"/>
      <c r="AA167" s="1046"/>
      <c r="AB167" s="1064"/>
      <c r="AC167" s="1127"/>
      <c r="AD167" s="1159"/>
      <c r="AE167" s="1193"/>
      <c r="AF167" s="1410"/>
      <c r="AG167" s="1446"/>
      <c r="AH167" s="1417"/>
      <c r="AI167" s="1482"/>
      <c r="AJ167" s="1482"/>
      <c r="AK167" s="1542"/>
      <c r="AL167" s="1601"/>
      <c r="AM167" s="1638"/>
      <c r="AN167" s="1723"/>
      <c r="AO167" s="545"/>
    </row>
    <row r="168" spans="1:43" ht="24" thickBot="1" x14ac:dyDescent="0.3">
      <c r="B168" s="614"/>
      <c r="C168" s="614"/>
      <c r="D168" s="614"/>
      <c r="E168" s="614"/>
      <c r="F168" s="614"/>
      <c r="G168" s="615"/>
      <c r="H168" s="614"/>
      <c r="I168" s="614"/>
      <c r="J168" s="614"/>
      <c r="K168" s="614"/>
      <c r="L168" s="620"/>
      <c r="M168" s="620"/>
      <c r="N168" s="670"/>
      <c r="O168" s="690"/>
      <c r="P168" s="733"/>
      <c r="Q168" s="751"/>
      <c r="R168" s="780"/>
      <c r="S168" s="800"/>
      <c r="T168" s="833"/>
      <c r="U168" s="851"/>
      <c r="V168" s="885"/>
      <c r="W168" s="900"/>
      <c r="X168" s="945"/>
      <c r="Y168" s="951"/>
      <c r="Z168" s="1033"/>
      <c r="AA168" s="1046"/>
      <c r="AB168" s="1064"/>
      <c r="AC168" s="1127"/>
      <c r="AD168" s="1159"/>
      <c r="AE168" s="1193"/>
      <c r="AF168" s="1410"/>
      <c r="AG168" s="1446"/>
      <c r="AH168" s="1417"/>
      <c r="AI168" s="1482"/>
      <c r="AJ168" s="1482"/>
      <c r="AK168" s="1542"/>
      <c r="AL168" s="1601"/>
      <c r="AM168" s="1638"/>
      <c r="AN168" s="1723"/>
      <c r="AO168" s="614"/>
    </row>
    <row r="169" spans="1:43" ht="24" thickBot="1" x14ac:dyDescent="0.3">
      <c r="B169" s="546"/>
      <c r="C169" s="546"/>
      <c r="D169" s="546"/>
      <c r="E169" s="1774" t="s">
        <v>787</v>
      </c>
      <c r="F169" s="1775"/>
      <c r="G169" s="1657" t="s">
        <v>834</v>
      </c>
      <c r="H169" s="1783" t="s">
        <v>834</v>
      </c>
      <c r="I169" s="1784"/>
      <c r="J169" s="548"/>
      <c r="K169" s="548"/>
      <c r="L169" s="548"/>
      <c r="M169" s="548"/>
      <c r="N169" s="548"/>
      <c r="O169" s="548"/>
      <c r="P169" s="548"/>
      <c r="Q169" s="548"/>
      <c r="R169" s="548"/>
      <c r="S169" s="548"/>
      <c r="T169" s="548"/>
      <c r="U169" s="548"/>
      <c r="V169" s="548"/>
      <c r="W169" s="548"/>
      <c r="X169" s="548"/>
      <c r="Y169" s="548"/>
      <c r="Z169" s="548"/>
      <c r="AA169" s="548"/>
      <c r="AB169" s="548"/>
      <c r="AC169" s="548"/>
      <c r="AD169" s="548"/>
      <c r="AE169" s="548"/>
      <c r="AF169" s="548"/>
      <c r="AG169" s="548"/>
      <c r="AH169" s="548"/>
      <c r="AI169" s="548"/>
      <c r="AJ169" s="548"/>
      <c r="AK169" s="548"/>
      <c r="AL169" s="548"/>
      <c r="AM169" s="548"/>
      <c r="AN169" s="1728"/>
      <c r="AO169" s="1673" t="s">
        <v>789</v>
      </c>
      <c r="AP169" s="1674" t="s">
        <v>795</v>
      </c>
    </row>
    <row r="170" spans="1:43" ht="15.75" x14ac:dyDescent="0.25">
      <c r="B170" s="1765" t="s">
        <v>113</v>
      </c>
      <c r="C170" s="1766"/>
      <c r="D170" s="1767"/>
      <c r="E170" s="87"/>
      <c r="F170" s="548"/>
      <c r="G170" s="255"/>
      <c r="H170" s="1666"/>
      <c r="I170" s="1672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48"/>
      <c r="W170" s="548"/>
      <c r="X170" s="548"/>
      <c r="Y170" s="548"/>
      <c r="Z170" s="548"/>
      <c r="AA170" s="548"/>
      <c r="AB170" s="548"/>
      <c r="AC170" s="548"/>
      <c r="AD170" s="548"/>
      <c r="AE170" s="548"/>
      <c r="AF170" s="548"/>
      <c r="AG170" s="548"/>
      <c r="AH170" s="548"/>
      <c r="AI170" s="548"/>
      <c r="AJ170" s="548"/>
      <c r="AK170" s="548"/>
      <c r="AL170" s="548"/>
      <c r="AM170" s="548"/>
      <c r="AN170" s="548"/>
      <c r="AO170" s="255"/>
      <c r="AP170" s="88"/>
      <c r="AQ170" s="6"/>
    </row>
    <row r="171" spans="1:43" ht="15.75" x14ac:dyDescent="0.25">
      <c r="B171" s="1768"/>
      <c r="C171" s="1769"/>
      <c r="D171" s="1770"/>
      <c r="E171" s="93" t="s">
        <v>801</v>
      </c>
      <c r="F171" s="550">
        <f>F174+F175+F176+F177+F178+F179</f>
        <v>1950000</v>
      </c>
      <c r="G171" s="617">
        <v>2950000</v>
      </c>
      <c r="H171" s="617">
        <f>H174+H175+H176+H177+H178+H179</f>
        <v>3650000</v>
      </c>
      <c r="I171" s="550"/>
      <c r="J171" s="550"/>
      <c r="K171" s="550"/>
      <c r="L171" s="550"/>
      <c r="M171" s="550"/>
      <c r="N171" s="550"/>
      <c r="O171" s="550"/>
      <c r="P171" s="550"/>
      <c r="Q171" s="550"/>
      <c r="R171" s="550"/>
      <c r="S171" s="550"/>
      <c r="T171" s="550"/>
      <c r="U171" s="550"/>
      <c r="V171" s="550"/>
      <c r="W171" s="550"/>
      <c r="X171" s="550"/>
      <c r="Y171" s="550"/>
      <c r="Z171" s="550"/>
      <c r="AA171" s="550"/>
      <c r="AB171" s="550"/>
      <c r="AC171" s="550"/>
      <c r="AD171" s="550"/>
      <c r="AE171" s="550"/>
      <c r="AF171" s="550"/>
      <c r="AG171" s="550"/>
      <c r="AH171" s="550"/>
      <c r="AI171" s="550"/>
      <c r="AJ171" s="550"/>
      <c r="AK171" s="550"/>
      <c r="AL171" s="550"/>
      <c r="AM171" s="550"/>
      <c r="AN171" s="550"/>
      <c r="AO171" s="519">
        <f>H171-F171</f>
        <v>1700000</v>
      </c>
      <c r="AP171" s="88"/>
      <c r="AQ171" s="6"/>
    </row>
    <row r="172" spans="1:43" ht="12.75" customHeight="1" thickBot="1" x14ac:dyDescent="0.25">
      <c r="B172" s="1771"/>
      <c r="C172" s="1772"/>
      <c r="D172" s="1773"/>
      <c r="E172" s="90"/>
      <c r="F172" s="84"/>
      <c r="G172" s="70"/>
      <c r="H172" s="70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70"/>
      <c r="AP172" s="89"/>
      <c r="AQ172" s="6"/>
    </row>
    <row r="173" spans="1:43" x14ac:dyDescent="0.2">
      <c r="B173" s="88"/>
      <c r="C173" s="6"/>
      <c r="D173" s="81"/>
      <c r="E173" s="102"/>
      <c r="F173" s="444"/>
      <c r="G173" s="255"/>
      <c r="H173" s="255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255"/>
    </row>
    <row r="174" spans="1:43" x14ac:dyDescent="0.2">
      <c r="B174" s="88" t="s">
        <v>790</v>
      </c>
      <c r="C174" s="6"/>
      <c r="D174" s="81"/>
      <c r="E174" s="88"/>
      <c r="F174" s="445">
        <v>150000</v>
      </c>
      <c r="G174" s="66"/>
      <c r="H174" s="616">
        <v>150000</v>
      </c>
      <c r="I174" s="570"/>
      <c r="J174" s="570"/>
      <c r="K174" s="570"/>
      <c r="L174" s="570"/>
      <c r="M174" s="570"/>
      <c r="N174" s="570"/>
      <c r="O174" s="570"/>
      <c r="P174" s="570"/>
      <c r="Q174" s="570"/>
      <c r="R174" s="570"/>
      <c r="S174" s="570"/>
      <c r="T174" s="570"/>
      <c r="U174" s="570"/>
      <c r="V174" s="570"/>
      <c r="W174" s="570"/>
      <c r="X174" s="570"/>
      <c r="Y174" s="570"/>
      <c r="Z174" s="570"/>
      <c r="AA174" s="570"/>
      <c r="AB174" s="570"/>
      <c r="AC174" s="570"/>
      <c r="AD174" s="570"/>
      <c r="AE174" s="570"/>
      <c r="AF174" s="570"/>
      <c r="AG174" s="570"/>
      <c r="AH174" s="570"/>
      <c r="AI174" s="570"/>
      <c r="AJ174" s="570"/>
      <c r="AK174" s="570"/>
      <c r="AL174" s="570"/>
      <c r="AM174" s="570"/>
      <c r="AN174" s="570"/>
      <c r="AO174" s="6"/>
      <c r="AP174" s="1667" t="s">
        <v>1406</v>
      </c>
    </row>
    <row r="175" spans="1:43" x14ac:dyDescent="0.2">
      <c r="B175" s="88" t="s">
        <v>791</v>
      </c>
      <c r="C175" s="6"/>
      <c r="D175" s="81"/>
      <c r="E175" s="88"/>
      <c r="F175" s="445">
        <v>200000</v>
      </c>
      <c r="G175" s="66"/>
      <c r="H175" s="616">
        <v>200000</v>
      </c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/>
      <c r="W175" s="570"/>
      <c r="X175" s="570"/>
      <c r="Y175" s="570"/>
      <c r="Z175" s="570"/>
      <c r="AA175" s="570"/>
      <c r="AB175" s="570"/>
      <c r="AC175" s="570"/>
      <c r="AD175" s="570"/>
      <c r="AE175" s="570"/>
      <c r="AF175" s="570"/>
      <c r="AG175" s="570"/>
      <c r="AH175" s="570"/>
      <c r="AI175" s="570"/>
      <c r="AJ175" s="570"/>
      <c r="AK175" s="570"/>
      <c r="AL175" s="570"/>
      <c r="AM175" s="570"/>
      <c r="AN175" s="570"/>
      <c r="AO175" s="6"/>
      <c r="AP175" s="73" t="s">
        <v>1400</v>
      </c>
    </row>
    <row r="176" spans="1:43" x14ac:dyDescent="0.2">
      <c r="B176" s="88" t="s">
        <v>792</v>
      </c>
      <c r="C176" s="6"/>
      <c r="D176" s="81"/>
      <c r="E176" s="88"/>
      <c r="F176" s="445">
        <v>100000</v>
      </c>
      <c r="G176" s="66"/>
      <c r="H176" s="616">
        <v>100000</v>
      </c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0"/>
      <c r="W176" s="570"/>
      <c r="X176" s="570"/>
      <c r="Y176" s="570"/>
      <c r="Z176" s="570"/>
      <c r="AA176" s="570"/>
      <c r="AB176" s="570"/>
      <c r="AC176" s="570"/>
      <c r="AD176" s="570"/>
      <c r="AE176" s="570"/>
      <c r="AF176" s="570"/>
      <c r="AG176" s="570"/>
      <c r="AH176" s="570"/>
      <c r="AI176" s="570"/>
      <c r="AJ176" s="570"/>
      <c r="AK176" s="570"/>
      <c r="AL176" s="570"/>
      <c r="AM176" s="570"/>
      <c r="AN176" s="570"/>
      <c r="AO176" s="6"/>
      <c r="AP176" s="73" t="s">
        <v>1401</v>
      </c>
    </row>
    <row r="177" spans="2:42" x14ac:dyDescent="0.2">
      <c r="B177" s="88" t="s">
        <v>796</v>
      </c>
      <c r="C177" s="6"/>
      <c r="D177" s="81"/>
      <c r="E177" s="28">
        <v>500000</v>
      </c>
      <c r="F177" s="445">
        <v>700000</v>
      </c>
      <c r="G177" s="616">
        <v>1200000</v>
      </c>
      <c r="H177" s="616">
        <v>1300000</v>
      </c>
      <c r="I177" s="570"/>
      <c r="J177" s="570"/>
      <c r="K177" s="570"/>
      <c r="L177" s="570"/>
      <c r="M177" s="570"/>
      <c r="N177" s="570"/>
      <c r="O177" s="570"/>
      <c r="P177" s="570"/>
      <c r="Q177" s="570"/>
      <c r="R177" s="570"/>
      <c r="S177" s="570"/>
      <c r="T177" s="570"/>
      <c r="U177" s="570"/>
      <c r="V177" s="570"/>
      <c r="W177" s="570"/>
      <c r="X177" s="570"/>
      <c r="Y177" s="570"/>
      <c r="Z177" s="570"/>
      <c r="AA177" s="570"/>
      <c r="AB177" s="570"/>
      <c r="AC177" s="570"/>
      <c r="AD177" s="570"/>
      <c r="AE177" s="570"/>
      <c r="AF177" s="570"/>
      <c r="AG177" s="570"/>
      <c r="AH177" s="570"/>
      <c r="AI177" s="570"/>
      <c r="AJ177" s="570"/>
      <c r="AK177" s="570"/>
      <c r="AL177" s="570"/>
      <c r="AM177" s="570"/>
      <c r="AN177" s="570"/>
      <c r="AO177" s="6"/>
      <c r="AP177" s="73" t="s">
        <v>1402</v>
      </c>
    </row>
    <row r="178" spans="2:42" x14ac:dyDescent="0.2">
      <c r="B178" s="88" t="s">
        <v>797</v>
      </c>
      <c r="C178" s="6"/>
      <c r="D178" s="81"/>
      <c r="E178" s="28">
        <v>500000</v>
      </c>
      <c r="F178" s="445">
        <v>700000</v>
      </c>
      <c r="G178" s="616">
        <v>1200000</v>
      </c>
      <c r="H178" s="616">
        <v>1500000</v>
      </c>
      <c r="I178" s="570"/>
      <c r="J178" s="570"/>
      <c r="K178" s="570"/>
      <c r="L178" s="570"/>
      <c r="M178" s="570"/>
      <c r="N178" s="570"/>
      <c r="O178" s="570"/>
      <c r="P178" s="570"/>
      <c r="Q178" s="570"/>
      <c r="R178" s="570"/>
      <c r="S178" s="570"/>
      <c r="T178" s="570"/>
      <c r="U178" s="570"/>
      <c r="V178" s="570"/>
      <c r="W178" s="570"/>
      <c r="X178" s="570"/>
      <c r="Y178" s="570"/>
      <c r="Z178" s="570"/>
      <c r="AA178" s="570"/>
      <c r="AB178" s="570"/>
      <c r="AC178" s="570"/>
      <c r="AD178" s="570"/>
      <c r="AE178" s="570"/>
      <c r="AF178" s="570"/>
      <c r="AG178" s="570"/>
      <c r="AH178" s="570"/>
      <c r="AI178" s="570"/>
      <c r="AJ178" s="570"/>
      <c r="AK178" s="570"/>
      <c r="AL178" s="570"/>
      <c r="AM178" s="570"/>
      <c r="AN178" s="570"/>
      <c r="AO178" s="6"/>
      <c r="AP178" s="73" t="s">
        <v>1403</v>
      </c>
    </row>
    <row r="179" spans="2:42" x14ac:dyDescent="0.2">
      <c r="B179" s="88" t="s">
        <v>798</v>
      </c>
      <c r="C179" s="6"/>
      <c r="D179" s="81"/>
      <c r="E179" s="88"/>
      <c r="F179" s="445">
        <v>100000</v>
      </c>
      <c r="G179" s="66"/>
      <c r="H179" s="616">
        <v>400000</v>
      </c>
      <c r="I179" s="570"/>
      <c r="J179" s="570"/>
      <c r="K179" s="570"/>
      <c r="L179" s="570"/>
      <c r="M179" s="570"/>
      <c r="N179" s="570"/>
      <c r="O179" s="570"/>
      <c r="P179" s="570"/>
      <c r="Q179" s="570"/>
      <c r="R179" s="570"/>
      <c r="S179" s="570"/>
      <c r="T179" s="570"/>
      <c r="U179" s="570"/>
      <c r="V179" s="570"/>
      <c r="W179" s="570"/>
      <c r="X179" s="570"/>
      <c r="Y179" s="570"/>
      <c r="Z179" s="570"/>
      <c r="AA179" s="570"/>
      <c r="AB179" s="570"/>
      <c r="AC179" s="570"/>
      <c r="AD179" s="570"/>
      <c r="AE179" s="570"/>
      <c r="AF179" s="570"/>
      <c r="AG179" s="570"/>
      <c r="AH179" s="570"/>
      <c r="AI179" s="570"/>
      <c r="AJ179" s="570"/>
      <c r="AK179" s="570"/>
      <c r="AL179" s="570"/>
      <c r="AM179" s="570"/>
      <c r="AN179" s="570"/>
      <c r="AO179" s="6"/>
      <c r="AP179" s="73" t="s">
        <v>1402</v>
      </c>
    </row>
    <row r="180" spans="2:42" ht="13.5" thickBot="1" x14ac:dyDescent="0.25">
      <c r="B180" s="89"/>
      <c r="C180" s="90"/>
      <c r="D180" s="84"/>
      <c r="E180" s="89"/>
      <c r="F180" s="552"/>
      <c r="G180" s="70"/>
      <c r="H180" s="70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70"/>
    </row>
    <row r="181" spans="2:42" ht="12.75" customHeight="1" x14ac:dyDescent="0.2">
      <c r="B181" s="1765" t="s">
        <v>70</v>
      </c>
      <c r="C181" s="1766"/>
      <c r="D181" s="1767"/>
      <c r="E181" s="3"/>
      <c r="F181" s="23"/>
      <c r="G181" s="255"/>
      <c r="H181" s="255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255"/>
    </row>
    <row r="182" spans="2:42" ht="15" x14ac:dyDescent="0.25">
      <c r="B182" s="1768"/>
      <c r="C182" s="1769"/>
      <c r="D182" s="1770"/>
      <c r="E182" s="6"/>
      <c r="F182" s="553">
        <f>F185+F186+F187+F188</f>
        <v>375000</v>
      </c>
      <c r="G182" s="617">
        <v>375000</v>
      </c>
      <c r="H182" s="617">
        <v>525000</v>
      </c>
      <c r="I182" s="554"/>
      <c r="J182" s="554"/>
      <c r="K182" s="554"/>
      <c r="L182" s="554"/>
      <c r="M182" s="554"/>
      <c r="N182" s="554"/>
      <c r="O182" s="554"/>
      <c r="P182" s="554"/>
      <c r="Q182" s="554"/>
      <c r="R182" s="554"/>
      <c r="S182" s="554"/>
      <c r="T182" s="554"/>
      <c r="U182" s="554"/>
      <c r="V182" s="554"/>
      <c r="W182" s="554"/>
      <c r="X182" s="554"/>
      <c r="Y182" s="554"/>
      <c r="Z182" s="554"/>
      <c r="AA182" s="554"/>
      <c r="AB182" s="554"/>
      <c r="AC182" s="554"/>
      <c r="AD182" s="554"/>
      <c r="AE182" s="554"/>
      <c r="AF182" s="554"/>
      <c r="AG182" s="554"/>
      <c r="AH182" s="554"/>
      <c r="AI182" s="554"/>
      <c r="AJ182" s="554"/>
      <c r="AK182" s="554"/>
      <c r="AL182" s="554"/>
      <c r="AM182" s="554"/>
      <c r="AN182" s="554"/>
      <c r="AO182" s="519">
        <f>H182-F182</f>
        <v>150000</v>
      </c>
    </row>
    <row r="183" spans="2:42" ht="12.75" customHeight="1" thickBot="1" x14ac:dyDescent="0.25">
      <c r="B183" s="1771"/>
      <c r="C183" s="1772"/>
      <c r="D183" s="1773"/>
      <c r="E183" s="6"/>
      <c r="F183" s="445"/>
      <c r="G183" s="70"/>
      <c r="H183" s="70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70"/>
    </row>
    <row r="184" spans="2:42" x14ac:dyDescent="0.2">
      <c r="B184" s="88"/>
      <c r="C184" s="6"/>
      <c r="D184" s="81"/>
      <c r="E184" s="102"/>
      <c r="F184" s="444"/>
      <c r="G184" s="255"/>
      <c r="H184" s="255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373"/>
    </row>
    <row r="185" spans="2:42" x14ac:dyDescent="0.2">
      <c r="B185" s="88" t="s">
        <v>793</v>
      </c>
      <c r="C185" s="6"/>
      <c r="D185" s="81"/>
      <c r="E185" s="88"/>
      <c r="F185" s="445">
        <v>75000</v>
      </c>
      <c r="G185" s="66"/>
      <c r="H185" s="616">
        <v>100000</v>
      </c>
      <c r="I185" s="570"/>
      <c r="J185" s="570"/>
      <c r="K185" s="570"/>
      <c r="L185" s="570"/>
      <c r="M185" s="570"/>
      <c r="N185" s="570"/>
      <c r="O185" s="570"/>
      <c r="P185" s="570"/>
      <c r="Q185" s="570"/>
      <c r="R185" s="570"/>
      <c r="S185" s="570"/>
      <c r="T185" s="570"/>
      <c r="U185" s="570"/>
      <c r="V185" s="570"/>
      <c r="W185" s="570"/>
      <c r="X185" s="570"/>
      <c r="Y185" s="570"/>
      <c r="Z185" s="570"/>
      <c r="AA185" s="570"/>
      <c r="AB185" s="570"/>
      <c r="AC185" s="570"/>
      <c r="AD185" s="570"/>
      <c r="AE185" s="570"/>
      <c r="AF185" s="570"/>
      <c r="AG185" s="570"/>
      <c r="AH185" s="570"/>
      <c r="AI185" s="570"/>
      <c r="AJ185" s="570"/>
      <c r="AK185" s="570"/>
      <c r="AL185" s="570"/>
      <c r="AM185" s="570"/>
      <c r="AN185" s="570"/>
      <c r="AO185" s="6"/>
      <c r="AP185" s="905" t="s">
        <v>1407</v>
      </c>
    </row>
    <row r="186" spans="2:42" x14ac:dyDescent="0.2">
      <c r="B186" s="88" t="s">
        <v>794</v>
      </c>
      <c r="C186" s="6"/>
      <c r="D186" s="81"/>
      <c r="E186" s="88"/>
      <c r="F186" s="445">
        <v>75000</v>
      </c>
      <c r="G186" s="66"/>
      <c r="H186" s="616">
        <v>100000</v>
      </c>
      <c r="I186" s="570"/>
      <c r="J186" s="570"/>
      <c r="K186" s="570"/>
      <c r="L186" s="570"/>
      <c r="M186" s="570"/>
      <c r="N186" s="570"/>
      <c r="O186" s="570"/>
      <c r="P186" s="570"/>
      <c r="Q186" s="570"/>
      <c r="R186" s="570"/>
      <c r="S186" s="570"/>
      <c r="T186" s="570"/>
      <c r="U186" s="570"/>
      <c r="V186" s="570"/>
      <c r="W186" s="570"/>
      <c r="X186" s="570"/>
      <c r="Y186" s="570"/>
      <c r="Z186" s="570"/>
      <c r="AA186" s="570"/>
      <c r="AB186" s="570"/>
      <c r="AC186" s="570"/>
      <c r="AD186" s="570"/>
      <c r="AE186" s="570"/>
      <c r="AF186" s="570"/>
      <c r="AG186" s="570"/>
      <c r="AH186" s="570"/>
      <c r="AI186" s="570"/>
      <c r="AJ186" s="570"/>
      <c r="AK186" s="570"/>
      <c r="AL186" s="570"/>
      <c r="AM186" s="570"/>
      <c r="AN186" s="570"/>
      <c r="AO186" s="6"/>
      <c r="AP186" s="73" t="s">
        <v>1404</v>
      </c>
    </row>
    <row r="187" spans="2:42" x14ac:dyDescent="0.2">
      <c r="B187" s="88" t="s">
        <v>796</v>
      </c>
      <c r="C187" s="6"/>
      <c r="D187" s="81"/>
      <c r="E187" s="88"/>
      <c r="F187" s="445">
        <v>200000</v>
      </c>
      <c r="G187" s="66"/>
      <c r="H187" s="616">
        <v>300000</v>
      </c>
      <c r="I187" s="570"/>
      <c r="J187" s="570"/>
      <c r="K187" s="570"/>
      <c r="L187" s="570"/>
      <c r="M187" s="570"/>
      <c r="N187" s="570"/>
      <c r="O187" s="570"/>
      <c r="P187" s="570"/>
      <c r="Q187" s="570"/>
      <c r="R187" s="570"/>
      <c r="S187" s="570"/>
      <c r="T187" s="570"/>
      <c r="U187" s="570"/>
      <c r="V187" s="570"/>
      <c r="W187" s="570"/>
      <c r="X187" s="570"/>
      <c r="Y187" s="570"/>
      <c r="Z187" s="570"/>
      <c r="AA187" s="570"/>
      <c r="AB187" s="570"/>
      <c r="AC187" s="570"/>
      <c r="AD187" s="570"/>
      <c r="AE187" s="570"/>
      <c r="AF187" s="570"/>
      <c r="AG187" s="570"/>
      <c r="AH187" s="570"/>
      <c r="AI187" s="570"/>
      <c r="AJ187" s="570"/>
      <c r="AK187" s="570"/>
      <c r="AL187" s="570"/>
      <c r="AM187" s="570"/>
      <c r="AN187" s="570"/>
      <c r="AO187" s="6"/>
      <c r="AP187" s="73" t="s">
        <v>1405</v>
      </c>
    </row>
    <row r="188" spans="2:42" x14ac:dyDescent="0.2">
      <c r="B188" s="88" t="s">
        <v>798</v>
      </c>
      <c r="C188" s="6"/>
      <c r="D188" s="81"/>
      <c r="E188" s="88"/>
      <c r="F188" s="445">
        <v>25000</v>
      </c>
      <c r="G188" s="66"/>
      <c r="H188" s="616">
        <v>25000</v>
      </c>
      <c r="I188" s="570"/>
      <c r="J188" s="570"/>
      <c r="K188" s="570"/>
      <c r="L188" s="570"/>
      <c r="M188" s="570"/>
      <c r="N188" s="570"/>
      <c r="O188" s="570"/>
      <c r="P188" s="570"/>
      <c r="Q188" s="570"/>
      <c r="R188" s="570"/>
      <c r="S188" s="570"/>
      <c r="T188" s="570"/>
      <c r="U188" s="570"/>
      <c r="V188" s="570"/>
      <c r="W188" s="570"/>
      <c r="X188" s="570"/>
      <c r="Y188" s="570"/>
      <c r="Z188" s="570"/>
      <c r="AA188" s="570"/>
      <c r="AB188" s="570"/>
      <c r="AC188" s="570"/>
      <c r="AD188" s="570"/>
      <c r="AE188" s="570"/>
      <c r="AF188" s="570"/>
      <c r="AG188" s="570"/>
      <c r="AH188" s="570"/>
      <c r="AI188" s="570"/>
      <c r="AJ188" s="570"/>
      <c r="AK188" s="570"/>
      <c r="AL188" s="570"/>
      <c r="AM188" s="570"/>
      <c r="AN188" s="570"/>
      <c r="AO188" s="6"/>
      <c r="AP188" s="905" t="s">
        <v>1408</v>
      </c>
    </row>
    <row r="189" spans="2:42" ht="13.5" thickBot="1" x14ac:dyDescent="0.25">
      <c r="B189" s="89"/>
      <c r="C189" s="90"/>
      <c r="D189" s="84"/>
      <c r="E189" s="89"/>
      <c r="F189" s="552"/>
      <c r="G189" s="70"/>
      <c r="H189" s="70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74"/>
    </row>
    <row r="190" spans="2:42" ht="12.75" customHeight="1" x14ac:dyDescent="0.2">
      <c r="B190" s="1765" t="s">
        <v>72</v>
      </c>
      <c r="C190" s="1766"/>
      <c r="D190" s="1767"/>
      <c r="E190" s="3"/>
      <c r="F190" s="23"/>
      <c r="G190" s="255"/>
      <c r="H190" s="255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255"/>
    </row>
    <row r="191" spans="2:42" ht="15" x14ac:dyDescent="0.25">
      <c r="B191" s="1768"/>
      <c r="C191" s="1769"/>
      <c r="D191" s="1770"/>
      <c r="E191" s="6"/>
      <c r="F191" s="553">
        <f>F194+F195+F196+F197</f>
        <v>425000</v>
      </c>
      <c r="G191" s="617">
        <v>375000</v>
      </c>
      <c r="H191" s="617">
        <v>425000</v>
      </c>
      <c r="I191" s="554"/>
      <c r="J191" s="554"/>
      <c r="K191" s="554"/>
      <c r="L191" s="554"/>
      <c r="M191" s="554"/>
      <c r="N191" s="554"/>
      <c r="O191" s="554"/>
      <c r="P191" s="554"/>
      <c r="Q191" s="554"/>
      <c r="R191" s="554"/>
      <c r="S191" s="554"/>
      <c r="T191" s="554"/>
      <c r="U191" s="554"/>
      <c r="V191" s="554"/>
      <c r="W191" s="554"/>
      <c r="X191" s="554"/>
      <c r="Y191" s="554"/>
      <c r="Z191" s="554"/>
      <c r="AA191" s="554"/>
      <c r="AB191" s="554"/>
      <c r="AC191" s="554"/>
      <c r="AD191" s="554"/>
      <c r="AE191" s="554"/>
      <c r="AF191" s="554"/>
      <c r="AG191" s="554"/>
      <c r="AH191" s="554"/>
      <c r="AI191" s="554"/>
      <c r="AJ191" s="554"/>
      <c r="AK191" s="554"/>
      <c r="AL191" s="554"/>
      <c r="AM191" s="554"/>
      <c r="AN191" s="554"/>
      <c r="AO191" s="519">
        <f>H191-F191</f>
        <v>0</v>
      </c>
    </row>
    <row r="192" spans="2:42" ht="12.75" customHeight="1" thickBot="1" x14ac:dyDescent="0.25">
      <c r="B192" s="1771"/>
      <c r="C192" s="1772"/>
      <c r="D192" s="1773"/>
      <c r="E192" s="6"/>
      <c r="F192" s="445"/>
      <c r="G192" s="70"/>
      <c r="H192" s="70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70"/>
    </row>
    <row r="193" spans="2:42" x14ac:dyDescent="0.2">
      <c r="B193" s="88"/>
      <c r="C193" s="6"/>
      <c r="D193" s="81"/>
      <c r="E193" s="102"/>
      <c r="F193" s="444"/>
      <c r="G193" s="255"/>
      <c r="H193" s="255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255"/>
    </row>
    <row r="194" spans="2:42" x14ac:dyDescent="0.2">
      <c r="B194" s="88" t="s">
        <v>793</v>
      </c>
      <c r="C194" s="6"/>
      <c r="D194" s="81"/>
      <c r="E194" s="88"/>
      <c r="F194" s="445">
        <v>100000</v>
      </c>
      <c r="G194" s="66"/>
      <c r="H194" s="616">
        <v>100000</v>
      </c>
      <c r="I194" s="570"/>
      <c r="J194" s="570"/>
      <c r="K194" s="570"/>
      <c r="L194" s="570"/>
      <c r="M194" s="570"/>
      <c r="N194" s="570"/>
      <c r="O194" s="570"/>
      <c r="P194" s="570"/>
      <c r="Q194" s="570"/>
      <c r="R194" s="570"/>
      <c r="S194" s="570"/>
      <c r="T194" s="570"/>
      <c r="U194" s="570"/>
      <c r="V194" s="570"/>
      <c r="W194" s="570"/>
      <c r="X194" s="570"/>
      <c r="Y194" s="570"/>
      <c r="Z194" s="570"/>
      <c r="AA194" s="570"/>
      <c r="AB194" s="570"/>
      <c r="AC194" s="570"/>
      <c r="AD194" s="570"/>
      <c r="AE194" s="570"/>
      <c r="AF194" s="570"/>
      <c r="AG194" s="570"/>
      <c r="AH194" s="570"/>
      <c r="AI194" s="570"/>
      <c r="AJ194" s="570"/>
      <c r="AK194" s="570"/>
      <c r="AL194" s="570"/>
      <c r="AM194" s="570"/>
      <c r="AN194" s="570"/>
      <c r="AO194" s="6"/>
      <c r="AP194" s="66"/>
    </row>
    <row r="195" spans="2:42" x14ac:dyDescent="0.2">
      <c r="B195" s="88" t="s">
        <v>794</v>
      </c>
      <c r="C195" s="6"/>
      <c r="D195" s="81"/>
      <c r="E195" s="88"/>
      <c r="F195" s="445"/>
      <c r="G195" s="66"/>
      <c r="H195" s="66"/>
      <c r="I195" s="570"/>
      <c r="J195" s="570"/>
      <c r="K195" s="570"/>
      <c r="L195" s="570"/>
      <c r="M195" s="570"/>
      <c r="N195" s="570"/>
      <c r="O195" s="570"/>
      <c r="P195" s="570"/>
      <c r="Q195" s="570"/>
      <c r="R195" s="570"/>
      <c r="S195" s="570"/>
      <c r="T195" s="570"/>
      <c r="U195" s="570"/>
      <c r="V195" s="570"/>
      <c r="W195" s="570"/>
      <c r="X195" s="570"/>
      <c r="Y195" s="570"/>
      <c r="Z195" s="570"/>
      <c r="AA195" s="570"/>
      <c r="AB195" s="570"/>
      <c r="AC195" s="570"/>
      <c r="AD195" s="570"/>
      <c r="AE195" s="570"/>
      <c r="AF195" s="570"/>
      <c r="AG195" s="570"/>
      <c r="AH195" s="570"/>
      <c r="AI195" s="570"/>
      <c r="AJ195" s="570"/>
      <c r="AK195" s="570"/>
      <c r="AL195" s="570"/>
      <c r="AM195" s="570"/>
      <c r="AN195" s="570"/>
      <c r="AO195" s="6"/>
      <c r="AP195" s="66"/>
    </row>
    <row r="196" spans="2:42" x14ac:dyDescent="0.2">
      <c r="B196" s="88" t="s">
        <v>796</v>
      </c>
      <c r="C196" s="6"/>
      <c r="D196" s="81"/>
      <c r="E196" s="88"/>
      <c r="F196" s="445">
        <v>300000</v>
      </c>
      <c r="G196" s="66"/>
      <c r="H196" s="616">
        <v>300000</v>
      </c>
      <c r="I196" s="570"/>
      <c r="J196" s="570"/>
      <c r="K196" s="570"/>
      <c r="L196" s="570"/>
      <c r="M196" s="570"/>
      <c r="N196" s="570"/>
      <c r="O196" s="570"/>
      <c r="P196" s="570"/>
      <c r="Q196" s="570"/>
      <c r="R196" s="570"/>
      <c r="S196" s="570"/>
      <c r="T196" s="570"/>
      <c r="U196" s="570"/>
      <c r="V196" s="570"/>
      <c r="W196" s="570"/>
      <c r="X196" s="570"/>
      <c r="Y196" s="570"/>
      <c r="Z196" s="570"/>
      <c r="AA196" s="570"/>
      <c r="AB196" s="570"/>
      <c r="AC196" s="570"/>
      <c r="AD196" s="570"/>
      <c r="AE196" s="570"/>
      <c r="AF196" s="570"/>
      <c r="AG196" s="570"/>
      <c r="AH196" s="570"/>
      <c r="AI196" s="570"/>
      <c r="AJ196" s="570"/>
      <c r="AK196" s="570"/>
      <c r="AL196" s="570"/>
      <c r="AM196" s="570"/>
      <c r="AN196" s="570"/>
      <c r="AO196" s="6"/>
      <c r="AP196" s="66"/>
    </row>
    <row r="197" spans="2:42" x14ac:dyDescent="0.2">
      <c r="B197" s="88" t="s">
        <v>798</v>
      </c>
      <c r="C197" s="6"/>
      <c r="D197" s="81"/>
      <c r="E197" s="88"/>
      <c r="F197" s="445">
        <v>25000</v>
      </c>
      <c r="G197" s="66"/>
      <c r="H197" s="616">
        <v>25000</v>
      </c>
      <c r="I197" s="570"/>
      <c r="J197" s="570"/>
      <c r="K197" s="570"/>
      <c r="L197" s="570"/>
      <c r="M197" s="570"/>
      <c r="N197" s="570"/>
      <c r="O197" s="570"/>
      <c r="P197" s="570"/>
      <c r="Q197" s="570"/>
      <c r="R197" s="570"/>
      <c r="S197" s="570"/>
      <c r="T197" s="570"/>
      <c r="U197" s="570"/>
      <c r="V197" s="570"/>
      <c r="W197" s="570"/>
      <c r="X197" s="570"/>
      <c r="Y197" s="570"/>
      <c r="Z197" s="570"/>
      <c r="AA197" s="570"/>
      <c r="AB197" s="570"/>
      <c r="AC197" s="570"/>
      <c r="AD197" s="570"/>
      <c r="AE197" s="570"/>
      <c r="AF197" s="570"/>
      <c r="AG197" s="570"/>
      <c r="AH197" s="570"/>
      <c r="AI197" s="570"/>
      <c r="AJ197" s="570"/>
      <c r="AK197" s="570"/>
      <c r="AL197" s="570"/>
      <c r="AM197" s="570"/>
      <c r="AN197" s="570"/>
      <c r="AO197" s="6"/>
      <c r="AP197" s="66"/>
    </row>
    <row r="198" spans="2:42" ht="13.5" thickBot="1" x14ac:dyDescent="0.25">
      <c r="B198" s="89"/>
      <c r="C198" s="90"/>
      <c r="D198" s="84"/>
      <c r="E198" s="89"/>
      <c r="F198" s="552"/>
      <c r="G198" s="70"/>
      <c r="H198" s="70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70"/>
    </row>
    <row r="199" spans="2:42" ht="12.75" customHeight="1" x14ac:dyDescent="0.2">
      <c r="B199" s="1765" t="s">
        <v>330</v>
      </c>
      <c r="C199" s="1766"/>
      <c r="D199" s="1767"/>
      <c r="E199" s="3"/>
      <c r="F199" s="23"/>
      <c r="G199" s="255"/>
      <c r="H199" s="255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255"/>
    </row>
    <row r="200" spans="2:42" ht="15" x14ac:dyDescent="0.25">
      <c r="B200" s="1768"/>
      <c r="C200" s="1769"/>
      <c r="D200" s="1770"/>
      <c r="E200" s="6"/>
      <c r="F200" s="553">
        <f>F203+F204+F205+F206</f>
        <v>1020000</v>
      </c>
      <c r="G200" s="617">
        <v>1020000</v>
      </c>
      <c r="H200" s="617">
        <v>1020000</v>
      </c>
      <c r="I200" s="553"/>
      <c r="J200" s="553"/>
      <c r="K200" s="553"/>
      <c r="L200" s="553"/>
      <c r="M200" s="553"/>
      <c r="N200" s="553"/>
      <c r="O200" s="553"/>
      <c r="P200" s="553"/>
      <c r="Q200" s="553"/>
      <c r="R200" s="553"/>
      <c r="S200" s="553"/>
      <c r="T200" s="553"/>
      <c r="U200" s="553"/>
      <c r="V200" s="553"/>
      <c r="W200" s="553"/>
      <c r="X200" s="553"/>
      <c r="Y200" s="553"/>
      <c r="Z200" s="553"/>
      <c r="AA200" s="553"/>
      <c r="AB200" s="553"/>
      <c r="AC200" s="553"/>
      <c r="AD200" s="553"/>
      <c r="AE200" s="553"/>
      <c r="AF200" s="553"/>
      <c r="AG200" s="553"/>
      <c r="AH200" s="553"/>
      <c r="AI200" s="553"/>
      <c r="AJ200" s="553"/>
      <c r="AK200" s="553"/>
      <c r="AL200" s="553"/>
      <c r="AM200" s="553"/>
      <c r="AN200" s="553"/>
      <c r="AO200" s="519">
        <f>H200-F200</f>
        <v>0</v>
      </c>
    </row>
    <row r="201" spans="2:42" ht="12.75" customHeight="1" thickBot="1" x14ac:dyDescent="0.25">
      <c r="B201" s="1771"/>
      <c r="C201" s="1772"/>
      <c r="D201" s="1773"/>
      <c r="E201" s="6"/>
      <c r="F201" s="445"/>
      <c r="G201" s="70"/>
      <c r="H201" s="70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70"/>
    </row>
    <row r="202" spans="2:42" x14ac:dyDescent="0.2">
      <c r="B202" s="88"/>
      <c r="C202" s="6"/>
      <c r="D202" s="81"/>
      <c r="E202" s="102"/>
      <c r="F202" s="444"/>
      <c r="G202" s="255"/>
      <c r="H202" s="255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1663"/>
    </row>
    <row r="203" spans="2:42" x14ac:dyDescent="0.2">
      <c r="B203" s="88" t="s">
        <v>793</v>
      </c>
      <c r="C203" s="6"/>
      <c r="D203" s="81"/>
      <c r="E203" s="88"/>
      <c r="F203" s="445">
        <v>200000</v>
      </c>
      <c r="G203" s="66"/>
      <c r="H203" s="616">
        <v>200000</v>
      </c>
      <c r="I203" s="570"/>
      <c r="J203" s="570"/>
      <c r="K203" s="570"/>
      <c r="L203" s="570"/>
      <c r="M203" s="570"/>
      <c r="N203" s="570"/>
      <c r="O203" s="570"/>
      <c r="P203" s="570"/>
      <c r="Q203" s="570"/>
      <c r="R203" s="570"/>
      <c r="S203" s="570"/>
      <c r="T203" s="570"/>
      <c r="U203" s="570"/>
      <c r="V203" s="570"/>
      <c r="W203" s="570"/>
      <c r="X203" s="570"/>
      <c r="Y203" s="570"/>
      <c r="Z203" s="570"/>
      <c r="AA203" s="570"/>
      <c r="AB203" s="570"/>
      <c r="AC203" s="570"/>
      <c r="AD203" s="570"/>
      <c r="AE203" s="570"/>
      <c r="AF203" s="570"/>
      <c r="AG203" s="570"/>
      <c r="AH203" s="570"/>
      <c r="AI203" s="570"/>
      <c r="AJ203" s="570"/>
      <c r="AK203" s="570"/>
      <c r="AL203" s="570"/>
      <c r="AM203" s="570"/>
      <c r="AN203" s="570"/>
      <c r="AO203" s="6"/>
      <c r="AP203" s="905" t="s">
        <v>1409</v>
      </c>
    </row>
    <row r="204" spans="2:42" x14ac:dyDescent="0.2">
      <c r="B204" s="88" t="s">
        <v>794</v>
      </c>
      <c r="C204" s="6"/>
      <c r="D204" s="81"/>
      <c r="E204" s="88"/>
      <c r="F204" s="445">
        <v>200000</v>
      </c>
      <c r="G204" s="66"/>
      <c r="H204" s="616">
        <v>200000</v>
      </c>
      <c r="I204" s="570"/>
      <c r="J204" s="570"/>
      <c r="K204" s="570"/>
      <c r="L204" s="570"/>
      <c r="M204" s="570"/>
      <c r="N204" s="570"/>
      <c r="O204" s="570"/>
      <c r="P204" s="570"/>
      <c r="Q204" s="570"/>
      <c r="R204" s="570"/>
      <c r="S204" s="570"/>
      <c r="T204" s="570"/>
      <c r="U204" s="570"/>
      <c r="V204" s="570"/>
      <c r="W204" s="570"/>
      <c r="X204" s="570"/>
      <c r="Y204" s="570"/>
      <c r="Z204" s="570"/>
      <c r="AA204" s="570"/>
      <c r="AB204" s="570"/>
      <c r="AC204" s="570"/>
      <c r="AD204" s="570"/>
      <c r="AE204" s="570"/>
      <c r="AF204" s="570"/>
      <c r="AG204" s="570"/>
      <c r="AH204" s="570"/>
      <c r="AI204" s="570"/>
      <c r="AJ204" s="570"/>
      <c r="AK204" s="570"/>
      <c r="AL204" s="570"/>
      <c r="AM204" s="570"/>
      <c r="AN204" s="570"/>
      <c r="AO204" s="6"/>
      <c r="AP204" s="905" t="s">
        <v>1410</v>
      </c>
    </row>
    <row r="205" spans="2:42" x14ac:dyDescent="0.2">
      <c r="B205" s="88" t="s">
        <v>796</v>
      </c>
      <c r="C205" s="6"/>
      <c r="D205" s="81"/>
      <c r="E205" s="88"/>
      <c r="F205" s="445">
        <v>600000</v>
      </c>
      <c r="G205" s="66"/>
      <c r="H205" s="616">
        <v>600000</v>
      </c>
      <c r="I205" s="570"/>
      <c r="J205" s="570"/>
      <c r="K205" s="570"/>
      <c r="L205" s="570"/>
      <c r="M205" s="570"/>
      <c r="N205" s="570"/>
      <c r="O205" s="570"/>
      <c r="P205" s="570"/>
      <c r="Q205" s="570"/>
      <c r="R205" s="570"/>
      <c r="S205" s="570"/>
      <c r="T205" s="570"/>
      <c r="U205" s="570"/>
      <c r="V205" s="570"/>
      <c r="W205" s="570"/>
      <c r="X205" s="570"/>
      <c r="Y205" s="570"/>
      <c r="Z205" s="570"/>
      <c r="AA205" s="570"/>
      <c r="AB205" s="570"/>
      <c r="AC205" s="570"/>
      <c r="AD205" s="570"/>
      <c r="AE205" s="570"/>
      <c r="AF205" s="570"/>
      <c r="AG205" s="570"/>
      <c r="AH205" s="570"/>
      <c r="AI205" s="570"/>
      <c r="AJ205" s="570"/>
      <c r="AK205" s="570"/>
      <c r="AL205" s="570"/>
      <c r="AM205" s="570"/>
      <c r="AN205" s="570"/>
      <c r="AO205" s="6"/>
      <c r="AP205" s="73" t="s">
        <v>799</v>
      </c>
    </row>
    <row r="206" spans="2:42" x14ac:dyDescent="0.2">
      <c r="B206" s="88" t="s">
        <v>798</v>
      </c>
      <c r="C206" s="6"/>
      <c r="D206" s="81"/>
      <c r="E206" s="88"/>
      <c r="F206" s="445">
        <v>20000</v>
      </c>
      <c r="G206" s="66"/>
      <c r="H206" s="616">
        <v>20000</v>
      </c>
      <c r="I206" s="570"/>
      <c r="J206" s="570"/>
      <c r="K206" s="570"/>
      <c r="L206" s="570"/>
      <c r="M206" s="570"/>
      <c r="N206" s="570"/>
      <c r="O206" s="570"/>
      <c r="P206" s="570"/>
      <c r="Q206" s="570"/>
      <c r="R206" s="570"/>
      <c r="S206" s="570"/>
      <c r="T206" s="570"/>
      <c r="U206" s="570"/>
      <c r="V206" s="570"/>
      <c r="W206" s="570"/>
      <c r="X206" s="570"/>
      <c r="Y206" s="570"/>
      <c r="Z206" s="570"/>
      <c r="AA206" s="570"/>
      <c r="AB206" s="570"/>
      <c r="AC206" s="570"/>
      <c r="AD206" s="570"/>
      <c r="AE206" s="570"/>
      <c r="AF206" s="570"/>
      <c r="AG206" s="570"/>
      <c r="AH206" s="570"/>
      <c r="AI206" s="570"/>
      <c r="AJ206" s="570"/>
      <c r="AK206" s="570"/>
      <c r="AL206" s="570"/>
      <c r="AM206" s="570"/>
      <c r="AN206" s="570"/>
      <c r="AO206" s="6"/>
      <c r="AP206" s="73" t="s">
        <v>799</v>
      </c>
    </row>
    <row r="207" spans="2:42" ht="13.5" thickBot="1" x14ac:dyDescent="0.25">
      <c r="B207" s="88"/>
      <c r="C207" s="6"/>
      <c r="D207" s="81"/>
      <c r="E207" s="88"/>
      <c r="F207" s="445"/>
      <c r="G207" s="66"/>
      <c r="H207" s="66"/>
      <c r="I207" s="570"/>
      <c r="J207" s="570"/>
      <c r="K207" s="570"/>
      <c r="L207" s="570"/>
      <c r="M207" s="570"/>
      <c r="N207" s="570"/>
      <c r="O207" s="570"/>
      <c r="P207" s="570"/>
      <c r="Q207" s="570"/>
      <c r="R207" s="570"/>
      <c r="S207" s="570"/>
      <c r="T207" s="570"/>
      <c r="U207" s="570"/>
      <c r="V207" s="570"/>
      <c r="W207" s="570"/>
      <c r="X207" s="570"/>
      <c r="Y207" s="570"/>
      <c r="Z207" s="570"/>
      <c r="AA207" s="570"/>
      <c r="AB207" s="570"/>
      <c r="AC207" s="570"/>
      <c r="AD207" s="570"/>
      <c r="AE207" s="570"/>
      <c r="AF207" s="570"/>
      <c r="AG207" s="570"/>
      <c r="AH207" s="570"/>
      <c r="AI207" s="570"/>
      <c r="AJ207" s="570"/>
      <c r="AK207" s="570"/>
      <c r="AL207" s="570"/>
      <c r="AM207" s="570"/>
      <c r="AN207" s="570"/>
      <c r="AO207" s="6"/>
      <c r="AP207" s="1664"/>
    </row>
    <row r="208" spans="2:42" ht="12.75" customHeight="1" x14ac:dyDescent="0.2">
      <c r="B208" s="1765" t="s">
        <v>696</v>
      </c>
      <c r="C208" s="1766"/>
      <c r="D208" s="1767"/>
      <c r="E208" s="3"/>
      <c r="F208" s="23"/>
      <c r="G208" s="255"/>
      <c r="H208" s="255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255"/>
    </row>
    <row r="209" spans="2:43" ht="15" x14ac:dyDescent="0.25">
      <c r="B209" s="1768"/>
      <c r="C209" s="1769"/>
      <c r="D209" s="1770"/>
      <c r="E209" s="6"/>
      <c r="F209" s="553">
        <v>1500000</v>
      </c>
      <c r="G209" s="617">
        <v>500000</v>
      </c>
      <c r="H209" s="1670">
        <v>500000</v>
      </c>
      <c r="I209" s="553"/>
      <c r="J209" s="553"/>
      <c r="K209" s="553"/>
      <c r="L209" s="553"/>
      <c r="M209" s="553"/>
      <c r="N209" s="553"/>
      <c r="O209" s="553"/>
      <c r="P209" s="553"/>
      <c r="Q209" s="553"/>
      <c r="R209" s="553"/>
      <c r="S209" s="553"/>
      <c r="T209" s="553"/>
      <c r="U209" s="553"/>
      <c r="V209" s="553"/>
      <c r="W209" s="553"/>
      <c r="X209" s="553"/>
      <c r="Y209" s="553"/>
      <c r="Z209" s="553"/>
      <c r="AA209" s="553"/>
      <c r="AB209" s="553"/>
      <c r="AC209" s="553"/>
      <c r="AD209" s="553"/>
      <c r="AE209" s="553"/>
      <c r="AF209" s="553"/>
      <c r="AG209" s="553"/>
      <c r="AH209" s="553"/>
      <c r="AI209" s="553"/>
      <c r="AJ209" s="553"/>
      <c r="AK209" s="553"/>
      <c r="AL209" s="553"/>
      <c r="AM209" s="553"/>
      <c r="AN209" s="553"/>
      <c r="AO209" s="519">
        <f>H209-F209</f>
        <v>-1000000</v>
      </c>
      <c r="AP209" s="1669" t="s">
        <v>1411</v>
      </c>
    </row>
    <row r="210" spans="2:43" ht="12.75" customHeight="1" thickBot="1" x14ac:dyDescent="0.25">
      <c r="B210" s="1771"/>
      <c r="C210" s="1772"/>
      <c r="D210" s="1773"/>
      <c r="E210" s="90"/>
      <c r="F210" s="555"/>
      <c r="G210" s="70"/>
      <c r="H210" s="70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70"/>
    </row>
    <row r="211" spans="2:43" ht="13.5" thickBot="1" x14ac:dyDescent="0.25">
      <c r="B211" s="88"/>
      <c r="C211" s="6"/>
      <c r="D211" s="81"/>
      <c r="E211" s="88"/>
      <c r="F211" s="445"/>
      <c r="G211" s="66"/>
      <c r="H211" s="66"/>
      <c r="I211" s="570"/>
      <c r="J211" s="570"/>
      <c r="K211" s="570"/>
      <c r="L211" s="570"/>
      <c r="M211" s="570"/>
      <c r="N211" s="570"/>
      <c r="O211" s="570"/>
      <c r="P211" s="570"/>
      <c r="Q211" s="570"/>
      <c r="R211" s="570"/>
      <c r="S211" s="570"/>
      <c r="T211" s="570"/>
      <c r="U211" s="570"/>
      <c r="V211" s="570"/>
      <c r="W211" s="570"/>
      <c r="X211" s="570"/>
      <c r="Y211" s="570"/>
      <c r="Z211" s="570"/>
      <c r="AA211" s="570"/>
      <c r="AB211" s="570"/>
      <c r="AC211" s="570"/>
      <c r="AD211" s="570"/>
      <c r="AE211" s="570"/>
      <c r="AF211" s="570"/>
      <c r="AG211" s="570"/>
      <c r="AH211" s="570"/>
      <c r="AI211" s="570"/>
      <c r="AJ211" s="570"/>
      <c r="AK211" s="570"/>
      <c r="AL211" s="570"/>
      <c r="AM211" s="570"/>
      <c r="AN211" s="570"/>
      <c r="AO211" s="6"/>
      <c r="AP211" s="1668"/>
      <c r="AQ211" s="6"/>
    </row>
    <row r="212" spans="2:43" ht="12.75" customHeight="1" x14ac:dyDescent="0.2">
      <c r="B212" s="1765" t="s">
        <v>832</v>
      </c>
      <c r="C212" s="1766"/>
      <c r="D212" s="1767"/>
      <c r="E212" s="3"/>
      <c r="F212" s="23"/>
      <c r="G212" s="255"/>
      <c r="H212" s="255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255"/>
    </row>
    <row r="213" spans="2:43" ht="15" x14ac:dyDescent="0.25">
      <c r="B213" s="1768"/>
      <c r="C213" s="1769"/>
      <c r="D213" s="1770"/>
      <c r="E213" s="6"/>
      <c r="F213" s="553">
        <v>1600000</v>
      </c>
      <c r="G213" s="617">
        <v>1400000</v>
      </c>
      <c r="H213" s="1670">
        <v>1400000</v>
      </c>
      <c r="I213" s="553"/>
      <c r="J213" s="553"/>
      <c r="K213" s="553"/>
      <c r="L213" s="553"/>
      <c r="M213" s="553"/>
      <c r="N213" s="553"/>
      <c r="O213" s="553"/>
      <c r="P213" s="553"/>
      <c r="Q213" s="553"/>
      <c r="R213" s="553"/>
      <c r="S213" s="553"/>
      <c r="T213" s="553"/>
      <c r="U213" s="553"/>
      <c r="V213" s="553"/>
      <c r="W213" s="553"/>
      <c r="X213" s="553"/>
      <c r="Y213" s="553"/>
      <c r="Z213" s="553"/>
      <c r="AA213" s="553"/>
      <c r="AB213" s="553"/>
      <c r="AC213" s="553"/>
      <c r="AD213" s="553"/>
      <c r="AE213" s="553"/>
      <c r="AF213" s="553"/>
      <c r="AG213" s="553"/>
      <c r="AH213" s="553"/>
      <c r="AI213" s="553"/>
      <c r="AJ213" s="553"/>
      <c r="AK213" s="553"/>
      <c r="AL213" s="553"/>
      <c r="AM213" s="553"/>
      <c r="AN213" s="553"/>
      <c r="AO213" s="519">
        <f>H213-F213</f>
        <v>-200000</v>
      </c>
      <c r="AP213" s="753" t="s">
        <v>1412</v>
      </c>
    </row>
    <row r="214" spans="2:43" ht="12.75" customHeight="1" thickBot="1" x14ac:dyDescent="0.25">
      <c r="B214" s="1771"/>
      <c r="C214" s="1772"/>
      <c r="D214" s="1773"/>
      <c r="E214" s="90"/>
      <c r="F214" s="555"/>
      <c r="G214" s="70"/>
      <c r="H214" s="70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70"/>
    </row>
    <row r="215" spans="2:43" x14ac:dyDescent="0.2">
      <c r="B215" s="2"/>
      <c r="C215" s="3"/>
      <c r="D215" s="4"/>
      <c r="E215" s="87"/>
      <c r="F215" s="444"/>
      <c r="G215" s="255"/>
      <c r="H215" s="255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255"/>
    </row>
    <row r="216" spans="2:43" ht="15" x14ac:dyDescent="0.25">
      <c r="B216" s="1671" t="s">
        <v>671</v>
      </c>
      <c r="C216" s="6"/>
      <c r="D216" s="7"/>
      <c r="E216" s="6"/>
      <c r="F216" s="553">
        <f>F200+F191+F182+F171+F209+F213</f>
        <v>6870000</v>
      </c>
      <c r="G216" s="617">
        <f>+H171+H182+H191+H200+G209+G213</f>
        <v>7520000</v>
      </c>
      <c r="H216" s="617">
        <f>H171+H182+H191+H200+H209+H213</f>
        <v>7520000</v>
      </c>
      <c r="I216" s="554"/>
      <c r="J216" s="554"/>
      <c r="K216" s="554"/>
      <c r="L216" s="554"/>
      <c r="M216" s="554"/>
      <c r="N216" s="554"/>
      <c r="O216" s="554"/>
      <c r="P216" s="554"/>
      <c r="Q216" s="554"/>
      <c r="R216" s="554"/>
      <c r="S216" s="554"/>
      <c r="T216" s="554"/>
      <c r="U216" s="554"/>
      <c r="V216" s="554"/>
      <c r="W216" s="554"/>
      <c r="X216" s="554"/>
      <c r="Y216" s="554"/>
      <c r="Z216" s="554"/>
      <c r="AA216" s="554"/>
      <c r="AB216" s="554"/>
      <c r="AC216" s="554"/>
      <c r="AD216" s="554"/>
      <c r="AE216" s="554"/>
      <c r="AF216" s="554"/>
      <c r="AG216" s="554"/>
      <c r="AH216" s="554"/>
      <c r="AI216" s="554"/>
      <c r="AJ216" s="554"/>
      <c r="AK216" s="554"/>
      <c r="AL216" s="554"/>
      <c r="AM216" s="554"/>
      <c r="AN216" s="554"/>
      <c r="AO216" s="519">
        <f>H216-F216</f>
        <v>650000</v>
      </c>
    </row>
    <row r="217" spans="2:43" ht="13.5" thickBot="1" x14ac:dyDescent="0.25">
      <c r="B217" s="11"/>
      <c r="C217" s="12"/>
      <c r="D217" s="130"/>
      <c r="E217" s="90"/>
      <c r="F217" s="555"/>
      <c r="G217" s="70"/>
      <c r="H217" s="70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70"/>
    </row>
    <row r="220" spans="2:43" x14ac:dyDescent="0.2">
      <c r="G220" s="42"/>
    </row>
    <row r="226" spans="1:10" ht="23.25" x14ac:dyDescent="0.35">
      <c r="A226" s="6"/>
      <c r="B226" s="818"/>
      <c r="C226" s="818"/>
      <c r="D226" s="1811"/>
      <c r="E226" s="1811"/>
      <c r="F226" s="1811"/>
      <c r="G226" s="1811"/>
    </row>
    <row r="227" spans="1:10" x14ac:dyDescent="0.2">
      <c r="A227" s="6"/>
      <c r="B227" s="6"/>
      <c r="C227" s="6"/>
      <c r="D227" s="6"/>
      <c r="E227" s="6"/>
      <c r="F227" s="6"/>
      <c r="G227" s="6"/>
    </row>
    <row r="228" spans="1:10" x14ac:dyDescent="0.2">
      <c r="A228" s="6"/>
      <c r="B228" s="6"/>
      <c r="C228" s="1777"/>
      <c r="D228" s="1777"/>
      <c r="E228" s="1777"/>
      <c r="F228" s="1777"/>
      <c r="G228" s="6"/>
    </row>
    <row r="229" spans="1:10" x14ac:dyDescent="0.2">
      <c r="A229" s="6"/>
      <c r="B229" s="6"/>
      <c r="C229" s="1777"/>
      <c r="D229" s="1777"/>
      <c r="E229" s="1777"/>
      <c r="F229" s="1777"/>
      <c r="G229" s="478"/>
    </row>
    <row r="230" spans="1:10" x14ac:dyDescent="0.2">
      <c r="A230" s="6"/>
      <c r="B230" s="6"/>
      <c r="C230" s="478"/>
      <c r="D230" s="478"/>
      <c r="E230" s="478"/>
      <c r="F230" s="6"/>
      <c r="G230" s="6"/>
    </row>
    <row r="231" spans="1:10" x14ac:dyDescent="0.2">
      <c r="A231" s="1776"/>
      <c r="B231" s="1776"/>
      <c r="C231" s="6"/>
      <c r="D231" s="819"/>
      <c r="E231" s="819"/>
      <c r="F231" s="819"/>
      <c r="G231" s="819"/>
    </row>
    <row r="232" spans="1:10" x14ac:dyDescent="0.2">
      <c r="A232" s="6"/>
      <c r="B232" s="6"/>
      <c r="C232" s="6"/>
      <c r="D232" s="6"/>
      <c r="E232" s="6"/>
      <c r="F232" s="6"/>
      <c r="G232" s="819"/>
    </row>
    <row r="233" spans="1:10" x14ac:dyDescent="0.2">
      <c r="A233" s="1776"/>
      <c r="B233" s="1776"/>
      <c r="C233" s="6"/>
      <c r="D233" s="819"/>
      <c r="E233" s="819"/>
      <c r="F233" s="819"/>
      <c r="G233" s="819"/>
    </row>
    <row r="234" spans="1:10" x14ac:dyDescent="0.2">
      <c r="A234" s="6"/>
      <c r="B234" s="6"/>
      <c r="C234" s="6"/>
      <c r="D234" s="6"/>
      <c r="E234" s="6"/>
      <c r="F234" s="819"/>
      <c r="G234" s="819"/>
    </row>
    <row r="235" spans="1:10" x14ac:dyDescent="0.2">
      <c r="A235" s="1776"/>
      <c r="B235" s="1776"/>
      <c r="C235" s="819"/>
      <c r="D235" s="819"/>
      <c r="E235" s="819"/>
      <c r="F235" s="819"/>
      <c r="G235" s="819"/>
    </row>
    <row r="236" spans="1:10" x14ac:dyDescent="0.2">
      <c r="A236" s="6"/>
      <c r="B236" s="6"/>
      <c r="C236" s="6"/>
      <c r="D236" s="6"/>
      <c r="E236" s="6"/>
      <c r="F236" s="819"/>
      <c r="G236" s="819"/>
    </row>
    <row r="237" spans="1:10" x14ac:dyDescent="0.2">
      <c r="A237" s="1776"/>
      <c r="B237" s="1776"/>
      <c r="C237" s="6"/>
      <c r="D237" s="819"/>
      <c r="E237" s="819"/>
      <c r="F237" s="819"/>
      <c r="G237" s="819"/>
    </row>
    <row r="238" spans="1:10" x14ac:dyDescent="0.2">
      <c r="A238" s="6"/>
      <c r="B238" s="6"/>
      <c r="C238" s="6"/>
      <c r="D238" s="6"/>
      <c r="E238" s="6"/>
      <c r="F238" s="6"/>
      <c r="G238" s="819"/>
    </row>
    <row r="239" spans="1:10" ht="23.25" x14ac:dyDescent="0.2">
      <c r="A239" s="1780" t="s">
        <v>833</v>
      </c>
      <c r="B239" s="1780"/>
      <c r="C239" s="1780"/>
      <c r="D239" s="1780"/>
      <c r="E239" s="1780"/>
      <c r="F239" s="1780"/>
      <c r="G239" s="1780"/>
      <c r="H239" s="1780"/>
      <c r="I239" s="903"/>
      <c r="J239" s="903"/>
    </row>
    <row r="240" spans="1:10" ht="23.25" x14ac:dyDescent="0.2">
      <c r="A240" s="1780"/>
      <c r="B240" s="1780"/>
      <c r="C240" s="1780"/>
      <c r="D240" s="1780"/>
      <c r="E240" s="1780"/>
      <c r="F240" s="1780"/>
      <c r="G240" s="1780"/>
      <c r="H240" s="1780"/>
      <c r="I240" s="903"/>
      <c r="J240" s="903"/>
    </row>
    <row r="241" spans="2:10" ht="23.25" x14ac:dyDescent="0.25">
      <c r="B241" s="903"/>
      <c r="C241" s="903"/>
      <c r="D241" s="903"/>
      <c r="E241" s="903"/>
      <c r="F241" s="903"/>
      <c r="G241" s="615"/>
      <c r="H241" s="903"/>
      <c r="I241" s="903"/>
      <c r="J241" s="903"/>
    </row>
    <row r="242" spans="2:10" ht="23.25" x14ac:dyDescent="0.25">
      <c r="B242" s="903"/>
      <c r="C242" s="903"/>
      <c r="D242" s="903"/>
      <c r="E242" s="903"/>
      <c r="F242" s="903"/>
      <c r="G242" s="615"/>
      <c r="H242" s="903"/>
      <c r="I242" s="903"/>
      <c r="J242" s="903"/>
    </row>
    <row r="243" spans="2:10" ht="23.25" x14ac:dyDescent="0.25">
      <c r="B243" s="546"/>
      <c r="C243" s="546"/>
      <c r="D243" s="546"/>
      <c r="E243" s="1774" t="s">
        <v>787</v>
      </c>
      <c r="F243" s="1775"/>
      <c r="G243" s="618" t="s">
        <v>834</v>
      </c>
      <c r="H243" s="549" t="s">
        <v>835</v>
      </c>
      <c r="I243" s="548"/>
      <c r="J243" s="548"/>
    </row>
    <row r="244" spans="2:10" ht="15.75" x14ac:dyDescent="0.25">
      <c r="B244" s="1792" t="s">
        <v>113</v>
      </c>
      <c r="C244" s="1793"/>
      <c r="D244" s="1793"/>
      <c r="E244" s="102"/>
      <c r="F244" s="548"/>
      <c r="G244" s="255"/>
      <c r="H244" s="255"/>
      <c r="I244" s="548"/>
      <c r="J244" s="548"/>
    </row>
    <row r="245" spans="2:10" ht="15.75" x14ac:dyDescent="0.25">
      <c r="B245" s="1794"/>
      <c r="C245" s="1769"/>
      <c r="D245" s="1769"/>
      <c r="E245" s="559" t="s">
        <v>801</v>
      </c>
      <c r="F245" s="550">
        <f>F248+F249+F250+F251+F252+F253</f>
        <v>1950000</v>
      </c>
      <c r="G245" s="617">
        <v>2950000</v>
      </c>
      <c r="H245" s="617">
        <f>H248+H249+H250+H251+H252+H253</f>
        <v>2950000</v>
      </c>
      <c r="I245" s="550"/>
      <c r="J245" s="550"/>
    </row>
    <row r="246" spans="2:10" x14ac:dyDescent="0.2">
      <c r="B246" s="1795"/>
      <c r="C246" s="1779"/>
      <c r="D246" s="1779"/>
      <c r="E246" s="89"/>
      <c r="F246" s="84"/>
      <c r="G246" s="904"/>
      <c r="H246" s="904"/>
      <c r="I246" s="84"/>
      <c r="J246" s="84"/>
    </row>
    <row r="247" spans="2:10" x14ac:dyDescent="0.2">
      <c r="B247" s="102"/>
      <c r="C247" s="87"/>
      <c r="D247" s="80"/>
      <c r="E247" s="102"/>
      <c r="F247" s="444"/>
      <c r="G247" s="255"/>
      <c r="H247" s="255"/>
      <c r="I247" s="6"/>
      <c r="J247" s="6"/>
    </row>
    <row r="248" spans="2:10" x14ac:dyDescent="0.2">
      <c r="B248" s="88" t="s">
        <v>790</v>
      </c>
      <c r="C248" s="6"/>
      <c r="D248" s="81"/>
      <c r="E248" s="88"/>
      <c r="F248" s="445">
        <v>150000</v>
      </c>
      <c r="G248" s="66"/>
      <c r="H248" s="616">
        <v>150000</v>
      </c>
      <c r="I248" s="570"/>
      <c r="J248" s="570"/>
    </row>
    <row r="249" spans="2:10" x14ac:dyDescent="0.2">
      <c r="B249" s="88" t="s">
        <v>791</v>
      </c>
      <c r="C249" s="6"/>
      <c r="D249" s="81"/>
      <c r="E249" s="88"/>
      <c r="F249" s="445">
        <v>200000</v>
      </c>
      <c r="G249" s="66"/>
      <c r="H249" s="616">
        <v>200000</v>
      </c>
      <c r="I249" s="570"/>
      <c r="J249" s="570"/>
    </row>
    <row r="250" spans="2:10" x14ac:dyDescent="0.2">
      <c r="B250" s="88" t="s">
        <v>792</v>
      </c>
      <c r="C250" s="6"/>
      <c r="D250" s="81"/>
      <c r="E250" s="88"/>
      <c r="F250" s="445">
        <v>100000</v>
      </c>
      <c r="G250" s="66"/>
      <c r="H250" s="616">
        <v>100000</v>
      </c>
      <c r="I250" s="570"/>
      <c r="J250" s="570"/>
    </row>
    <row r="251" spans="2:10" x14ac:dyDescent="0.2">
      <c r="B251" s="88" t="s">
        <v>796</v>
      </c>
      <c r="C251" s="6"/>
      <c r="D251" s="81"/>
      <c r="E251" s="28">
        <v>500000</v>
      </c>
      <c r="F251" s="445">
        <v>700000</v>
      </c>
      <c r="G251" s="616">
        <v>1200000</v>
      </c>
      <c r="H251" s="616">
        <v>1200000</v>
      </c>
      <c r="I251" s="570"/>
      <c r="J251" s="570"/>
    </row>
    <row r="252" spans="2:10" x14ac:dyDescent="0.2">
      <c r="B252" s="88" t="s">
        <v>797</v>
      </c>
      <c r="C252" s="6"/>
      <c r="D252" s="81"/>
      <c r="E252" s="28">
        <v>500000</v>
      </c>
      <c r="F252" s="445">
        <v>700000</v>
      </c>
      <c r="G252" s="616">
        <v>1200000</v>
      </c>
      <c r="H252" s="616">
        <v>1200000</v>
      </c>
      <c r="I252" s="570"/>
      <c r="J252" s="570"/>
    </row>
    <row r="253" spans="2:10" x14ac:dyDescent="0.2">
      <c r="B253" s="88" t="s">
        <v>798</v>
      </c>
      <c r="C253" s="6"/>
      <c r="D253" s="81"/>
      <c r="E253" s="88"/>
      <c r="F253" s="445">
        <v>100000</v>
      </c>
      <c r="G253" s="66"/>
      <c r="H253" s="616">
        <v>100000</v>
      </c>
      <c r="I253" s="570"/>
      <c r="J253" s="570"/>
    </row>
    <row r="254" spans="2:10" ht="13.5" thickBot="1" x14ac:dyDescent="0.25">
      <c r="B254" s="89"/>
      <c r="C254" s="90"/>
      <c r="D254" s="84"/>
      <c r="E254" s="89"/>
      <c r="F254" s="552"/>
      <c r="G254" s="904"/>
      <c r="H254" s="904"/>
      <c r="I254" s="6"/>
      <c r="J254" s="6"/>
    </row>
    <row r="255" spans="2:10" x14ac:dyDescent="0.2">
      <c r="B255" s="1765" t="s">
        <v>70</v>
      </c>
      <c r="C255" s="1766"/>
      <c r="D255" s="1766"/>
      <c r="E255" s="3"/>
      <c r="F255" s="23"/>
      <c r="G255" s="255"/>
      <c r="H255" s="255"/>
      <c r="I255" s="80"/>
      <c r="J255" s="80"/>
    </row>
    <row r="256" spans="2:10" ht="15" x14ac:dyDescent="0.25">
      <c r="B256" s="1768"/>
      <c r="C256" s="1769"/>
      <c r="D256" s="1769"/>
      <c r="E256" s="6"/>
      <c r="F256" s="553">
        <f>F259+F260+F261+F262</f>
        <v>375000</v>
      </c>
      <c r="G256" s="617">
        <v>525000</v>
      </c>
      <c r="H256" s="617">
        <v>525000</v>
      </c>
      <c r="I256" s="554"/>
      <c r="J256" s="554"/>
    </row>
    <row r="257" spans="2:10" x14ac:dyDescent="0.2">
      <c r="B257" s="1778"/>
      <c r="C257" s="1779"/>
      <c r="D257" s="1779"/>
      <c r="E257" s="6"/>
      <c r="F257" s="445"/>
      <c r="G257" s="904"/>
      <c r="H257" s="904"/>
      <c r="I257" s="84"/>
      <c r="J257" s="84"/>
    </row>
    <row r="258" spans="2:10" x14ac:dyDescent="0.2">
      <c r="B258" s="102"/>
      <c r="C258" s="87"/>
      <c r="D258" s="80"/>
      <c r="E258" s="102"/>
      <c r="F258" s="444"/>
      <c r="G258" s="255"/>
      <c r="H258" s="255"/>
      <c r="I258" s="6"/>
      <c r="J258" s="6"/>
    </row>
    <row r="259" spans="2:10" x14ac:dyDescent="0.2">
      <c r="B259" s="88" t="s">
        <v>793</v>
      </c>
      <c r="C259" s="6"/>
      <c r="D259" s="81"/>
      <c r="E259" s="88"/>
      <c r="F259" s="445">
        <v>75000</v>
      </c>
      <c r="G259" s="66"/>
      <c r="H259" s="616">
        <v>100000</v>
      </c>
      <c r="I259" s="570"/>
      <c r="J259" s="570"/>
    </row>
    <row r="260" spans="2:10" x14ac:dyDescent="0.2">
      <c r="B260" s="88" t="s">
        <v>794</v>
      </c>
      <c r="C260" s="6"/>
      <c r="D260" s="81"/>
      <c r="E260" s="88"/>
      <c r="F260" s="445">
        <v>75000</v>
      </c>
      <c r="G260" s="66"/>
      <c r="H260" s="616">
        <v>100000</v>
      </c>
      <c r="I260" s="570"/>
      <c r="J260" s="570"/>
    </row>
    <row r="261" spans="2:10" x14ac:dyDescent="0.2">
      <c r="B261" s="88" t="s">
        <v>796</v>
      </c>
      <c r="C261" s="6"/>
      <c r="D261" s="81"/>
      <c r="E261" s="88"/>
      <c r="F261" s="445">
        <v>200000</v>
      </c>
      <c r="G261" s="66"/>
      <c r="H261" s="616">
        <v>300000</v>
      </c>
      <c r="I261" s="570"/>
      <c r="J261" s="570"/>
    </row>
    <row r="262" spans="2:10" x14ac:dyDescent="0.2">
      <c r="B262" s="88" t="s">
        <v>798</v>
      </c>
      <c r="C262" s="6"/>
      <c r="D262" s="81"/>
      <c r="E262" s="88"/>
      <c r="F262" s="445">
        <v>25000</v>
      </c>
      <c r="G262" s="66"/>
      <c r="H262" s="616">
        <v>25000</v>
      </c>
      <c r="I262" s="570"/>
      <c r="J262" s="570"/>
    </row>
    <row r="263" spans="2:10" ht="13.5" thickBot="1" x14ac:dyDescent="0.25">
      <c r="B263" s="89"/>
      <c r="C263" s="90"/>
      <c r="D263" s="84"/>
      <c r="E263" s="89"/>
      <c r="F263" s="552"/>
      <c r="G263" s="904"/>
      <c r="H263" s="904"/>
      <c r="I263" s="6"/>
      <c r="J263" s="6"/>
    </row>
    <row r="264" spans="2:10" x14ac:dyDescent="0.2">
      <c r="B264" s="1765" t="s">
        <v>72</v>
      </c>
      <c r="C264" s="1766"/>
      <c r="D264" s="1766"/>
      <c r="E264" s="3"/>
      <c r="F264" s="23"/>
      <c r="G264" s="255"/>
      <c r="H264" s="255"/>
      <c r="I264" s="80"/>
      <c r="J264" s="80"/>
    </row>
    <row r="265" spans="2:10" ht="15" x14ac:dyDescent="0.25">
      <c r="B265" s="1768"/>
      <c r="C265" s="1769"/>
      <c r="D265" s="1769"/>
      <c r="E265" s="6"/>
      <c r="F265" s="553">
        <f>F268+F269+F270+F271</f>
        <v>425000</v>
      </c>
      <c r="G265" s="617">
        <v>425000</v>
      </c>
      <c r="H265" s="617">
        <v>425000</v>
      </c>
      <c r="I265" s="554"/>
      <c r="J265" s="554"/>
    </row>
    <row r="266" spans="2:10" x14ac:dyDescent="0.2">
      <c r="B266" s="1778"/>
      <c r="C266" s="1779"/>
      <c r="D266" s="1779"/>
      <c r="E266" s="6"/>
      <c r="F266" s="445"/>
      <c r="G266" s="904"/>
      <c r="H266" s="904"/>
      <c r="I266" s="84"/>
      <c r="J266" s="84"/>
    </row>
    <row r="267" spans="2:10" x14ac:dyDescent="0.2">
      <c r="B267" s="102"/>
      <c r="C267" s="87"/>
      <c r="D267" s="80"/>
      <c r="E267" s="102"/>
      <c r="F267" s="444"/>
      <c r="G267" s="255"/>
      <c r="H267" s="255"/>
      <c r="I267" s="6"/>
      <c r="J267" s="6"/>
    </row>
    <row r="268" spans="2:10" x14ac:dyDescent="0.2">
      <c r="B268" s="88" t="s">
        <v>793</v>
      </c>
      <c r="C268" s="6"/>
      <c r="D268" s="81"/>
      <c r="E268" s="88"/>
      <c r="F268" s="445">
        <v>100000</v>
      </c>
      <c r="G268" s="66"/>
      <c r="H268" s="616">
        <v>100000</v>
      </c>
      <c r="I268" s="570"/>
      <c r="J268" s="570"/>
    </row>
    <row r="269" spans="2:10" x14ac:dyDescent="0.2">
      <c r="B269" s="88" t="s">
        <v>794</v>
      </c>
      <c r="C269" s="6"/>
      <c r="D269" s="81"/>
      <c r="E269" s="88"/>
      <c r="F269" s="445"/>
      <c r="G269" s="66"/>
      <c r="H269" s="66"/>
      <c r="I269" s="570"/>
      <c r="J269" s="570"/>
    </row>
    <row r="270" spans="2:10" x14ac:dyDescent="0.2">
      <c r="B270" s="88" t="s">
        <v>796</v>
      </c>
      <c r="C270" s="6"/>
      <c r="D270" s="81"/>
      <c r="E270" s="88"/>
      <c r="F270" s="445">
        <v>300000</v>
      </c>
      <c r="G270" s="66"/>
      <c r="H270" s="616">
        <v>300000</v>
      </c>
      <c r="I270" s="570"/>
      <c r="J270" s="570"/>
    </row>
    <row r="271" spans="2:10" x14ac:dyDescent="0.2">
      <c r="B271" s="88" t="s">
        <v>798</v>
      </c>
      <c r="C271" s="6"/>
      <c r="D271" s="81"/>
      <c r="E271" s="88"/>
      <c r="F271" s="445">
        <v>25000</v>
      </c>
      <c r="G271" s="66"/>
      <c r="H271" s="616">
        <v>25000</v>
      </c>
      <c r="I271" s="570"/>
      <c r="J271" s="570"/>
    </row>
    <row r="272" spans="2:10" ht="13.5" thickBot="1" x14ac:dyDescent="0.25">
      <c r="B272" s="89"/>
      <c r="C272" s="90"/>
      <c r="D272" s="84"/>
      <c r="E272" s="89"/>
      <c r="F272" s="552"/>
      <c r="G272" s="904"/>
      <c r="H272" s="904"/>
      <c r="I272" s="6"/>
      <c r="J272" s="6"/>
    </row>
    <row r="273" spans="2:10" x14ac:dyDescent="0.2">
      <c r="B273" s="1765" t="s">
        <v>330</v>
      </c>
      <c r="C273" s="1766"/>
      <c r="D273" s="1766"/>
      <c r="E273" s="3"/>
      <c r="F273" s="23"/>
      <c r="G273" s="255"/>
      <c r="H273" s="255"/>
      <c r="I273" s="80"/>
      <c r="J273" s="80"/>
    </row>
    <row r="274" spans="2:10" ht="15" x14ac:dyDescent="0.25">
      <c r="B274" s="1768"/>
      <c r="C274" s="1769"/>
      <c r="D274" s="1769"/>
      <c r="E274" s="6"/>
      <c r="F274" s="553">
        <f>F277+F278+F279+F280</f>
        <v>1020000</v>
      </c>
      <c r="G274" s="617">
        <v>1020000</v>
      </c>
      <c r="H274" s="617">
        <v>1020000</v>
      </c>
      <c r="I274" s="553"/>
      <c r="J274" s="553"/>
    </row>
    <row r="275" spans="2:10" x14ac:dyDescent="0.2">
      <c r="B275" s="1778"/>
      <c r="C275" s="1779"/>
      <c r="D275" s="1779"/>
      <c r="E275" s="6"/>
      <c r="F275" s="445"/>
      <c r="G275" s="904"/>
      <c r="H275" s="904"/>
      <c r="I275" s="84"/>
      <c r="J275" s="84"/>
    </row>
    <row r="276" spans="2:10" x14ac:dyDescent="0.2">
      <c r="B276" s="102"/>
      <c r="C276" s="87"/>
      <c r="D276" s="80"/>
      <c r="E276" s="102"/>
      <c r="F276" s="444"/>
      <c r="G276" s="255"/>
      <c r="H276" s="255"/>
      <c r="I276" s="6"/>
      <c r="J276" s="6"/>
    </row>
    <row r="277" spans="2:10" x14ac:dyDescent="0.2">
      <c r="B277" s="88" t="s">
        <v>793</v>
      </c>
      <c r="C277" s="6"/>
      <c r="D277" s="81"/>
      <c r="E277" s="88"/>
      <c r="F277" s="445">
        <v>200000</v>
      </c>
      <c r="G277" s="66"/>
      <c r="H277" s="616">
        <v>200000</v>
      </c>
      <c r="I277" s="570"/>
      <c r="J277" s="570"/>
    </row>
    <row r="278" spans="2:10" x14ac:dyDescent="0.2">
      <c r="B278" s="88" t="s">
        <v>794</v>
      </c>
      <c r="C278" s="6"/>
      <c r="D278" s="81"/>
      <c r="E278" s="88"/>
      <c r="F278" s="445">
        <v>200000</v>
      </c>
      <c r="G278" s="66"/>
      <c r="H278" s="616">
        <v>200000</v>
      </c>
      <c r="I278" s="570"/>
      <c r="J278" s="570"/>
    </row>
    <row r="279" spans="2:10" x14ac:dyDescent="0.2">
      <c r="B279" s="88" t="s">
        <v>796</v>
      </c>
      <c r="C279" s="6"/>
      <c r="D279" s="81"/>
      <c r="E279" s="88"/>
      <c r="F279" s="445">
        <v>600000</v>
      </c>
      <c r="G279" s="66"/>
      <c r="H279" s="616">
        <v>600000</v>
      </c>
      <c r="I279" s="570"/>
      <c r="J279" s="570"/>
    </row>
    <row r="280" spans="2:10" x14ac:dyDescent="0.2">
      <c r="B280" s="88" t="s">
        <v>798</v>
      </c>
      <c r="C280" s="6"/>
      <c r="D280" s="81"/>
      <c r="E280" s="88"/>
      <c r="F280" s="445">
        <v>20000</v>
      </c>
      <c r="G280" s="66"/>
      <c r="H280" s="616">
        <v>20000</v>
      </c>
      <c r="I280" s="570"/>
      <c r="J280" s="570"/>
    </row>
    <row r="281" spans="2:10" ht="13.5" thickBot="1" x14ac:dyDescent="0.25">
      <c r="B281" s="88"/>
      <c r="C281" s="6"/>
      <c r="D281" s="81"/>
      <c r="E281" s="88"/>
      <c r="F281" s="445"/>
      <c r="G281" s="66"/>
      <c r="H281" s="66"/>
      <c r="I281" s="570"/>
      <c r="J281" s="570"/>
    </row>
    <row r="282" spans="2:10" x14ac:dyDescent="0.2">
      <c r="B282" s="1765" t="s">
        <v>696</v>
      </c>
      <c r="C282" s="1766"/>
      <c r="D282" s="1766"/>
      <c r="E282" s="3"/>
      <c r="F282" s="23"/>
      <c r="G282" s="255"/>
      <c r="H282" s="255"/>
      <c r="I282" s="80"/>
      <c r="J282" s="80"/>
    </row>
    <row r="283" spans="2:10" ht="15" x14ac:dyDescent="0.25">
      <c r="B283" s="1768"/>
      <c r="C283" s="1769"/>
      <c r="D283" s="1769"/>
      <c r="E283" s="6"/>
      <c r="F283" s="553">
        <v>1500000</v>
      </c>
      <c r="G283" s="617">
        <v>1500000</v>
      </c>
      <c r="H283" s="617">
        <v>1500000</v>
      </c>
      <c r="I283" s="553"/>
      <c r="J283" s="553"/>
    </row>
    <row r="284" spans="2:10" x14ac:dyDescent="0.2">
      <c r="B284" s="1778"/>
      <c r="C284" s="1779"/>
      <c r="D284" s="1779"/>
      <c r="E284" s="90"/>
      <c r="F284" s="555"/>
      <c r="G284" s="904"/>
      <c r="H284" s="904"/>
      <c r="I284" s="84"/>
      <c r="J284" s="84"/>
    </row>
    <row r="285" spans="2:10" ht="13.5" thickBot="1" x14ac:dyDescent="0.25">
      <c r="B285" s="88"/>
      <c r="C285" s="6"/>
      <c r="D285" s="81"/>
      <c r="E285" s="88"/>
      <c r="F285" s="445"/>
      <c r="G285" s="66"/>
      <c r="H285" s="66"/>
      <c r="I285" s="570"/>
      <c r="J285" s="570"/>
    </row>
    <row r="286" spans="2:10" x14ac:dyDescent="0.2">
      <c r="B286" s="1765" t="s">
        <v>832</v>
      </c>
      <c r="C286" s="1766"/>
      <c r="D286" s="1766"/>
      <c r="E286" s="3"/>
      <c r="F286" s="23"/>
      <c r="G286" s="255"/>
      <c r="H286" s="255"/>
      <c r="I286" s="80"/>
      <c r="J286" s="80"/>
    </row>
    <row r="287" spans="2:10" ht="15" x14ac:dyDescent="0.25">
      <c r="B287" s="1768"/>
      <c r="C287" s="1769"/>
      <c r="D287" s="1769"/>
      <c r="E287" s="6"/>
      <c r="F287" s="553">
        <v>1600000</v>
      </c>
      <c r="G287" s="617">
        <v>1600000</v>
      </c>
      <c r="H287" s="617">
        <v>1600000</v>
      </c>
      <c r="I287" s="553"/>
      <c r="J287" s="553"/>
    </row>
    <row r="288" spans="2:10" x14ac:dyDescent="0.2">
      <c r="B288" s="1778"/>
      <c r="C288" s="1779"/>
      <c r="D288" s="1779"/>
      <c r="E288" s="90"/>
      <c r="F288" s="555"/>
      <c r="G288" s="904"/>
      <c r="H288" s="904"/>
      <c r="I288" s="84"/>
      <c r="J288" s="84"/>
    </row>
    <row r="289" spans="1:10" x14ac:dyDescent="0.2">
      <c r="B289" s="102"/>
      <c r="C289" s="87"/>
      <c r="D289" s="80"/>
      <c r="E289" s="102"/>
      <c r="F289" s="444"/>
      <c r="G289" s="255"/>
      <c r="H289" s="255"/>
      <c r="I289" s="80"/>
      <c r="J289" s="80"/>
    </row>
    <row r="290" spans="1:10" ht="15" x14ac:dyDescent="0.25">
      <c r="B290" s="512" t="s">
        <v>671</v>
      </c>
      <c r="C290" s="6"/>
      <c r="D290" s="81"/>
      <c r="E290" s="88"/>
      <c r="F290" s="553">
        <f>F274+F265+F256+F245+F283+F287</f>
        <v>6870000</v>
      </c>
      <c r="G290" s="617">
        <f>G245+G256+G265+G274+G283+G287</f>
        <v>8020000</v>
      </c>
      <c r="H290" s="617">
        <f>H245+H256+H265+H274+H283+H287</f>
        <v>8020000</v>
      </c>
      <c r="I290" s="554"/>
      <c r="J290" s="554"/>
    </row>
    <row r="291" spans="1:10" x14ac:dyDescent="0.2">
      <c r="B291" s="89"/>
      <c r="C291" s="90"/>
      <c r="D291" s="84"/>
      <c r="E291" s="89"/>
      <c r="F291" s="555"/>
      <c r="G291" s="904"/>
      <c r="H291" s="904"/>
      <c r="I291" s="84"/>
      <c r="J291" s="84"/>
    </row>
    <row r="294" spans="1:10" x14ac:dyDescent="0.2">
      <c r="G294" s="42"/>
    </row>
    <row r="295" spans="1:10" x14ac:dyDescent="0.2">
      <c r="G295" s="479" t="s">
        <v>965</v>
      </c>
    </row>
    <row r="297" spans="1:10" ht="23.25" x14ac:dyDescent="0.2">
      <c r="A297" s="1780" t="s">
        <v>964</v>
      </c>
      <c r="B297" s="1780"/>
      <c r="C297" s="1780"/>
      <c r="D297" s="1780"/>
      <c r="E297" s="1780"/>
      <c r="F297" s="1780"/>
      <c r="G297" s="1780"/>
      <c r="H297" s="546"/>
      <c r="I297" s="903"/>
      <c r="J297" s="903"/>
    </row>
    <row r="298" spans="1:10" ht="23.25" x14ac:dyDescent="0.2">
      <c r="A298" s="1780"/>
      <c r="B298" s="1780"/>
      <c r="C298" s="1780"/>
      <c r="D298" s="1780"/>
      <c r="E298" s="1780"/>
      <c r="F298" s="1780"/>
      <c r="G298" s="1780"/>
      <c r="H298" s="546"/>
      <c r="I298" s="903"/>
      <c r="J298" s="903"/>
    </row>
    <row r="299" spans="1:10" ht="23.25" x14ac:dyDescent="0.25">
      <c r="B299" s="903"/>
      <c r="C299" s="903"/>
      <c r="D299" s="903"/>
      <c r="E299" s="903"/>
      <c r="F299" s="903"/>
      <c r="G299" s="615"/>
      <c r="H299" s="903"/>
      <c r="I299" s="903"/>
      <c r="J299" s="903"/>
    </row>
    <row r="300" spans="1:10" ht="23.25" x14ac:dyDescent="0.25">
      <c r="B300" s="903"/>
      <c r="C300" s="903"/>
      <c r="D300" s="903"/>
      <c r="E300" s="903"/>
      <c r="F300" s="903"/>
      <c r="G300" s="615"/>
      <c r="H300" s="903"/>
      <c r="I300" s="903"/>
      <c r="J300" s="903"/>
    </row>
    <row r="301" spans="1:10" ht="23.25" x14ac:dyDescent="0.25">
      <c r="B301" s="546"/>
      <c r="C301" s="546"/>
      <c r="D301" s="546"/>
      <c r="E301" s="1804" t="s">
        <v>966</v>
      </c>
      <c r="F301" s="1775"/>
      <c r="G301" s="618" t="s">
        <v>834</v>
      </c>
      <c r="H301" s="549" t="s">
        <v>835</v>
      </c>
      <c r="I301" s="548"/>
      <c r="J301" s="548"/>
    </row>
    <row r="302" spans="1:10" ht="15.75" x14ac:dyDescent="0.25">
      <c r="B302" s="1792" t="s">
        <v>113</v>
      </c>
      <c r="C302" s="1793"/>
      <c r="D302" s="1793"/>
      <c r="E302" s="102"/>
      <c r="F302" s="548"/>
      <c r="G302" s="255"/>
      <c r="H302" s="255"/>
      <c r="I302" s="548"/>
      <c r="J302" s="548"/>
    </row>
    <row r="303" spans="1:10" ht="15.75" x14ac:dyDescent="0.25">
      <c r="B303" s="1794"/>
      <c r="C303" s="1769"/>
      <c r="D303" s="1769"/>
      <c r="E303" s="559" t="s">
        <v>801</v>
      </c>
      <c r="F303" s="93" t="s">
        <v>968</v>
      </c>
      <c r="G303" s="617">
        <v>2950000</v>
      </c>
      <c r="H303" s="617">
        <f>H306+H307+H308+H309+H310+H311</f>
        <v>2950000</v>
      </c>
      <c r="I303" s="550"/>
      <c r="J303" s="550"/>
    </row>
    <row r="304" spans="1:10" x14ac:dyDescent="0.2">
      <c r="B304" s="1795"/>
      <c r="C304" s="1779"/>
      <c r="D304" s="1779"/>
      <c r="E304" s="89"/>
      <c r="F304" s="84"/>
      <c r="G304" s="904"/>
      <c r="H304" s="904"/>
      <c r="I304" s="84"/>
      <c r="J304" s="84"/>
    </row>
    <row r="305" spans="2:10" x14ac:dyDescent="0.2">
      <c r="B305" s="102"/>
      <c r="C305" s="87"/>
      <c r="D305" s="80"/>
      <c r="E305" s="88"/>
      <c r="F305" s="444"/>
      <c r="G305" s="255"/>
      <c r="H305" s="255"/>
      <c r="I305" s="6"/>
      <c r="J305" s="6"/>
    </row>
    <row r="306" spans="2:10" x14ac:dyDescent="0.2">
      <c r="B306" s="88" t="s">
        <v>790</v>
      </c>
      <c r="C306" s="6"/>
      <c r="D306" s="81"/>
      <c r="E306" s="88"/>
      <c r="F306" s="445">
        <v>150000</v>
      </c>
      <c r="G306" s="616">
        <v>150000</v>
      </c>
      <c r="H306" s="616">
        <v>150000</v>
      </c>
      <c r="I306" s="570"/>
      <c r="J306" s="570"/>
    </row>
    <row r="307" spans="2:10" x14ac:dyDescent="0.2">
      <c r="B307" s="88" t="s">
        <v>791</v>
      </c>
      <c r="C307" s="6"/>
      <c r="D307" s="81"/>
      <c r="E307" s="88"/>
      <c r="F307" s="445">
        <v>200000</v>
      </c>
      <c r="G307" s="616">
        <v>200000</v>
      </c>
      <c r="H307" s="616">
        <v>200000</v>
      </c>
      <c r="I307" s="570"/>
      <c r="J307" s="570"/>
    </row>
    <row r="308" spans="2:10" x14ac:dyDescent="0.2">
      <c r="B308" s="88" t="s">
        <v>792</v>
      </c>
      <c r="C308" s="6"/>
      <c r="D308" s="81"/>
      <c r="E308" s="88"/>
      <c r="F308" s="445">
        <v>100000</v>
      </c>
      <c r="G308" s="616">
        <v>100000</v>
      </c>
      <c r="H308" s="616">
        <v>100000</v>
      </c>
      <c r="I308" s="570"/>
      <c r="J308" s="570"/>
    </row>
    <row r="309" spans="2:10" x14ac:dyDescent="0.2">
      <c r="B309" s="88" t="s">
        <v>796</v>
      </c>
      <c r="C309" s="6"/>
      <c r="D309" s="81"/>
      <c r="E309" s="28">
        <v>500000</v>
      </c>
      <c r="F309" s="445">
        <v>700000</v>
      </c>
      <c r="G309" s="616">
        <v>1200000</v>
      </c>
      <c r="H309" s="616">
        <v>1200000</v>
      </c>
      <c r="I309" s="570"/>
      <c r="J309" s="570"/>
    </row>
    <row r="310" spans="2:10" x14ac:dyDescent="0.2">
      <c r="B310" s="88" t="s">
        <v>797</v>
      </c>
      <c r="C310" s="6"/>
      <c r="D310" s="81"/>
      <c r="E310" s="28">
        <v>500000</v>
      </c>
      <c r="F310" s="445">
        <v>700000</v>
      </c>
      <c r="G310" s="616">
        <v>1200000</v>
      </c>
      <c r="H310" s="616">
        <v>1200000</v>
      </c>
      <c r="I310" s="570"/>
      <c r="J310" s="570"/>
    </row>
    <row r="311" spans="2:10" x14ac:dyDescent="0.2">
      <c r="B311" s="88" t="s">
        <v>798</v>
      </c>
      <c r="C311" s="6"/>
      <c r="D311" s="81"/>
      <c r="E311" s="88"/>
      <c r="F311" s="445">
        <v>100000</v>
      </c>
      <c r="G311" s="616">
        <v>100000</v>
      </c>
      <c r="H311" s="616">
        <v>100000</v>
      </c>
      <c r="I311" s="570"/>
      <c r="J311" s="570"/>
    </row>
    <row r="312" spans="2:10" ht="13.5" thickBot="1" x14ac:dyDescent="0.25">
      <c r="B312" s="89"/>
      <c r="C312" s="90"/>
      <c r="D312" s="84"/>
      <c r="E312" s="89"/>
      <c r="F312" s="552"/>
      <c r="G312" s="904"/>
      <c r="H312" s="904"/>
      <c r="I312" s="6"/>
      <c r="J312" s="6"/>
    </row>
    <row r="313" spans="2:10" x14ac:dyDescent="0.2">
      <c r="B313" s="1765" t="s">
        <v>70</v>
      </c>
      <c r="C313" s="1766"/>
      <c r="D313" s="1766"/>
      <c r="E313" s="3"/>
      <c r="F313" s="23"/>
      <c r="G313" s="255"/>
      <c r="H313" s="255"/>
      <c r="I313" s="80"/>
      <c r="J313" s="80"/>
    </row>
    <row r="314" spans="2:10" ht="15" x14ac:dyDescent="0.25">
      <c r="B314" s="1768"/>
      <c r="C314" s="1769"/>
      <c r="D314" s="1769"/>
      <c r="E314" s="6"/>
      <c r="F314" s="553">
        <f>F317+F318+F319+F320</f>
        <v>525000</v>
      </c>
      <c r="G314" s="617">
        <v>525000</v>
      </c>
      <c r="H314" s="617">
        <v>525000</v>
      </c>
      <c r="I314" s="554"/>
      <c r="J314" s="554"/>
    </row>
    <row r="315" spans="2:10" x14ac:dyDescent="0.2">
      <c r="B315" s="1778"/>
      <c r="C315" s="1779"/>
      <c r="D315" s="1779"/>
      <c r="E315" s="6"/>
      <c r="F315" s="445"/>
      <c r="G315" s="904"/>
      <c r="H315" s="904"/>
      <c r="I315" s="84"/>
      <c r="J315" s="84"/>
    </row>
    <row r="316" spans="2:10" x14ac:dyDescent="0.2">
      <c r="B316" s="102"/>
      <c r="C316" s="87"/>
      <c r="D316" s="80"/>
      <c r="E316" s="102"/>
      <c r="F316" s="444"/>
      <c r="G316" s="255"/>
      <c r="H316" s="255"/>
      <c r="I316" s="6"/>
      <c r="J316" s="6"/>
    </row>
    <row r="317" spans="2:10" x14ac:dyDescent="0.2">
      <c r="B317" s="88" t="s">
        <v>793</v>
      </c>
      <c r="C317" s="6"/>
      <c r="D317" s="81"/>
      <c r="E317" s="88"/>
      <c r="F317" s="445">
        <v>100000</v>
      </c>
      <c r="G317" s="66"/>
      <c r="H317" s="616">
        <v>100000</v>
      </c>
      <c r="I317" s="570"/>
      <c r="J317" s="570"/>
    </row>
    <row r="318" spans="2:10" x14ac:dyDescent="0.2">
      <c r="B318" s="88" t="s">
        <v>794</v>
      </c>
      <c r="C318" s="6"/>
      <c r="D318" s="81"/>
      <c r="E318" s="88"/>
      <c r="F318" s="445">
        <v>100000</v>
      </c>
      <c r="G318" s="66"/>
      <c r="H318" s="616">
        <v>100000</v>
      </c>
      <c r="I318" s="570"/>
      <c r="J318" s="570"/>
    </row>
    <row r="319" spans="2:10" x14ac:dyDescent="0.2">
      <c r="B319" s="88" t="s">
        <v>796</v>
      </c>
      <c r="C319" s="6"/>
      <c r="D319" s="81"/>
      <c r="E319" s="88"/>
      <c r="F319" s="445">
        <v>300000</v>
      </c>
      <c r="G319" s="66"/>
      <c r="H319" s="616">
        <v>300000</v>
      </c>
      <c r="I319" s="570"/>
      <c r="J319" s="570"/>
    </row>
    <row r="320" spans="2:10" x14ac:dyDescent="0.2">
      <c r="B320" s="88" t="s">
        <v>798</v>
      </c>
      <c r="C320" s="6"/>
      <c r="D320" s="81"/>
      <c r="E320" s="88"/>
      <c r="F320" s="445">
        <v>25000</v>
      </c>
      <c r="G320" s="66"/>
      <c r="H320" s="616">
        <v>25000</v>
      </c>
      <c r="I320" s="570"/>
      <c r="J320" s="570"/>
    </row>
    <row r="321" spans="2:10" ht="13.5" thickBot="1" x14ac:dyDescent="0.25">
      <c r="B321" s="89"/>
      <c r="C321" s="90"/>
      <c r="D321" s="84"/>
      <c r="E321" s="89"/>
      <c r="F321" s="552"/>
      <c r="G321" s="904"/>
      <c r="H321" s="904"/>
      <c r="I321" s="6"/>
      <c r="J321" s="6"/>
    </row>
    <row r="322" spans="2:10" x14ac:dyDescent="0.2">
      <c r="B322" s="1765" t="s">
        <v>72</v>
      </c>
      <c r="C322" s="1766"/>
      <c r="D322" s="1766"/>
      <c r="E322" s="3"/>
      <c r="F322" s="23"/>
      <c r="G322" s="255"/>
      <c r="H322" s="255"/>
      <c r="I322" s="80"/>
      <c r="J322" s="80"/>
    </row>
    <row r="323" spans="2:10" ht="15" x14ac:dyDescent="0.25">
      <c r="B323" s="1768"/>
      <c r="C323" s="1769"/>
      <c r="D323" s="1769"/>
      <c r="E323" s="6"/>
      <c r="F323" s="553">
        <f>F326+F327+F328+F329</f>
        <v>425000</v>
      </c>
      <c r="G323" s="617">
        <v>425000</v>
      </c>
      <c r="H323" s="617">
        <v>425000</v>
      </c>
      <c r="I323" s="554"/>
      <c r="J323" s="554"/>
    </row>
    <row r="324" spans="2:10" x14ac:dyDescent="0.2">
      <c r="B324" s="1778"/>
      <c r="C324" s="1779"/>
      <c r="D324" s="1779"/>
      <c r="E324" s="6"/>
      <c r="F324" s="445"/>
      <c r="G324" s="904"/>
      <c r="H324" s="904"/>
      <c r="I324" s="84"/>
      <c r="J324" s="84"/>
    </row>
    <row r="325" spans="2:10" x14ac:dyDescent="0.2">
      <c r="B325" s="102"/>
      <c r="C325" s="87"/>
      <c r="D325" s="80"/>
      <c r="E325" s="102"/>
      <c r="F325" s="444"/>
      <c r="G325" s="255"/>
      <c r="H325" s="255"/>
      <c r="I325" s="6"/>
      <c r="J325" s="6"/>
    </row>
    <row r="326" spans="2:10" x14ac:dyDescent="0.2">
      <c r="B326" s="88" t="s">
        <v>793</v>
      </c>
      <c r="C326" s="6"/>
      <c r="D326" s="81"/>
      <c r="E326" s="88"/>
      <c r="F326" s="445">
        <v>100000</v>
      </c>
      <c r="G326" s="66"/>
      <c r="H326" s="616">
        <v>100000</v>
      </c>
      <c r="I326" s="570"/>
      <c r="J326" s="570"/>
    </row>
    <row r="327" spans="2:10" x14ac:dyDescent="0.2">
      <c r="B327" s="88" t="s">
        <v>794</v>
      </c>
      <c r="C327" s="6"/>
      <c r="D327" s="81"/>
      <c r="E327" s="88"/>
      <c r="F327" s="445"/>
      <c r="G327" s="66"/>
      <c r="H327" s="66"/>
      <c r="I327" s="570"/>
      <c r="J327" s="570"/>
    </row>
    <row r="328" spans="2:10" x14ac:dyDescent="0.2">
      <c r="B328" s="88" t="s">
        <v>796</v>
      </c>
      <c r="C328" s="6"/>
      <c r="D328" s="81"/>
      <c r="E328" s="88"/>
      <c r="F328" s="445">
        <v>300000</v>
      </c>
      <c r="G328" s="66"/>
      <c r="H328" s="616">
        <v>300000</v>
      </c>
      <c r="I328" s="570"/>
      <c r="J328" s="570"/>
    </row>
    <row r="329" spans="2:10" x14ac:dyDescent="0.2">
      <c r="B329" s="88" t="s">
        <v>798</v>
      </c>
      <c r="C329" s="6"/>
      <c r="D329" s="81"/>
      <c r="E329" s="88"/>
      <c r="F329" s="445">
        <v>25000</v>
      </c>
      <c r="G329" s="66"/>
      <c r="H329" s="616">
        <v>25000</v>
      </c>
      <c r="I329" s="570"/>
      <c r="J329" s="570"/>
    </row>
    <row r="330" spans="2:10" ht="13.5" thickBot="1" x14ac:dyDescent="0.25">
      <c r="B330" s="89"/>
      <c r="C330" s="90"/>
      <c r="D330" s="84"/>
      <c r="E330" s="89"/>
      <c r="F330" s="552"/>
      <c r="G330" s="904"/>
      <c r="H330" s="904"/>
      <c r="I330" s="6"/>
      <c r="J330" s="6"/>
    </row>
    <row r="331" spans="2:10" x14ac:dyDescent="0.2">
      <c r="B331" s="1765" t="s">
        <v>330</v>
      </c>
      <c r="C331" s="1766"/>
      <c r="D331" s="1766"/>
      <c r="E331" s="3"/>
      <c r="F331" s="23"/>
      <c r="G331" s="255"/>
      <c r="H331" s="255"/>
      <c r="I331" s="80"/>
      <c r="J331" s="80"/>
    </row>
    <row r="332" spans="2:10" ht="15" x14ac:dyDescent="0.25">
      <c r="B332" s="1768"/>
      <c r="C332" s="1769"/>
      <c r="D332" s="1769"/>
      <c r="E332" s="6"/>
      <c r="F332" s="553">
        <f>F335+F336+F337+F338</f>
        <v>1020000</v>
      </c>
      <c r="G332" s="617">
        <v>1020000</v>
      </c>
      <c r="H332" s="617">
        <v>1020000</v>
      </c>
      <c r="I332" s="553"/>
      <c r="J332" s="553"/>
    </row>
    <row r="333" spans="2:10" x14ac:dyDescent="0.2">
      <c r="B333" s="1778"/>
      <c r="C333" s="1779"/>
      <c r="D333" s="1779"/>
      <c r="E333" s="90"/>
      <c r="F333" s="555"/>
      <c r="G333" s="904"/>
      <c r="H333" s="904"/>
      <c r="I333" s="84"/>
      <c r="J333" s="84"/>
    </row>
    <row r="334" spans="2:10" x14ac:dyDescent="0.2">
      <c r="B334" s="102"/>
      <c r="C334" s="87"/>
      <c r="D334" s="80"/>
      <c r="E334" s="102"/>
      <c r="F334" s="444"/>
      <c r="G334" s="255"/>
      <c r="H334" s="255"/>
      <c r="I334" s="6"/>
      <c r="J334" s="6"/>
    </row>
    <row r="335" spans="2:10" x14ac:dyDescent="0.2">
      <c r="B335" s="88" t="s">
        <v>793</v>
      </c>
      <c r="C335" s="6"/>
      <c r="D335" s="81"/>
      <c r="E335" s="88"/>
      <c r="F335" s="445">
        <v>200000</v>
      </c>
      <c r="G335" s="66"/>
      <c r="H335" s="616">
        <v>200000</v>
      </c>
      <c r="I335" s="570"/>
      <c r="J335" s="570"/>
    </row>
    <row r="336" spans="2:10" x14ac:dyDescent="0.2">
      <c r="B336" s="88" t="s">
        <v>794</v>
      </c>
      <c r="C336" s="6"/>
      <c r="D336" s="81"/>
      <c r="E336" s="88"/>
      <c r="F336" s="445">
        <v>200000</v>
      </c>
      <c r="G336" s="66"/>
      <c r="H336" s="616">
        <v>200000</v>
      </c>
      <c r="I336" s="570"/>
      <c r="J336" s="570"/>
    </row>
    <row r="337" spans="2:10" x14ac:dyDescent="0.2">
      <c r="B337" s="88" t="s">
        <v>796</v>
      </c>
      <c r="C337" s="6"/>
      <c r="D337" s="81"/>
      <c r="E337" s="88"/>
      <c r="F337" s="445">
        <v>600000</v>
      </c>
      <c r="G337" s="66"/>
      <c r="H337" s="616">
        <v>600000</v>
      </c>
      <c r="I337" s="570"/>
      <c r="J337" s="570"/>
    </row>
    <row r="338" spans="2:10" x14ac:dyDescent="0.2">
      <c r="B338" s="88" t="s">
        <v>798</v>
      </c>
      <c r="C338" s="6"/>
      <c r="D338" s="81"/>
      <c r="E338" s="88"/>
      <c r="F338" s="445">
        <v>20000</v>
      </c>
      <c r="G338" s="66"/>
      <c r="H338" s="616">
        <v>20000</v>
      </c>
      <c r="I338" s="570"/>
      <c r="J338" s="570"/>
    </row>
    <row r="339" spans="2:10" x14ac:dyDescent="0.2">
      <c r="B339" s="88"/>
      <c r="C339" s="6"/>
      <c r="D339" s="81"/>
      <c r="E339" s="88"/>
      <c r="F339" s="445"/>
      <c r="G339" s="66"/>
      <c r="H339" s="616"/>
      <c r="I339" s="570"/>
      <c r="J339" s="570"/>
    </row>
    <row r="340" spans="2:10" x14ac:dyDescent="0.2">
      <c r="B340" s="88"/>
      <c r="C340" s="6"/>
      <c r="D340" s="81"/>
      <c r="E340" s="88"/>
      <c r="F340" s="445"/>
      <c r="G340" s="66"/>
      <c r="H340" s="616"/>
      <c r="I340" s="570"/>
      <c r="J340" s="570"/>
    </row>
    <row r="341" spans="2:10" x14ac:dyDescent="0.2">
      <c r="B341" s="88"/>
      <c r="C341" s="6"/>
      <c r="D341" s="81"/>
      <c r="E341" s="89"/>
      <c r="F341" s="555"/>
      <c r="G341" s="904"/>
      <c r="H341" s="66"/>
      <c r="I341" s="570"/>
      <c r="J341" s="570"/>
    </row>
    <row r="342" spans="2:10" ht="12.75" customHeight="1" x14ac:dyDescent="0.2">
      <c r="B342" s="1805" t="s">
        <v>735</v>
      </c>
      <c r="C342" s="1806"/>
      <c r="D342" s="1807"/>
      <c r="E342" s="6"/>
      <c r="F342" s="445"/>
      <c r="G342" s="66"/>
      <c r="H342" s="66"/>
      <c r="I342" s="570"/>
      <c r="J342" s="570"/>
    </row>
    <row r="343" spans="2:10" ht="12.75" customHeight="1" x14ac:dyDescent="0.2">
      <c r="B343" s="1808"/>
      <c r="C343" s="1809"/>
      <c r="D343" s="1810"/>
      <c r="E343" s="6"/>
      <c r="F343" s="445"/>
      <c r="G343" s="905" t="s">
        <v>967</v>
      </c>
      <c r="H343" s="66"/>
      <c r="I343" s="570"/>
      <c r="J343" s="570"/>
    </row>
    <row r="344" spans="2:10" ht="12.75" customHeight="1" x14ac:dyDescent="0.2">
      <c r="B344" s="1794" t="s">
        <v>696</v>
      </c>
      <c r="C344" s="1769"/>
      <c r="D344" s="1798"/>
      <c r="E344" s="6"/>
      <c r="F344" s="445"/>
      <c r="G344" s="66"/>
      <c r="H344" s="255"/>
      <c r="I344" s="80"/>
      <c r="J344" s="80"/>
    </row>
    <row r="345" spans="2:10" ht="15" x14ac:dyDescent="0.25">
      <c r="B345" s="1794"/>
      <c r="C345" s="1769"/>
      <c r="D345" s="1798"/>
      <c r="E345" s="6"/>
      <c r="F345" s="906">
        <v>1500000</v>
      </c>
      <c r="G345" s="617">
        <v>450000</v>
      </c>
      <c r="H345" s="907">
        <v>1500000</v>
      </c>
      <c r="I345" s="553"/>
      <c r="J345" s="553"/>
    </row>
    <row r="346" spans="2:10" ht="12.75" customHeight="1" x14ac:dyDescent="0.2">
      <c r="B346" s="1794" t="s">
        <v>832</v>
      </c>
      <c r="C346" s="1769"/>
      <c r="D346" s="1798"/>
      <c r="E346" s="6"/>
      <c r="F346" s="29"/>
      <c r="G346" s="66"/>
      <c r="H346" s="80"/>
      <c r="I346" s="80"/>
      <c r="J346" s="80"/>
    </row>
    <row r="347" spans="2:10" ht="15" x14ac:dyDescent="0.25">
      <c r="B347" s="1794"/>
      <c r="C347" s="1769"/>
      <c r="D347" s="1798"/>
      <c r="E347" s="6"/>
      <c r="F347" s="906">
        <v>1600000</v>
      </c>
      <c r="G347" s="908">
        <v>550000</v>
      </c>
      <c r="H347" s="907">
        <v>1600000</v>
      </c>
      <c r="I347" s="553"/>
      <c r="J347" s="553"/>
    </row>
    <row r="348" spans="2:10" ht="15" x14ac:dyDescent="0.25">
      <c r="B348" s="1794"/>
      <c r="C348" s="1769"/>
      <c r="D348" s="1798"/>
      <c r="E348" s="6"/>
      <c r="F348" s="906"/>
      <c r="G348" s="617">
        <v>1000000</v>
      </c>
      <c r="H348" s="907"/>
      <c r="I348" s="553"/>
      <c r="J348" s="553"/>
    </row>
    <row r="349" spans="2:10" ht="12.75" customHeight="1" x14ac:dyDescent="0.2">
      <c r="B349" s="1795"/>
      <c r="C349" s="1779"/>
      <c r="D349" s="1799"/>
      <c r="E349" s="90"/>
      <c r="F349" s="436"/>
      <c r="G349" s="904"/>
      <c r="H349" s="84"/>
      <c r="I349" s="84"/>
      <c r="J349" s="84"/>
    </row>
    <row r="350" spans="2:10" x14ac:dyDescent="0.2">
      <c r="B350" s="88"/>
      <c r="C350" s="6"/>
      <c r="D350" s="81"/>
      <c r="E350" s="102"/>
      <c r="F350" s="444"/>
      <c r="G350" s="66"/>
      <c r="H350" s="255"/>
      <c r="I350" s="80"/>
      <c r="J350" s="80"/>
    </row>
    <row r="351" spans="2:10" ht="15" x14ac:dyDescent="0.25">
      <c r="B351" s="512" t="s">
        <v>671</v>
      </c>
      <c r="C351" s="6"/>
      <c r="D351" s="81"/>
      <c r="E351" s="88"/>
      <c r="F351" s="553">
        <f>F332+F323+F314+F345+F347</f>
        <v>5070000</v>
      </c>
      <c r="G351" s="617">
        <f>G303+G314+G323+G332+G345+G347</f>
        <v>5920000</v>
      </c>
      <c r="H351" s="617">
        <f>H303+H314+H323+H332+H345+H347</f>
        <v>8020000</v>
      </c>
      <c r="I351" s="554"/>
      <c r="J351" s="554"/>
    </row>
    <row r="352" spans="2:10" x14ac:dyDescent="0.2">
      <c r="B352" s="89"/>
      <c r="C352" s="90"/>
      <c r="D352" s="84"/>
      <c r="E352" s="89"/>
      <c r="F352" s="555"/>
      <c r="G352" s="904"/>
      <c r="H352" s="904"/>
      <c r="I352" s="84"/>
      <c r="J352" s="84"/>
    </row>
    <row r="363" spans="1:10" x14ac:dyDescent="0.2">
      <c r="G363" t="s">
        <v>1292</v>
      </c>
    </row>
    <row r="365" spans="1:10" ht="23.25" x14ac:dyDescent="0.2">
      <c r="A365" s="1780" t="s">
        <v>1291</v>
      </c>
      <c r="B365" s="1780"/>
      <c r="C365" s="1780"/>
      <c r="D365" s="1780"/>
      <c r="E365" s="1780"/>
      <c r="F365" s="1780"/>
      <c r="G365" s="1780"/>
      <c r="H365" s="546"/>
      <c r="I365" s="1457"/>
      <c r="J365" s="1457"/>
    </row>
    <row r="366" spans="1:10" ht="23.25" x14ac:dyDescent="0.2">
      <c r="A366" s="1780"/>
      <c r="B366" s="1780"/>
      <c r="C366" s="1780"/>
      <c r="D366" s="1780"/>
      <c r="E366" s="1780"/>
      <c r="F366" s="1780"/>
      <c r="G366" s="1780"/>
      <c r="H366" s="546"/>
      <c r="I366" s="1457"/>
      <c r="J366" s="1457"/>
    </row>
    <row r="367" spans="1:10" ht="23.25" x14ac:dyDescent="0.25">
      <c r="B367" s="1457"/>
      <c r="C367" s="1457"/>
      <c r="D367" s="1457"/>
      <c r="E367" s="1457"/>
      <c r="F367" s="1457"/>
      <c r="G367" s="615"/>
      <c r="H367" s="1457"/>
      <c r="I367" s="1457"/>
      <c r="J367" s="1457"/>
    </row>
    <row r="368" spans="1:10" ht="24" thickBot="1" x14ac:dyDescent="0.3">
      <c r="B368" s="1457"/>
      <c r="C368" s="1457"/>
      <c r="D368" s="1457"/>
      <c r="E368" s="1457"/>
      <c r="F368" s="1457"/>
      <c r="G368" s="615"/>
      <c r="H368" s="1457"/>
      <c r="I368" s="1457"/>
      <c r="J368" s="1457"/>
    </row>
    <row r="369" spans="2:10" ht="23.25" hidden="1" x14ac:dyDescent="0.25">
      <c r="B369" s="546"/>
      <c r="C369" s="546"/>
      <c r="D369" s="546"/>
      <c r="E369" s="1804" t="s">
        <v>966</v>
      </c>
      <c r="F369" s="1775"/>
      <c r="G369" s="618" t="s">
        <v>834</v>
      </c>
      <c r="H369" s="549" t="s">
        <v>835</v>
      </c>
      <c r="I369" s="548"/>
      <c r="J369" s="548"/>
    </row>
    <row r="370" spans="2:10" ht="15.75" hidden="1" x14ac:dyDescent="0.25">
      <c r="B370" s="1792" t="s">
        <v>113</v>
      </c>
      <c r="C370" s="1793"/>
      <c r="D370" s="1793"/>
      <c r="E370" s="102"/>
      <c r="F370" s="548"/>
      <c r="G370" s="255"/>
      <c r="H370" s="255"/>
      <c r="I370" s="548"/>
      <c r="J370" s="548"/>
    </row>
    <row r="371" spans="2:10" ht="15.75" hidden="1" x14ac:dyDescent="0.25">
      <c r="B371" s="1794"/>
      <c r="C371" s="1769"/>
      <c r="D371" s="1769"/>
      <c r="E371" s="559" t="s">
        <v>801</v>
      </c>
      <c r="F371" s="93" t="s">
        <v>968</v>
      </c>
      <c r="G371" s="617">
        <v>2950000</v>
      </c>
      <c r="H371" s="617">
        <f>H374+H375+H376+H377+H378+H379</f>
        <v>2950000</v>
      </c>
      <c r="I371" s="550"/>
      <c r="J371" s="550"/>
    </row>
    <row r="372" spans="2:10" hidden="1" x14ac:dyDescent="0.2">
      <c r="B372" s="1795"/>
      <c r="C372" s="1779"/>
      <c r="D372" s="1779"/>
      <c r="E372" s="89"/>
      <c r="F372" s="84"/>
      <c r="G372" s="1458"/>
      <c r="H372" s="1458"/>
      <c r="I372" s="84"/>
      <c r="J372" s="84"/>
    </row>
    <row r="373" spans="2:10" hidden="1" x14ac:dyDescent="0.2">
      <c r="B373" s="102"/>
      <c r="C373" s="87"/>
      <c r="D373" s="80"/>
      <c r="E373" s="88"/>
      <c r="F373" s="444"/>
      <c r="G373" s="255"/>
      <c r="H373" s="255"/>
      <c r="I373" s="6"/>
      <c r="J373" s="6"/>
    </row>
    <row r="374" spans="2:10" hidden="1" x14ac:dyDescent="0.2">
      <c r="B374" s="88" t="s">
        <v>790</v>
      </c>
      <c r="C374" s="6"/>
      <c r="D374" s="81"/>
      <c r="E374" s="88"/>
      <c r="F374" s="445">
        <v>150000</v>
      </c>
      <c r="G374" s="616">
        <v>150000</v>
      </c>
      <c r="H374" s="616">
        <v>150000</v>
      </c>
      <c r="I374" s="570"/>
      <c r="J374" s="570"/>
    </row>
    <row r="375" spans="2:10" hidden="1" x14ac:dyDescent="0.2">
      <c r="B375" s="88" t="s">
        <v>791</v>
      </c>
      <c r="C375" s="6"/>
      <c r="D375" s="81"/>
      <c r="E375" s="88"/>
      <c r="F375" s="445">
        <v>200000</v>
      </c>
      <c r="G375" s="616">
        <v>200000</v>
      </c>
      <c r="H375" s="616">
        <v>200000</v>
      </c>
      <c r="I375" s="570"/>
      <c r="J375" s="570"/>
    </row>
    <row r="376" spans="2:10" hidden="1" x14ac:dyDescent="0.2">
      <c r="B376" s="88" t="s">
        <v>792</v>
      </c>
      <c r="C376" s="6"/>
      <c r="D376" s="81"/>
      <c r="E376" s="88"/>
      <c r="F376" s="445">
        <v>100000</v>
      </c>
      <c r="G376" s="616">
        <v>100000</v>
      </c>
      <c r="H376" s="616">
        <v>100000</v>
      </c>
      <c r="I376" s="570"/>
      <c r="J376" s="570"/>
    </row>
    <row r="377" spans="2:10" hidden="1" x14ac:dyDescent="0.2">
      <c r="B377" s="88" t="s">
        <v>796</v>
      </c>
      <c r="C377" s="6"/>
      <c r="D377" s="81"/>
      <c r="E377" s="28">
        <v>500000</v>
      </c>
      <c r="F377" s="445">
        <v>700000</v>
      </c>
      <c r="G377" s="616">
        <v>1200000</v>
      </c>
      <c r="H377" s="616">
        <v>1200000</v>
      </c>
      <c r="I377" s="570"/>
      <c r="J377" s="570"/>
    </row>
    <row r="378" spans="2:10" hidden="1" x14ac:dyDescent="0.2">
      <c r="B378" s="88" t="s">
        <v>797</v>
      </c>
      <c r="C378" s="6"/>
      <c r="D378" s="81"/>
      <c r="E378" s="28">
        <v>500000</v>
      </c>
      <c r="F378" s="445">
        <v>700000</v>
      </c>
      <c r="G378" s="616">
        <v>1200000</v>
      </c>
      <c r="H378" s="616">
        <v>1200000</v>
      </c>
      <c r="I378" s="570"/>
      <c r="J378" s="570"/>
    </row>
    <row r="379" spans="2:10" hidden="1" x14ac:dyDescent="0.2">
      <c r="B379" s="88" t="s">
        <v>798</v>
      </c>
      <c r="C379" s="6"/>
      <c r="D379" s="81"/>
      <c r="E379" s="88"/>
      <c r="F379" s="445">
        <v>100000</v>
      </c>
      <c r="G379" s="616">
        <v>100000</v>
      </c>
      <c r="H379" s="616">
        <v>100000</v>
      </c>
      <c r="I379" s="570"/>
      <c r="J379" s="570"/>
    </row>
    <row r="380" spans="2:10" ht="13.5" hidden="1" thickBot="1" x14ac:dyDescent="0.25">
      <c r="B380" s="89"/>
      <c r="C380" s="90"/>
      <c r="D380" s="84"/>
      <c r="E380" s="89"/>
      <c r="F380" s="552"/>
      <c r="G380" s="1458"/>
      <c r="H380" s="1458"/>
      <c r="I380" s="6"/>
      <c r="J380" s="6"/>
    </row>
    <row r="381" spans="2:10" x14ac:dyDescent="0.2">
      <c r="B381" s="1765" t="s">
        <v>70</v>
      </c>
      <c r="C381" s="1766"/>
      <c r="D381" s="1766"/>
      <c r="E381" s="3"/>
      <c r="F381" s="23"/>
      <c r="G381" s="255"/>
      <c r="H381" s="255"/>
      <c r="I381" s="80"/>
      <c r="J381" s="80"/>
    </row>
    <row r="382" spans="2:10" ht="15" x14ac:dyDescent="0.25">
      <c r="B382" s="1768"/>
      <c r="C382" s="1769"/>
      <c r="D382" s="1769"/>
      <c r="E382" s="6"/>
      <c r="F382" s="553">
        <f>F385+F386+F387+F388</f>
        <v>525000</v>
      </c>
      <c r="G382" s="617">
        <v>525000</v>
      </c>
      <c r="H382" s="617">
        <v>525000</v>
      </c>
      <c r="I382" s="554"/>
      <c r="J382" s="554"/>
    </row>
    <row r="383" spans="2:10" x14ac:dyDescent="0.2">
      <c r="B383" s="1778"/>
      <c r="C383" s="1779"/>
      <c r="D383" s="1779"/>
      <c r="E383" s="6"/>
      <c r="F383" s="445"/>
      <c r="G383" s="1458"/>
      <c r="H383" s="1458"/>
      <c r="I383" s="84"/>
      <c r="J383" s="84"/>
    </row>
    <row r="384" spans="2:10" x14ac:dyDescent="0.2">
      <c r="B384" s="102"/>
      <c r="C384" s="87"/>
      <c r="D384" s="80"/>
      <c r="E384" s="102"/>
      <c r="F384" s="444"/>
      <c r="G384" s="255"/>
      <c r="H384" s="255"/>
      <c r="I384" s="6"/>
      <c r="J384" s="6"/>
    </row>
    <row r="385" spans="2:10" x14ac:dyDescent="0.2">
      <c r="B385" s="88" t="s">
        <v>793</v>
      </c>
      <c r="C385" s="6"/>
      <c r="D385" s="81"/>
      <c r="E385" s="88"/>
      <c r="F385" s="445">
        <v>100000</v>
      </c>
      <c r="G385" s="1459"/>
      <c r="H385" s="616">
        <v>100000</v>
      </c>
      <c r="I385" s="570"/>
      <c r="J385" s="570"/>
    </row>
    <row r="386" spans="2:10" x14ac:dyDescent="0.2">
      <c r="B386" s="88" t="s">
        <v>794</v>
      </c>
      <c r="C386" s="6"/>
      <c r="D386" s="81"/>
      <c r="E386" s="88"/>
      <c r="F386" s="445">
        <v>100000</v>
      </c>
      <c r="G386" s="1459"/>
      <c r="H386" s="616">
        <v>100000</v>
      </c>
      <c r="I386" s="570"/>
      <c r="J386" s="570"/>
    </row>
    <row r="387" spans="2:10" x14ac:dyDescent="0.2">
      <c r="B387" s="88" t="s">
        <v>796</v>
      </c>
      <c r="C387" s="6"/>
      <c r="D387" s="81"/>
      <c r="E387" s="88"/>
      <c r="F387" s="445">
        <v>300000</v>
      </c>
      <c r="G387" s="1459"/>
      <c r="H387" s="616">
        <v>300000</v>
      </c>
      <c r="I387" s="570"/>
      <c r="J387" s="570"/>
    </row>
    <row r="388" spans="2:10" x14ac:dyDescent="0.2">
      <c r="B388" s="88" t="s">
        <v>798</v>
      </c>
      <c r="C388" s="6"/>
      <c r="D388" s="81"/>
      <c r="E388" s="88"/>
      <c r="F388" s="445">
        <v>25000</v>
      </c>
      <c r="G388" s="1459"/>
      <c r="H388" s="616">
        <v>25000</v>
      </c>
      <c r="I388" s="570"/>
      <c r="J388" s="570"/>
    </row>
    <row r="389" spans="2:10" ht="13.5" thickBot="1" x14ac:dyDescent="0.25">
      <c r="B389" s="89"/>
      <c r="C389" s="90"/>
      <c r="D389" s="84"/>
      <c r="E389" s="89"/>
      <c r="F389" s="552"/>
      <c r="G389" s="1458"/>
      <c r="H389" s="1458"/>
      <c r="I389" s="6"/>
      <c r="J389" s="6"/>
    </row>
    <row r="390" spans="2:10" x14ac:dyDescent="0.2">
      <c r="B390" s="1765" t="s">
        <v>72</v>
      </c>
      <c r="C390" s="1766"/>
      <c r="D390" s="1766"/>
      <c r="E390" s="3"/>
      <c r="F390" s="23"/>
      <c r="G390" s="255"/>
      <c r="H390" s="255"/>
      <c r="I390" s="80"/>
      <c r="J390" s="80"/>
    </row>
    <row r="391" spans="2:10" ht="15" x14ac:dyDescent="0.25">
      <c r="B391" s="1768"/>
      <c r="C391" s="1769"/>
      <c r="D391" s="1769"/>
      <c r="E391" s="6"/>
      <c r="F391" s="553">
        <f>F394+F395+F396+F397</f>
        <v>425000</v>
      </c>
      <c r="G391" s="617">
        <v>425000</v>
      </c>
      <c r="H391" s="617">
        <v>425000</v>
      </c>
      <c r="I391" s="554"/>
      <c r="J391" s="554"/>
    </row>
    <row r="392" spans="2:10" x14ac:dyDescent="0.2">
      <c r="B392" s="1778"/>
      <c r="C392" s="1779"/>
      <c r="D392" s="1779"/>
      <c r="E392" s="6"/>
      <c r="F392" s="445"/>
      <c r="G392" s="1458"/>
      <c r="H392" s="1458"/>
      <c r="I392" s="84"/>
      <c r="J392" s="84"/>
    </row>
    <row r="393" spans="2:10" x14ac:dyDescent="0.2">
      <c r="B393" s="102"/>
      <c r="C393" s="87"/>
      <c r="D393" s="80"/>
      <c r="E393" s="102"/>
      <c r="F393" s="444"/>
      <c r="G393" s="255"/>
      <c r="H393" s="255"/>
      <c r="I393" s="6"/>
      <c r="J393" s="6"/>
    </row>
    <row r="394" spans="2:10" x14ac:dyDescent="0.2">
      <c r="B394" s="88" t="s">
        <v>793</v>
      </c>
      <c r="C394" s="6"/>
      <c r="D394" s="81"/>
      <c r="E394" s="88"/>
      <c r="F394" s="445">
        <v>100000</v>
      </c>
      <c r="G394" s="1459"/>
      <c r="H394" s="616">
        <v>100000</v>
      </c>
      <c r="I394" s="570"/>
      <c r="J394" s="570"/>
    </row>
    <row r="395" spans="2:10" x14ac:dyDescent="0.2">
      <c r="B395" s="88" t="s">
        <v>794</v>
      </c>
      <c r="C395" s="6"/>
      <c r="D395" s="81"/>
      <c r="E395" s="88"/>
      <c r="F395" s="445"/>
      <c r="G395" s="1459"/>
      <c r="H395" s="1459"/>
      <c r="I395" s="570"/>
      <c r="J395" s="570"/>
    </row>
    <row r="396" spans="2:10" x14ac:dyDescent="0.2">
      <c r="B396" s="88" t="s">
        <v>796</v>
      </c>
      <c r="C396" s="6"/>
      <c r="D396" s="81"/>
      <c r="E396" s="88"/>
      <c r="F396" s="445">
        <v>300000</v>
      </c>
      <c r="G396" s="1459"/>
      <c r="H396" s="616">
        <v>300000</v>
      </c>
      <c r="I396" s="570"/>
      <c r="J396" s="570"/>
    </row>
    <row r="397" spans="2:10" x14ac:dyDescent="0.2">
      <c r="B397" s="88" t="s">
        <v>798</v>
      </c>
      <c r="C397" s="6"/>
      <c r="D397" s="81"/>
      <c r="E397" s="88"/>
      <c r="F397" s="445">
        <v>25000</v>
      </c>
      <c r="G397" s="1459"/>
      <c r="H397" s="616">
        <v>25000</v>
      </c>
      <c r="I397" s="570"/>
      <c r="J397" s="570"/>
    </row>
    <row r="398" spans="2:10" ht="13.5" thickBot="1" x14ac:dyDescent="0.25">
      <c r="B398" s="89"/>
      <c r="C398" s="90"/>
      <c r="D398" s="84"/>
      <c r="E398" s="89"/>
      <c r="F398" s="552"/>
      <c r="G398" s="1458"/>
      <c r="H398" s="1458"/>
      <c r="I398" s="6"/>
      <c r="J398" s="6"/>
    </row>
    <row r="399" spans="2:10" x14ac:dyDescent="0.2">
      <c r="B399" s="1765" t="s">
        <v>330</v>
      </c>
      <c r="C399" s="1766"/>
      <c r="D399" s="1766"/>
      <c r="E399" s="3"/>
      <c r="F399" s="23"/>
      <c r="G399" s="255"/>
      <c r="H399" s="255"/>
      <c r="I399" s="80"/>
      <c r="J399" s="80"/>
    </row>
    <row r="400" spans="2:10" ht="15" x14ac:dyDescent="0.25">
      <c r="B400" s="1768"/>
      <c r="C400" s="1769"/>
      <c r="D400" s="1769"/>
      <c r="E400" s="6"/>
      <c r="F400" s="553">
        <f>F403+F404+F405+F406</f>
        <v>1020000</v>
      </c>
      <c r="G400" s="617">
        <v>1020000</v>
      </c>
      <c r="H400" s="617">
        <v>1020000</v>
      </c>
      <c r="I400" s="553"/>
      <c r="J400" s="553"/>
    </row>
    <row r="401" spans="2:10" x14ac:dyDescent="0.2">
      <c r="B401" s="1778"/>
      <c r="C401" s="1779"/>
      <c r="D401" s="1779"/>
      <c r="E401" s="90"/>
      <c r="F401" s="555"/>
      <c r="G401" s="1458"/>
      <c r="H401" s="1458"/>
      <c r="I401" s="84"/>
      <c r="J401" s="84"/>
    </row>
    <row r="402" spans="2:10" x14ac:dyDescent="0.2">
      <c r="B402" s="102"/>
      <c r="C402" s="87"/>
      <c r="D402" s="80"/>
      <c r="E402" s="102"/>
      <c r="F402" s="444"/>
      <c r="G402" s="255"/>
      <c r="H402" s="255"/>
      <c r="I402" s="6"/>
      <c r="J402" s="6"/>
    </row>
    <row r="403" spans="2:10" x14ac:dyDescent="0.2">
      <c r="B403" s="88" t="s">
        <v>793</v>
      </c>
      <c r="C403" s="6"/>
      <c r="D403" s="81"/>
      <c r="E403" s="88"/>
      <c r="F403" s="445">
        <v>200000</v>
      </c>
      <c r="G403" s="1459"/>
      <c r="H403" s="616">
        <v>200000</v>
      </c>
      <c r="I403" s="570"/>
      <c r="J403" s="570"/>
    </row>
    <row r="404" spans="2:10" x14ac:dyDescent="0.2">
      <c r="B404" s="88" t="s">
        <v>794</v>
      </c>
      <c r="C404" s="6"/>
      <c r="D404" s="81"/>
      <c r="E404" s="88"/>
      <c r="F404" s="445">
        <v>200000</v>
      </c>
      <c r="G404" s="1459"/>
      <c r="H404" s="616">
        <v>200000</v>
      </c>
      <c r="I404" s="570"/>
      <c r="J404" s="570"/>
    </row>
    <row r="405" spans="2:10" x14ac:dyDescent="0.2">
      <c r="B405" s="88" t="s">
        <v>796</v>
      </c>
      <c r="C405" s="6"/>
      <c r="D405" s="81"/>
      <c r="E405" s="88"/>
      <c r="F405" s="445">
        <v>600000</v>
      </c>
      <c r="G405" s="1459"/>
      <c r="H405" s="616">
        <v>600000</v>
      </c>
      <c r="I405" s="570"/>
      <c r="J405" s="570"/>
    </row>
    <row r="406" spans="2:10" x14ac:dyDescent="0.2">
      <c r="B406" s="88" t="s">
        <v>798</v>
      </c>
      <c r="C406" s="6"/>
      <c r="D406" s="81"/>
      <c r="E406" s="88"/>
      <c r="F406" s="445">
        <v>20000</v>
      </c>
      <c r="G406" s="1459"/>
      <c r="H406" s="616">
        <v>20000</v>
      </c>
      <c r="I406" s="570"/>
      <c r="J406" s="570"/>
    </row>
    <row r="407" spans="2:10" x14ac:dyDescent="0.2">
      <c r="B407" s="88"/>
      <c r="C407" s="6"/>
      <c r="D407" s="81"/>
      <c r="E407" s="88"/>
      <c r="F407" s="445"/>
      <c r="G407" s="1459"/>
      <c r="H407" s="616"/>
      <c r="I407" s="570"/>
      <c r="J407" s="570"/>
    </row>
    <row r="408" spans="2:10" x14ac:dyDescent="0.2">
      <c r="B408" s="88"/>
      <c r="C408" s="6"/>
      <c r="D408" s="81"/>
      <c r="E408" s="88"/>
      <c r="F408" s="445"/>
      <c r="G408" s="1459"/>
      <c r="H408" s="616"/>
      <c r="I408" s="570"/>
      <c r="J408" s="570"/>
    </row>
    <row r="409" spans="2:10" x14ac:dyDescent="0.2">
      <c r="B409" s="89"/>
      <c r="C409" s="90"/>
      <c r="D409" s="84"/>
      <c r="E409" s="89"/>
      <c r="F409" s="555"/>
      <c r="G409" s="1458"/>
      <c r="H409" s="1459"/>
      <c r="I409" s="570"/>
      <c r="J409" s="570"/>
    </row>
    <row r="410" spans="2:10" x14ac:dyDescent="0.2">
      <c r="B410" s="1805" t="s">
        <v>735</v>
      </c>
      <c r="C410" s="1806"/>
      <c r="D410" s="1807"/>
      <c r="E410" s="6"/>
      <c r="F410" s="445"/>
      <c r="G410" s="1459"/>
      <c r="H410" s="1459"/>
      <c r="I410" s="570"/>
      <c r="J410" s="570"/>
    </row>
    <row r="411" spans="2:10" x14ac:dyDescent="0.2">
      <c r="B411" s="1808"/>
      <c r="C411" s="1809"/>
      <c r="D411" s="1810"/>
      <c r="E411" s="6"/>
      <c r="F411" s="445"/>
      <c r="G411" s="905" t="s">
        <v>967</v>
      </c>
      <c r="H411" s="1459"/>
      <c r="I411" s="570"/>
      <c r="J411" s="570"/>
    </row>
    <row r="412" spans="2:10" x14ac:dyDescent="0.2">
      <c r="B412" s="1794" t="s">
        <v>696</v>
      </c>
      <c r="C412" s="1769"/>
      <c r="D412" s="1798"/>
      <c r="E412" s="6"/>
      <c r="F412" s="445"/>
      <c r="G412" s="1459"/>
      <c r="H412" s="255"/>
      <c r="I412" s="80"/>
      <c r="J412" s="80"/>
    </row>
    <row r="413" spans="2:10" ht="15" x14ac:dyDescent="0.25">
      <c r="B413" s="1794"/>
      <c r="C413" s="1769"/>
      <c r="D413" s="1798"/>
      <c r="E413" s="6"/>
      <c r="F413" s="906">
        <v>1500000</v>
      </c>
      <c r="G413" s="617">
        <v>450000</v>
      </c>
      <c r="H413" s="907">
        <v>1500000</v>
      </c>
      <c r="I413" s="553"/>
      <c r="J413" s="553"/>
    </row>
    <row r="414" spans="2:10" x14ac:dyDescent="0.2">
      <c r="B414" s="1794" t="s">
        <v>832</v>
      </c>
      <c r="C414" s="1769"/>
      <c r="D414" s="1798"/>
      <c r="E414" s="6"/>
      <c r="F414" s="29"/>
      <c r="G414" s="1459"/>
      <c r="H414" s="80"/>
      <c r="I414" s="80"/>
      <c r="J414" s="80"/>
    </row>
    <row r="415" spans="2:10" ht="15" x14ac:dyDescent="0.25">
      <c r="B415" s="1794"/>
      <c r="C415" s="1769"/>
      <c r="D415" s="1798"/>
      <c r="E415" s="6"/>
      <c r="F415" s="906">
        <v>1600000</v>
      </c>
      <c r="G415" s="908">
        <v>550000</v>
      </c>
      <c r="H415" s="907">
        <v>1600000</v>
      </c>
      <c r="I415" s="553"/>
      <c r="J415" s="553"/>
    </row>
    <row r="416" spans="2:10" ht="15" x14ac:dyDescent="0.25">
      <c r="B416" s="1794"/>
      <c r="C416" s="1769"/>
      <c r="D416" s="1798"/>
      <c r="E416" s="6"/>
      <c r="F416" s="906"/>
      <c r="G416" s="617">
        <v>1000000</v>
      </c>
      <c r="H416" s="907"/>
      <c r="I416" s="553"/>
      <c r="J416" s="553"/>
    </row>
    <row r="417" spans="2:10" x14ac:dyDescent="0.2">
      <c r="B417" s="1795"/>
      <c r="C417" s="1779"/>
      <c r="D417" s="1799"/>
      <c r="E417" s="90"/>
      <c r="F417" s="436"/>
      <c r="G417" s="1458"/>
      <c r="H417" s="84"/>
      <c r="I417" s="84"/>
      <c r="J417" s="84"/>
    </row>
    <row r="418" spans="2:10" x14ac:dyDescent="0.2">
      <c r="B418" s="88"/>
      <c r="C418" s="6"/>
      <c r="D418" s="81"/>
      <c r="E418" s="102"/>
      <c r="F418" s="444"/>
      <c r="G418" s="1459"/>
      <c r="H418" s="255"/>
      <c r="I418" s="80"/>
      <c r="J418" s="80"/>
    </row>
    <row r="419" spans="2:10" ht="15" x14ac:dyDescent="0.25">
      <c r="B419" s="512" t="s">
        <v>671</v>
      </c>
      <c r="C419" s="6"/>
      <c r="D419" s="81"/>
      <c r="E419" s="88"/>
      <c r="F419" s="553">
        <f>F400+F391+F382+F413+F415</f>
        <v>5070000</v>
      </c>
      <c r="G419" s="617">
        <f>G371+G382+G391+G400+G413+G415</f>
        <v>5920000</v>
      </c>
      <c r="H419" s="617">
        <f>H371+H382+H391+H400+H413+H415</f>
        <v>8020000</v>
      </c>
      <c r="I419" s="554"/>
      <c r="J419" s="554"/>
    </row>
    <row r="420" spans="2:10" x14ac:dyDescent="0.2">
      <c r="B420" s="89"/>
      <c r="C420" s="90"/>
      <c r="D420" s="84"/>
      <c r="E420" s="89"/>
      <c r="F420" s="555"/>
      <c r="G420" s="1458"/>
      <c r="H420" s="1458"/>
      <c r="I420" s="84"/>
      <c r="J420" s="84"/>
    </row>
  </sheetData>
  <mergeCells count="136">
    <mergeCell ref="B370:D372"/>
    <mergeCell ref="B381:D383"/>
    <mergeCell ref="B390:D392"/>
    <mergeCell ref="B399:D401"/>
    <mergeCell ref="B410:D411"/>
    <mergeCell ref="A231:B231"/>
    <mergeCell ref="D226:G226"/>
    <mergeCell ref="C228:C229"/>
    <mergeCell ref="D228:D229"/>
    <mergeCell ref="E228:E229"/>
    <mergeCell ref="B346:D349"/>
    <mergeCell ref="B342:D343"/>
    <mergeCell ref="E301:F301"/>
    <mergeCell ref="B302:D304"/>
    <mergeCell ref="A297:G298"/>
    <mergeCell ref="B286:D288"/>
    <mergeCell ref="A239:H240"/>
    <mergeCell ref="E243:F243"/>
    <mergeCell ref="B244:D246"/>
    <mergeCell ref="B313:D315"/>
    <mergeCell ref="B344:D345"/>
    <mergeCell ref="B273:D275"/>
    <mergeCell ref="B282:D284"/>
    <mergeCell ref="B412:D413"/>
    <mergeCell ref="AI28:AI29"/>
    <mergeCell ref="L28:L29"/>
    <mergeCell ref="M28:M29"/>
    <mergeCell ref="N28:N29"/>
    <mergeCell ref="O28:O29"/>
    <mergeCell ref="P28:P29"/>
    <mergeCell ref="B119:D120"/>
    <mergeCell ref="E119:E120"/>
    <mergeCell ref="F119:F120"/>
    <mergeCell ref="B90:D90"/>
    <mergeCell ref="H28:H29"/>
    <mergeCell ref="I28:I29"/>
    <mergeCell ref="J28:J29"/>
    <mergeCell ref="K28:K29"/>
    <mergeCell ref="H119:H120"/>
    <mergeCell ref="A237:B237"/>
    <mergeCell ref="B208:D210"/>
    <mergeCell ref="U28:U29"/>
    <mergeCell ref="W28:W29"/>
    <mergeCell ref="B136:D138"/>
    <mergeCell ref="B212:D214"/>
    <mergeCell ref="A365:G366"/>
    <mergeCell ref="E369:F369"/>
    <mergeCell ref="B414:D417"/>
    <mergeCell ref="AP28:AP29"/>
    <mergeCell ref="W5:W6"/>
    <mergeCell ref="X5:X6"/>
    <mergeCell ref="AO28:AO29"/>
    <mergeCell ref="X28:X29"/>
    <mergeCell ref="Y5:Y6"/>
    <mergeCell ref="Y28:Y29"/>
    <mergeCell ref="Z5:Z6"/>
    <mergeCell ref="Z28:Z29"/>
    <mergeCell ref="AA5:AA6"/>
    <mergeCell ref="AA28:AA29"/>
    <mergeCell ref="AB28:AB29"/>
    <mergeCell ref="AB5:AB6"/>
    <mergeCell ref="AC28:AC29"/>
    <mergeCell ref="AD28:AD29"/>
    <mergeCell ref="AD5:AD6"/>
    <mergeCell ref="AE5:AE6"/>
    <mergeCell ref="AE28:AE29"/>
    <mergeCell ref="AF5:AF6"/>
    <mergeCell ref="AF28:AF29"/>
    <mergeCell ref="AH5:AH6"/>
    <mergeCell ref="B322:D324"/>
    <mergeCell ref="B331:D333"/>
    <mergeCell ref="B1:AO1"/>
    <mergeCell ref="B2:H2"/>
    <mergeCell ref="E5:E6"/>
    <mergeCell ref="F5:F6"/>
    <mergeCell ref="G5:G6"/>
    <mergeCell ref="H5:H6"/>
    <mergeCell ref="AO5:AO6"/>
    <mergeCell ref="I5:I6"/>
    <mergeCell ref="J5:J6"/>
    <mergeCell ref="K5:K6"/>
    <mergeCell ref="L5:L6"/>
    <mergeCell ref="M5:M6"/>
    <mergeCell ref="N5:N6"/>
    <mergeCell ref="O5:O6"/>
    <mergeCell ref="R5:R6"/>
    <mergeCell ref="S5:S6"/>
    <mergeCell ref="AC5:AC6"/>
    <mergeCell ref="AG5:AG6"/>
    <mergeCell ref="AI5:AI6"/>
    <mergeCell ref="AJ5:AJ6"/>
    <mergeCell ref="AK5:AK6"/>
    <mergeCell ref="AL5:AL6"/>
    <mergeCell ref="AN5:AN6"/>
    <mergeCell ref="AM5:AM6"/>
    <mergeCell ref="U5:U6"/>
    <mergeCell ref="V5:V6"/>
    <mergeCell ref="V28:V29"/>
    <mergeCell ref="T5:T6"/>
    <mergeCell ref="T28:T29"/>
    <mergeCell ref="P5:P6"/>
    <mergeCell ref="Q5:Q6"/>
    <mergeCell ref="R28:R29"/>
    <mergeCell ref="S28:S29"/>
    <mergeCell ref="Q28:Q29"/>
    <mergeCell ref="AG28:AG29"/>
    <mergeCell ref="AH28:AH29"/>
    <mergeCell ref="H169:I169"/>
    <mergeCell ref="A165:AP166"/>
    <mergeCell ref="AL28:AL29"/>
    <mergeCell ref="B7:D7"/>
    <mergeCell ref="B30:D30"/>
    <mergeCell ref="B86:D86"/>
    <mergeCell ref="AJ28:AJ29"/>
    <mergeCell ref="E28:E29"/>
    <mergeCell ref="F28:F29"/>
    <mergeCell ref="G28:G29"/>
    <mergeCell ref="G119:G120"/>
    <mergeCell ref="B123:F124"/>
    <mergeCell ref="B128:D130"/>
    <mergeCell ref="AM28:AM29"/>
    <mergeCell ref="AK28:AK29"/>
    <mergeCell ref="AN28:AN29"/>
    <mergeCell ref="B143:D145"/>
    <mergeCell ref="B190:D192"/>
    <mergeCell ref="E169:F169"/>
    <mergeCell ref="A235:B235"/>
    <mergeCell ref="F228:F229"/>
    <mergeCell ref="B150:D152"/>
    <mergeCell ref="B163:F164"/>
    <mergeCell ref="B170:D172"/>
    <mergeCell ref="B255:D257"/>
    <mergeCell ref="B264:D266"/>
    <mergeCell ref="B181:D183"/>
    <mergeCell ref="B199:D201"/>
    <mergeCell ref="A233:B233"/>
  </mergeCells>
  <pageMargins left="0.70866141732283472" right="0.70866141732283472" top="0.43307086614173229" bottom="0.74803149606299213" header="0.31496062992125984" footer="0.31496062992125984"/>
  <pageSetup paperSize="9" scale="1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5">
    <pageSetUpPr fitToPage="1"/>
  </sheetPr>
  <dimension ref="A5:AC2549"/>
  <sheetViews>
    <sheetView workbookViewId="0">
      <selection activeCell="F1231" sqref="F1231"/>
    </sheetView>
  </sheetViews>
  <sheetFormatPr defaultColWidth="11.42578125" defaultRowHeight="12.75" x14ac:dyDescent="0.2"/>
  <cols>
    <col min="1" max="1" width="18.28515625" customWidth="1"/>
    <col min="2" max="2" width="13.140625" customWidth="1"/>
    <col min="3" max="3" width="26.42578125" customWidth="1"/>
    <col min="4" max="4" width="23.42578125" customWidth="1"/>
    <col min="5" max="5" width="14" customWidth="1"/>
    <col min="6" max="6" width="20" customWidth="1"/>
    <col min="7" max="7" width="23.42578125" customWidth="1"/>
    <col min="8" max="8" width="14.140625" bestFit="1" customWidth="1"/>
    <col min="9" max="9" width="14.140625" customWidth="1"/>
    <col min="10" max="10" width="16.28515625" customWidth="1"/>
    <col min="11" max="11" width="15.140625" customWidth="1"/>
    <col min="12" max="12" width="13.7109375" customWidth="1"/>
    <col min="13" max="13" width="12" customWidth="1"/>
    <col min="14" max="14" width="15" hidden="1" customWidth="1"/>
    <col min="15" max="15" width="12.85546875" bestFit="1" customWidth="1"/>
    <col min="16" max="16" width="11.85546875" bestFit="1" customWidth="1"/>
    <col min="17" max="17" width="15" customWidth="1"/>
    <col min="19" max="19" width="13.85546875" customWidth="1"/>
    <col min="20" max="20" width="12.85546875" bestFit="1" customWidth="1"/>
    <col min="21" max="21" width="15.5703125" customWidth="1"/>
    <col min="23" max="23" width="15.85546875" customWidth="1"/>
    <col min="25" max="25" width="16.7109375" customWidth="1"/>
    <col min="27" max="27" width="14.42578125" customWidth="1"/>
    <col min="29" max="29" width="15.28515625" customWidth="1"/>
  </cols>
  <sheetData>
    <row r="5" spans="1:14" x14ac:dyDescent="0.2">
      <c r="B5" s="62" t="s">
        <v>107</v>
      </c>
    </row>
    <row r="6" spans="1:14" x14ac:dyDescent="0.2">
      <c r="B6" s="62"/>
    </row>
    <row r="7" spans="1:14" x14ac:dyDescent="0.2">
      <c r="A7" s="64" t="s">
        <v>59</v>
      </c>
      <c r="B7" s="64" t="s">
        <v>46</v>
      </c>
      <c r="C7" s="64" t="s">
        <v>45</v>
      </c>
      <c r="D7" s="64" t="s">
        <v>85</v>
      </c>
      <c r="E7" s="64" t="s">
        <v>52</v>
      </c>
      <c r="F7" s="67" t="s">
        <v>55</v>
      </c>
      <c r="G7" s="68"/>
      <c r="H7" s="64" t="s">
        <v>56</v>
      </c>
      <c r="I7" s="64"/>
      <c r="J7" s="64" t="s">
        <v>59</v>
      </c>
      <c r="K7" s="64" t="s">
        <v>57</v>
      </c>
      <c r="L7" s="64" t="s">
        <v>34</v>
      </c>
      <c r="M7" s="72" t="s">
        <v>80</v>
      </c>
      <c r="N7" s="72" t="s">
        <v>43</v>
      </c>
    </row>
    <row r="8" spans="1:14" x14ac:dyDescent="0.2">
      <c r="A8" s="65" t="s">
        <v>117</v>
      </c>
      <c r="B8" s="65"/>
      <c r="C8" s="65"/>
      <c r="D8" s="65"/>
      <c r="E8" s="65"/>
      <c r="F8" s="69" t="s">
        <v>53</v>
      </c>
      <c r="G8" s="69" t="s">
        <v>54</v>
      </c>
      <c r="H8" s="70"/>
      <c r="I8" s="70"/>
      <c r="J8" s="71" t="s">
        <v>60</v>
      </c>
      <c r="K8" s="65" t="s">
        <v>58</v>
      </c>
      <c r="L8" s="70"/>
      <c r="M8" s="65" t="s">
        <v>81</v>
      </c>
      <c r="N8" s="70"/>
    </row>
    <row r="9" spans="1:14" x14ac:dyDescent="0.2">
      <c r="A9" s="102"/>
      <c r="B9" s="103"/>
      <c r="C9" s="103"/>
      <c r="D9" s="103"/>
      <c r="E9" s="103"/>
      <c r="F9" s="103"/>
      <c r="G9" s="103"/>
      <c r="H9" s="87"/>
      <c r="I9" s="87"/>
      <c r="J9" s="104"/>
      <c r="K9" s="103"/>
      <c r="L9" s="80"/>
      <c r="M9" s="93"/>
      <c r="N9" s="6"/>
    </row>
    <row r="10" spans="1:14" x14ac:dyDescent="0.2">
      <c r="A10" s="105">
        <v>38701</v>
      </c>
      <c r="B10" s="93">
        <v>1</v>
      </c>
      <c r="C10" s="93" t="s">
        <v>116</v>
      </c>
      <c r="D10" s="93"/>
      <c r="E10" s="93">
        <v>1</v>
      </c>
      <c r="F10" s="100">
        <v>64889.5</v>
      </c>
      <c r="G10" s="101">
        <v>87607.313999999998</v>
      </c>
      <c r="H10" s="106" t="s">
        <v>73</v>
      </c>
      <c r="I10" s="6"/>
      <c r="J10" s="86"/>
      <c r="K10" s="66" t="s">
        <v>76</v>
      </c>
      <c r="L10" s="81"/>
      <c r="M10" s="93"/>
      <c r="N10" s="6"/>
    </row>
    <row r="11" spans="1:14" x14ac:dyDescent="0.2">
      <c r="A11" s="105"/>
      <c r="B11" s="93"/>
      <c r="C11" s="93"/>
      <c r="D11" s="93"/>
      <c r="E11" s="93"/>
      <c r="F11" s="100"/>
      <c r="G11" s="101"/>
      <c r="H11" s="106"/>
      <c r="I11" s="6"/>
      <c r="J11" s="86"/>
      <c r="K11" s="6"/>
      <c r="L11" s="81"/>
      <c r="M11" s="93"/>
      <c r="N11" s="6"/>
    </row>
    <row r="12" spans="1:14" x14ac:dyDescent="0.2">
      <c r="A12" s="107"/>
      <c r="B12" s="108" t="s">
        <v>132</v>
      </c>
      <c r="C12" s="108">
        <v>2005</v>
      </c>
      <c r="D12" s="108"/>
      <c r="E12" s="108"/>
      <c r="F12" s="109"/>
      <c r="G12" s="112">
        <f>G10</f>
        <v>87607.313999999998</v>
      </c>
      <c r="H12" s="110"/>
      <c r="I12" s="90"/>
      <c r="J12" s="111"/>
      <c r="K12" s="90"/>
      <c r="L12" s="84"/>
      <c r="M12" s="93"/>
      <c r="N12" s="6"/>
    </row>
    <row r="13" spans="1:14" x14ac:dyDescent="0.2">
      <c r="A13" s="102"/>
      <c r="B13" s="103"/>
      <c r="C13" s="103"/>
      <c r="D13" s="103"/>
      <c r="E13" s="103"/>
      <c r="F13" s="113"/>
      <c r="G13" s="114"/>
      <c r="H13" s="115"/>
      <c r="I13" s="87"/>
      <c r="J13" s="104"/>
      <c r="K13" s="103"/>
      <c r="L13" s="80"/>
      <c r="M13" s="93"/>
      <c r="N13" s="6"/>
    </row>
    <row r="14" spans="1:14" x14ac:dyDescent="0.2">
      <c r="A14" s="105">
        <v>38730</v>
      </c>
      <c r="B14" s="93">
        <v>2</v>
      </c>
      <c r="C14" s="93" t="s">
        <v>118</v>
      </c>
      <c r="D14" s="93"/>
      <c r="E14" s="93">
        <v>1</v>
      </c>
      <c r="F14" s="100">
        <v>45157.04</v>
      </c>
      <c r="G14" s="101">
        <v>61420.347000000002</v>
      </c>
      <c r="H14" s="106" t="s">
        <v>73</v>
      </c>
      <c r="I14" s="6"/>
      <c r="J14" s="86"/>
      <c r="K14" s="66" t="s">
        <v>76</v>
      </c>
      <c r="L14" s="81"/>
      <c r="M14" s="93"/>
      <c r="N14" s="6"/>
    </row>
    <row r="15" spans="1:14" x14ac:dyDescent="0.2">
      <c r="A15" s="105">
        <v>38807</v>
      </c>
      <c r="B15" s="93">
        <v>3</v>
      </c>
      <c r="C15" s="93" t="s">
        <v>119</v>
      </c>
      <c r="D15" s="93"/>
      <c r="E15" s="93">
        <v>1</v>
      </c>
      <c r="F15" s="100">
        <v>48875.6</v>
      </c>
      <c r="G15" s="101">
        <v>65810.994999999995</v>
      </c>
      <c r="H15" s="106" t="s">
        <v>73</v>
      </c>
      <c r="I15" s="6"/>
      <c r="J15" s="86"/>
      <c r="K15" s="66" t="s">
        <v>76</v>
      </c>
      <c r="L15" s="81"/>
      <c r="M15" s="93"/>
      <c r="N15" s="6"/>
    </row>
    <row r="16" spans="1:14" x14ac:dyDescent="0.2">
      <c r="A16" s="105">
        <v>38873</v>
      </c>
      <c r="B16" s="93">
        <v>4</v>
      </c>
      <c r="C16" s="93" t="s">
        <v>120</v>
      </c>
      <c r="D16" s="93"/>
      <c r="E16" s="93">
        <v>1</v>
      </c>
      <c r="F16" s="100">
        <v>2200</v>
      </c>
      <c r="G16" s="101">
        <v>3679.72</v>
      </c>
      <c r="H16" s="106" t="s">
        <v>73</v>
      </c>
      <c r="I16" s="6"/>
      <c r="J16" s="86"/>
      <c r="K16" s="93"/>
      <c r="L16" s="81"/>
      <c r="M16" s="93"/>
      <c r="N16" s="6"/>
    </row>
    <row r="17" spans="1:14" x14ac:dyDescent="0.2">
      <c r="A17" s="116">
        <v>38895</v>
      </c>
      <c r="B17" s="93">
        <v>5</v>
      </c>
      <c r="C17" s="93" t="s">
        <v>116</v>
      </c>
      <c r="D17" s="117" t="s">
        <v>131</v>
      </c>
      <c r="E17" s="93"/>
      <c r="F17" s="100"/>
      <c r="G17" s="101"/>
      <c r="H17" s="106"/>
      <c r="I17" s="6"/>
      <c r="J17" s="86"/>
      <c r="K17" s="93"/>
      <c r="L17" s="81"/>
      <c r="M17" s="93"/>
      <c r="N17" s="6"/>
    </row>
    <row r="18" spans="1:14" x14ac:dyDescent="0.2">
      <c r="A18" s="105">
        <v>38910</v>
      </c>
      <c r="B18" s="93">
        <v>6</v>
      </c>
      <c r="C18" s="93" t="s">
        <v>118</v>
      </c>
      <c r="D18" s="93"/>
      <c r="E18" s="93">
        <v>2</v>
      </c>
      <c r="F18" s="100">
        <v>56030.16</v>
      </c>
      <c r="G18" s="101">
        <v>73982.595000000001</v>
      </c>
      <c r="H18" s="106" t="s">
        <v>73</v>
      </c>
      <c r="I18" s="6"/>
      <c r="J18" s="86"/>
      <c r="K18" s="66" t="s">
        <v>76</v>
      </c>
      <c r="L18" s="81"/>
      <c r="M18" s="93"/>
      <c r="N18" s="6"/>
    </row>
    <row r="19" spans="1:14" x14ac:dyDescent="0.2">
      <c r="A19" s="105">
        <v>38936</v>
      </c>
      <c r="B19" s="93">
        <v>7</v>
      </c>
      <c r="C19" s="93" t="s">
        <v>116</v>
      </c>
      <c r="D19" s="93"/>
      <c r="E19" s="93">
        <v>2</v>
      </c>
      <c r="F19" s="100">
        <v>37128</v>
      </c>
      <c r="G19" s="101">
        <v>48877.154999999999</v>
      </c>
      <c r="H19" s="106" t="s">
        <v>73</v>
      </c>
      <c r="I19" s="6"/>
      <c r="J19" s="86"/>
      <c r="K19" s="66" t="s">
        <v>76</v>
      </c>
      <c r="L19" s="81"/>
      <c r="M19" s="93"/>
      <c r="N19" s="6"/>
    </row>
    <row r="20" spans="1:14" x14ac:dyDescent="0.2">
      <c r="A20" s="105">
        <v>39072</v>
      </c>
      <c r="B20" s="93">
        <v>8</v>
      </c>
      <c r="C20" s="93" t="s">
        <v>121</v>
      </c>
      <c r="D20" s="93"/>
      <c r="E20" s="93">
        <v>1</v>
      </c>
      <c r="F20" s="100">
        <v>9332.4</v>
      </c>
      <c r="G20" s="101">
        <v>16008.332</v>
      </c>
      <c r="H20" s="106" t="s">
        <v>73</v>
      </c>
      <c r="I20" s="6"/>
      <c r="J20" s="86"/>
      <c r="K20" s="93"/>
      <c r="L20" s="81"/>
      <c r="M20" s="93"/>
      <c r="N20" s="6"/>
    </row>
    <row r="21" spans="1:14" x14ac:dyDescent="0.2">
      <c r="A21" s="105">
        <v>39076</v>
      </c>
      <c r="B21" s="93">
        <v>9</v>
      </c>
      <c r="C21" s="93" t="s">
        <v>118</v>
      </c>
      <c r="D21" s="93"/>
      <c r="E21" s="93">
        <v>3</v>
      </c>
      <c r="F21" s="100">
        <v>50515.199999999997</v>
      </c>
      <c r="G21" s="101">
        <v>65712.7</v>
      </c>
      <c r="H21" s="106" t="s">
        <v>73</v>
      </c>
      <c r="I21" s="6"/>
      <c r="J21" s="86"/>
      <c r="K21" s="66" t="s">
        <v>76</v>
      </c>
      <c r="L21" s="81"/>
      <c r="M21" s="93"/>
      <c r="N21" s="6"/>
    </row>
    <row r="22" spans="1:14" x14ac:dyDescent="0.2">
      <c r="A22" s="105"/>
      <c r="B22" s="93"/>
      <c r="C22" s="93"/>
      <c r="D22" s="93"/>
      <c r="E22" s="93"/>
      <c r="F22" s="100"/>
      <c r="G22" s="101"/>
      <c r="H22" s="106"/>
      <c r="I22" s="6"/>
      <c r="J22" s="86"/>
      <c r="K22" s="6"/>
      <c r="L22" s="81"/>
      <c r="M22" s="93"/>
      <c r="N22" s="6"/>
    </row>
    <row r="23" spans="1:14" x14ac:dyDescent="0.2">
      <c r="A23" s="107"/>
      <c r="B23" s="108" t="s">
        <v>132</v>
      </c>
      <c r="C23" s="108">
        <v>2006</v>
      </c>
      <c r="D23" s="108"/>
      <c r="E23" s="108"/>
      <c r="F23" s="109"/>
      <c r="G23" s="112">
        <f>SUM(G14:G21)</f>
        <v>335491.84400000004</v>
      </c>
      <c r="H23" s="110"/>
      <c r="I23" s="90"/>
      <c r="J23" s="111"/>
      <c r="K23" s="90"/>
      <c r="L23" s="84"/>
      <c r="M23" s="93"/>
      <c r="N23" s="6"/>
    </row>
    <row r="24" spans="1:14" x14ac:dyDescent="0.2">
      <c r="B24" s="93"/>
      <c r="C24" s="93"/>
      <c r="D24" s="93"/>
      <c r="E24" s="93"/>
      <c r="F24" s="100"/>
      <c r="G24" s="101"/>
      <c r="H24" s="52"/>
      <c r="I24" s="6"/>
      <c r="J24" s="86"/>
      <c r="K24" s="93"/>
      <c r="L24" s="6"/>
      <c r="M24" s="93"/>
      <c r="N24" s="6"/>
    </row>
    <row r="25" spans="1:14" x14ac:dyDescent="0.2">
      <c r="A25" s="94">
        <v>39084</v>
      </c>
      <c r="B25" s="93">
        <v>10</v>
      </c>
      <c r="C25" s="93" t="s">
        <v>122</v>
      </c>
      <c r="D25" s="93"/>
      <c r="E25" s="93">
        <v>1</v>
      </c>
      <c r="F25" s="100">
        <v>2580</v>
      </c>
      <c r="G25" s="101">
        <v>4417.4759999999997</v>
      </c>
      <c r="H25" s="52" t="s">
        <v>73</v>
      </c>
      <c r="I25" s="6"/>
      <c r="J25" s="86"/>
      <c r="K25" s="93"/>
      <c r="L25" s="6"/>
      <c r="M25" s="93"/>
      <c r="N25" s="6"/>
    </row>
    <row r="26" spans="1:14" x14ac:dyDescent="0.2">
      <c r="A26" s="94">
        <v>39085</v>
      </c>
      <c r="B26" s="93">
        <v>11</v>
      </c>
      <c r="C26" s="93" t="s">
        <v>123</v>
      </c>
      <c r="D26" s="93"/>
      <c r="E26" s="93">
        <v>1</v>
      </c>
      <c r="F26" s="100">
        <v>2086.98</v>
      </c>
      <c r="G26" s="101">
        <v>3574.37</v>
      </c>
      <c r="H26" s="52" t="s">
        <v>73</v>
      </c>
      <c r="I26" s="6"/>
      <c r="J26" s="86"/>
      <c r="K26" s="93"/>
      <c r="L26" s="6"/>
      <c r="M26" s="93"/>
      <c r="N26" s="6"/>
    </row>
    <row r="27" spans="1:14" x14ac:dyDescent="0.2">
      <c r="A27" s="94">
        <v>39097</v>
      </c>
      <c r="B27" s="93">
        <v>12</v>
      </c>
      <c r="C27" s="93" t="s">
        <v>124</v>
      </c>
      <c r="D27" s="93"/>
      <c r="E27" s="93">
        <v>1</v>
      </c>
      <c r="F27" s="100">
        <v>2796.5</v>
      </c>
      <c r="G27" s="101">
        <v>4796.6959999999999</v>
      </c>
      <c r="H27" s="52" t="s">
        <v>73</v>
      </c>
      <c r="I27" s="6"/>
      <c r="J27" s="86"/>
      <c r="K27" s="93"/>
      <c r="L27" s="6"/>
      <c r="M27" s="93"/>
      <c r="N27" s="6"/>
    </row>
    <row r="28" spans="1:14" x14ac:dyDescent="0.2">
      <c r="A28" s="94">
        <v>39109</v>
      </c>
      <c r="B28" s="93">
        <v>13</v>
      </c>
      <c r="C28" s="93" t="s">
        <v>125</v>
      </c>
      <c r="D28" s="93"/>
      <c r="E28" s="93">
        <v>1</v>
      </c>
      <c r="F28" s="100">
        <v>2645.8</v>
      </c>
      <c r="G28" s="101">
        <v>3470.3629999999998</v>
      </c>
      <c r="H28" s="52" t="s">
        <v>73</v>
      </c>
      <c r="I28" s="6"/>
      <c r="J28" s="86"/>
      <c r="K28" s="93"/>
      <c r="L28" s="6"/>
      <c r="M28" s="93"/>
      <c r="N28" s="6"/>
    </row>
    <row r="29" spans="1:14" x14ac:dyDescent="0.2">
      <c r="A29" s="94">
        <v>39121</v>
      </c>
      <c r="B29" s="93">
        <v>14</v>
      </c>
      <c r="C29" s="93" t="s">
        <v>126</v>
      </c>
      <c r="D29" s="93"/>
      <c r="E29" s="93">
        <v>1</v>
      </c>
      <c r="F29" s="100">
        <v>2649</v>
      </c>
      <c r="G29" s="101">
        <v>6224.4639999999999</v>
      </c>
      <c r="H29" s="52" t="s">
        <v>73</v>
      </c>
      <c r="I29" s="6"/>
      <c r="J29" s="86"/>
      <c r="K29" s="93"/>
      <c r="L29" s="6"/>
      <c r="M29" s="93"/>
      <c r="N29" s="6"/>
    </row>
    <row r="30" spans="1:14" x14ac:dyDescent="0.2">
      <c r="A30" s="94">
        <v>39121</v>
      </c>
      <c r="B30" s="93">
        <v>15</v>
      </c>
      <c r="C30" s="93" t="s">
        <v>127</v>
      </c>
      <c r="D30" s="93"/>
      <c r="E30" s="93">
        <v>1</v>
      </c>
      <c r="F30" s="100">
        <v>2224.8000000000002</v>
      </c>
      <c r="G30" s="101">
        <v>3786.72</v>
      </c>
      <c r="H30" s="52" t="s">
        <v>73</v>
      </c>
      <c r="I30" s="6"/>
      <c r="J30" s="86"/>
      <c r="K30" s="93"/>
      <c r="L30" s="6"/>
      <c r="M30" s="93"/>
      <c r="N30" s="6"/>
    </row>
    <row r="31" spans="1:14" x14ac:dyDescent="0.2">
      <c r="A31" s="94">
        <v>39142</v>
      </c>
      <c r="B31" s="93">
        <v>16</v>
      </c>
      <c r="C31" s="93" t="s">
        <v>128</v>
      </c>
      <c r="D31" s="93"/>
      <c r="E31" s="93">
        <v>1</v>
      </c>
      <c r="F31" s="100">
        <v>15643.04</v>
      </c>
      <c r="G31" s="101">
        <v>26806.695</v>
      </c>
      <c r="H31" s="52" t="s">
        <v>73</v>
      </c>
      <c r="I31" s="6"/>
      <c r="J31" s="86"/>
      <c r="K31" s="93"/>
      <c r="L31" s="6"/>
      <c r="M31" s="93"/>
      <c r="N31" s="6"/>
    </row>
    <row r="32" spans="1:14" x14ac:dyDescent="0.2">
      <c r="A32" s="94">
        <v>39158</v>
      </c>
      <c r="B32" s="93">
        <v>17</v>
      </c>
      <c r="C32" s="93" t="s">
        <v>118</v>
      </c>
      <c r="D32" s="93"/>
      <c r="E32" s="93">
        <v>4</v>
      </c>
      <c r="F32" s="100">
        <v>96151</v>
      </c>
      <c r="G32" s="101">
        <v>124760.73</v>
      </c>
      <c r="H32" s="52" t="s">
        <v>73</v>
      </c>
      <c r="I32" s="6"/>
      <c r="J32" s="86"/>
      <c r="K32" s="66" t="s">
        <v>76</v>
      </c>
      <c r="L32" s="6"/>
      <c r="M32" s="93"/>
      <c r="N32" s="6"/>
    </row>
    <row r="33" spans="1:14" x14ac:dyDescent="0.2">
      <c r="A33" s="94">
        <v>39197</v>
      </c>
      <c r="B33" s="93">
        <v>18</v>
      </c>
      <c r="C33" s="93" t="s">
        <v>129</v>
      </c>
      <c r="D33" s="93"/>
      <c r="E33" s="93">
        <v>1</v>
      </c>
      <c r="F33" s="100">
        <v>2452.5</v>
      </c>
      <c r="G33" s="101">
        <v>4280.348</v>
      </c>
      <c r="H33" s="52" t="s">
        <v>73</v>
      </c>
      <c r="I33" s="6"/>
      <c r="J33" s="86"/>
      <c r="K33" s="93"/>
      <c r="L33" s="6"/>
      <c r="M33" s="93"/>
      <c r="N33" s="6"/>
    </row>
    <row r="34" spans="1:14" x14ac:dyDescent="0.2">
      <c r="A34" s="94">
        <v>39235</v>
      </c>
      <c r="B34" s="99">
        <v>19</v>
      </c>
      <c r="C34" s="118" t="s">
        <v>47</v>
      </c>
      <c r="D34" s="6"/>
      <c r="E34" s="54">
        <v>1</v>
      </c>
      <c r="F34" s="63">
        <v>33654.44</v>
      </c>
      <c r="G34" s="75">
        <f>F34*1.76</f>
        <v>59231.814400000003</v>
      </c>
      <c r="H34" s="52" t="s">
        <v>73</v>
      </c>
      <c r="I34" s="52"/>
      <c r="J34" s="85">
        <v>39199</v>
      </c>
      <c r="K34" t="s">
        <v>78</v>
      </c>
      <c r="L34" s="17">
        <v>39290</v>
      </c>
      <c r="M34" s="55">
        <v>2</v>
      </c>
      <c r="N34" s="78"/>
    </row>
    <row r="35" spans="1:14" x14ac:dyDescent="0.2">
      <c r="A35" s="94">
        <v>39238</v>
      </c>
      <c r="B35" s="99">
        <v>21</v>
      </c>
      <c r="C35" s="118" t="s">
        <v>130</v>
      </c>
      <c r="D35" s="6"/>
      <c r="E35" s="54">
        <v>1</v>
      </c>
      <c r="F35" s="63">
        <v>1932</v>
      </c>
      <c r="G35" s="75">
        <v>3369.7939999999999</v>
      </c>
      <c r="H35" s="52"/>
      <c r="I35" s="52"/>
      <c r="J35" s="85"/>
      <c r="L35" s="17"/>
      <c r="M35" s="55"/>
      <c r="N35" s="78"/>
    </row>
    <row r="36" spans="1:14" x14ac:dyDescent="0.2">
      <c r="A36" s="98">
        <v>39263</v>
      </c>
      <c r="B36" s="99">
        <v>25</v>
      </c>
      <c r="C36" s="93" t="s">
        <v>116</v>
      </c>
      <c r="D36" s="97" t="s">
        <v>131</v>
      </c>
      <c r="E36" s="54"/>
      <c r="F36" s="63"/>
      <c r="G36" s="75"/>
      <c r="H36" s="52"/>
      <c r="I36" s="52"/>
      <c r="J36" s="85"/>
      <c r="L36" s="17"/>
      <c r="M36" s="55"/>
      <c r="N36" s="78"/>
    </row>
    <row r="37" spans="1:14" x14ac:dyDescent="0.2">
      <c r="A37" s="94">
        <v>39265</v>
      </c>
      <c r="B37" s="99">
        <v>26</v>
      </c>
      <c r="C37" s="118" t="s">
        <v>66</v>
      </c>
      <c r="D37" s="66"/>
      <c r="E37" s="99">
        <v>1</v>
      </c>
      <c r="F37" s="75">
        <v>5145</v>
      </c>
      <c r="G37" s="75">
        <v>8975.4519999999993</v>
      </c>
      <c r="H37" s="83" t="s">
        <v>70</v>
      </c>
      <c r="I37" s="83"/>
      <c r="J37" s="66"/>
      <c r="K37" s="66" t="s">
        <v>74</v>
      </c>
      <c r="L37" s="79">
        <v>39278</v>
      </c>
      <c r="N37" s="78"/>
    </row>
    <row r="38" spans="1:14" x14ac:dyDescent="0.2">
      <c r="A38" s="94">
        <v>39275</v>
      </c>
      <c r="B38" s="99">
        <v>27</v>
      </c>
      <c r="C38" s="93" t="s">
        <v>118</v>
      </c>
      <c r="D38" s="66"/>
      <c r="E38" s="99">
        <v>5</v>
      </c>
      <c r="F38" s="75">
        <v>53583.199999999997</v>
      </c>
      <c r="G38" s="75">
        <v>68940.145000000004</v>
      </c>
      <c r="H38" s="95" t="s">
        <v>72</v>
      </c>
      <c r="I38" s="82"/>
      <c r="J38" s="66"/>
      <c r="K38" s="66" t="s">
        <v>76</v>
      </c>
      <c r="L38" s="79">
        <v>39273</v>
      </c>
      <c r="N38" s="78"/>
    </row>
    <row r="39" spans="1:14" x14ac:dyDescent="0.2">
      <c r="A39" s="94">
        <v>39295</v>
      </c>
      <c r="B39" s="54">
        <v>29</v>
      </c>
      <c r="C39" s="93" t="s">
        <v>118</v>
      </c>
      <c r="D39" s="66"/>
      <c r="E39" s="99">
        <v>6</v>
      </c>
      <c r="F39" s="75">
        <v>53583.199999999997</v>
      </c>
      <c r="G39" s="75">
        <v>68305.183999999994</v>
      </c>
      <c r="H39" s="82" t="s">
        <v>73</v>
      </c>
      <c r="I39" s="82"/>
      <c r="J39" s="66"/>
      <c r="K39" s="66" t="s">
        <v>76</v>
      </c>
      <c r="L39" s="79">
        <v>39273</v>
      </c>
    </row>
    <row r="40" spans="1:14" x14ac:dyDescent="0.2">
      <c r="A40" s="98">
        <v>39295</v>
      </c>
      <c r="B40" s="54">
        <v>30</v>
      </c>
      <c r="C40" s="96" t="s">
        <v>98</v>
      </c>
      <c r="D40" s="97" t="s">
        <v>131</v>
      </c>
      <c r="E40" s="1"/>
    </row>
    <row r="41" spans="1:14" x14ac:dyDescent="0.2">
      <c r="A41" s="94">
        <v>39235</v>
      </c>
      <c r="B41" s="99">
        <v>20</v>
      </c>
      <c r="C41" s="126" t="s">
        <v>48</v>
      </c>
      <c r="D41" s="6"/>
      <c r="E41" s="54">
        <v>2</v>
      </c>
      <c r="F41" s="63">
        <v>6948.6</v>
      </c>
      <c r="G41" s="75">
        <f t="shared" ref="G41:G49" si="0">F41*1.76</f>
        <v>12229.536</v>
      </c>
      <c r="H41" s="52" t="s">
        <v>73</v>
      </c>
      <c r="I41" s="52"/>
      <c r="J41" s="85">
        <v>39227</v>
      </c>
      <c r="K41" t="s">
        <v>78</v>
      </c>
      <c r="L41" s="17">
        <v>39319</v>
      </c>
      <c r="M41" s="55">
        <v>4</v>
      </c>
      <c r="N41" s="66"/>
    </row>
    <row r="42" spans="1:14" x14ac:dyDescent="0.2">
      <c r="A42" s="94">
        <v>39245</v>
      </c>
      <c r="B42" s="99">
        <v>22</v>
      </c>
      <c r="C42" s="126" t="s">
        <v>49</v>
      </c>
      <c r="D42" s="6"/>
      <c r="E42" s="54">
        <v>1</v>
      </c>
      <c r="F42" s="63">
        <v>13332.29</v>
      </c>
      <c r="G42" s="75">
        <f t="shared" si="0"/>
        <v>23464.830400000003</v>
      </c>
      <c r="H42" s="55" t="s">
        <v>70</v>
      </c>
      <c r="I42" s="55"/>
      <c r="J42" s="85">
        <v>39233</v>
      </c>
      <c r="K42" t="s">
        <v>78</v>
      </c>
      <c r="L42" s="17">
        <v>39325</v>
      </c>
      <c r="M42" s="55">
        <v>5</v>
      </c>
      <c r="N42" s="66"/>
    </row>
    <row r="43" spans="1:14" x14ac:dyDescent="0.2">
      <c r="A43" s="94">
        <v>39246</v>
      </c>
      <c r="B43" s="99">
        <v>23</v>
      </c>
      <c r="C43" s="126" t="s">
        <v>50</v>
      </c>
      <c r="D43" s="6"/>
      <c r="E43" s="54">
        <v>2</v>
      </c>
      <c r="F43" s="63">
        <v>4166.3999999999996</v>
      </c>
      <c r="G43" s="75">
        <f t="shared" si="0"/>
        <v>7332.8639999999996</v>
      </c>
      <c r="H43" s="55" t="s">
        <v>70</v>
      </c>
      <c r="I43" s="55"/>
      <c r="J43" s="85">
        <v>39248</v>
      </c>
      <c r="K43" t="s">
        <v>71</v>
      </c>
      <c r="L43" s="17">
        <v>39340</v>
      </c>
      <c r="M43" s="55">
        <v>6</v>
      </c>
      <c r="N43" s="66"/>
    </row>
    <row r="44" spans="1:14" x14ac:dyDescent="0.2">
      <c r="A44" s="94">
        <v>39258</v>
      </c>
      <c r="B44" s="99">
        <v>24</v>
      </c>
      <c r="C44" s="126" t="s">
        <v>51</v>
      </c>
      <c r="D44" s="6"/>
      <c r="E44" s="54">
        <v>1</v>
      </c>
      <c r="F44" s="63">
        <v>3750</v>
      </c>
      <c r="G44" s="75">
        <f t="shared" si="0"/>
        <v>6600</v>
      </c>
      <c r="H44" s="55" t="s">
        <v>70</v>
      </c>
      <c r="I44" s="55"/>
      <c r="J44" s="85">
        <v>39243</v>
      </c>
      <c r="K44" t="s">
        <v>79</v>
      </c>
      <c r="L44" s="17">
        <v>39304</v>
      </c>
      <c r="M44" s="55">
        <v>3</v>
      </c>
      <c r="N44" s="66"/>
    </row>
    <row r="45" spans="1:14" x14ac:dyDescent="0.2">
      <c r="A45" s="94">
        <v>39301</v>
      </c>
      <c r="B45" s="99">
        <v>31</v>
      </c>
      <c r="C45" s="1" t="s">
        <v>91</v>
      </c>
      <c r="D45" s="66" t="s">
        <v>86</v>
      </c>
      <c r="E45" s="99">
        <v>2</v>
      </c>
      <c r="F45" s="75">
        <v>3839.41</v>
      </c>
      <c r="G45" s="75">
        <f t="shared" si="0"/>
        <v>6757.3616000000002</v>
      </c>
      <c r="H45" s="83" t="s">
        <v>70</v>
      </c>
      <c r="I45" s="83" t="s">
        <v>109</v>
      </c>
      <c r="J45" s="79">
        <v>39287</v>
      </c>
      <c r="K45" s="66" t="s">
        <v>71</v>
      </c>
      <c r="L45" s="79">
        <v>39379</v>
      </c>
      <c r="N45" s="66"/>
    </row>
    <row r="46" spans="1:14" x14ac:dyDescent="0.2">
      <c r="A46" s="94">
        <v>39305</v>
      </c>
      <c r="B46" s="99">
        <v>32</v>
      </c>
      <c r="C46" s="126" t="s">
        <v>67</v>
      </c>
      <c r="D46" s="66" t="s">
        <v>87</v>
      </c>
      <c r="E46" s="73">
        <v>1</v>
      </c>
      <c r="F46" s="75">
        <v>14366.72</v>
      </c>
      <c r="G46" s="75">
        <f t="shared" si="0"/>
        <v>25285.427199999998</v>
      </c>
      <c r="H46" s="83" t="s">
        <v>70</v>
      </c>
      <c r="I46" s="83" t="s">
        <v>112</v>
      </c>
      <c r="J46" s="79">
        <v>39286</v>
      </c>
      <c r="K46" s="66" t="s">
        <v>71</v>
      </c>
      <c r="L46" s="79">
        <v>39378</v>
      </c>
      <c r="N46" s="66"/>
    </row>
    <row r="47" spans="1:14" x14ac:dyDescent="0.2">
      <c r="A47" s="94">
        <v>39305</v>
      </c>
      <c r="B47" s="99">
        <v>32</v>
      </c>
      <c r="C47" s="126" t="s">
        <v>65</v>
      </c>
      <c r="D47" s="66" t="s">
        <v>87</v>
      </c>
      <c r="E47" s="73">
        <v>2</v>
      </c>
      <c r="F47" s="75">
        <v>1615.94</v>
      </c>
      <c r="G47" s="75">
        <f t="shared" si="0"/>
        <v>2844.0544</v>
      </c>
      <c r="H47" s="83" t="s">
        <v>70</v>
      </c>
      <c r="I47" s="83" t="s">
        <v>111</v>
      </c>
      <c r="J47" s="79">
        <v>39286</v>
      </c>
      <c r="K47" s="66" t="s">
        <v>71</v>
      </c>
      <c r="L47" s="79">
        <v>39378</v>
      </c>
      <c r="N47" s="66"/>
    </row>
    <row r="48" spans="1:14" x14ac:dyDescent="0.2">
      <c r="A48" s="94">
        <v>39314</v>
      </c>
      <c r="B48" s="99">
        <v>35</v>
      </c>
      <c r="C48" s="126" t="s">
        <v>68</v>
      </c>
      <c r="D48" s="66" t="s">
        <v>87</v>
      </c>
      <c r="E48" s="73">
        <v>1</v>
      </c>
      <c r="F48" s="75">
        <v>2505.8000000000002</v>
      </c>
      <c r="G48" s="75">
        <f t="shared" si="0"/>
        <v>4410.2080000000005</v>
      </c>
      <c r="H48" s="83" t="s">
        <v>70</v>
      </c>
      <c r="I48" s="83" t="s">
        <v>104</v>
      </c>
      <c r="J48" s="79">
        <v>39295</v>
      </c>
      <c r="K48" s="66" t="s">
        <v>74</v>
      </c>
      <c r="L48" s="79">
        <v>39304</v>
      </c>
      <c r="N48" s="78"/>
    </row>
    <row r="49" spans="1:14" x14ac:dyDescent="0.2">
      <c r="A49" s="94">
        <v>39330</v>
      </c>
      <c r="B49" s="99">
        <v>36</v>
      </c>
      <c r="C49" s="126" t="s">
        <v>84</v>
      </c>
      <c r="D49" s="66" t="s">
        <v>86</v>
      </c>
      <c r="E49" s="73">
        <v>1</v>
      </c>
      <c r="F49" s="75">
        <v>6513.84</v>
      </c>
      <c r="G49" s="75">
        <f t="shared" si="0"/>
        <v>11464.358400000001</v>
      </c>
      <c r="H49" s="83" t="s">
        <v>70</v>
      </c>
      <c r="I49" s="83"/>
      <c r="J49" s="79">
        <v>39314</v>
      </c>
      <c r="K49" s="66" t="s">
        <v>77</v>
      </c>
      <c r="L49" s="79">
        <v>39375</v>
      </c>
      <c r="N49" s="66"/>
    </row>
    <row r="50" spans="1:14" x14ac:dyDescent="0.2">
      <c r="A50" s="94">
        <v>39382</v>
      </c>
      <c r="B50" s="99">
        <v>40</v>
      </c>
      <c r="C50" s="66" t="s">
        <v>100</v>
      </c>
      <c r="D50" s="66" t="s">
        <v>86</v>
      </c>
      <c r="E50" s="73">
        <v>1</v>
      </c>
      <c r="F50" s="75">
        <v>4650</v>
      </c>
      <c r="G50" s="75">
        <f>F50*1.76</f>
        <v>8184</v>
      </c>
      <c r="H50" s="83" t="s">
        <v>70</v>
      </c>
      <c r="I50" s="83"/>
      <c r="J50" s="79">
        <v>39365</v>
      </c>
      <c r="K50" s="66" t="s">
        <v>74</v>
      </c>
      <c r="L50" s="79">
        <v>39365</v>
      </c>
      <c r="N50" s="66"/>
    </row>
    <row r="51" spans="1:14" x14ac:dyDescent="0.2">
      <c r="A51" s="94">
        <v>39310</v>
      </c>
      <c r="B51" s="99">
        <v>33</v>
      </c>
      <c r="C51" s="66" t="s">
        <v>64</v>
      </c>
      <c r="D51" s="66" t="s">
        <v>87</v>
      </c>
      <c r="E51" s="73">
        <v>1</v>
      </c>
      <c r="F51" s="75">
        <v>2959.91</v>
      </c>
      <c r="G51" s="75">
        <f>F51*1.788</f>
        <v>5292.3190800000002</v>
      </c>
      <c r="H51" s="83" t="s">
        <v>70</v>
      </c>
      <c r="I51" s="83" t="s">
        <v>103</v>
      </c>
      <c r="J51" s="79">
        <v>39295</v>
      </c>
      <c r="K51" s="66" t="s">
        <v>71</v>
      </c>
      <c r="L51" s="79">
        <v>39387</v>
      </c>
      <c r="N51" s="66"/>
    </row>
    <row r="52" spans="1:14" x14ac:dyDescent="0.2">
      <c r="A52" s="94">
        <v>39312</v>
      </c>
      <c r="B52" s="99">
        <v>34</v>
      </c>
      <c r="C52" s="66" t="s">
        <v>89</v>
      </c>
      <c r="D52" s="66" t="s">
        <v>87</v>
      </c>
      <c r="E52" s="73">
        <v>1</v>
      </c>
      <c r="F52" s="75">
        <v>5063.76</v>
      </c>
      <c r="G52" s="75">
        <f>F52*1.788</f>
        <v>9054.00288</v>
      </c>
      <c r="H52" s="83" t="s">
        <v>70</v>
      </c>
      <c r="I52" s="83" t="s">
        <v>105</v>
      </c>
      <c r="J52" s="79">
        <v>39299</v>
      </c>
      <c r="K52" s="66" t="s">
        <v>71</v>
      </c>
      <c r="L52" s="79">
        <v>39391</v>
      </c>
      <c r="N52" s="66"/>
    </row>
    <row r="53" spans="1:14" x14ac:dyDescent="0.2">
      <c r="A53" s="94">
        <v>39326</v>
      </c>
      <c r="B53" s="93">
        <v>38</v>
      </c>
      <c r="C53" s="124" t="s">
        <v>141</v>
      </c>
      <c r="D53" s="6"/>
      <c r="E53" s="8" t="s">
        <v>131</v>
      </c>
      <c r="F53" s="51"/>
      <c r="G53" s="51"/>
      <c r="H53" s="8"/>
      <c r="I53" s="8"/>
      <c r="J53" s="53"/>
      <c r="K53" s="6"/>
      <c r="L53" s="53"/>
      <c r="N53" s="66"/>
    </row>
    <row r="54" spans="1:14" x14ac:dyDescent="0.2">
      <c r="A54" s="94">
        <v>39402</v>
      </c>
      <c r="B54" s="99">
        <v>45</v>
      </c>
      <c r="C54" t="s">
        <v>99</v>
      </c>
      <c r="D54" s="66" t="s">
        <v>86</v>
      </c>
      <c r="E54" s="73">
        <v>1</v>
      </c>
      <c r="F54" s="75">
        <v>5714.93</v>
      </c>
      <c r="G54" s="75">
        <f>F54*1.788</f>
        <v>10218.29484</v>
      </c>
      <c r="H54" s="83" t="s">
        <v>70</v>
      </c>
      <c r="I54" s="83"/>
      <c r="J54" s="79">
        <v>39375</v>
      </c>
      <c r="K54" s="66" t="s">
        <v>74</v>
      </c>
      <c r="L54" s="79">
        <v>39388</v>
      </c>
      <c r="N54" s="66"/>
    </row>
    <row r="55" spans="1:14" x14ac:dyDescent="0.2">
      <c r="A55" s="94">
        <v>39329</v>
      </c>
      <c r="B55" s="99">
        <v>37</v>
      </c>
      <c r="C55" s="66" t="s">
        <v>88</v>
      </c>
      <c r="D55" s="66" t="s">
        <v>88</v>
      </c>
      <c r="E55" s="73">
        <v>3</v>
      </c>
      <c r="F55" s="75">
        <v>15581.56</v>
      </c>
      <c r="G55" s="75">
        <f>F55*1.798</f>
        <v>28015.64488</v>
      </c>
      <c r="H55" s="83" t="s">
        <v>70</v>
      </c>
      <c r="I55" s="83"/>
      <c r="J55" s="79">
        <v>39297</v>
      </c>
      <c r="K55" s="66" t="s">
        <v>71</v>
      </c>
      <c r="L55" s="79">
        <v>39389</v>
      </c>
      <c r="N55" s="66"/>
    </row>
    <row r="56" spans="1:14" x14ac:dyDescent="0.2">
      <c r="A56" s="94">
        <v>39291</v>
      </c>
      <c r="B56" s="99">
        <v>28</v>
      </c>
      <c r="C56" s="66" t="s">
        <v>50</v>
      </c>
      <c r="D56" s="66" t="s">
        <v>86</v>
      </c>
      <c r="E56" s="99">
        <v>3</v>
      </c>
      <c r="F56" s="75">
        <v>7972.8</v>
      </c>
      <c r="G56" s="75">
        <f>F56*1.798</f>
        <v>14335.0944</v>
      </c>
      <c r="H56" s="83" t="s">
        <v>70</v>
      </c>
      <c r="I56" s="83"/>
      <c r="J56" s="79">
        <v>39283</v>
      </c>
      <c r="K56" s="66" t="s">
        <v>71</v>
      </c>
      <c r="L56" s="79">
        <v>39375</v>
      </c>
      <c r="N56" s="66"/>
    </row>
    <row r="57" spans="1:14" x14ac:dyDescent="0.2">
      <c r="A57" s="94">
        <v>39387</v>
      </c>
      <c r="B57" s="99">
        <v>43</v>
      </c>
      <c r="C57" t="s">
        <v>142</v>
      </c>
      <c r="D57" s="66"/>
      <c r="E57" s="73">
        <v>2</v>
      </c>
      <c r="F57" s="75">
        <v>9642</v>
      </c>
      <c r="G57" s="75">
        <f>F57*1.8</f>
        <v>17355.600000000002</v>
      </c>
      <c r="H57" s="82" t="s">
        <v>113</v>
      </c>
      <c r="I57" s="83"/>
      <c r="J57" s="143">
        <v>39743</v>
      </c>
      <c r="K57" s="66" t="s">
        <v>75</v>
      </c>
      <c r="L57" s="143">
        <v>39469</v>
      </c>
      <c r="N57" s="66"/>
    </row>
    <row r="58" spans="1:14" x14ac:dyDescent="0.2">
      <c r="A58" s="94">
        <v>39386</v>
      </c>
      <c r="B58" s="99">
        <v>42</v>
      </c>
      <c r="C58" t="s">
        <v>90</v>
      </c>
      <c r="D58" s="66" t="s">
        <v>86</v>
      </c>
      <c r="E58" s="73">
        <v>1</v>
      </c>
      <c r="F58" s="75">
        <v>6730</v>
      </c>
      <c r="G58" s="75">
        <f>F58*1.798</f>
        <v>12100.54</v>
      </c>
      <c r="H58" s="83" t="s">
        <v>70</v>
      </c>
      <c r="I58" s="83"/>
      <c r="J58" s="79">
        <v>39385</v>
      </c>
      <c r="K58" s="66" t="s">
        <v>77</v>
      </c>
      <c r="L58" s="79">
        <v>39446</v>
      </c>
      <c r="N58" s="66"/>
    </row>
    <row r="59" spans="1:14" x14ac:dyDescent="0.2">
      <c r="A59" s="94">
        <v>39402</v>
      </c>
      <c r="B59" s="99">
        <v>44</v>
      </c>
      <c r="C59" t="s">
        <v>144</v>
      </c>
      <c r="D59" s="66" t="s">
        <v>86</v>
      </c>
      <c r="E59" s="73">
        <v>2</v>
      </c>
      <c r="F59" s="75">
        <v>4116.5</v>
      </c>
      <c r="G59" s="75">
        <f>F59*1.798</f>
        <v>7401.4670000000006</v>
      </c>
      <c r="H59" s="82" t="s">
        <v>113</v>
      </c>
      <c r="I59" s="83"/>
      <c r="J59" s="79"/>
      <c r="K59" s="66" t="s">
        <v>163</v>
      </c>
      <c r="L59" s="79">
        <v>39452</v>
      </c>
      <c r="N59" s="66"/>
    </row>
    <row r="60" spans="1:14" x14ac:dyDescent="0.2">
      <c r="A60" s="94">
        <v>39430</v>
      </c>
      <c r="B60" s="93">
        <v>48</v>
      </c>
      <c r="C60" t="s">
        <v>98</v>
      </c>
      <c r="D60" s="97" t="s">
        <v>131</v>
      </c>
      <c r="E60" s="8"/>
      <c r="F60" s="51">
        <v>10</v>
      </c>
      <c r="G60" s="51">
        <f>F60*1.8</f>
        <v>18</v>
      </c>
      <c r="H60" s="8"/>
      <c r="I60" s="8"/>
      <c r="J60" s="53"/>
      <c r="K60" s="6"/>
      <c r="L60" s="53"/>
      <c r="N60" s="66"/>
    </row>
    <row r="61" spans="1:14" x14ac:dyDescent="0.2">
      <c r="A61" s="94">
        <v>39438</v>
      </c>
      <c r="B61" s="93">
        <v>49</v>
      </c>
      <c r="C61" t="s">
        <v>100</v>
      </c>
      <c r="D61" s="66" t="s">
        <v>86</v>
      </c>
      <c r="E61" s="8">
        <v>2</v>
      </c>
      <c r="F61" s="51">
        <v>4500</v>
      </c>
      <c r="G61" s="51">
        <f>F61*1.8</f>
        <v>8100</v>
      </c>
      <c r="H61" s="82" t="s">
        <v>113</v>
      </c>
      <c r="I61" s="8"/>
      <c r="J61" s="53"/>
      <c r="K61" s="66" t="s">
        <v>74</v>
      </c>
      <c r="L61" s="53"/>
      <c r="N61" s="6"/>
    </row>
    <row r="62" spans="1:14" x14ac:dyDescent="0.2">
      <c r="A62" s="94">
        <v>39438</v>
      </c>
      <c r="B62" s="93">
        <v>50</v>
      </c>
      <c r="C62" s="124" t="s">
        <v>94</v>
      </c>
      <c r="D62" s="66" t="s">
        <v>86</v>
      </c>
      <c r="E62" s="135">
        <v>1</v>
      </c>
      <c r="F62" s="136">
        <v>4091.04</v>
      </c>
      <c r="G62" s="132">
        <f>F62*1.8</f>
        <v>7363.8720000000003</v>
      </c>
      <c r="H62" s="82" t="s">
        <v>113</v>
      </c>
      <c r="I62" s="135"/>
      <c r="J62" s="144">
        <v>39413</v>
      </c>
      <c r="K62" s="124" t="s">
        <v>71</v>
      </c>
      <c r="L62" s="145">
        <v>39140</v>
      </c>
      <c r="N62" s="66"/>
    </row>
    <row r="63" spans="1:14" x14ac:dyDescent="0.2">
      <c r="A63" s="94">
        <v>39409</v>
      </c>
      <c r="B63" s="99">
        <v>46</v>
      </c>
      <c r="C63" s="134" t="s">
        <v>130</v>
      </c>
      <c r="D63" s="66" t="s">
        <v>87</v>
      </c>
      <c r="E63" s="99">
        <v>2</v>
      </c>
      <c r="F63" s="99">
        <v>1071.1199999999999</v>
      </c>
      <c r="G63" s="129">
        <f>F63*1.8</f>
        <v>1928.0159999999998</v>
      </c>
      <c r="H63" s="81" t="s">
        <v>72</v>
      </c>
      <c r="I63" s="127"/>
      <c r="J63" s="128">
        <v>39401</v>
      </c>
      <c r="K63" s="99" t="s">
        <v>146</v>
      </c>
      <c r="L63" s="128">
        <v>39406</v>
      </c>
      <c r="N63" s="66"/>
    </row>
    <row r="64" spans="1:14" x14ac:dyDescent="0.2">
      <c r="A64" s="94">
        <v>39445</v>
      </c>
      <c r="B64" s="99">
        <v>51</v>
      </c>
      <c r="C64" s="138" t="s">
        <v>66</v>
      </c>
      <c r="D64" s="66" t="s">
        <v>87</v>
      </c>
      <c r="E64" s="73">
        <v>2</v>
      </c>
      <c r="F64" s="75">
        <v>4730</v>
      </c>
      <c r="G64" s="129">
        <f>F64*1.788</f>
        <v>8457.24</v>
      </c>
      <c r="H64" s="81" t="s">
        <v>72</v>
      </c>
      <c r="I64" s="83"/>
      <c r="J64" s="79">
        <v>39401</v>
      </c>
      <c r="K64" s="66" t="s">
        <v>74</v>
      </c>
      <c r="L64" s="79">
        <v>39406</v>
      </c>
      <c r="N64" s="66"/>
    </row>
    <row r="65" spans="1:14" x14ac:dyDescent="0.2">
      <c r="A65" s="94">
        <v>39375</v>
      </c>
      <c r="B65" s="93">
        <v>39</v>
      </c>
      <c r="C65" s="66" t="s">
        <v>101</v>
      </c>
      <c r="D65" s="66"/>
      <c r="E65" s="73">
        <v>3</v>
      </c>
      <c r="F65" s="75">
        <v>32495</v>
      </c>
      <c r="G65" s="75">
        <f>F65*1.21</f>
        <v>39318.949999999997</v>
      </c>
      <c r="H65" s="82" t="s">
        <v>113</v>
      </c>
      <c r="I65" s="83"/>
      <c r="J65" s="79">
        <v>39365</v>
      </c>
      <c r="K65" s="66" t="s">
        <v>114</v>
      </c>
      <c r="L65" s="79">
        <v>39365</v>
      </c>
      <c r="N65" s="66"/>
    </row>
    <row r="66" spans="1:14" x14ac:dyDescent="0.2">
      <c r="A66" s="94">
        <v>39382</v>
      </c>
      <c r="B66" s="99">
        <v>41</v>
      </c>
      <c r="C66" t="s">
        <v>98</v>
      </c>
      <c r="D66" s="66" t="s">
        <v>97</v>
      </c>
      <c r="E66" s="73">
        <v>1</v>
      </c>
      <c r="F66" s="75">
        <v>28498.6</v>
      </c>
      <c r="G66" s="75">
        <f>F66*1.8</f>
        <v>51297.479999999996</v>
      </c>
      <c r="H66" s="82" t="s">
        <v>113</v>
      </c>
      <c r="I66" s="83"/>
      <c r="J66" s="79">
        <v>39375</v>
      </c>
      <c r="K66" s="66" t="s">
        <v>115</v>
      </c>
      <c r="L66" s="79">
        <v>39102</v>
      </c>
      <c r="N66" s="66"/>
    </row>
    <row r="67" spans="1:14" x14ac:dyDescent="0.2">
      <c r="A67" s="94">
        <v>39417</v>
      </c>
      <c r="B67" s="93">
        <v>47</v>
      </c>
      <c r="C67" s="124" t="s">
        <v>88</v>
      </c>
      <c r="D67" s="124" t="s">
        <v>88</v>
      </c>
      <c r="E67" s="131">
        <v>4</v>
      </c>
      <c r="F67" s="132">
        <v>6342.05</v>
      </c>
      <c r="G67" s="132">
        <f>F67*1.8</f>
        <v>11415.69</v>
      </c>
      <c r="H67" s="133" t="s">
        <v>70</v>
      </c>
      <c r="I67" s="133"/>
      <c r="J67" s="143">
        <v>39405</v>
      </c>
      <c r="K67" s="124" t="s">
        <v>71</v>
      </c>
      <c r="L67" s="145">
        <v>39497</v>
      </c>
      <c r="N67" s="66"/>
    </row>
    <row r="68" spans="1:14" x14ac:dyDescent="0.2">
      <c r="A68" s="94"/>
      <c r="B68" s="93"/>
      <c r="C68" s="124"/>
      <c r="D68" s="124"/>
      <c r="E68" s="131"/>
      <c r="F68" s="132"/>
      <c r="G68" s="132"/>
      <c r="H68" s="133"/>
      <c r="I68" s="133"/>
      <c r="J68" s="143"/>
      <c r="K68" s="124"/>
      <c r="L68" s="145"/>
      <c r="N68" s="66"/>
    </row>
    <row r="69" spans="1:14" x14ac:dyDescent="0.2">
      <c r="A69" s="94"/>
      <c r="B69" s="93"/>
      <c r="C69" s="169" t="s">
        <v>232</v>
      </c>
      <c r="D69" s="124"/>
      <c r="E69" s="131"/>
      <c r="F69" s="132"/>
      <c r="G69" s="168">
        <f>SUM(G25:G67)</f>
        <v>731185.10247999965</v>
      </c>
      <c r="H69" s="133"/>
      <c r="I69" s="133"/>
      <c r="J69" s="143"/>
      <c r="K69" s="124"/>
      <c r="L69" s="145"/>
      <c r="N69" s="66"/>
    </row>
    <row r="70" spans="1:14" x14ac:dyDescent="0.2">
      <c r="A70" s="94"/>
      <c r="B70" s="93"/>
      <c r="C70" s="124"/>
      <c r="D70" s="124"/>
      <c r="E70" s="131"/>
      <c r="F70" s="132"/>
      <c r="G70" s="132"/>
      <c r="H70" s="133"/>
      <c r="I70" s="133"/>
      <c r="J70" s="143"/>
      <c r="K70" s="124"/>
      <c r="L70" s="145"/>
      <c r="N70" s="66"/>
    </row>
    <row r="71" spans="1:14" x14ac:dyDescent="0.2">
      <c r="A71" s="94"/>
      <c r="B71" s="93"/>
      <c r="C71" s="124"/>
      <c r="D71" s="124"/>
      <c r="E71" s="131"/>
      <c r="F71" s="132"/>
      <c r="G71" s="132"/>
      <c r="H71" s="133"/>
      <c r="I71" s="133"/>
      <c r="J71" s="143"/>
      <c r="K71" s="124"/>
      <c r="L71" s="145"/>
      <c r="N71" s="66"/>
    </row>
    <row r="72" spans="1:14" x14ac:dyDescent="0.2">
      <c r="A72" s="94">
        <v>39497</v>
      </c>
      <c r="B72" s="99">
        <v>57</v>
      </c>
      <c r="C72" s="149" t="s">
        <v>166</v>
      </c>
      <c r="D72" s="99"/>
      <c r="E72" s="73">
        <v>7</v>
      </c>
      <c r="F72" s="141">
        <v>62720.639999999999</v>
      </c>
      <c r="G72" s="141">
        <f>F72*1.22</f>
        <v>76519.180800000002</v>
      </c>
      <c r="H72" s="82" t="s">
        <v>113</v>
      </c>
      <c r="I72" s="81"/>
      <c r="J72" s="139">
        <v>39479</v>
      </c>
      <c r="K72" s="66" t="s">
        <v>167</v>
      </c>
      <c r="L72" s="79"/>
      <c r="M72" t="s">
        <v>159</v>
      </c>
      <c r="N72" s="66"/>
    </row>
    <row r="73" spans="1:14" x14ac:dyDescent="0.2">
      <c r="A73" s="52" t="s">
        <v>150</v>
      </c>
      <c r="B73" s="99">
        <v>52</v>
      </c>
      <c r="C73" s="66" t="s">
        <v>69</v>
      </c>
      <c r="D73" s="66" t="s">
        <v>86</v>
      </c>
      <c r="E73" s="73">
        <v>2</v>
      </c>
      <c r="F73" s="75">
        <v>15807</v>
      </c>
      <c r="G73" s="75">
        <f>F73*1.798</f>
        <v>28420.986000000001</v>
      </c>
      <c r="H73" s="81" t="s">
        <v>72</v>
      </c>
      <c r="I73" s="81"/>
      <c r="J73" s="143">
        <v>39790</v>
      </c>
      <c r="K73" s="66" t="s">
        <v>75</v>
      </c>
      <c r="L73" s="143">
        <v>39515</v>
      </c>
      <c r="N73" s="66"/>
    </row>
    <row r="74" spans="1:14" x14ac:dyDescent="0.2">
      <c r="A74" s="142">
        <v>39463</v>
      </c>
      <c r="B74" s="99">
        <v>54</v>
      </c>
      <c r="C74" s="66" t="s">
        <v>49</v>
      </c>
      <c r="D74" s="66" t="s">
        <v>87</v>
      </c>
      <c r="E74" s="73">
        <v>2</v>
      </c>
      <c r="F74" s="75">
        <v>5840.5</v>
      </c>
      <c r="G74" s="75">
        <f>F74*1.81</f>
        <v>10571.305</v>
      </c>
      <c r="H74" s="81" t="s">
        <v>72</v>
      </c>
      <c r="I74" s="81"/>
      <c r="J74" s="143">
        <v>39799</v>
      </c>
      <c r="K74" s="124" t="s">
        <v>71</v>
      </c>
      <c r="L74" s="143">
        <v>39524</v>
      </c>
      <c r="N74" s="66"/>
    </row>
    <row r="75" spans="1:14" x14ac:dyDescent="0.2">
      <c r="A75" s="142">
        <v>39462</v>
      </c>
      <c r="B75" s="93">
        <v>53</v>
      </c>
      <c r="C75" s="138" t="s">
        <v>145</v>
      </c>
      <c r="D75" s="66" t="s">
        <v>87</v>
      </c>
      <c r="E75" s="93">
        <v>3</v>
      </c>
      <c r="F75" s="93">
        <v>8764.39</v>
      </c>
      <c r="G75" s="75">
        <f>F75*1.81</f>
        <v>15863.545899999999</v>
      </c>
      <c r="H75" s="83" t="s">
        <v>70</v>
      </c>
      <c r="I75" s="6"/>
      <c r="J75" s="151">
        <v>39797</v>
      </c>
      <c r="K75" s="124" t="s">
        <v>71</v>
      </c>
      <c r="L75" s="137">
        <v>39522</v>
      </c>
      <c r="M75" s="93"/>
      <c r="N75" s="66"/>
    </row>
    <row r="76" spans="1:14" x14ac:dyDescent="0.2">
      <c r="A76" s="142">
        <v>39466</v>
      </c>
      <c r="B76" s="99">
        <v>55</v>
      </c>
      <c r="C76" s="138" t="s">
        <v>139</v>
      </c>
      <c r="D76" s="99"/>
      <c r="E76" s="99">
        <v>5</v>
      </c>
      <c r="F76" s="99">
        <v>16239.7</v>
      </c>
      <c r="G76" s="129">
        <f>F76*1.788</f>
        <v>29036.583600000002</v>
      </c>
      <c r="H76" s="81" t="s">
        <v>72</v>
      </c>
      <c r="I76" s="127"/>
      <c r="J76" s="150">
        <v>39813</v>
      </c>
      <c r="K76" s="99" t="s">
        <v>71</v>
      </c>
      <c r="L76" s="150">
        <v>39540</v>
      </c>
      <c r="N76" s="66"/>
    </row>
    <row r="77" spans="1:14" x14ac:dyDescent="0.2">
      <c r="A77" s="94">
        <v>39512</v>
      </c>
      <c r="B77" s="99">
        <v>59</v>
      </c>
      <c r="C77" s="156" t="s">
        <v>93</v>
      </c>
      <c r="D77" s="99" t="s">
        <v>86</v>
      </c>
      <c r="E77" s="99">
        <v>1</v>
      </c>
      <c r="F77" s="140">
        <v>6425.4</v>
      </c>
      <c r="G77" s="140">
        <f>F77*1.8</f>
        <v>11565.72</v>
      </c>
      <c r="H77" s="81" t="s">
        <v>72</v>
      </c>
      <c r="I77" s="127"/>
      <c r="J77" s="139">
        <v>39479</v>
      </c>
      <c r="K77" s="99" t="s">
        <v>155</v>
      </c>
      <c r="L77" s="154">
        <v>39550</v>
      </c>
      <c r="M77" t="s">
        <v>159</v>
      </c>
      <c r="N77" s="66"/>
    </row>
    <row r="78" spans="1:14" ht="13.5" customHeight="1" x14ac:dyDescent="0.2">
      <c r="A78" s="94">
        <v>39483</v>
      </c>
      <c r="B78" s="99">
        <v>56</v>
      </c>
      <c r="C78" s="99" t="s">
        <v>92</v>
      </c>
      <c r="D78" s="99" t="s">
        <v>86</v>
      </c>
      <c r="E78" s="99">
        <v>1</v>
      </c>
      <c r="F78" s="140">
        <v>4543.6000000000004</v>
      </c>
      <c r="G78" s="140">
        <f>F78*1.83</f>
        <v>8314.7880000000005</v>
      </c>
      <c r="H78" s="81" t="s">
        <v>72</v>
      </c>
      <c r="I78" s="127"/>
      <c r="J78" s="150">
        <v>39468</v>
      </c>
      <c r="K78" s="99" t="s">
        <v>164</v>
      </c>
      <c r="L78" s="154">
        <v>39559</v>
      </c>
      <c r="M78" t="s">
        <v>160</v>
      </c>
      <c r="N78" s="66"/>
    </row>
    <row r="79" spans="1:14" x14ac:dyDescent="0.2">
      <c r="A79" s="94">
        <v>39519</v>
      </c>
      <c r="B79" s="153">
        <v>60</v>
      </c>
      <c r="C79" s="118" t="s">
        <v>148</v>
      </c>
      <c r="D79" s="99" t="s">
        <v>97</v>
      </c>
      <c r="E79" s="99">
        <v>1</v>
      </c>
      <c r="F79" s="140">
        <v>8285.66</v>
      </c>
      <c r="G79" s="140">
        <f>F79*1.83</f>
        <v>15162.757800000001</v>
      </c>
      <c r="H79" s="81" t="s">
        <v>72</v>
      </c>
      <c r="I79" s="127"/>
      <c r="J79" s="139">
        <v>39479</v>
      </c>
      <c r="K79" s="99" t="s">
        <v>165</v>
      </c>
      <c r="L79" s="154">
        <v>39557</v>
      </c>
      <c r="M79" t="s">
        <v>159</v>
      </c>
      <c r="N79" s="66"/>
    </row>
    <row r="80" spans="1:14" x14ac:dyDescent="0.2">
      <c r="A80" s="94">
        <v>39545</v>
      </c>
      <c r="B80" s="99">
        <v>66</v>
      </c>
      <c r="C80" s="118" t="s">
        <v>100</v>
      </c>
      <c r="D80" s="99" t="s">
        <v>86</v>
      </c>
      <c r="E80" s="99">
        <v>3</v>
      </c>
      <c r="F80" s="140">
        <v>8850</v>
      </c>
      <c r="G80" s="140">
        <f>F80*1.8</f>
        <v>15930</v>
      </c>
      <c r="H80" s="81" t="s">
        <v>72</v>
      </c>
      <c r="I80" s="127"/>
      <c r="J80" s="146">
        <v>39527</v>
      </c>
      <c r="K80" s="99" t="s">
        <v>154</v>
      </c>
      <c r="L80" s="152">
        <v>39543</v>
      </c>
      <c r="M80" t="s">
        <v>159</v>
      </c>
      <c r="N80" s="66"/>
    </row>
    <row r="81" spans="1:14" x14ac:dyDescent="0.2">
      <c r="A81" s="94">
        <v>39529</v>
      </c>
      <c r="B81" s="153">
        <v>63</v>
      </c>
      <c r="C81" s="99" t="s">
        <v>153</v>
      </c>
      <c r="D81" s="99" t="s">
        <v>86</v>
      </c>
      <c r="E81" s="99">
        <v>3</v>
      </c>
      <c r="F81" s="140">
        <v>3371.26</v>
      </c>
      <c r="G81" s="140">
        <f t="shared" ref="G81:G97" si="1">F81*1.83</f>
        <v>6169.4058000000005</v>
      </c>
      <c r="H81" s="81" t="s">
        <v>72</v>
      </c>
      <c r="I81" s="127"/>
      <c r="J81" s="139">
        <v>39448</v>
      </c>
      <c r="K81" s="99" t="s">
        <v>155</v>
      </c>
      <c r="L81" s="154">
        <v>39569</v>
      </c>
      <c r="M81" t="s">
        <v>160</v>
      </c>
      <c r="N81" s="66"/>
    </row>
    <row r="82" spans="1:14" x14ac:dyDescent="0.2">
      <c r="A82" s="94">
        <v>39561</v>
      </c>
      <c r="B82" s="99">
        <v>70</v>
      </c>
      <c r="C82" s="118" t="s">
        <v>176</v>
      </c>
      <c r="D82" s="99" t="s">
        <v>87</v>
      </c>
      <c r="E82" s="73">
        <v>2</v>
      </c>
      <c r="F82" s="157">
        <v>2362.5</v>
      </c>
      <c r="G82" s="140">
        <f t="shared" si="1"/>
        <v>4323.375</v>
      </c>
      <c r="H82" s="83" t="s">
        <v>70</v>
      </c>
      <c r="I82" s="81"/>
      <c r="J82" s="79"/>
      <c r="K82" s="99" t="s">
        <v>154</v>
      </c>
      <c r="L82" s="79"/>
      <c r="N82" s="66"/>
    </row>
    <row r="83" spans="1:14" x14ac:dyDescent="0.2">
      <c r="A83" s="60">
        <v>39574</v>
      </c>
      <c r="B83" s="99">
        <v>72</v>
      </c>
      <c r="C83" s="1" t="s">
        <v>175</v>
      </c>
      <c r="D83" s="99" t="s">
        <v>86</v>
      </c>
      <c r="E83" s="73">
        <v>2</v>
      </c>
      <c r="F83" s="75">
        <v>3982.65</v>
      </c>
      <c r="G83" s="140">
        <f t="shared" si="1"/>
        <v>7288.2495000000008</v>
      </c>
      <c r="H83" s="83" t="s">
        <v>70</v>
      </c>
      <c r="I83" s="83"/>
      <c r="J83" s="146"/>
      <c r="K83" s="99" t="s">
        <v>154</v>
      </c>
      <c r="L83" s="79"/>
      <c r="N83" s="66"/>
    </row>
    <row r="84" spans="1:14" x14ac:dyDescent="0.2">
      <c r="A84" s="94">
        <v>39581</v>
      </c>
      <c r="B84" s="99">
        <v>74</v>
      </c>
      <c r="C84" s="99" t="s">
        <v>185</v>
      </c>
      <c r="D84" s="99" t="s">
        <v>87</v>
      </c>
      <c r="E84" s="99">
        <v>3</v>
      </c>
      <c r="F84" s="140">
        <v>2142.46</v>
      </c>
      <c r="G84" s="140">
        <f t="shared" si="1"/>
        <v>3920.7018000000003</v>
      </c>
      <c r="H84" s="81" t="s">
        <v>72</v>
      </c>
      <c r="I84" s="127"/>
      <c r="J84" s="126"/>
      <c r="K84" s="99" t="s">
        <v>154</v>
      </c>
      <c r="L84" s="126"/>
      <c r="N84" s="66"/>
    </row>
    <row r="85" spans="1:14" x14ac:dyDescent="0.2">
      <c r="A85" s="94">
        <v>39497</v>
      </c>
      <c r="B85" s="155">
        <v>58</v>
      </c>
      <c r="C85" s="99" t="s">
        <v>64</v>
      </c>
      <c r="D85" s="99" t="s">
        <v>87</v>
      </c>
      <c r="E85" s="99">
        <v>2</v>
      </c>
      <c r="F85" s="140">
        <v>3705.27</v>
      </c>
      <c r="G85" s="140">
        <f t="shared" si="1"/>
        <v>6780.6441000000004</v>
      </c>
      <c r="H85" s="81" t="s">
        <v>72</v>
      </c>
      <c r="I85" s="127"/>
      <c r="J85" s="139">
        <v>39485</v>
      </c>
      <c r="K85" s="99" t="s">
        <v>158</v>
      </c>
      <c r="L85" s="154">
        <v>39575</v>
      </c>
      <c r="M85" t="s">
        <v>160</v>
      </c>
      <c r="N85" s="66"/>
    </row>
    <row r="86" spans="1:14" x14ac:dyDescent="0.2">
      <c r="A86" s="94">
        <v>39519</v>
      </c>
      <c r="B86" s="155">
        <v>61</v>
      </c>
      <c r="C86" s="118" t="s">
        <v>162</v>
      </c>
      <c r="D86" s="99" t="s">
        <v>86</v>
      </c>
      <c r="E86" s="99">
        <v>4</v>
      </c>
      <c r="F86" s="140">
        <v>4881.6000000000004</v>
      </c>
      <c r="G86" s="140">
        <f t="shared" si="1"/>
        <v>8933.3280000000013</v>
      </c>
      <c r="H86" s="83" t="s">
        <v>70</v>
      </c>
      <c r="I86" s="127"/>
      <c r="J86" s="150">
        <v>39503</v>
      </c>
      <c r="K86" s="99" t="s">
        <v>158</v>
      </c>
      <c r="L86" s="154">
        <v>39594</v>
      </c>
      <c r="M86" t="s">
        <v>160</v>
      </c>
      <c r="N86" s="66"/>
    </row>
    <row r="87" spans="1:14" x14ac:dyDescent="0.2">
      <c r="A87" s="94">
        <v>39524</v>
      </c>
      <c r="B87" s="153">
        <v>62</v>
      </c>
      <c r="C87" s="96" t="s">
        <v>178</v>
      </c>
      <c r="D87" s="96" t="s">
        <v>97</v>
      </c>
      <c r="E87" s="54">
        <v>2</v>
      </c>
      <c r="F87" s="47">
        <f>12870</f>
        <v>12870</v>
      </c>
      <c r="G87" s="140">
        <f t="shared" si="1"/>
        <v>23552.100000000002</v>
      </c>
      <c r="H87" s="83" t="s">
        <v>70</v>
      </c>
      <c r="J87" s="146">
        <v>39508</v>
      </c>
      <c r="K87" s="99" t="s">
        <v>158</v>
      </c>
      <c r="L87" s="154" t="s">
        <v>189</v>
      </c>
      <c r="M87" s="96" t="s">
        <v>159</v>
      </c>
      <c r="N87" s="92" t="e">
        <f>SUM(#REF!)</f>
        <v>#REF!</v>
      </c>
    </row>
    <row r="88" spans="1:14" x14ac:dyDescent="0.2">
      <c r="A88" s="94">
        <v>39534</v>
      </c>
      <c r="B88" s="99">
        <v>64</v>
      </c>
      <c r="C88" s="99" t="s">
        <v>157</v>
      </c>
      <c r="D88" s="99" t="s">
        <v>86</v>
      </c>
      <c r="E88" s="99">
        <v>1</v>
      </c>
      <c r="F88" s="140">
        <v>5503.23</v>
      </c>
      <c r="G88" s="140">
        <f t="shared" si="1"/>
        <v>10070.910899999999</v>
      </c>
      <c r="H88" s="81" t="s">
        <v>72</v>
      </c>
      <c r="I88" s="127"/>
      <c r="J88" s="146">
        <v>39508</v>
      </c>
      <c r="K88" s="99" t="s">
        <v>158</v>
      </c>
      <c r="L88" s="154" t="s">
        <v>182</v>
      </c>
      <c r="M88" t="s">
        <v>160</v>
      </c>
      <c r="N88" s="66"/>
    </row>
    <row r="89" spans="1:14" x14ac:dyDescent="0.2">
      <c r="A89" s="94">
        <v>39543</v>
      </c>
      <c r="B89" s="99">
        <v>65</v>
      </c>
      <c r="C89" s="118" t="s">
        <v>147</v>
      </c>
      <c r="D89" s="99" t="s">
        <v>86</v>
      </c>
      <c r="E89" s="99">
        <v>1</v>
      </c>
      <c r="F89" s="140">
        <v>12832.84</v>
      </c>
      <c r="G89" s="140">
        <f t="shared" si="1"/>
        <v>23484.0972</v>
      </c>
      <c r="H89" s="81" t="s">
        <v>72</v>
      </c>
      <c r="I89" s="127"/>
      <c r="J89" s="146">
        <v>39522</v>
      </c>
      <c r="K89" s="99" t="s">
        <v>156</v>
      </c>
      <c r="L89" s="152">
        <v>39614</v>
      </c>
      <c r="M89" t="s">
        <v>160</v>
      </c>
      <c r="N89" s="66"/>
    </row>
    <row r="90" spans="1:14" x14ac:dyDescent="0.2">
      <c r="A90" s="94">
        <v>39548</v>
      </c>
      <c r="B90" s="99">
        <v>67</v>
      </c>
      <c r="C90" s="99" t="s">
        <v>92</v>
      </c>
      <c r="D90" s="99" t="s">
        <v>86</v>
      </c>
      <c r="E90" s="99">
        <v>2</v>
      </c>
      <c r="F90" s="140">
        <v>8585.4</v>
      </c>
      <c r="G90" s="140">
        <f t="shared" si="1"/>
        <v>15711.281999999999</v>
      </c>
      <c r="H90" s="83" t="s">
        <v>70</v>
      </c>
      <c r="I90" s="127"/>
      <c r="J90" s="146">
        <v>39520</v>
      </c>
      <c r="K90" s="99" t="s">
        <v>158</v>
      </c>
      <c r="L90" s="152">
        <v>39612</v>
      </c>
      <c r="M90" t="s">
        <v>160</v>
      </c>
      <c r="N90" s="66"/>
    </row>
    <row r="91" spans="1:14" x14ac:dyDescent="0.2">
      <c r="A91" s="94">
        <v>39597</v>
      </c>
      <c r="B91" s="99">
        <v>78</v>
      </c>
      <c r="C91" s="99" t="s">
        <v>171</v>
      </c>
      <c r="D91" s="99" t="s">
        <v>86</v>
      </c>
      <c r="E91" s="99">
        <v>1</v>
      </c>
      <c r="F91" s="140">
        <v>19325.849999999999</v>
      </c>
      <c r="G91" s="140">
        <f t="shared" si="1"/>
        <v>35366.305500000002</v>
      </c>
      <c r="H91" s="81" t="s">
        <v>72</v>
      </c>
      <c r="I91" s="127"/>
      <c r="J91" s="139">
        <v>39593</v>
      </c>
      <c r="K91" s="99" t="s">
        <v>165</v>
      </c>
      <c r="L91" s="146">
        <v>39612</v>
      </c>
      <c r="M91" t="s">
        <v>159</v>
      </c>
      <c r="N91" s="66"/>
    </row>
    <row r="92" spans="1:14" x14ac:dyDescent="0.2">
      <c r="A92" s="94">
        <v>39581</v>
      </c>
      <c r="B92" s="99">
        <v>75</v>
      </c>
      <c r="C92" s="118" t="s">
        <v>168</v>
      </c>
      <c r="D92" s="99" t="s">
        <v>143</v>
      </c>
      <c r="E92" s="99">
        <v>1</v>
      </c>
      <c r="F92" s="140">
        <v>13649.15</v>
      </c>
      <c r="G92" s="140">
        <f t="shared" si="1"/>
        <v>24977.944500000001</v>
      </c>
      <c r="H92" s="83" t="s">
        <v>70</v>
      </c>
      <c r="I92" s="127" t="s">
        <v>169</v>
      </c>
      <c r="J92" s="146">
        <v>39533</v>
      </c>
      <c r="K92" s="99" t="s">
        <v>152</v>
      </c>
      <c r="L92" s="146">
        <v>39623</v>
      </c>
      <c r="M92" t="s">
        <v>159</v>
      </c>
      <c r="N92" s="66"/>
    </row>
    <row r="93" spans="1:14" x14ac:dyDescent="0.2">
      <c r="A93" s="94">
        <v>39626</v>
      </c>
      <c r="B93" s="99">
        <v>83</v>
      </c>
      <c r="C93" s="99" t="s">
        <v>51</v>
      </c>
      <c r="D93" s="99" t="s">
        <v>87</v>
      </c>
      <c r="E93" s="99">
        <v>2</v>
      </c>
      <c r="F93" s="99">
        <v>4845.6000000000004</v>
      </c>
      <c r="G93" s="140">
        <f t="shared" si="1"/>
        <v>8867.4480000000003</v>
      </c>
      <c r="H93" s="81" t="s">
        <v>72</v>
      </c>
      <c r="I93" s="127"/>
      <c r="J93" s="126"/>
      <c r="K93" s="99" t="s">
        <v>190</v>
      </c>
      <c r="L93" s="139">
        <v>39600</v>
      </c>
      <c r="N93" s="66"/>
    </row>
    <row r="94" spans="1:14" x14ac:dyDescent="0.2">
      <c r="A94" s="94">
        <v>39550</v>
      </c>
      <c r="B94" s="99">
        <v>68</v>
      </c>
      <c r="C94" s="99" t="s">
        <v>151</v>
      </c>
      <c r="D94" s="99" t="s">
        <v>87</v>
      </c>
      <c r="E94" s="99">
        <v>3</v>
      </c>
      <c r="F94" s="140">
        <v>14710</v>
      </c>
      <c r="G94" s="140">
        <f t="shared" si="1"/>
        <v>26919.3</v>
      </c>
      <c r="H94" s="81" t="s">
        <v>72</v>
      </c>
      <c r="I94" s="127"/>
      <c r="J94" s="146">
        <v>39540</v>
      </c>
      <c r="K94" s="99" t="s">
        <v>152</v>
      </c>
      <c r="L94" s="146">
        <v>39631</v>
      </c>
      <c r="M94" t="s">
        <v>160</v>
      </c>
      <c r="N94" s="66"/>
    </row>
    <row r="95" spans="1:14" x14ac:dyDescent="0.2">
      <c r="A95" s="94">
        <v>39587</v>
      </c>
      <c r="B95" s="99">
        <v>76</v>
      </c>
      <c r="C95" s="99" t="s">
        <v>184</v>
      </c>
      <c r="D95" s="99" t="s">
        <v>86</v>
      </c>
      <c r="E95" s="99">
        <v>2</v>
      </c>
      <c r="F95" s="99">
        <v>5676.72</v>
      </c>
      <c r="G95" s="140">
        <f t="shared" si="1"/>
        <v>10388.3976</v>
      </c>
      <c r="H95" s="81" t="s">
        <v>72</v>
      </c>
      <c r="I95" s="127"/>
      <c r="J95" s="146">
        <v>39578</v>
      </c>
      <c r="K95" s="99" t="s">
        <v>195</v>
      </c>
      <c r="L95" s="146">
        <v>39639</v>
      </c>
      <c r="N95" s="66"/>
    </row>
    <row r="96" spans="1:14" x14ac:dyDescent="0.2">
      <c r="A96" s="94">
        <v>39575</v>
      </c>
      <c r="B96" s="99">
        <v>73</v>
      </c>
      <c r="C96" s="99" t="s">
        <v>139</v>
      </c>
      <c r="D96" s="99" t="s">
        <v>88</v>
      </c>
      <c r="E96" s="73">
        <v>6</v>
      </c>
      <c r="F96" s="141">
        <v>11542.03</v>
      </c>
      <c r="G96" s="140">
        <f t="shared" si="1"/>
        <v>21121.914900000003</v>
      </c>
      <c r="H96" s="81" t="s">
        <v>72</v>
      </c>
      <c r="I96" s="81"/>
      <c r="J96" s="146">
        <v>39550</v>
      </c>
      <c r="K96" s="99" t="s">
        <v>152</v>
      </c>
      <c r="L96" s="146">
        <v>39641</v>
      </c>
      <c r="N96" s="66"/>
    </row>
    <row r="97" spans="1:14" x14ac:dyDescent="0.2">
      <c r="A97" s="94">
        <v>39560</v>
      </c>
      <c r="B97" s="99">
        <v>69</v>
      </c>
      <c r="C97" s="118" t="s">
        <v>180</v>
      </c>
      <c r="D97" s="99" t="s">
        <v>86</v>
      </c>
      <c r="E97" s="99">
        <v>3</v>
      </c>
      <c r="F97" s="140">
        <v>2867.96</v>
      </c>
      <c r="G97" s="140">
        <f t="shared" si="1"/>
        <v>5248.3668000000007</v>
      </c>
      <c r="H97" s="83" t="s">
        <v>70</v>
      </c>
      <c r="I97" s="127"/>
      <c r="J97" s="139"/>
      <c r="K97" s="99" t="s">
        <v>158</v>
      </c>
      <c r="L97" s="146">
        <v>39629</v>
      </c>
      <c r="N97" s="66"/>
    </row>
    <row r="98" spans="1:14" x14ac:dyDescent="0.2">
      <c r="A98" s="94">
        <v>39641</v>
      </c>
      <c r="B98" s="99">
        <v>86</v>
      </c>
      <c r="C98" s="99" t="s">
        <v>193</v>
      </c>
      <c r="D98" s="99" t="s">
        <v>86</v>
      </c>
      <c r="E98" s="99">
        <v>4</v>
      </c>
      <c r="F98" s="140">
        <v>9100</v>
      </c>
      <c r="G98" s="140">
        <f>F98*1.84</f>
        <v>16744</v>
      </c>
      <c r="H98" s="81"/>
      <c r="I98" s="127"/>
      <c r="J98" s="139"/>
      <c r="K98" s="99" t="s">
        <v>190</v>
      </c>
      <c r="L98" s="126"/>
      <c r="M98" s="61"/>
      <c r="N98" s="66"/>
    </row>
    <row r="99" spans="1:14" x14ac:dyDescent="0.2">
      <c r="A99" s="94">
        <v>39574</v>
      </c>
      <c r="B99" s="99">
        <v>71</v>
      </c>
      <c r="C99" s="99" t="s">
        <v>181</v>
      </c>
      <c r="D99" s="99" t="s">
        <v>86</v>
      </c>
      <c r="E99" s="99">
        <v>2</v>
      </c>
      <c r="F99" s="140">
        <v>5274.4</v>
      </c>
      <c r="G99" s="140">
        <f>F99*1.83</f>
        <v>9652.152</v>
      </c>
      <c r="H99" s="82" t="s">
        <v>113</v>
      </c>
      <c r="I99" s="127"/>
      <c r="J99" s="146">
        <v>39558</v>
      </c>
      <c r="K99" s="99" t="s">
        <v>158</v>
      </c>
      <c r="L99" s="146">
        <v>39649</v>
      </c>
      <c r="N99" s="66"/>
    </row>
    <row r="100" spans="1:14" x14ac:dyDescent="0.2">
      <c r="A100" s="94">
        <v>39606</v>
      </c>
      <c r="B100" s="99">
        <v>79</v>
      </c>
      <c r="C100" s="99" t="s">
        <v>186</v>
      </c>
      <c r="D100" s="99" t="s">
        <v>86</v>
      </c>
      <c r="E100" s="99">
        <v>4</v>
      </c>
      <c r="F100" s="140">
        <v>3016.92</v>
      </c>
      <c r="G100" s="140">
        <f>F100*1.83</f>
        <v>5520.9636</v>
      </c>
      <c r="H100" s="81" t="s">
        <v>72</v>
      </c>
      <c r="I100" s="127"/>
      <c r="J100" s="128">
        <v>39593</v>
      </c>
      <c r="K100" s="99" t="s">
        <v>165</v>
      </c>
      <c r="L100" s="146">
        <v>39647</v>
      </c>
      <c r="N100" s="66"/>
    </row>
    <row r="101" spans="1:14" x14ac:dyDescent="0.2">
      <c r="A101" s="94">
        <v>39587</v>
      </c>
      <c r="B101" s="99">
        <v>77</v>
      </c>
      <c r="C101" s="118" t="s">
        <v>145</v>
      </c>
      <c r="D101" s="99" t="s">
        <v>87</v>
      </c>
      <c r="E101" s="73">
        <v>3</v>
      </c>
      <c r="F101" s="141">
        <v>10276.44</v>
      </c>
      <c r="G101" s="140">
        <f>F101*1.83</f>
        <v>18805.885200000001</v>
      </c>
      <c r="H101" s="83" t="s">
        <v>70</v>
      </c>
      <c r="I101" s="81"/>
      <c r="J101" s="79">
        <v>39577</v>
      </c>
      <c r="K101" s="99" t="s">
        <v>158</v>
      </c>
      <c r="L101" s="79">
        <v>39669</v>
      </c>
      <c r="N101" s="88"/>
    </row>
    <row r="102" spans="1:14" x14ac:dyDescent="0.2">
      <c r="A102" s="94">
        <v>39624</v>
      </c>
      <c r="B102" s="99">
        <v>82</v>
      </c>
      <c r="C102" s="99" t="s">
        <v>187</v>
      </c>
      <c r="D102" s="99" t="s">
        <v>86</v>
      </c>
      <c r="E102" s="99">
        <v>1</v>
      </c>
      <c r="F102" s="140">
        <v>7181.58</v>
      </c>
      <c r="G102" s="140">
        <f>F102*1.85</f>
        <v>13285.923000000001</v>
      </c>
      <c r="H102" s="81" t="s">
        <v>72</v>
      </c>
      <c r="I102" s="127"/>
      <c r="J102" s="146">
        <v>39608</v>
      </c>
      <c r="K102" s="99" t="s">
        <v>165</v>
      </c>
      <c r="L102" s="128">
        <v>39668</v>
      </c>
      <c r="N102" s="88"/>
    </row>
    <row r="103" spans="1:14" x14ac:dyDescent="0.2">
      <c r="A103" s="94">
        <v>39643</v>
      </c>
      <c r="B103" s="99">
        <v>87</v>
      </c>
      <c r="C103" s="99" t="s">
        <v>170</v>
      </c>
      <c r="D103" s="99" t="s">
        <v>86</v>
      </c>
      <c r="E103" s="99">
        <v>1</v>
      </c>
      <c r="F103" s="140">
        <v>5957.35</v>
      </c>
      <c r="G103" s="140">
        <f>F103*1.85</f>
        <v>11021.097500000002</v>
      </c>
      <c r="H103" s="81" t="s">
        <v>72</v>
      </c>
      <c r="I103" s="127"/>
      <c r="J103" s="146">
        <v>39618</v>
      </c>
      <c r="K103" s="99" t="s">
        <v>165</v>
      </c>
      <c r="L103" s="146">
        <v>39678</v>
      </c>
      <c r="M103" s="61" t="s">
        <v>161</v>
      </c>
      <c r="N103" s="88"/>
    </row>
    <row r="104" spans="1:14" x14ac:dyDescent="0.2">
      <c r="A104" s="94">
        <v>39680</v>
      </c>
      <c r="B104" s="99">
        <v>91</v>
      </c>
      <c r="C104" s="118" t="s">
        <v>166</v>
      </c>
      <c r="D104" s="99" t="s">
        <v>191</v>
      </c>
      <c r="E104" s="99">
        <v>8</v>
      </c>
      <c r="F104" s="140">
        <v>84410</v>
      </c>
      <c r="G104" s="140">
        <f>F104*1.85</f>
        <v>156158.5</v>
      </c>
      <c r="H104" s="82" t="s">
        <v>113</v>
      </c>
      <c r="I104" s="127"/>
      <c r="J104" s="139"/>
      <c r="K104" s="99"/>
      <c r="L104" s="126"/>
      <c r="N104" s="66"/>
    </row>
    <row r="105" spans="1:14" x14ac:dyDescent="0.2">
      <c r="A105" s="94">
        <v>39616</v>
      </c>
      <c r="B105" s="93">
        <v>80</v>
      </c>
      <c r="C105" s="93" t="s">
        <v>196</v>
      </c>
      <c r="D105" s="93" t="s">
        <v>197</v>
      </c>
      <c r="E105" s="93">
        <v>1</v>
      </c>
      <c r="F105" s="93">
        <v>5667.74</v>
      </c>
      <c r="G105" s="140">
        <f>F105*1.83</f>
        <v>10371.9642</v>
      </c>
      <c r="H105" s="81" t="s">
        <v>72</v>
      </c>
      <c r="I105" s="6"/>
      <c r="J105" s="24">
        <v>39605</v>
      </c>
      <c r="K105" s="99" t="s">
        <v>158</v>
      </c>
      <c r="L105" s="60">
        <v>39699</v>
      </c>
      <c r="M105" s="93"/>
      <c r="N105" s="6"/>
    </row>
    <row r="106" spans="1:14" x14ac:dyDescent="0.2">
      <c r="A106" s="94">
        <v>39619</v>
      </c>
      <c r="B106" s="99">
        <v>84</v>
      </c>
      <c r="C106" s="99" t="s">
        <v>183</v>
      </c>
      <c r="D106" s="99" t="s">
        <v>86</v>
      </c>
      <c r="E106" s="99">
        <v>2</v>
      </c>
      <c r="F106" s="99">
        <v>9669.61</v>
      </c>
      <c r="G106" s="140">
        <f>F106*1.85</f>
        <v>17888.7785</v>
      </c>
      <c r="H106" s="81" t="s">
        <v>72</v>
      </c>
      <c r="I106" s="127"/>
      <c r="J106" s="146">
        <v>39611</v>
      </c>
      <c r="K106" s="99" t="s">
        <v>158</v>
      </c>
      <c r="L106" s="146">
        <v>39702</v>
      </c>
      <c r="N106" s="88"/>
    </row>
    <row r="107" spans="1:14" x14ac:dyDescent="0.2">
      <c r="A107" s="94">
        <v>39624</v>
      </c>
      <c r="B107" s="99">
        <v>81</v>
      </c>
      <c r="C107" s="118" t="s">
        <v>49</v>
      </c>
      <c r="D107" s="99" t="s">
        <v>87</v>
      </c>
      <c r="E107" s="73">
        <v>3</v>
      </c>
      <c r="F107" s="141">
        <v>6090.18</v>
      </c>
      <c r="G107" s="140">
        <f>F107*1.85</f>
        <v>11266.833000000001</v>
      </c>
      <c r="H107" s="81" t="s">
        <v>72</v>
      </c>
      <c r="I107" s="81"/>
      <c r="J107" s="79">
        <v>39613</v>
      </c>
      <c r="K107" s="99" t="s">
        <v>158</v>
      </c>
      <c r="L107" s="79">
        <v>39705</v>
      </c>
      <c r="N107" s="88"/>
    </row>
    <row r="108" spans="1:14" x14ac:dyDescent="0.2">
      <c r="A108" s="94">
        <v>39639</v>
      </c>
      <c r="B108" s="99">
        <v>85</v>
      </c>
      <c r="C108" s="99" t="s">
        <v>145</v>
      </c>
      <c r="D108" s="99" t="s">
        <v>87</v>
      </c>
      <c r="E108" s="99">
        <v>4</v>
      </c>
      <c r="F108" s="140">
        <v>17376.48</v>
      </c>
      <c r="G108" s="140">
        <f>F108*1.85</f>
        <v>32146.488000000001</v>
      </c>
      <c r="H108" s="81" t="s">
        <v>72</v>
      </c>
      <c r="I108" s="127"/>
      <c r="J108" s="146">
        <v>39627</v>
      </c>
      <c r="K108" s="99" t="s">
        <v>158</v>
      </c>
      <c r="L108" s="146">
        <v>39718</v>
      </c>
      <c r="N108" s="88"/>
    </row>
    <row r="109" spans="1:14" x14ac:dyDescent="0.2">
      <c r="A109" s="94">
        <v>39645</v>
      </c>
      <c r="B109" s="99">
        <v>88</v>
      </c>
      <c r="C109" s="99" t="s">
        <v>188</v>
      </c>
      <c r="D109" s="93" t="s">
        <v>88</v>
      </c>
      <c r="E109" s="93">
        <v>1</v>
      </c>
      <c r="F109" s="147">
        <v>5148.68</v>
      </c>
      <c r="G109" s="140">
        <f>F109*1.85</f>
        <v>9525.0580000000009</v>
      </c>
      <c r="H109" s="81" t="s">
        <v>72</v>
      </c>
      <c r="I109" s="86"/>
      <c r="J109" s="24">
        <v>39634</v>
      </c>
      <c r="K109" s="99" t="s">
        <v>158</v>
      </c>
      <c r="L109" s="24">
        <v>39726</v>
      </c>
      <c r="N109" s="88"/>
    </row>
    <row r="110" spans="1:14" x14ac:dyDescent="0.2">
      <c r="A110" s="94">
        <v>39724</v>
      </c>
      <c r="B110" s="99">
        <v>98</v>
      </c>
      <c r="C110" s="118" t="s">
        <v>51</v>
      </c>
      <c r="D110" s="99" t="s">
        <v>87</v>
      </c>
      <c r="E110" s="73">
        <v>3</v>
      </c>
      <c r="F110" s="141">
        <v>4437.6000000000004</v>
      </c>
      <c r="G110" s="140">
        <f>F110*1.83</f>
        <v>8120.8080000000009</v>
      </c>
      <c r="H110" s="81" t="s">
        <v>72</v>
      </c>
      <c r="I110" s="81"/>
      <c r="J110" s="79"/>
      <c r="K110" s="66" t="s">
        <v>146</v>
      </c>
      <c r="L110" s="79"/>
      <c r="N110" s="66"/>
    </row>
    <row r="111" spans="1:14" x14ac:dyDescent="0.2">
      <c r="A111" s="94">
        <v>39667</v>
      </c>
      <c r="B111" s="99">
        <v>89</v>
      </c>
      <c r="C111" s="99" t="s">
        <v>64</v>
      </c>
      <c r="D111" s="99" t="s">
        <v>87</v>
      </c>
      <c r="E111" s="99">
        <v>3</v>
      </c>
      <c r="F111" s="99">
        <v>2206.61</v>
      </c>
      <c r="G111" s="140">
        <f>F111*1.85</f>
        <v>4082.2285000000006</v>
      </c>
      <c r="H111" s="81" t="s">
        <v>72</v>
      </c>
      <c r="I111" s="127"/>
      <c r="J111" s="146">
        <v>39648</v>
      </c>
      <c r="K111" s="99" t="s">
        <v>158</v>
      </c>
      <c r="L111" s="146">
        <v>39739</v>
      </c>
      <c r="N111" s="66"/>
    </row>
    <row r="112" spans="1:14" x14ac:dyDescent="0.2">
      <c r="A112" s="94">
        <v>39672</v>
      </c>
      <c r="B112" s="99">
        <v>90</v>
      </c>
      <c r="C112" s="99" t="s">
        <v>139</v>
      </c>
      <c r="D112" s="99" t="s">
        <v>88</v>
      </c>
      <c r="E112" s="73">
        <v>7</v>
      </c>
      <c r="F112" s="157">
        <v>29733.119999999999</v>
      </c>
      <c r="G112" s="140">
        <f>F112*1.85</f>
        <v>55006.271999999997</v>
      </c>
      <c r="H112" s="81" t="s">
        <v>72</v>
      </c>
      <c r="I112" s="81"/>
      <c r="J112" s="146">
        <v>39648</v>
      </c>
      <c r="K112" s="99" t="s">
        <v>158</v>
      </c>
      <c r="L112" s="146">
        <v>39739</v>
      </c>
      <c r="N112" s="66"/>
    </row>
    <row r="113" spans="1:14" x14ac:dyDescent="0.2">
      <c r="A113" s="94">
        <v>39730</v>
      </c>
      <c r="B113" s="99">
        <v>101</v>
      </c>
      <c r="C113" s="118" t="s">
        <v>202</v>
      </c>
      <c r="D113" s="99" t="s">
        <v>86</v>
      </c>
      <c r="E113" s="73">
        <v>1</v>
      </c>
      <c r="F113" s="141">
        <v>2761.2</v>
      </c>
      <c r="G113" s="140">
        <f>F113*1.8</f>
        <v>4970.16</v>
      </c>
      <c r="H113" s="81" t="s">
        <v>72</v>
      </c>
      <c r="I113" s="81"/>
      <c r="J113" s="79">
        <v>39721</v>
      </c>
      <c r="K113" s="99" t="s">
        <v>214</v>
      </c>
      <c r="L113" s="79">
        <v>39752</v>
      </c>
      <c r="N113" s="66"/>
    </row>
    <row r="114" spans="1:14" x14ac:dyDescent="0.2">
      <c r="A114" s="94">
        <v>39752</v>
      </c>
      <c r="B114" s="99">
        <v>105</v>
      </c>
      <c r="C114" s="99" t="s">
        <v>193</v>
      </c>
      <c r="D114" s="99" t="s">
        <v>86</v>
      </c>
      <c r="E114" s="99">
        <v>5</v>
      </c>
      <c r="F114" s="140">
        <v>8900</v>
      </c>
      <c r="G114" s="140">
        <f>F114*1.75</f>
        <v>15575</v>
      </c>
      <c r="H114" s="81" t="s">
        <v>72</v>
      </c>
      <c r="I114" s="127"/>
      <c r="J114" s="126"/>
      <c r="K114" s="66" t="s">
        <v>146</v>
      </c>
      <c r="L114" s="146"/>
      <c r="N114" s="66"/>
    </row>
    <row r="115" spans="1:14" x14ac:dyDescent="0.2">
      <c r="A115" s="94">
        <v>39706</v>
      </c>
      <c r="B115" s="99">
        <v>96</v>
      </c>
      <c r="C115" s="99" t="s">
        <v>171</v>
      </c>
      <c r="D115" s="99" t="s">
        <v>86</v>
      </c>
      <c r="E115" s="99">
        <v>2</v>
      </c>
      <c r="F115" s="140">
        <v>18645.64</v>
      </c>
      <c r="G115" s="140">
        <f>F115*1.85</f>
        <v>34494.434000000001</v>
      </c>
      <c r="H115" s="81" t="s">
        <v>72</v>
      </c>
      <c r="I115" s="127"/>
      <c r="J115" s="128">
        <v>39696</v>
      </c>
      <c r="K115" s="99" t="s">
        <v>165</v>
      </c>
      <c r="L115" s="128">
        <v>39757</v>
      </c>
      <c r="N115" s="66"/>
    </row>
    <row r="116" spans="1:14" x14ac:dyDescent="0.2">
      <c r="A116" s="94">
        <v>39735</v>
      </c>
      <c r="B116" s="99">
        <v>102</v>
      </c>
      <c r="C116" s="99" t="s">
        <v>194</v>
      </c>
      <c r="D116" s="99" t="s">
        <v>86</v>
      </c>
      <c r="E116" s="99">
        <v>2</v>
      </c>
      <c r="F116" s="140">
        <v>5950</v>
      </c>
      <c r="G116" s="140">
        <f>F116*1.85</f>
        <v>11007.5</v>
      </c>
      <c r="H116" s="81" t="s">
        <v>72</v>
      </c>
      <c r="I116" s="127"/>
      <c r="J116" s="139">
        <v>39697</v>
      </c>
      <c r="K116" s="99" t="s">
        <v>165</v>
      </c>
      <c r="L116" s="146">
        <v>39758</v>
      </c>
      <c r="M116" s="61"/>
      <c r="N116" s="66"/>
    </row>
    <row r="117" spans="1:14" x14ac:dyDescent="0.2">
      <c r="A117" s="94">
        <v>39689</v>
      </c>
      <c r="B117" s="99">
        <v>94</v>
      </c>
      <c r="C117" s="118" t="s">
        <v>183</v>
      </c>
      <c r="D117" s="99" t="s">
        <v>86</v>
      </c>
      <c r="E117" s="73">
        <v>3</v>
      </c>
      <c r="F117" s="141">
        <v>8656.5300000000007</v>
      </c>
      <c r="G117" s="140">
        <f>F117*1.78</f>
        <v>15408.623400000002</v>
      </c>
      <c r="H117" s="81" t="s">
        <v>72</v>
      </c>
      <c r="I117" s="81"/>
      <c r="J117" s="79"/>
      <c r="K117" s="99" t="s">
        <v>158</v>
      </c>
      <c r="L117" s="79">
        <v>39759</v>
      </c>
      <c r="N117" s="66"/>
    </row>
    <row r="118" spans="1:14" x14ac:dyDescent="0.2">
      <c r="A118" s="94">
        <v>39704</v>
      </c>
      <c r="B118" s="99">
        <v>95</v>
      </c>
      <c r="C118" s="99" t="s">
        <v>198</v>
      </c>
      <c r="D118" s="99" t="s">
        <v>86</v>
      </c>
      <c r="E118" s="99">
        <v>2</v>
      </c>
      <c r="F118" s="140">
        <v>2832</v>
      </c>
      <c r="G118" s="140">
        <f>F118*1.78</f>
        <v>5040.96</v>
      </c>
      <c r="H118" s="81" t="s">
        <v>72</v>
      </c>
      <c r="I118" s="127"/>
      <c r="J118" s="126"/>
      <c r="K118" s="99" t="s">
        <v>158</v>
      </c>
      <c r="L118" s="146">
        <v>39777</v>
      </c>
      <c r="N118" s="66"/>
    </row>
    <row r="119" spans="1:14" x14ac:dyDescent="0.2">
      <c r="A119" s="94">
        <v>39689</v>
      </c>
      <c r="B119" s="99">
        <v>93</v>
      </c>
      <c r="C119" s="118" t="s">
        <v>203</v>
      </c>
      <c r="D119" s="99" t="s">
        <v>86</v>
      </c>
      <c r="E119" s="73">
        <v>1</v>
      </c>
      <c r="F119" s="141">
        <v>3667.2</v>
      </c>
      <c r="G119" s="140">
        <f>F119*1.78</f>
        <v>6527.616</v>
      </c>
      <c r="H119" s="81" t="s">
        <v>72</v>
      </c>
      <c r="I119" s="81"/>
      <c r="J119" s="79">
        <v>39665</v>
      </c>
      <c r="K119" s="99" t="s">
        <v>158</v>
      </c>
      <c r="L119" s="79">
        <v>39757</v>
      </c>
      <c r="N119" s="66"/>
    </row>
    <row r="120" spans="1:14" x14ac:dyDescent="0.2">
      <c r="A120" s="94">
        <v>39689</v>
      </c>
      <c r="B120" s="99">
        <v>92</v>
      </c>
      <c r="C120" s="118" t="s">
        <v>180</v>
      </c>
      <c r="D120" s="99" t="s">
        <v>86</v>
      </c>
      <c r="E120" s="73">
        <v>4</v>
      </c>
      <c r="F120" s="141">
        <v>2649.72</v>
      </c>
      <c r="G120" s="140">
        <f>F120*1.78</f>
        <v>4716.5015999999996</v>
      </c>
      <c r="H120" s="81" t="s">
        <v>72</v>
      </c>
      <c r="I120" s="81"/>
      <c r="J120" s="79"/>
      <c r="K120" s="99" t="s">
        <v>158</v>
      </c>
      <c r="L120" s="79">
        <v>39760</v>
      </c>
      <c r="N120" s="66"/>
    </row>
    <row r="121" spans="1:14" x14ac:dyDescent="0.2">
      <c r="A121" s="94">
        <v>39787</v>
      </c>
      <c r="B121" s="99">
        <v>115</v>
      </c>
      <c r="C121" s="118" t="s">
        <v>205</v>
      </c>
      <c r="D121" s="99" t="s">
        <v>86</v>
      </c>
      <c r="E121" s="73">
        <v>3</v>
      </c>
      <c r="F121" s="141">
        <v>4345.41</v>
      </c>
      <c r="G121" s="140">
        <f>F121*1.79</f>
        <v>7778.2838999999994</v>
      </c>
      <c r="H121" s="83" t="s">
        <v>70</v>
      </c>
      <c r="I121" s="81"/>
      <c r="J121" s="79"/>
      <c r="K121" s="66" t="s">
        <v>146</v>
      </c>
      <c r="L121" s="79"/>
      <c r="N121" s="66"/>
    </row>
    <row r="122" spans="1:14" x14ac:dyDescent="0.2">
      <c r="A122" s="94">
        <v>39730</v>
      </c>
      <c r="B122" s="99">
        <v>100</v>
      </c>
      <c r="C122" s="99" t="s">
        <v>199</v>
      </c>
      <c r="D122" s="99" t="s">
        <v>143</v>
      </c>
      <c r="E122" s="99">
        <v>1</v>
      </c>
      <c r="F122" s="140">
        <v>8790</v>
      </c>
      <c r="G122" s="140">
        <f>F122*1.78</f>
        <v>15646.2</v>
      </c>
      <c r="H122" s="81" t="s">
        <v>72</v>
      </c>
      <c r="I122" s="127"/>
      <c r="J122" s="146">
        <v>39713</v>
      </c>
      <c r="K122" s="99" t="s">
        <v>165</v>
      </c>
      <c r="L122" s="146">
        <v>39773</v>
      </c>
      <c r="N122" s="66"/>
    </row>
    <row r="123" spans="1:14" x14ac:dyDescent="0.2">
      <c r="A123" s="162">
        <v>39807</v>
      </c>
      <c r="B123" s="54">
        <v>117</v>
      </c>
      <c r="C123" s="118" t="s">
        <v>201</v>
      </c>
      <c r="D123" s="99" t="s">
        <v>87</v>
      </c>
      <c r="E123" s="73">
        <v>1</v>
      </c>
      <c r="F123" s="141">
        <v>580</v>
      </c>
      <c r="G123" s="140">
        <f>F123*1.76</f>
        <v>1020.8</v>
      </c>
      <c r="H123" s="81" t="s">
        <v>72</v>
      </c>
      <c r="I123" s="81"/>
      <c r="J123" s="79"/>
      <c r="K123" s="66" t="s">
        <v>190</v>
      </c>
      <c r="L123" s="79"/>
      <c r="N123" s="66"/>
    </row>
    <row r="124" spans="1:14" x14ac:dyDescent="0.2">
      <c r="A124" s="94">
        <v>39724</v>
      </c>
      <c r="B124" s="99">
        <v>97</v>
      </c>
      <c r="C124" s="99" t="s">
        <v>66</v>
      </c>
      <c r="D124" s="99" t="s">
        <v>87</v>
      </c>
      <c r="E124" s="99">
        <v>4</v>
      </c>
      <c r="F124" s="140">
        <v>4495</v>
      </c>
      <c r="G124" s="140">
        <f>F124*1.78</f>
        <v>8001.1</v>
      </c>
      <c r="H124" s="81" t="s">
        <v>72</v>
      </c>
      <c r="I124" s="127"/>
      <c r="J124" s="128">
        <v>39697</v>
      </c>
      <c r="K124" s="99" t="s">
        <v>158</v>
      </c>
      <c r="L124" s="146">
        <v>39787</v>
      </c>
      <c r="N124" s="66"/>
    </row>
    <row r="125" spans="1:14" x14ac:dyDescent="0.2">
      <c r="A125" s="94">
        <v>39724</v>
      </c>
      <c r="B125" s="99">
        <v>99</v>
      </c>
      <c r="C125" s="118" t="s">
        <v>204</v>
      </c>
      <c r="D125" s="99" t="s">
        <v>86</v>
      </c>
      <c r="E125" s="73">
        <v>1</v>
      </c>
      <c r="F125" s="141">
        <v>2269.08</v>
      </c>
      <c r="G125" s="140">
        <f>F125*1.78</f>
        <v>4038.9623999999999</v>
      </c>
      <c r="H125" s="81" t="s">
        <v>72</v>
      </c>
      <c r="I125" s="81"/>
      <c r="J125" s="79">
        <v>39706</v>
      </c>
      <c r="K125" s="99" t="s">
        <v>158</v>
      </c>
      <c r="L125" s="79">
        <v>39797</v>
      </c>
      <c r="N125" s="66"/>
    </row>
    <row r="126" spans="1:14" x14ac:dyDescent="0.2">
      <c r="A126" s="94">
        <v>39735</v>
      </c>
      <c r="B126" s="99">
        <v>103</v>
      </c>
      <c r="C126" s="118" t="s">
        <v>247</v>
      </c>
      <c r="D126" s="99" t="s">
        <v>86</v>
      </c>
      <c r="E126" s="73">
        <v>1</v>
      </c>
      <c r="F126" s="141">
        <v>3240</v>
      </c>
      <c r="G126" s="140">
        <f>F126*1.78</f>
        <v>5767.2</v>
      </c>
      <c r="H126" s="81" t="s">
        <v>72</v>
      </c>
      <c r="I126" s="81"/>
      <c r="J126" s="79"/>
      <c r="K126" s="99" t="s">
        <v>158</v>
      </c>
      <c r="L126" s="79">
        <v>39800</v>
      </c>
      <c r="N126" s="66"/>
    </row>
    <row r="127" spans="1:14" x14ac:dyDescent="0.2">
      <c r="A127" s="94">
        <v>39778</v>
      </c>
      <c r="B127" s="99">
        <v>107</v>
      </c>
      <c r="C127" s="99" t="s">
        <v>186</v>
      </c>
      <c r="D127" s="99"/>
      <c r="E127" s="99">
        <v>5</v>
      </c>
      <c r="F127" s="140">
        <v>6307.5</v>
      </c>
      <c r="G127" s="140">
        <f>F127*1.78</f>
        <v>11227.35</v>
      </c>
      <c r="H127" s="81" t="s">
        <v>72</v>
      </c>
      <c r="I127" s="127"/>
      <c r="J127" s="126"/>
      <c r="K127" s="99" t="s">
        <v>165</v>
      </c>
      <c r="L127" s="128">
        <v>39812</v>
      </c>
      <c r="N127" s="66"/>
    </row>
    <row r="128" spans="1:14" x14ac:dyDescent="0.2">
      <c r="B128" s="99">
        <v>109</v>
      </c>
      <c r="C128" s="118" t="s">
        <v>208</v>
      </c>
      <c r="D128" s="99" t="s">
        <v>209</v>
      </c>
      <c r="E128" s="73">
        <v>1</v>
      </c>
      <c r="F128" s="141">
        <v>7269.08</v>
      </c>
      <c r="G128" s="140">
        <f>F128*1.78</f>
        <v>12938.9624</v>
      </c>
      <c r="H128" s="82" t="s">
        <v>113</v>
      </c>
      <c r="I128" s="81"/>
      <c r="J128" s="79"/>
      <c r="K128" s="99" t="s">
        <v>165</v>
      </c>
      <c r="L128" s="79">
        <v>39802</v>
      </c>
      <c r="N128" s="66"/>
    </row>
    <row r="129" spans="1:14" x14ac:dyDescent="0.2">
      <c r="A129" s="94">
        <v>39808</v>
      </c>
      <c r="B129" s="99">
        <v>118</v>
      </c>
      <c r="C129" s="118" t="s">
        <v>166</v>
      </c>
      <c r="D129" s="99" t="s">
        <v>191</v>
      </c>
      <c r="E129" s="99">
        <v>10</v>
      </c>
      <c r="F129" s="99">
        <v>35620</v>
      </c>
      <c r="G129" s="140">
        <f>F129*1.8</f>
        <v>64116</v>
      </c>
      <c r="H129" s="81" t="s">
        <v>72</v>
      </c>
      <c r="I129" s="127"/>
      <c r="J129" s="126"/>
      <c r="K129" s="99"/>
      <c r="L129" s="139">
        <v>39783</v>
      </c>
      <c r="N129" s="66"/>
    </row>
    <row r="130" spans="1:14" x14ac:dyDescent="0.2">
      <c r="A130" s="94">
        <v>39786</v>
      </c>
      <c r="B130" s="99">
        <v>113</v>
      </c>
      <c r="C130" s="118" t="s">
        <v>200</v>
      </c>
      <c r="D130" s="99" t="s">
        <v>87</v>
      </c>
      <c r="E130" s="73">
        <v>1</v>
      </c>
      <c r="F130" s="141">
        <v>17942.419999999998</v>
      </c>
      <c r="G130" s="140">
        <f>F130*1.76</f>
        <v>31578.659199999998</v>
      </c>
      <c r="H130" s="81" t="s">
        <v>72</v>
      </c>
      <c r="I130" s="81"/>
      <c r="J130" s="79"/>
      <c r="K130" s="66" t="s">
        <v>218</v>
      </c>
      <c r="L130" s="161">
        <v>39829</v>
      </c>
      <c r="N130" s="66"/>
    </row>
    <row r="131" spans="1:14" x14ac:dyDescent="0.2">
      <c r="B131" s="99">
        <v>108</v>
      </c>
      <c r="C131" s="118" t="s">
        <v>69</v>
      </c>
      <c r="D131" s="99" t="s">
        <v>86</v>
      </c>
      <c r="E131" s="73">
        <v>3</v>
      </c>
      <c r="F131" s="141">
        <v>17848</v>
      </c>
      <c r="G131" s="140">
        <f>F131*1.78</f>
        <v>31769.439999999999</v>
      </c>
      <c r="H131" s="82" t="s">
        <v>113</v>
      </c>
      <c r="I131" s="81"/>
      <c r="J131" s="79">
        <v>39746</v>
      </c>
      <c r="K131" s="99" t="s">
        <v>158</v>
      </c>
      <c r="L131" s="79">
        <v>39838</v>
      </c>
      <c r="N131" s="66"/>
    </row>
    <row r="132" spans="1:14" x14ac:dyDescent="0.2">
      <c r="A132" s="94">
        <v>39743</v>
      </c>
      <c r="B132" s="93">
        <v>104</v>
      </c>
      <c r="C132" s="96" t="s">
        <v>212</v>
      </c>
      <c r="D132" s="93" t="s">
        <v>213</v>
      </c>
      <c r="E132" s="8">
        <v>2</v>
      </c>
      <c r="F132" s="158">
        <v>4724</v>
      </c>
      <c r="G132" s="140">
        <f>F132*1.78</f>
        <v>8408.7199999999993</v>
      </c>
      <c r="H132" s="81" t="s">
        <v>72</v>
      </c>
      <c r="I132" s="6"/>
      <c r="J132" s="146">
        <v>39730</v>
      </c>
      <c r="K132" s="99" t="s">
        <v>158</v>
      </c>
      <c r="L132" s="53">
        <v>39822</v>
      </c>
      <c r="N132" s="6"/>
    </row>
    <row r="133" spans="1:14" x14ac:dyDescent="0.2">
      <c r="A133" s="94">
        <v>39762</v>
      </c>
      <c r="B133" s="99">
        <v>106</v>
      </c>
      <c r="C133" s="118" t="s">
        <v>145</v>
      </c>
      <c r="D133" s="99" t="s">
        <v>87</v>
      </c>
      <c r="E133" s="73">
        <v>5</v>
      </c>
      <c r="F133" s="141">
        <v>16561.21</v>
      </c>
      <c r="G133" s="140">
        <f>F133*1.78</f>
        <v>29478.953799999999</v>
      </c>
      <c r="H133" s="81" t="s">
        <v>72</v>
      </c>
      <c r="I133" s="81"/>
      <c r="J133" s="79">
        <v>39744</v>
      </c>
      <c r="K133" s="99" t="s">
        <v>158</v>
      </c>
      <c r="L133" s="79">
        <v>39836</v>
      </c>
      <c r="N133" s="66"/>
    </row>
    <row r="134" spans="1:14" x14ac:dyDescent="0.2">
      <c r="A134" s="94">
        <v>39783</v>
      </c>
      <c r="B134" s="99">
        <v>112</v>
      </c>
      <c r="C134" s="118" t="s">
        <v>172</v>
      </c>
      <c r="D134" s="99" t="s">
        <v>87</v>
      </c>
      <c r="E134" s="73">
        <v>2</v>
      </c>
      <c r="F134" s="141">
        <v>12311.79</v>
      </c>
      <c r="G134" s="140">
        <f>F134*1.76</f>
        <v>21668.750400000001</v>
      </c>
      <c r="H134" s="81" t="s">
        <v>72</v>
      </c>
      <c r="I134" s="81"/>
      <c r="J134" s="79">
        <v>39749</v>
      </c>
      <c r="K134" s="99" t="s">
        <v>158</v>
      </c>
      <c r="L134" s="79">
        <v>39841</v>
      </c>
      <c r="N134" s="66"/>
    </row>
    <row r="135" spans="1:14" x14ac:dyDescent="0.2">
      <c r="A135" s="94">
        <v>39813</v>
      </c>
      <c r="B135" s="99">
        <v>119</v>
      </c>
      <c r="C135" s="118" t="s">
        <v>199</v>
      </c>
      <c r="D135" s="99" t="s">
        <v>143</v>
      </c>
      <c r="E135" s="99">
        <v>2</v>
      </c>
      <c r="F135" s="140">
        <v>8150</v>
      </c>
      <c r="G135" s="140">
        <f>F135*1.8</f>
        <v>14670</v>
      </c>
      <c r="H135" s="81" t="s">
        <v>72</v>
      </c>
      <c r="I135" s="127"/>
      <c r="J135" s="146">
        <v>39781</v>
      </c>
      <c r="K135" s="99" t="s">
        <v>221</v>
      </c>
      <c r="L135" s="146">
        <v>39842</v>
      </c>
      <c r="N135" s="66"/>
    </row>
    <row r="136" spans="1:14" x14ac:dyDescent="0.2">
      <c r="A136" s="94" t="s">
        <v>226</v>
      </c>
      <c r="B136" s="99">
        <v>114</v>
      </c>
      <c r="C136" s="118" t="s">
        <v>207</v>
      </c>
      <c r="D136" s="99" t="s">
        <v>86</v>
      </c>
      <c r="E136" s="73">
        <v>1</v>
      </c>
      <c r="F136" s="141">
        <v>4335</v>
      </c>
      <c r="G136" s="140">
        <f t="shared" ref="G136:G141" si="2">F136*1.85</f>
        <v>8019.75</v>
      </c>
      <c r="H136" s="81" t="s">
        <v>72</v>
      </c>
      <c r="I136" s="81"/>
      <c r="J136" s="79">
        <v>40137</v>
      </c>
      <c r="K136" s="99" t="s">
        <v>158</v>
      </c>
      <c r="L136" s="79">
        <v>39864</v>
      </c>
      <c r="N136" s="66"/>
    </row>
    <row r="137" spans="1:14" x14ac:dyDescent="0.2">
      <c r="A137" s="94">
        <v>39778</v>
      </c>
      <c r="B137" s="99">
        <v>111</v>
      </c>
      <c r="C137" s="118" t="s">
        <v>139</v>
      </c>
      <c r="D137" s="99" t="s">
        <v>88</v>
      </c>
      <c r="E137" s="73">
        <v>8</v>
      </c>
      <c r="F137" s="141">
        <v>8389.26</v>
      </c>
      <c r="G137" s="140">
        <f t="shared" si="2"/>
        <v>15520.131000000001</v>
      </c>
      <c r="H137" s="83" t="s">
        <v>70</v>
      </c>
      <c r="I137" s="81"/>
      <c r="J137" s="79">
        <v>39772</v>
      </c>
      <c r="K137" s="99" t="s">
        <v>158</v>
      </c>
      <c r="L137" s="79">
        <v>39864</v>
      </c>
      <c r="N137" s="66"/>
    </row>
    <row r="138" spans="1:14" x14ac:dyDescent="0.2">
      <c r="A138" s="94">
        <v>39490</v>
      </c>
      <c r="B138" s="99">
        <v>129</v>
      </c>
      <c r="C138" s="118" t="s">
        <v>185</v>
      </c>
      <c r="D138" s="99" t="s">
        <v>87</v>
      </c>
      <c r="E138" s="93">
        <v>4</v>
      </c>
      <c r="F138" s="93">
        <v>1266.43</v>
      </c>
      <c r="G138" s="140">
        <f t="shared" si="2"/>
        <v>2342.8955000000001</v>
      </c>
      <c r="H138" s="81" t="s">
        <v>72</v>
      </c>
      <c r="I138" s="86"/>
      <c r="J138" s="86"/>
      <c r="K138" s="93"/>
      <c r="L138" s="86"/>
      <c r="N138" s="66"/>
    </row>
    <row r="139" spans="1:14" x14ac:dyDescent="0.2">
      <c r="A139" s="94">
        <v>39800</v>
      </c>
      <c r="B139" s="99">
        <v>116</v>
      </c>
      <c r="C139" s="118" t="s">
        <v>198</v>
      </c>
      <c r="D139" s="93" t="s">
        <v>86</v>
      </c>
      <c r="E139" s="8">
        <v>3</v>
      </c>
      <c r="F139" s="158">
        <v>4267.92</v>
      </c>
      <c r="G139" s="140">
        <f t="shared" si="2"/>
        <v>7895.652000000001</v>
      </c>
      <c r="H139" s="81" t="s">
        <v>72</v>
      </c>
      <c r="I139" s="6"/>
      <c r="J139" s="53">
        <v>39784</v>
      </c>
      <c r="K139" s="6" t="s">
        <v>156</v>
      </c>
      <c r="L139" s="53">
        <v>39874</v>
      </c>
      <c r="N139" s="66"/>
    </row>
    <row r="140" spans="1:14" x14ac:dyDescent="0.2">
      <c r="A140" s="94">
        <v>39813</v>
      </c>
      <c r="B140" s="99">
        <v>120</v>
      </c>
      <c r="C140" s="118" t="s">
        <v>219</v>
      </c>
      <c r="D140" s="93" t="s">
        <v>220</v>
      </c>
      <c r="E140" s="8">
        <v>1</v>
      </c>
      <c r="F140" s="158">
        <v>10604.88</v>
      </c>
      <c r="G140" s="140">
        <f t="shared" si="2"/>
        <v>19619.027999999998</v>
      </c>
      <c r="H140" s="81" t="s">
        <v>72</v>
      </c>
      <c r="I140" s="6"/>
      <c r="J140" s="53">
        <v>39784</v>
      </c>
      <c r="K140" s="6" t="s">
        <v>156</v>
      </c>
      <c r="L140" s="53">
        <v>39874</v>
      </c>
      <c r="N140" s="66"/>
    </row>
    <row r="141" spans="1:14" x14ac:dyDescent="0.2">
      <c r="A141" s="94">
        <v>39770</v>
      </c>
      <c r="B141" s="99">
        <v>110</v>
      </c>
      <c r="C141" s="99" t="s">
        <v>66</v>
      </c>
      <c r="D141" s="99" t="s">
        <v>87</v>
      </c>
      <c r="E141" s="99">
        <v>5</v>
      </c>
      <c r="F141" s="140">
        <v>4010</v>
      </c>
      <c r="G141" s="140">
        <f t="shared" si="2"/>
        <v>7418.5</v>
      </c>
      <c r="H141" s="81" t="s">
        <v>72</v>
      </c>
      <c r="I141" s="127"/>
      <c r="J141" s="126"/>
      <c r="K141" s="99" t="s">
        <v>158</v>
      </c>
      <c r="L141" s="161">
        <v>39940</v>
      </c>
      <c r="N141" s="66"/>
    </row>
    <row r="142" spans="1:14" x14ac:dyDescent="0.2">
      <c r="A142" s="94"/>
      <c r="B142" s="99"/>
      <c r="C142" s="99"/>
      <c r="D142" s="93"/>
      <c r="E142" s="93"/>
      <c r="F142" s="147"/>
      <c r="G142" s="140"/>
      <c r="H142" s="81"/>
      <c r="I142" s="86"/>
      <c r="J142" s="86"/>
      <c r="K142" s="93"/>
      <c r="L142" s="164"/>
      <c r="N142" s="66"/>
    </row>
    <row r="143" spans="1:14" x14ac:dyDescent="0.2">
      <c r="A143" s="94"/>
      <c r="B143" s="99"/>
      <c r="C143" s="99"/>
      <c r="D143" s="93"/>
      <c r="E143" s="93"/>
      <c r="F143" s="147"/>
      <c r="G143" s="140"/>
      <c r="H143" s="81"/>
      <c r="I143" s="86"/>
      <c r="J143" s="86"/>
      <c r="K143" s="93"/>
      <c r="L143" s="164"/>
      <c r="N143" s="66"/>
    </row>
    <row r="144" spans="1:14" x14ac:dyDescent="0.2">
      <c r="A144" s="94"/>
      <c r="B144" s="99"/>
      <c r="C144" s="118"/>
      <c r="D144" s="93"/>
      <c r="E144" s="8"/>
      <c r="F144" s="158"/>
      <c r="G144" s="140"/>
      <c r="H144" s="81"/>
      <c r="I144" s="6"/>
      <c r="J144" s="53"/>
      <c r="K144" s="6"/>
      <c r="L144" s="53"/>
      <c r="N144" s="66"/>
    </row>
    <row r="145" spans="1:14" x14ac:dyDescent="0.2">
      <c r="A145" s="94"/>
      <c r="B145" s="99"/>
      <c r="C145" s="167" t="s">
        <v>231</v>
      </c>
      <c r="D145" s="93"/>
      <c r="E145" s="8"/>
      <c r="F145" s="158"/>
      <c r="G145" s="166">
        <f>SUM(G72:G141)</f>
        <v>1260771.7238000003</v>
      </c>
      <c r="H145" s="81"/>
      <c r="I145" s="6"/>
      <c r="J145" s="53"/>
      <c r="K145" s="6"/>
      <c r="L145" s="53"/>
      <c r="N145" s="66"/>
    </row>
    <row r="146" spans="1:14" x14ac:dyDescent="0.2">
      <c r="A146" s="94"/>
      <c r="B146" s="99"/>
      <c r="C146" s="118"/>
      <c r="D146" s="93"/>
      <c r="E146" s="8"/>
      <c r="F146" s="158"/>
      <c r="G146" s="140"/>
      <c r="H146" s="81"/>
      <c r="I146" s="6"/>
      <c r="J146" s="53"/>
      <c r="K146" s="6"/>
      <c r="L146" s="53"/>
      <c r="N146" s="66"/>
    </row>
    <row r="147" spans="1:14" x14ac:dyDescent="0.2">
      <c r="A147" s="94">
        <v>39819</v>
      </c>
      <c r="B147" s="99">
        <v>121</v>
      </c>
      <c r="C147" s="118" t="s">
        <v>217</v>
      </c>
      <c r="D147" s="99" t="s">
        <v>87</v>
      </c>
      <c r="E147" s="73">
        <v>4</v>
      </c>
      <c r="F147" s="141">
        <v>3322.77</v>
      </c>
      <c r="G147" s="140">
        <f t="shared" ref="G147:G152" si="3">F147*1.85</f>
        <v>6147.1244999999999</v>
      </c>
      <c r="H147" s="81" t="s">
        <v>72</v>
      </c>
      <c r="I147" s="81"/>
      <c r="J147" s="79">
        <v>39802</v>
      </c>
      <c r="K147" s="99" t="s">
        <v>158</v>
      </c>
      <c r="L147" s="79">
        <v>39892</v>
      </c>
      <c r="N147" s="66"/>
    </row>
    <row r="148" spans="1:14" x14ac:dyDescent="0.2">
      <c r="A148" s="94">
        <v>39819</v>
      </c>
      <c r="B148" s="99">
        <v>122</v>
      </c>
      <c r="C148" s="118" t="s">
        <v>177</v>
      </c>
      <c r="D148" s="99" t="s">
        <v>222</v>
      </c>
      <c r="E148" s="99">
        <v>1</v>
      </c>
      <c r="F148" s="140">
        <v>10800.5</v>
      </c>
      <c r="G148" s="140">
        <f t="shared" si="3"/>
        <v>19980.924999999999</v>
      </c>
      <c r="H148" s="81" t="s">
        <v>72</v>
      </c>
      <c r="I148" s="127"/>
      <c r="J148" s="128">
        <v>40167</v>
      </c>
      <c r="K148" s="99" t="s">
        <v>165</v>
      </c>
      <c r="L148" s="146">
        <v>39864</v>
      </c>
      <c r="N148" s="66"/>
    </row>
    <row r="149" spans="1:14" x14ac:dyDescent="0.2">
      <c r="A149" s="94">
        <v>39821</v>
      </c>
      <c r="B149" s="99">
        <v>123</v>
      </c>
      <c r="C149" s="118" t="s">
        <v>49</v>
      </c>
      <c r="D149" s="99" t="s">
        <v>87</v>
      </c>
      <c r="E149" s="73">
        <v>4</v>
      </c>
      <c r="F149" s="141">
        <v>7609.79</v>
      </c>
      <c r="G149" s="140">
        <f t="shared" si="3"/>
        <v>14078.111500000001</v>
      </c>
      <c r="H149" s="81" t="s">
        <v>72</v>
      </c>
      <c r="I149" s="81"/>
      <c r="J149" s="79">
        <v>40166</v>
      </c>
      <c r="K149" s="99" t="s">
        <v>158</v>
      </c>
      <c r="L149" s="79">
        <v>39891</v>
      </c>
      <c r="N149" s="66"/>
    </row>
    <row r="150" spans="1:14" x14ac:dyDescent="0.2">
      <c r="A150" s="94">
        <v>39823</v>
      </c>
      <c r="B150" s="99">
        <v>124</v>
      </c>
      <c r="C150" s="118" t="s">
        <v>173</v>
      </c>
      <c r="D150" s="99" t="s">
        <v>87</v>
      </c>
      <c r="E150" s="99">
        <v>1</v>
      </c>
      <c r="F150" s="99">
        <v>5225.84</v>
      </c>
      <c r="G150" s="140">
        <f t="shared" si="3"/>
        <v>9667.8040000000001</v>
      </c>
      <c r="H150" s="81" t="s">
        <v>72</v>
      </c>
      <c r="I150" s="127"/>
      <c r="J150" s="146">
        <v>39806</v>
      </c>
      <c r="K150" s="99" t="s">
        <v>158</v>
      </c>
      <c r="L150" s="146">
        <v>39896</v>
      </c>
      <c r="N150" s="66"/>
    </row>
    <row r="151" spans="1:14" x14ac:dyDescent="0.2">
      <c r="A151" s="94">
        <v>39823</v>
      </c>
      <c r="B151" s="99">
        <v>125</v>
      </c>
      <c r="C151" s="118" t="s">
        <v>212</v>
      </c>
      <c r="D151" s="99" t="s">
        <v>222</v>
      </c>
      <c r="E151" s="99">
        <v>3</v>
      </c>
      <c r="F151" s="140">
        <v>3726.93</v>
      </c>
      <c r="G151" s="140">
        <f t="shared" si="3"/>
        <v>6894.8204999999998</v>
      </c>
      <c r="H151" s="81" t="s">
        <v>72</v>
      </c>
      <c r="I151" s="127"/>
      <c r="J151" s="146">
        <v>39806</v>
      </c>
      <c r="K151" s="99" t="s">
        <v>158</v>
      </c>
      <c r="L151" s="146">
        <v>39896</v>
      </c>
      <c r="N151" s="66"/>
    </row>
    <row r="152" spans="1:14" x14ac:dyDescent="0.2">
      <c r="A152" s="94">
        <v>39864</v>
      </c>
      <c r="B152" s="99">
        <v>131</v>
      </c>
      <c r="C152" s="99" t="s">
        <v>199</v>
      </c>
      <c r="D152" s="99" t="s">
        <v>143</v>
      </c>
      <c r="E152" s="99">
        <v>3</v>
      </c>
      <c r="F152" s="140">
        <v>5480.8</v>
      </c>
      <c r="G152" s="140">
        <f t="shared" si="3"/>
        <v>10139.480000000001</v>
      </c>
      <c r="H152" s="81" t="s">
        <v>72</v>
      </c>
      <c r="I152" s="127"/>
      <c r="J152" s="146">
        <v>39844</v>
      </c>
      <c r="K152" s="99" t="s">
        <v>225</v>
      </c>
      <c r="L152" s="146">
        <v>39903</v>
      </c>
      <c r="N152" s="66"/>
    </row>
    <row r="153" spans="1:14" x14ac:dyDescent="0.2">
      <c r="A153" s="94">
        <v>39844</v>
      </c>
      <c r="B153" s="99">
        <v>126</v>
      </c>
      <c r="C153" s="118" t="s">
        <v>192</v>
      </c>
      <c r="D153" s="99" t="s">
        <v>86</v>
      </c>
      <c r="E153" s="99">
        <v>3</v>
      </c>
      <c r="F153" s="140">
        <v>10686.72</v>
      </c>
      <c r="G153" s="140">
        <f>F153*1.85</f>
        <v>19770.432000000001</v>
      </c>
      <c r="H153" s="81" t="s">
        <v>72</v>
      </c>
      <c r="I153" s="127"/>
      <c r="J153" s="146">
        <v>39823</v>
      </c>
      <c r="K153" s="99" t="s">
        <v>158</v>
      </c>
      <c r="L153" s="146">
        <v>39913</v>
      </c>
      <c r="N153" s="66"/>
    </row>
    <row r="154" spans="1:14" x14ac:dyDescent="0.2">
      <c r="A154" s="94">
        <v>39868</v>
      </c>
      <c r="B154" s="99">
        <v>132</v>
      </c>
      <c r="C154" s="99" t="s">
        <v>224</v>
      </c>
      <c r="D154" s="99" t="s">
        <v>86</v>
      </c>
      <c r="E154" s="99">
        <v>3</v>
      </c>
      <c r="F154" s="140">
        <v>18990.95</v>
      </c>
      <c r="G154" s="140">
        <f>F154*1.85</f>
        <v>35133.2575</v>
      </c>
      <c r="H154" s="81" t="s">
        <v>72</v>
      </c>
      <c r="I154" s="127"/>
      <c r="J154" s="146">
        <v>39862</v>
      </c>
      <c r="K154" s="99" t="s">
        <v>225</v>
      </c>
      <c r="L154" s="146">
        <v>39921</v>
      </c>
      <c r="N154" s="66"/>
    </row>
    <row r="155" spans="1:14" x14ac:dyDescent="0.2">
      <c r="A155" s="94">
        <v>39916</v>
      </c>
      <c r="B155" s="99">
        <v>139</v>
      </c>
      <c r="C155" s="99" t="s">
        <v>51</v>
      </c>
      <c r="D155" s="99" t="s">
        <v>87</v>
      </c>
      <c r="E155" s="99">
        <v>4</v>
      </c>
      <c r="F155" s="140">
        <v>3802.56</v>
      </c>
      <c r="G155" s="147">
        <f>F155*1.86</f>
        <v>7072.7615999999998</v>
      </c>
      <c r="H155" s="82" t="s">
        <v>113</v>
      </c>
      <c r="I155" s="127"/>
      <c r="J155" s="126"/>
      <c r="K155" s="66" t="s">
        <v>190</v>
      </c>
      <c r="L155" s="146" t="s">
        <v>236</v>
      </c>
      <c r="N155" s="66"/>
    </row>
    <row r="156" spans="1:14" x14ac:dyDescent="0.2">
      <c r="A156" s="94">
        <v>39920</v>
      </c>
      <c r="B156" s="93">
        <v>140</v>
      </c>
      <c r="C156" s="93" t="s">
        <v>237</v>
      </c>
      <c r="D156" s="93" t="s">
        <v>139</v>
      </c>
      <c r="E156" s="176" t="s">
        <v>131</v>
      </c>
      <c r="F156" s="147">
        <v>88</v>
      </c>
      <c r="G156" s="147">
        <f>F156*1.86</f>
        <v>163.68</v>
      </c>
      <c r="H156" s="81"/>
      <c r="I156" s="6"/>
      <c r="J156" s="86"/>
      <c r="K156" s="93"/>
      <c r="L156" s="6"/>
      <c r="M156" s="93"/>
      <c r="N156" s="6"/>
    </row>
    <row r="157" spans="1:14" x14ac:dyDescent="0.2">
      <c r="A157" s="94">
        <v>39921</v>
      </c>
      <c r="B157" s="93">
        <v>141</v>
      </c>
      <c r="C157" s="93" t="s">
        <v>192</v>
      </c>
      <c r="D157" s="93"/>
      <c r="E157" s="93">
        <v>4</v>
      </c>
      <c r="F157" s="147">
        <v>9725.2800000000007</v>
      </c>
      <c r="G157" s="147">
        <f>F157*1.86</f>
        <v>18089.020800000002</v>
      </c>
      <c r="H157" s="81" t="s">
        <v>72</v>
      </c>
      <c r="I157" s="6"/>
      <c r="J157" s="86"/>
      <c r="K157" s="93"/>
      <c r="L157" s="6"/>
      <c r="M157" s="93"/>
      <c r="N157" s="6"/>
    </row>
    <row r="158" spans="1:14" x14ac:dyDescent="0.2">
      <c r="A158" s="94">
        <v>39850</v>
      </c>
      <c r="B158" s="99">
        <v>127</v>
      </c>
      <c r="C158" s="118" t="s">
        <v>147</v>
      </c>
      <c r="D158" s="93" t="s">
        <v>86</v>
      </c>
      <c r="E158" s="93">
        <v>4</v>
      </c>
      <c r="F158" s="93">
        <v>10517.12</v>
      </c>
      <c r="G158" s="140">
        <f>F158*1.85</f>
        <v>19456.672000000002</v>
      </c>
      <c r="H158" s="81" t="s">
        <v>72</v>
      </c>
      <c r="I158" s="86"/>
      <c r="J158" s="24">
        <v>39836</v>
      </c>
      <c r="K158" s="99" t="s">
        <v>158</v>
      </c>
      <c r="L158" s="24">
        <v>39926</v>
      </c>
      <c r="N158" s="66"/>
    </row>
    <row r="159" spans="1:14" x14ac:dyDescent="0.2">
      <c r="A159" s="94">
        <v>39862</v>
      </c>
      <c r="B159" s="99">
        <v>130</v>
      </c>
      <c r="C159" s="118" t="s">
        <v>139</v>
      </c>
      <c r="D159" s="99" t="s">
        <v>88</v>
      </c>
      <c r="E159" s="99">
        <v>9</v>
      </c>
      <c r="F159" s="140">
        <v>25236.01</v>
      </c>
      <c r="G159" s="140">
        <f>F159*1.8</f>
        <v>45424.817999999999</v>
      </c>
      <c r="H159" s="81" t="s">
        <v>72</v>
      </c>
      <c r="I159" s="127"/>
      <c r="J159" s="146">
        <v>39836</v>
      </c>
      <c r="K159" s="99" t="s">
        <v>158</v>
      </c>
      <c r="L159" s="146">
        <v>39926</v>
      </c>
      <c r="N159" s="66"/>
    </row>
    <row r="160" spans="1:14" x14ac:dyDescent="0.2">
      <c r="A160" s="94">
        <v>39850</v>
      </c>
      <c r="B160" s="99">
        <v>128</v>
      </c>
      <c r="C160" s="118" t="s">
        <v>166</v>
      </c>
      <c r="D160" s="99" t="s">
        <v>191</v>
      </c>
      <c r="E160" s="99">
        <v>9</v>
      </c>
      <c r="F160" s="99">
        <v>88118</v>
      </c>
      <c r="G160" s="140">
        <f>F160*1.85</f>
        <v>163018.30000000002</v>
      </c>
      <c r="H160" s="82" t="s">
        <v>113</v>
      </c>
      <c r="I160" s="127"/>
      <c r="J160" s="126"/>
      <c r="K160" s="99"/>
      <c r="L160" s="126"/>
      <c r="N160" s="66"/>
    </row>
    <row r="161" spans="1:14" x14ac:dyDescent="0.2">
      <c r="A161" s="94">
        <v>39932</v>
      </c>
      <c r="B161" s="93">
        <v>145</v>
      </c>
      <c r="C161" s="93" t="s">
        <v>186</v>
      </c>
      <c r="D161" s="93"/>
      <c r="E161" s="93">
        <v>6</v>
      </c>
      <c r="F161" s="147">
        <v>3408.6</v>
      </c>
      <c r="G161" s="147">
        <f>F161*1.86</f>
        <v>6339.9960000000001</v>
      </c>
      <c r="H161" s="81" t="s">
        <v>72</v>
      </c>
      <c r="I161" s="86"/>
      <c r="J161" s="159"/>
      <c r="K161" s="93"/>
      <c r="L161" s="86"/>
      <c r="M161" s="61"/>
      <c r="N161" s="6"/>
    </row>
    <row r="162" spans="1:14" x14ac:dyDescent="0.2">
      <c r="A162" s="94">
        <v>39882</v>
      </c>
      <c r="B162" s="93">
        <v>134</v>
      </c>
      <c r="C162" s="96" t="s">
        <v>229</v>
      </c>
      <c r="D162" s="99" t="s">
        <v>87</v>
      </c>
      <c r="E162" s="93">
        <v>3</v>
      </c>
      <c r="F162" s="147">
        <v>4529.8999999999996</v>
      </c>
      <c r="G162" s="147">
        <f>F162*1.85</f>
        <v>8380.3150000000005</v>
      </c>
      <c r="H162" s="81" t="s">
        <v>72</v>
      </c>
      <c r="I162" s="86"/>
      <c r="J162" s="24"/>
      <c r="K162" s="99" t="s">
        <v>228</v>
      </c>
      <c r="L162" s="24">
        <v>39945</v>
      </c>
      <c r="N162" s="6"/>
    </row>
    <row r="163" spans="1:14" x14ac:dyDescent="0.2">
      <c r="A163" s="94">
        <v>39947</v>
      </c>
      <c r="B163" s="99">
        <v>148</v>
      </c>
      <c r="C163" s="118" t="s">
        <v>176</v>
      </c>
      <c r="D163" s="99" t="s">
        <v>87</v>
      </c>
      <c r="E163" s="73">
        <v>3</v>
      </c>
      <c r="F163" s="141">
        <v>4309.8900000000003</v>
      </c>
      <c r="G163" s="147">
        <f>F163*1.86</f>
        <v>8016.3954000000012</v>
      </c>
      <c r="H163" s="83" t="s">
        <v>70</v>
      </c>
      <c r="I163" s="81"/>
      <c r="J163" s="79"/>
      <c r="K163" s="66" t="s">
        <v>190</v>
      </c>
      <c r="L163" s="79"/>
      <c r="N163" s="66"/>
    </row>
    <row r="164" spans="1:14" x14ac:dyDescent="0.2">
      <c r="A164" s="94">
        <v>39928</v>
      </c>
      <c r="B164" s="93">
        <v>143</v>
      </c>
      <c r="C164" s="93" t="s">
        <v>208</v>
      </c>
      <c r="D164" s="93"/>
      <c r="E164" s="93">
        <v>2</v>
      </c>
      <c r="F164" s="147">
        <v>9819.68</v>
      </c>
      <c r="G164" s="140">
        <f t="shared" ref="G164:G169" si="4">F164*1.87</f>
        <v>18362.801600000003</v>
      </c>
      <c r="H164" s="82" t="s">
        <v>113</v>
      </c>
      <c r="I164" s="6"/>
      <c r="J164" s="24">
        <v>39895</v>
      </c>
      <c r="K164" s="93" t="s">
        <v>238</v>
      </c>
      <c r="L164" s="60">
        <v>39956</v>
      </c>
      <c r="M164" s="93"/>
      <c r="N164" s="6"/>
    </row>
    <row r="165" spans="1:14" x14ac:dyDescent="0.2">
      <c r="A165" s="94">
        <v>39938</v>
      </c>
      <c r="B165" s="93">
        <v>147</v>
      </c>
      <c r="C165" s="93" t="s">
        <v>223</v>
      </c>
      <c r="D165" s="93" t="s">
        <v>239</v>
      </c>
      <c r="E165" s="93">
        <v>1</v>
      </c>
      <c r="F165" s="147">
        <v>14510</v>
      </c>
      <c r="G165" s="140">
        <f t="shared" si="4"/>
        <v>27133.7</v>
      </c>
      <c r="H165" s="81" t="s">
        <v>72</v>
      </c>
      <c r="I165" s="6"/>
      <c r="J165" s="177">
        <v>39903</v>
      </c>
      <c r="K165" s="93"/>
      <c r="L165" s="53">
        <v>39964</v>
      </c>
      <c r="M165" s="93"/>
      <c r="N165" s="6"/>
    </row>
    <row r="166" spans="1:14" x14ac:dyDescent="0.2">
      <c r="A166" s="94">
        <v>39877</v>
      </c>
      <c r="B166" s="93">
        <v>133</v>
      </c>
      <c r="C166" s="96" t="s">
        <v>227</v>
      </c>
      <c r="D166" s="93"/>
      <c r="E166" s="93">
        <v>5</v>
      </c>
      <c r="F166" s="147">
        <v>2976.07</v>
      </c>
      <c r="G166" s="140">
        <f t="shared" si="4"/>
        <v>5565.2509000000009</v>
      </c>
      <c r="H166" s="81" t="s">
        <v>72</v>
      </c>
      <c r="I166" s="86"/>
      <c r="J166" s="24">
        <v>39953</v>
      </c>
      <c r="K166" s="99" t="s">
        <v>228</v>
      </c>
      <c r="L166" s="24">
        <v>39953</v>
      </c>
      <c r="N166" s="6"/>
    </row>
    <row r="167" spans="1:14" x14ac:dyDescent="0.2">
      <c r="A167" s="94">
        <v>39895</v>
      </c>
      <c r="B167" s="99">
        <v>136</v>
      </c>
      <c r="C167" s="93" t="s">
        <v>145</v>
      </c>
      <c r="D167" s="99"/>
      <c r="E167" s="99">
        <v>6</v>
      </c>
      <c r="F167" s="140">
        <v>19559.060000000001</v>
      </c>
      <c r="G167" s="140">
        <f t="shared" si="4"/>
        <v>36575.442200000005</v>
      </c>
      <c r="H167" s="81" t="s">
        <v>72</v>
      </c>
      <c r="I167" s="81"/>
      <c r="J167" s="146">
        <v>39883</v>
      </c>
      <c r="K167" s="99" t="s">
        <v>240</v>
      </c>
      <c r="L167" s="165">
        <v>39975</v>
      </c>
      <c r="M167" s="93"/>
      <c r="N167" s="66"/>
    </row>
    <row r="168" spans="1:14" x14ac:dyDescent="0.2">
      <c r="A168" s="94">
        <v>39895</v>
      </c>
      <c r="B168" s="99">
        <v>137</v>
      </c>
      <c r="C168" s="93" t="s">
        <v>142</v>
      </c>
      <c r="D168" s="99"/>
      <c r="E168" s="99">
        <v>3</v>
      </c>
      <c r="F168" s="140">
        <v>9444</v>
      </c>
      <c r="G168" s="140">
        <f t="shared" si="4"/>
        <v>17660.280000000002</v>
      </c>
      <c r="H168" s="81" t="s">
        <v>72</v>
      </c>
      <c r="I168" s="81"/>
      <c r="J168" s="146">
        <v>39879</v>
      </c>
      <c r="K168" s="99" t="s">
        <v>240</v>
      </c>
      <c r="L168" s="165">
        <v>39971</v>
      </c>
      <c r="M168" s="93"/>
      <c r="N168" s="66"/>
    </row>
    <row r="169" spans="1:14" x14ac:dyDescent="0.2">
      <c r="A169" s="94">
        <v>39975</v>
      </c>
      <c r="B169" s="93">
        <v>156</v>
      </c>
      <c r="C169" s="93" t="s">
        <v>243</v>
      </c>
      <c r="D169" s="93"/>
      <c r="E169" s="93">
        <v>1</v>
      </c>
      <c r="F169" s="147">
        <v>7749.98</v>
      </c>
      <c r="G169" s="147">
        <f t="shared" si="4"/>
        <v>14492.462600000001</v>
      </c>
      <c r="H169" s="82" t="s">
        <v>113</v>
      </c>
      <c r="I169" s="6"/>
      <c r="J169" s="177"/>
      <c r="K169" s="66" t="s">
        <v>190</v>
      </c>
      <c r="L169" s="53">
        <v>39979</v>
      </c>
      <c r="M169" s="93"/>
      <c r="N169" s="6"/>
    </row>
    <row r="170" spans="1:14" x14ac:dyDescent="0.2">
      <c r="A170" s="94">
        <v>39986</v>
      </c>
      <c r="B170" s="93">
        <v>157</v>
      </c>
      <c r="C170" s="93" t="s">
        <v>234</v>
      </c>
      <c r="D170" s="93"/>
      <c r="E170" s="93">
        <v>11</v>
      </c>
      <c r="F170" s="147">
        <v>109352.8</v>
      </c>
      <c r="G170" s="147">
        <f>F170*1.9</f>
        <v>207770.32</v>
      </c>
      <c r="H170" s="82" t="s">
        <v>113</v>
      </c>
      <c r="I170" s="6"/>
      <c r="J170" s="86"/>
      <c r="K170" s="93"/>
      <c r="L170" s="6"/>
      <c r="M170" s="93"/>
      <c r="N170" s="6"/>
    </row>
    <row r="171" spans="1:14" x14ac:dyDescent="0.2">
      <c r="A171" s="94">
        <v>20540.23</v>
      </c>
      <c r="B171" s="93">
        <v>142</v>
      </c>
      <c r="C171" s="96" t="s">
        <v>139</v>
      </c>
      <c r="D171" s="93"/>
      <c r="E171" s="93">
        <v>10</v>
      </c>
      <c r="F171" s="174">
        <v>20540.23</v>
      </c>
      <c r="G171" s="140">
        <f>F171*1.8755</f>
        <v>38523.201365000001</v>
      </c>
      <c r="H171" s="82" t="s">
        <v>113</v>
      </c>
      <c r="I171" s="6"/>
      <c r="J171" s="53">
        <v>39909</v>
      </c>
      <c r="K171" s="99" t="s">
        <v>158</v>
      </c>
      <c r="L171" s="53">
        <v>40000</v>
      </c>
      <c r="N171" s="6"/>
    </row>
    <row r="172" spans="1:14" ht="13.5" customHeight="1" x14ac:dyDescent="0.2">
      <c r="A172" s="94">
        <v>39987</v>
      </c>
      <c r="B172" s="93">
        <v>158</v>
      </c>
      <c r="C172" s="93" t="s">
        <v>51</v>
      </c>
      <c r="D172" s="93"/>
      <c r="E172" s="93">
        <v>5</v>
      </c>
      <c r="F172" s="147">
        <v>5897.56</v>
      </c>
      <c r="G172" s="147">
        <f>F172*1.876</f>
        <v>11063.822560000001</v>
      </c>
      <c r="H172" s="82" t="s">
        <v>113</v>
      </c>
      <c r="I172" s="6"/>
      <c r="J172" s="86"/>
      <c r="K172" s="93" t="s">
        <v>250</v>
      </c>
      <c r="L172" s="6"/>
      <c r="M172" s="93"/>
      <c r="N172" s="6"/>
    </row>
    <row r="173" spans="1:14" x14ac:dyDescent="0.2">
      <c r="A173" s="94">
        <v>39902</v>
      </c>
      <c r="B173" s="99">
        <v>138</v>
      </c>
      <c r="C173" s="93" t="s">
        <v>233</v>
      </c>
      <c r="D173" s="93" t="s">
        <v>242</v>
      </c>
      <c r="E173" s="93">
        <v>5</v>
      </c>
      <c r="F173" s="147">
        <v>4775.5</v>
      </c>
      <c r="G173" s="140">
        <f>F173*1.876</f>
        <v>8958.8379999999997</v>
      </c>
      <c r="H173" s="82" t="s">
        <v>113</v>
      </c>
      <c r="I173" s="6"/>
      <c r="J173" s="24">
        <v>39889</v>
      </c>
      <c r="K173" s="99" t="s">
        <v>158</v>
      </c>
      <c r="L173" s="60">
        <v>39981</v>
      </c>
      <c r="M173" s="93"/>
      <c r="N173" s="66"/>
    </row>
    <row r="174" spans="1:14" x14ac:dyDescent="0.2">
      <c r="A174" s="94">
        <v>39928</v>
      </c>
      <c r="B174" s="93">
        <v>144</v>
      </c>
      <c r="C174" s="96" t="s">
        <v>212</v>
      </c>
      <c r="D174" s="93"/>
      <c r="E174" s="93">
        <v>4</v>
      </c>
      <c r="F174" s="174">
        <v>12879.8</v>
      </c>
      <c r="G174" s="140">
        <f>F174*1.89</f>
        <v>24342.821999999996</v>
      </c>
      <c r="H174" s="82" t="s">
        <v>113</v>
      </c>
      <c r="I174" s="6"/>
      <c r="J174" s="53">
        <v>39914</v>
      </c>
      <c r="K174" s="99" t="s">
        <v>158</v>
      </c>
      <c r="L174" s="53">
        <v>40005</v>
      </c>
      <c r="N174" s="6"/>
    </row>
    <row r="175" spans="1:14" x14ac:dyDescent="0.2">
      <c r="A175" s="94">
        <v>39935</v>
      </c>
      <c r="B175" s="99">
        <v>146</v>
      </c>
      <c r="C175" s="118" t="s">
        <v>49</v>
      </c>
      <c r="D175" s="99" t="s">
        <v>87</v>
      </c>
      <c r="E175" s="73">
        <v>5</v>
      </c>
      <c r="F175" s="175">
        <v>5980.37</v>
      </c>
      <c r="G175" s="140">
        <f>F175*1.9</f>
        <v>11362.703</v>
      </c>
      <c r="H175" s="81" t="s">
        <v>72</v>
      </c>
      <c r="I175" s="81"/>
      <c r="J175" s="79">
        <v>39926</v>
      </c>
      <c r="K175" s="99" t="s">
        <v>158</v>
      </c>
      <c r="L175" s="79">
        <v>40017</v>
      </c>
      <c r="N175" s="66"/>
    </row>
    <row r="176" spans="1:14" x14ac:dyDescent="0.2">
      <c r="A176" s="94">
        <v>39954</v>
      </c>
      <c r="B176" s="99">
        <v>149</v>
      </c>
      <c r="C176" s="118" t="s">
        <v>200</v>
      </c>
      <c r="D176" s="99" t="s">
        <v>87</v>
      </c>
      <c r="E176" s="99">
        <v>2</v>
      </c>
      <c r="F176" s="166">
        <v>17020.3</v>
      </c>
      <c r="G176" s="140">
        <f>F176*1.9</f>
        <v>32338.569999999996</v>
      </c>
      <c r="H176" s="81" t="s">
        <v>72</v>
      </c>
      <c r="I176" s="127"/>
      <c r="J176" s="146">
        <v>39925</v>
      </c>
      <c r="K176" s="93" t="s">
        <v>238</v>
      </c>
      <c r="L176" s="179">
        <v>40016</v>
      </c>
      <c r="N176" s="66"/>
    </row>
    <row r="177" spans="1:14" x14ac:dyDescent="0.2">
      <c r="A177" s="94">
        <v>39954</v>
      </c>
      <c r="B177" s="99">
        <v>153</v>
      </c>
      <c r="C177" s="99" t="s">
        <v>178</v>
      </c>
      <c r="D177" s="99" t="s">
        <v>97</v>
      </c>
      <c r="E177" s="99">
        <v>3</v>
      </c>
      <c r="F177" s="140">
        <v>6417</v>
      </c>
      <c r="G177" s="140">
        <f>F177*1.9</f>
        <v>12192.3</v>
      </c>
      <c r="H177" s="82" t="s">
        <v>113</v>
      </c>
      <c r="I177" s="127"/>
      <c r="J177" s="146">
        <v>39942</v>
      </c>
      <c r="K177" s="99" t="s">
        <v>158</v>
      </c>
      <c r="L177" s="24">
        <v>39942</v>
      </c>
      <c r="N177" s="66"/>
    </row>
    <row r="178" spans="1:14" x14ac:dyDescent="0.2">
      <c r="A178" s="94">
        <v>39965</v>
      </c>
      <c r="B178" s="93">
        <v>155</v>
      </c>
      <c r="C178" s="96" t="s">
        <v>177</v>
      </c>
      <c r="D178" s="93"/>
      <c r="E178" s="93">
        <v>2</v>
      </c>
      <c r="F178" s="178">
        <v>9459.5400000000009</v>
      </c>
      <c r="G178" s="140">
        <f>F178*1.9</f>
        <v>17973.126</v>
      </c>
      <c r="H178" s="82" t="s">
        <v>113</v>
      </c>
      <c r="I178" s="86"/>
      <c r="J178" s="24">
        <v>39956</v>
      </c>
      <c r="K178" s="93" t="s">
        <v>195</v>
      </c>
      <c r="L178" s="24">
        <v>40025</v>
      </c>
      <c r="N178" s="6"/>
    </row>
    <row r="179" spans="1:14" ht="13.5" customHeight="1" x14ac:dyDescent="0.2">
      <c r="A179" s="196">
        <v>39994</v>
      </c>
      <c r="B179" s="93">
        <v>163</v>
      </c>
      <c r="C179" s="96" t="s">
        <v>245</v>
      </c>
      <c r="D179" s="93"/>
      <c r="E179" s="93">
        <v>1</v>
      </c>
      <c r="F179" s="147">
        <v>7798</v>
      </c>
      <c r="G179" s="140">
        <f>F179*1.9</f>
        <v>14816.199999999999</v>
      </c>
      <c r="H179" s="82" t="s">
        <v>113</v>
      </c>
      <c r="I179" s="6"/>
      <c r="J179" s="86"/>
      <c r="K179" s="93" t="s">
        <v>283</v>
      </c>
      <c r="L179" s="6"/>
      <c r="M179" s="93"/>
      <c r="N179" s="6"/>
    </row>
    <row r="180" spans="1:14" s="183" customFormat="1" x14ac:dyDescent="0.2">
      <c r="A180" s="196">
        <v>40032</v>
      </c>
      <c r="B180" s="99">
        <v>173</v>
      </c>
      <c r="C180" s="99" t="s">
        <v>235</v>
      </c>
      <c r="D180" s="99" t="s">
        <v>274</v>
      </c>
      <c r="E180" s="99">
        <v>1</v>
      </c>
      <c r="F180" s="140">
        <v>16935.25</v>
      </c>
      <c r="G180" s="147">
        <f>F180*1.35</f>
        <v>22862.587500000001</v>
      </c>
      <c r="H180" s="201" t="s">
        <v>72</v>
      </c>
      <c r="I180" s="127"/>
      <c r="J180" s="128">
        <v>40021</v>
      </c>
      <c r="K180" s="99" t="s">
        <v>291</v>
      </c>
      <c r="L180" s="126"/>
      <c r="N180" s="204"/>
    </row>
    <row r="181" spans="1:14" x14ac:dyDescent="0.2">
      <c r="A181" s="94">
        <v>39954</v>
      </c>
      <c r="B181" s="93">
        <v>150</v>
      </c>
      <c r="C181" s="96" t="s">
        <v>172</v>
      </c>
      <c r="D181" s="93"/>
      <c r="E181" s="8">
        <v>4</v>
      </c>
      <c r="F181" s="158">
        <v>5531.15</v>
      </c>
      <c r="G181" s="140">
        <f t="shared" ref="G181:G198" si="5">F181*1.9</f>
        <v>10509.184999999999</v>
      </c>
      <c r="H181" s="82" t="s">
        <v>113</v>
      </c>
      <c r="I181" s="6"/>
      <c r="J181" s="53">
        <v>39942</v>
      </c>
      <c r="K181" s="99" t="s">
        <v>158</v>
      </c>
      <c r="L181" s="24">
        <v>40034</v>
      </c>
      <c r="N181" s="6"/>
    </row>
    <row r="182" spans="1:14" x14ac:dyDescent="0.2">
      <c r="A182" s="94">
        <v>39954</v>
      </c>
      <c r="B182" s="99">
        <v>151</v>
      </c>
      <c r="C182" s="99" t="s">
        <v>64</v>
      </c>
      <c r="D182" s="99" t="s">
        <v>87</v>
      </c>
      <c r="E182" s="99">
        <v>5</v>
      </c>
      <c r="F182" s="99">
        <v>2958.1</v>
      </c>
      <c r="G182" s="140">
        <f t="shared" si="5"/>
        <v>5620.3899999999994</v>
      </c>
      <c r="H182" s="82" t="s">
        <v>113</v>
      </c>
      <c r="I182" s="127"/>
      <c r="J182" s="146">
        <v>39942</v>
      </c>
      <c r="K182" s="99" t="s">
        <v>158</v>
      </c>
      <c r="L182" s="24">
        <v>40034</v>
      </c>
      <c r="N182" s="66"/>
    </row>
    <row r="183" spans="1:14" x14ac:dyDescent="0.2">
      <c r="A183" s="94">
        <v>39954</v>
      </c>
      <c r="B183" s="93">
        <v>152</v>
      </c>
      <c r="C183" s="96" t="s">
        <v>173</v>
      </c>
      <c r="D183" s="93"/>
      <c r="E183" s="8">
        <v>2</v>
      </c>
      <c r="F183" s="158">
        <v>2506.9299999999998</v>
      </c>
      <c r="G183" s="140">
        <f t="shared" si="5"/>
        <v>4763.1669999999995</v>
      </c>
      <c r="H183" s="82" t="s">
        <v>113</v>
      </c>
      <c r="I183" s="6"/>
      <c r="J183" s="53">
        <v>39942</v>
      </c>
      <c r="K183" s="99" t="s">
        <v>158</v>
      </c>
      <c r="L183" s="24">
        <v>40034</v>
      </c>
      <c r="N183" s="6"/>
    </row>
    <row r="184" spans="1:14" x14ac:dyDescent="0.2">
      <c r="A184" s="94">
        <v>39959</v>
      </c>
      <c r="B184" s="93">
        <v>154</v>
      </c>
      <c r="C184" s="93" t="s">
        <v>241</v>
      </c>
      <c r="D184" s="93"/>
      <c r="E184" s="93">
        <v>2</v>
      </c>
      <c r="F184" s="147">
        <v>2290.8000000000002</v>
      </c>
      <c r="G184" s="140">
        <f t="shared" si="5"/>
        <v>4352.5200000000004</v>
      </c>
      <c r="H184" s="82" t="s">
        <v>113</v>
      </c>
      <c r="I184" s="86"/>
      <c r="J184" s="24">
        <v>39949</v>
      </c>
      <c r="K184" s="99" t="s">
        <v>158</v>
      </c>
      <c r="L184" s="24">
        <v>40041</v>
      </c>
      <c r="N184" s="6"/>
    </row>
    <row r="185" spans="1:14" x14ac:dyDescent="0.2">
      <c r="A185" s="202">
        <v>40063</v>
      </c>
      <c r="B185" s="99">
        <v>188</v>
      </c>
      <c r="C185" s="99" t="s">
        <v>286</v>
      </c>
      <c r="D185" s="99"/>
      <c r="E185" s="99">
        <v>1</v>
      </c>
      <c r="F185" s="140">
        <v>5615.05</v>
      </c>
      <c r="G185" s="147">
        <f t="shared" si="5"/>
        <v>10668.594999999999</v>
      </c>
      <c r="H185" s="81" t="s">
        <v>72</v>
      </c>
      <c r="I185" s="127"/>
      <c r="J185" s="126"/>
      <c r="K185" s="99" t="s">
        <v>250</v>
      </c>
      <c r="L185" s="126"/>
      <c r="N185" s="66"/>
    </row>
    <row r="186" spans="1:14" x14ac:dyDescent="0.2">
      <c r="A186" s="94">
        <v>40060</v>
      </c>
      <c r="B186" s="99">
        <v>187</v>
      </c>
      <c r="C186" s="99" t="s">
        <v>193</v>
      </c>
      <c r="D186" s="99"/>
      <c r="E186" s="99">
        <v>6</v>
      </c>
      <c r="F186" s="140">
        <v>7150</v>
      </c>
      <c r="G186" s="147">
        <f>F186*1.9</f>
        <v>13585</v>
      </c>
      <c r="H186" s="201" t="s">
        <v>72</v>
      </c>
      <c r="I186" s="127"/>
      <c r="J186" s="126"/>
      <c r="K186" s="99" t="s">
        <v>250</v>
      </c>
      <c r="L186" s="126"/>
      <c r="N186" s="66"/>
    </row>
    <row r="187" spans="1:14" x14ac:dyDescent="0.2">
      <c r="A187" s="94">
        <v>40009</v>
      </c>
      <c r="B187" s="99">
        <v>167</v>
      </c>
      <c r="C187" s="99" t="s">
        <v>187</v>
      </c>
      <c r="D187" s="99"/>
      <c r="E187" s="99">
        <v>2</v>
      </c>
      <c r="F187" s="140">
        <v>5392.8</v>
      </c>
      <c r="G187" s="140">
        <f t="shared" si="5"/>
        <v>10246.32</v>
      </c>
      <c r="H187" s="82" t="s">
        <v>113</v>
      </c>
      <c r="I187" s="127"/>
      <c r="J187" s="128">
        <v>39992</v>
      </c>
      <c r="K187" s="99" t="s">
        <v>278</v>
      </c>
      <c r="L187" s="128">
        <v>40053</v>
      </c>
      <c r="N187" s="66"/>
    </row>
    <row r="188" spans="1:14" x14ac:dyDescent="0.2">
      <c r="A188" s="94">
        <v>39993</v>
      </c>
      <c r="B188" s="93">
        <v>159</v>
      </c>
      <c r="C188" s="193" t="s">
        <v>198</v>
      </c>
      <c r="D188" s="93"/>
      <c r="E188" s="93">
        <v>4</v>
      </c>
      <c r="F188" s="147">
        <v>7665.6</v>
      </c>
      <c r="G188" s="140">
        <f t="shared" si="5"/>
        <v>14564.64</v>
      </c>
      <c r="H188" s="82" t="s">
        <v>113</v>
      </c>
      <c r="I188" s="86"/>
      <c r="J188" s="86"/>
      <c r="K188" s="99" t="s">
        <v>158</v>
      </c>
      <c r="L188" s="24">
        <v>40072</v>
      </c>
      <c r="N188" s="6"/>
    </row>
    <row r="189" spans="1:14" ht="13.5" customHeight="1" x14ac:dyDescent="0.2">
      <c r="A189" s="94">
        <v>39993</v>
      </c>
      <c r="B189" s="93">
        <v>160</v>
      </c>
      <c r="C189" s="193" t="s">
        <v>249</v>
      </c>
      <c r="D189" s="93"/>
      <c r="E189" s="93">
        <v>2</v>
      </c>
      <c r="F189" s="147">
        <v>4191.53</v>
      </c>
      <c r="G189" s="140">
        <f t="shared" si="5"/>
        <v>7963.9069999999992</v>
      </c>
      <c r="H189" s="82" t="s">
        <v>113</v>
      </c>
      <c r="I189" s="6"/>
      <c r="J189" s="24">
        <v>39980</v>
      </c>
      <c r="K189" s="93" t="s">
        <v>195</v>
      </c>
      <c r="L189" s="60">
        <v>40056</v>
      </c>
      <c r="M189" s="93"/>
      <c r="N189" s="6"/>
    </row>
    <row r="190" spans="1:14" ht="13.5" customHeight="1" x14ac:dyDescent="0.2">
      <c r="A190" s="94">
        <v>39994</v>
      </c>
      <c r="B190" s="93">
        <v>161</v>
      </c>
      <c r="C190" s="93" t="s">
        <v>244</v>
      </c>
      <c r="D190" s="93"/>
      <c r="E190" s="93">
        <v>2</v>
      </c>
      <c r="F190" s="147">
        <v>3514.4</v>
      </c>
      <c r="G190" s="140">
        <f t="shared" si="5"/>
        <v>6677.36</v>
      </c>
      <c r="H190" s="82" t="s">
        <v>113</v>
      </c>
      <c r="I190" s="6"/>
      <c r="J190" s="24">
        <v>39975</v>
      </c>
      <c r="K190" s="99" t="s">
        <v>158</v>
      </c>
      <c r="L190" s="60">
        <v>39975</v>
      </c>
      <c r="M190" s="93"/>
      <c r="N190" s="6"/>
    </row>
    <row r="191" spans="1:14" ht="13.5" customHeight="1" x14ac:dyDescent="0.2">
      <c r="A191" s="94">
        <v>39998</v>
      </c>
      <c r="B191" s="93">
        <v>164</v>
      </c>
      <c r="C191" s="93" t="s">
        <v>248</v>
      </c>
      <c r="D191" s="93"/>
      <c r="E191" s="93">
        <v>1</v>
      </c>
      <c r="F191" s="147">
        <v>7681.75</v>
      </c>
      <c r="G191" s="140">
        <f t="shared" si="5"/>
        <v>14595.324999999999</v>
      </c>
      <c r="H191" s="82" t="s">
        <v>113</v>
      </c>
      <c r="I191" s="6"/>
      <c r="J191" s="177">
        <v>39969</v>
      </c>
      <c r="K191" s="93" t="s">
        <v>277</v>
      </c>
      <c r="L191" s="53">
        <v>40061</v>
      </c>
      <c r="M191" s="93"/>
      <c r="N191" s="6"/>
    </row>
    <row r="192" spans="1:14" x14ac:dyDescent="0.2">
      <c r="A192" s="94">
        <v>40047</v>
      </c>
      <c r="B192" s="99">
        <v>177</v>
      </c>
      <c r="C192" s="99" t="s">
        <v>293</v>
      </c>
      <c r="D192" s="99"/>
      <c r="E192" s="99">
        <v>1</v>
      </c>
      <c r="F192" s="140">
        <v>4636.8</v>
      </c>
      <c r="G192" s="147">
        <f t="shared" si="5"/>
        <v>8809.92</v>
      </c>
      <c r="H192" s="82" t="s">
        <v>113</v>
      </c>
      <c r="I192" s="127"/>
      <c r="J192" s="126"/>
      <c r="K192" s="99" t="s">
        <v>294</v>
      </c>
      <c r="L192" s="128">
        <v>40066</v>
      </c>
      <c r="N192" s="66"/>
    </row>
    <row r="193" spans="1:14" x14ac:dyDescent="0.2">
      <c r="A193" s="94">
        <v>40059</v>
      </c>
      <c r="B193" s="203">
        <v>186</v>
      </c>
      <c r="C193" s="99" t="s">
        <v>281</v>
      </c>
      <c r="D193" s="99"/>
      <c r="E193" s="99">
        <v>3</v>
      </c>
      <c r="F193" s="140">
        <v>4600</v>
      </c>
      <c r="G193" s="147">
        <f t="shared" si="5"/>
        <v>8740</v>
      </c>
      <c r="H193" s="82" t="s">
        <v>113</v>
      </c>
      <c r="I193" s="127"/>
      <c r="J193" s="128">
        <v>40041</v>
      </c>
      <c r="K193" s="99" t="s">
        <v>278</v>
      </c>
      <c r="L193" s="128">
        <v>40102</v>
      </c>
      <c r="N193" s="66"/>
    </row>
    <row r="194" spans="1:14" x14ac:dyDescent="0.2">
      <c r="A194" s="94">
        <v>39994</v>
      </c>
      <c r="B194" s="93">
        <v>162</v>
      </c>
      <c r="C194" s="96" t="s">
        <v>145</v>
      </c>
      <c r="D194" s="99" t="s">
        <v>87</v>
      </c>
      <c r="E194" s="8">
        <v>7</v>
      </c>
      <c r="F194" s="197">
        <v>12502.3</v>
      </c>
      <c r="G194" s="140">
        <f t="shared" si="5"/>
        <v>23754.37</v>
      </c>
      <c r="H194" s="82" t="s">
        <v>113</v>
      </c>
      <c r="I194" s="6"/>
      <c r="J194" s="53">
        <v>39977</v>
      </c>
      <c r="K194" s="93" t="s">
        <v>277</v>
      </c>
      <c r="L194" s="53">
        <v>40069</v>
      </c>
      <c r="N194" s="6"/>
    </row>
    <row r="195" spans="1:14" ht="13.5" customHeight="1" x14ac:dyDescent="0.2">
      <c r="A195" s="94">
        <v>40004</v>
      </c>
      <c r="B195" s="93">
        <v>165</v>
      </c>
      <c r="C195" s="93" t="s">
        <v>183</v>
      </c>
      <c r="D195" s="93"/>
      <c r="E195" s="93">
        <v>5</v>
      </c>
      <c r="F195" s="147">
        <v>12308.9</v>
      </c>
      <c r="G195" s="140">
        <f t="shared" si="5"/>
        <v>23386.91</v>
      </c>
      <c r="H195" s="82" t="s">
        <v>113</v>
      </c>
      <c r="I195" s="6"/>
      <c r="J195" s="177">
        <v>39989</v>
      </c>
      <c r="K195" s="93" t="s">
        <v>277</v>
      </c>
      <c r="L195" s="53">
        <v>40081</v>
      </c>
      <c r="M195" s="93"/>
      <c r="N195" s="6"/>
    </row>
    <row r="196" spans="1:14" ht="13.5" customHeight="1" x14ac:dyDescent="0.2">
      <c r="A196" s="94">
        <v>40009</v>
      </c>
      <c r="B196" s="93">
        <v>166</v>
      </c>
      <c r="C196" s="93" t="s">
        <v>246</v>
      </c>
      <c r="D196" s="93"/>
      <c r="E196" s="93">
        <v>5</v>
      </c>
      <c r="F196" s="147">
        <v>15336.56</v>
      </c>
      <c r="G196" s="140">
        <f t="shared" si="5"/>
        <v>29139.463999999996</v>
      </c>
      <c r="H196" s="82" t="s">
        <v>113</v>
      </c>
      <c r="I196" s="6"/>
      <c r="J196" s="177">
        <v>39974</v>
      </c>
      <c r="K196" s="93" t="s">
        <v>277</v>
      </c>
      <c r="L196" s="53">
        <v>40066</v>
      </c>
      <c r="M196" s="93"/>
      <c r="N196" s="6"/>
    </row>
    <row r="197" spans="1:14" x14ac:dyDescent="0.2">
      <c r="A197" s="202">
        <v>40024</v>
      </c>
      <c r="B197" s="99">
        <v>171</v>
      </c>
      <c r="C197" s="99" t="s">
        <v>280</v>
      </c>
      <c r="D197" s="99"/>
      <c r="E197" s="99">
        <v>1</v>
      </c>
      <c r="F197" s="140">
        <v>3173.71</v>
      </c>
      <c r="G197" s="147">
        <f t="shared" si="5"/>
        <v>6030.049</v>
      </c>
      <c r="H197" s="82" t="s">
        <v>113</v>
      </c>
      <c r="I197" s="127"/>
      <c r="J197" s="128">
        <v>39982</v>
      </c>
      <c r="K197" s="99" t="s">
        <v>278</v>
      </c>
      <c r="L197" s="128">
        <v>40074</v>
      </c>
      <c r="N197" s="66"/>
    </row>
    <row r="198" spans="1:14" x14ac:dyDescent="0.2">
      <c r="A198" s="202">
        <v>40030</v>
      </c>
      <c r="B198" s="93">
        <v>172</v>
      </c>
      <c r="C198" s="193" t="s">
        <v>290</v>
      </c>
      <c r="D198" s="93" t="s">
        <v>289</v>
      </c>
      <c r="E198" s="8">
        <v>1</v>
      </c>
      <c r="F198" s="158">
        <v>3300</v>
      </c>
      <c r="G198" s="147">
        <f t="shared" si="5"/>
        <v>6270</v>
      </c>
      <c r="H198" s="82" t="s">
        <v>113</v>
      </c>
      <c r="I198" s="6"/>
      <c r="J198" s="53">
        <v>40019</v>
      </c>
      <c r="K198" s="99" t="s">
        <v>278</v>
      </c>
      <c r="L198" s="53">
        <v>40081</v>
      </c>
      <c r="N198" s="6"/>
    </row>
    <row r="199" spans="1:14" s="183" customFormat="1" x14ac:dyDescent="0.2">
      <c r="A199" s="196">
        <v>40039</v>
      </c>
      <c r="B199" s="203">
        <v>174</v>
      </c>
      <c r="C199" s="99" t="s">
        <v>271</v>
      </c>
      <c r="D199" s="99" t="s">
        <v>273</v>
      </c>
      <c r="E199" s="99">
        <v>1</v>
      </c>
      <c r="F199" s="140">
        <v>18927</v>
      </c>
      <c r="G199" s="147">
        <f>F199*1.35</f>
        <v>25551.45</v>
      </c>
      <c r="H199" s="201" t="s">
        <v>72</v>
      </c>
      <c r="I199" s="127"/>
      <c r="J199" s="128">
        <v>40009</v>
      </c>
      <c r="K199" s="99" t="s">
        <v>272</v>
      </c>
      <c r="L199" s="126"/>
      <c r="N199" s="204"/>
    </row>
    <row r="200" spans="1:14" x14ac:dyDescent="0.2">
      <c r="A200" s="94">
        <v>40102</v>
      </c>
      <c r="B200" s="99">
        <v>192</v>
      </c>
      <c r="C200" s="99" t="s">
        <v>275</v>
      </c>
      <c r="D200" s="99" t="s">
        <v>276</v>
      </c>
      <c r="E200" s="99">
        <v>1</v>
      </c>
      <c r="F200" s="140">
        <v>27276.01</v>
      </c>
      <c r="G200" s="147">
        <f>F200*1.35</f>
        <v>36822.613499999999</v>
      </c>
      <c r="H200" s="81" t="s">
        <v>72</v>
      </c>
      <c r="I200" s="127"/>
      <c r="J200" s="128">
        <v>40045</v>
      </c>
      <c r="K200" s="99" t="s">
        <v>272</v>
      </c>
      <c r="L200" s="126"/>
      <c r="N200" s="66"/>
    </row>
    <row r="201" spans="1:14" x14ac:dyDescent="0.2">
      <c r="A201" s="94">
        <v>40010</v>
      </c>
      <c r="B201" s="93">
        <v>168</v>
      </c>
      <c r="C201" s="96" t="s">
        <v>64</v>
      </c>
      <c r="D201" s="93"/>
      <c r="E201" s="8">
        <v>6</v>
      </c>
      <c r="F201" s="158">
        <v>4187.1000000000004</v>
      </c>
      <c r="G201" s="147">
        <f>F201*1.9</f>
        <v>7955.4900000000007</v>
      </c>
      <c r="H201" s="6"/>
      <c r="I201" s="6"/>
      <c r="J201" s="53">
        <v>39998</v>
      </c>
      <c r="K201" s="99" t="s">
        <v>277</v>
      </c>
      <c r="L201" s="53">
        <v>40090</v>
      </c>
      <c r="N201" s="6"/>
    </row>
    <row r="202" spans="1:14" x14ac:dyDescent="0.2">
      <c r="A202" s="94">
        <v>40015</v>
      </c>
      <c r="B202" s="99">
        <v>169</v>
      </c>
      <c r="C202" s="99" t="s">
        <v>212</v>
      </c>
      <c r="D202" s="99"/>
      <c r="E202" s="99">
        <v>5</v>
      </c>
      <c r="F202" s="140">
        <v>15624.6</v>
      </c>
      <c r="G202" s="147">
        <f>F202*1.9</f>
        <v>29686.739999999998</v>
      </c>
      <c r="H202" s="81"/>
      <c r="I202" s="127"/>
      <c r="J202" s="128">
        <v>40014</v>
      </c>
      <c r="K202" s="99" t="s">
        <v>277</v>
      </c>
      <c r="L202" s="128">
        <v>40106</v>
      </c>
      <c r="N202" s="66"/>
    </row>
    <row r="203" spans="1:14" x14ac:dyDescent="0.2">
      <c r="A203" s="94">
        <v>40063</v>
      </c>
      <c r="B203" s="99">
        <v>189</v>
      </c>
      <c r="C203" s="99" t="s">
        <v>171</v>
      </c>
      <c r="D203" s="99"/>
      <c r="E203" s="99">
        <v>4</v>
      </c>
      <c r="F203" s="140">
        <v>17686</v>
      </c>
      <c r="G203" s="147">
        <f>F203*1.9</f>
        <v>33603.4</v>
      </c>
      <c r="H203" s="82" t="s">
        <v>113</v>
      </c>
      <c r="I203" s="127"/>
      <c r="J203" s="128">
        <v>40036</v>
      </c>
      <c r="K203" s="99" t="s">
        <v>278</v>
      </c>
      <c r="L203" s="128">
        <v>40097</v>
      </c>
      <c r="N203" s="66"/>
    </row>
    <row r="204" spans="1:14" x14ac:dyDescent="0.2">
      <c r="A204" s="94"/>
      <c r="B204" s="193"/>
      <c r="C204" s="93"/>
      <c r="D204" s="93"/>
      <c r="E204" s="93"/>
      <c r="F204" s="147"/>
      <c r="G204" s="147"/>
      <c r="H204" s="106"/>
      <c r="I204" s="86"/>
      <c r="J204" s="177"/>
      <c r="K204" s="93"/>
      <c r="L204" s="177"/>
      <c r="N204" s="6"/>
    </row>
    <row r="205" spans="1:14" x14ac:dyDescent="0.2">
      <c r="A205" s="94">
        <v>40042</v>
      </c>
      <c r="B205" s="93">
        <v>176</v>
      </c>
      <c r="C205" s="93" t="s">
        <v>185</v>
      </c>
      <c r="D205" s="93"/>
      <c r="E205" s="93">
        <v>5</v>
      </c>
      <c r="F205" s="147">
        <v>3090.58</v>
      </c>
      <c r="G205" s="147">
        <f t="shared" ref="G205:G211" si="6">F205*1.9</f>
        <v>5872.1019999999999</v>
      </c>
      <c r="H205" s="82" t="s">
        <v>113</v>
      </c>
      <c r="I205" s="86"/>
      <c r="J205" s="177"/>
      <c r="K205" s="99" t="s">
        <v>277</v>
      </c>
      <c r="L205" s="177">
        <v>40107</v>
      </c>
      <c r="N205" s="6"/>
    </row>
    <row r="206" spans="1:14" x14ac:dyDescent="0.2">
      <c r="A206" s="94">
        <v>40053</v>
      </c>
      <c r="B206" s="203">
        <v>185</v>
      </c>
      <c r="C206" s="99" t="s">
        <v>69</v>
      </c>
      <c r="D206" s="99"/>
      <c r="E206" s="99">
        <v>4</v>
      </c>
      <c r="F206" s="140">
        <v>24379.75</v>
      </c>
      <c r="G206" s="147">
        <f t="shared" si="6"/>
        <v>46321.525000000001</v>
      </c>
      <c r="H206" s="82" t="s">
        <v>113</v>
      </c>
      <c r="I206" s="127"/>
      <c r="J206" s="128">
        <v>40025</v>
      </c>
      <c r="K206" s="99" t="s">
        <v>277</v>
      </c>
      <c r="L206" s="53">
        <v>40116</v>
      </c>
      <c r="N206" s="66"/>
    </row>
    <row r="207" spans="1:14" x14ac:dyDescent="0.2">
      <c r="A207" s="202">
        <v>40040</v>
      </c>
      <c r="B207" s="193">
        <v>175</v>
      </c>
      <c r="C207" s="96" t="s">
        <v>49</v>
      </c>
      <c r="D207" s="93"/>
      <c r="E207" s="8">
        <v>6</v>
      </c>
      <c r="F207" s="158">
        <v>6647.04</v>
      </c>
      <c r="G207" s="147">
        <f t="shared" si="6"/>
        <v>12629.376</v>
      </c>
      <c r="H207" s="82" t="s">
        <v>113</v>
      </c>
      <c r="I207" s="6"/>
      <c r="J207" s="53">
        <v>40026</v>
      </c>
      <c r="K207" s="99" t="s">
        <v>277</v>
      </c>
      <c r="L207" s="53">
        <v>40117</v>
      </c>
      <c r="N207" s="6"/>
    </row>
    <row r="208" spans="1:14" ht="12" customHeight="1" x14ac:dyDescent="0.2">
      <c r="A208" s="94">
        <v>40117</v>
      </c>
      <c r="B208" s="93">
        <v>195</v>
      </c>
      <c r="C208" s="96" t="s">
        <v>296</v>
      </c>
      <c r="D208" s="93"/>
      <c r="E208" s="8">
        <v>4</v>
      </c>
      <c r="F208" s="158">
        <v>3471.24</v>
      </c>
      <c r="G208" s="147">
        <f t="shared" si="6"/>
        <v>6595.3559999999989</v>
      </c>
      <c r="H208" s="6"/>
      <c r="I208" s="6"/>
      <c r="J208" s="53"/>
      <c r="K208" s="6"/>
      <c r="L208" s="53"/>
      <c r="N208" s="6"/>
    </row>
    <row r="209" spans="1:14" x14ac:dyDescent="0.2">
      <c r="A209" s="94">
        <v>40084</v>
      </c>
      <c r="B209" s="99">
        <v>190</v>
      </c>
      <c r="C209" s="99" t="s">
        <v>208</v>
      </c>
      <c r="D209" s="99"/>
      <c r="E209" s="99">
        <v>3</v>
      </c>
      <c r="F209" s="140">
        <v>5539.9</v>
      </c>
      <c r="G209" s="147">
        <f t="shared" si="6"/>
        <v>10525.81</v>
      </c>
      <c r="H209" s="82" t="s">
        <v>113</v>
      </c>
      <c r="I209" s="127"/>
      <c r="J209" s="128">
        <v>40081</v>
      </c>
      <c r="K209" s="99" t="s">
        <v>278</v>
      </c>
      <c r="L209" s="128">
        <v>40142</v>
      </c>
      <c r="N209" s="66"/>
    </row>
    <row r="210" spans="1:14" x14ac:dyDescent="0.2">
      <c r="A210" s="202">
        <v>40050</v>
      </c>
      <c r="B210" s="193">
        <v>180</v>
      </c>
      <c r="C210" s="193" t="s">
        <v>285</v>
      </c>
      <c r="D210" s="93"/>
      <c r="E210" s="8">
        <v>1</v>
      </c>
      <c r="F210" s="158">
        <v>14994.17</v>
      </c>
      <c r="G210" s="147">
        <f t="shared" si="6"/>
        <v>28488.922999999999</v>
      </c>
      <c r="H210" s="82" t="s">
        <v>113</v>
      </c>
      <c r="I210" s="6"/>
      <c r="J210" s="53">
        <v>40026</v>
      </c>
      <c r="K210" s="99" t="s">
        <v>277</v>
      </c>
      <c r="L210" s="53">
        <v>40118</v>
      </c>
      <c r="N210" s="6"/>
    </row>
    <row r="211" spans="1:14" x14ac:dyDescent="0.2">
      <c r="A211" s="94">
        <v>40051</v>
      </c>
      <c r="B211" s="193">
        <v>181</v>
      </c>
      <c r="C211" s="193" t="s">
        <v>200</v>
      </c>
      <c r="D211" s="93"/>
      <c r="E211" s="8">
        <v>3</v>
      </c>
      <c r="F211" s="158">
        <v>14701.86</v>
      </c>
      <c r="G211" s="147">
        <f t="shared" si="6"/>
        <v>27933.534</v>
      </c>
      <c r="H211" s="82" t="s">
        <v>113</v>
      </c>
      <c r="I211" s="6"/>
      <c r="J211" s="53">
        <v>40035</v>
      </c>
      <c r="K211" s="99" t="s">
        <v>277</v>
      </c>
      <c r="L211" s="53">
        <v>40127</v>
      </c>
      <c r="N211" s="6"/>
    </row>
    <row r="212" spans="1:14" x14ac:dyDescent="0.2">
      <c r="A212" s="207">
        <v>40110</v>
      </c>
      <c r="B212" s="99">
        <v>194</v>
      </c>
      <c r="C212" s="99" t="s">
        <v>279</v>
      </c>
      <c r="D212" s="99"/>
      <c r="E212" s="99">
        <v>7</v>
      </c>
      <c r="F212" s="140">
        <v>5030.6000000000004</v>
      </c>
      <c r="G212" s="147">
        <f>F212*1.92</f>
        <v>9658.7520000000004</v>
      </c>
      <c r="H212" s="81" t="s">
        <v>72</v>
      </c>
      <c r="I212" s="127"/>
      <c r="J212" s="128">
        <v>40076</v>
      </c>
      <c r="K212" s="99" t="s">
        <v>278</v>
      </c>
      <c r="L212" s="146">
        <v>40147</v>
      </c>
      <c r="N212" s="66"/>
    </row>
    <row r="213" spans="1:14" x14ac:dyDescent="0.2">
      <c r="A213" s="202">
        <v>40051</v>
      </c>
      <c r="B213" s="203">
        <v>182</v>
      </c>
      <c r="C213" s="99" t="s">
        <v>282</v>
      </c>
      <c r="D213" s="99"/>
      <c r="E213" s="99">
        <v>6</v>
      </c>
      <c r="F213" s="140">
        <v>13691.38</v>
      </c>
      <c r="G213" s="147">
        <f>F213*1.922</f>
        <v>26314.832359999997</v>
      </c>
      <c r="H213" s="82" t="s">
        <v>113</v>
      </c>
      <c r="I213" s="127"/>
      <c r="J213" s="126"/>
      <c r="K213" s="99" t="s">
        <v>277</v>
      </c>
      <c r="L213" s="53">
        <v>40127</v>
      </c>
      <c r="N213" s="66"/>
    </row>
    <row r="214" spans="1:14" x14ac:dyDescent="0.2">
      <c r="A214" s="202">
        <v>40047</v>
      </c>
      <c r="B214" s="193">
        <v>178</v>
      </c>
      <c r="C214" s="193" t="s">
        <v>172</v>
      </c>
      <c r="D214" s="93"/>
      <c r="E214" s="8">
        <v>5</v>
      </c>
      <c r="F214" s="200">
        <v>14634.38</v>
      </c>
      <c r="G214" s="147">
        <f>F214*1.9</f>
        <v>27805.321999999996</v>
      </c>
      <c r="H214" s="82" t="s">
        <v>113</v>
      </c>
      <c r="I214" s="6"/>
      <c r="J214" s="53"/>
      <c r="K214" s="99" t="s">
        <v>277</v>
      </c>
      <c r="L214" s="53">
        <v>40127</v>
      </c>
      <c r="N214" s="6"/>
    </row>
    <row r="215" spans="1:14" x14ac:dyDescent="0.2">
      <c r="A215" s="202">
        <v>40050</v>
      </c>
      <c r="B215" s="93">
        <v>179</v>
      </c>
      <c r="C215" s="193" t="s">
        <v>66</v>
      </c>
      <c r="D215" s="93"/>
      <c r="E215" s="8">
        <v>6</v>
      </c>
      <c r="F215" s="158">
        <v>8829</v>
      </c>
      <c r="G215" s="147">
        <f>F215*1.9</f>
        <v>16775.099999999999</v>
      </c>
      <c r="H215" s="82" t="s">
        <v>113</v>
      </c>
      <c r="I215" s="6"/>
      <c r="J215" s="53">
        <v>40038</v>
      </c>
      <c r="K215" s="99" t="s">
        <v>277</v>
      </c>
      <c r="L215" s="53">
        <v>40130</v>
      </c>
      <c r="N215" s="6"/>
    </row>
    <row r="216" spans="1:14" x14ac:dyDescent="0.2">
      <c r="A216" s="94">
        <v>40054</v>
      </c>
      <c r="B216" s="203">
        <v>183</v>
      </c>
      <c r="C216" s="99" t="s">
        <v>139</v>
      </c>
      <c r="D216" s="99"/>
      <c r="E216" s="99">
        <v>11</v>
      </c>
      <c r="F216" s="140">
        <v>26920.76</v>
      </c>
      <c r="G216" s="147">
        <f>F216*1.9</f>
        <v>51149.443999999996</v>
      </c>
      <c r="H216" s="82" t="s">
        <v>113</v>
      </c>
      <c r="I216" s="127"/>
      <c r="J216" s="128">
        <v>40040</v>
      </c>
      <c r="K216" s="99" t="s">
        <v>277</v>
      </c>
      <c r="L216" s="128">
        <v>40132</v>
      </c>
      <c r="N216" s="66"/>
    </row>
    <row r="217" spans="1:14" x14ac:dyDescent="0.2">
      <c r="A217" s="202">
        <v>40053</v>
      </c>
      <c r="B217" s="193">
        <v>184</v>
      </c>
      <c r="C217" s="193" t="s">
        <v>288</v>
      </c>
      <c r="D217" s="93"/>
      <c r="E217" s="8">
        <v>3</v>
      </c>
      <c r="F217" s="158">
        <v>2331.8000000000002</v>
      </c>
      <c r="G217" s="147">
        <f>F217*1.9</f>
        <v>4430.42</v>
      </c>
      <c r="H217" s="82" t="s">
        <v>113</v>
      </c>
      <c r="I217" s="6"/>
      <c r="J217" s="53">
        <v>40035</v>
      </c>
      <c r="K217" s="99" t="s">
        <v>277</v>
      </c>
      <c r="L217" s="53">
        <v>40127</v>
      </c>
      <c r="N217" s="6"/>
    </row>
    <row r="218" spans="1:14" x14ac:dyDescent="0.2">
      <c r="A218" s="202">
        <v>40164</v>
      </c>
      <c r="B218" s="8">
        <v>203</v>
      </c>
      <c r="C218" s="193" t="s">
        <v>301</v>
      </c>
      <c r="D218" s="93"/>
      <c r="E218" s="8">
        <v>1</v>
      </c>
      <c r="F218" s="158">
        <v>6200.5</v>
      </c>
      <c r="G218" s="147">
        <f t="shared" ref="G218:G223" si="7">F218*1.93</f>
        <v>11966.965</v>
      </c>
      <c r="H218" s="6" t="s">
        <v>72</v>
      </c>
      <c r="I218" s="6"/>
      <c r="J218" s="53">
        <v>40154</v>
      </c>
      <c r="K218" s="96" t="s">
        <v>303</v>
      </c>
      <c r="L218" s="53">
        <v>40169</v>
      </c>
      <c r="N218" s="6"/>
    </row>
    <row r="219" spans="1:14" x14ac:dyDescent="0.2">
      <c r="A219" s="202">
        <v>40103</v>
      </c>
      <c r="B219" s="99">
        <v>193</v>
      </c>
      <c r="C219" s="99" t="s">
        <v>50</v>
      </c>
      <c r="D219" s="99"/>
      <c r="E219" s="99">
        <v>6</v>
      </c>
      <c r="F219" s="140">
        <v>3520.8</v>
      </c>
      <c r="G219" s="140">
        <f t="shared" si="7"/>
        <v>6795.1440000000002</v>
      </c>
      <c r="H219" s="82" t="s">
        <v>113</v>
      </c>
      <c r="I219" s="127"/>
      <c r="J219" s="128">
        <v>40087</v>
      </c>
      <c r="K219" s="99" t="s">
        <v>277</v>
      </c>
      <c r="L219" s="146">
        <v>40178</v>
      </c>
      <c r="N219" s="66"/>
    </row>
    <row r="220" spans="1:14" x14ac:dyDescent="0.2">
      <c r="A220" s="202">
        <v>40094</v>
      </c>
      <c r="B220" s="93">
        <v>191</v>
      </c>
      <c r="C220" s="193" t="s">
        <v>284</v>
      </c>
      <c r="D220" s="93"/>
      <c r="E220" s="8">
        <v>1</v>
      </c>
      <c r="F220" s="200">
        <v>6217.1</v>
      </c>
      <c r="G220" s="140">
        <f t="shared" si="7"/>
        <v>11999.003000000001</v>
      </c>
      <c r="H220" s="206" t="s">
        <v>113</v>
      </c>
      <c r="I220" s="6"/>
      <c r="J220" s="53">
        <v>40080</v>
      </c>
      <c r="K220" s="118" t="s">
        <v>277</v>
      </c>
      <c r="L220" s="53">
        <v>40172</v>
      </c>
      <c r="N220" s="6"/>
    </row>
    <row r="221" spans="1:14" x14ac:dyDescent="0.2">
      <c r="A221" s="94">
        <v>40142</v>
      </c>
      <c r="B221" s="93">
        <v>200</v>
      </c>
      <c r="C221" s="93" t="s">
        <v>290</v>
      </c>
      <c r="D221" s="93" t="s">
        <v>300</v>
      </c>
      <c r="E221" s="93">
        <v>2</v>
      </c>
      <c r="F221" s="147">
        <v>5000</v>
      </c>
      <c r="G221" s="140">
        <f t="shared" si="7"/>
        <v>9650</v>
      </c>
      <c r="H221" s="82" t="s">
        <v>113</v>
      </c>
      <c r="I221" s="6"/>
      <c r="J221" s="86"/>
      <c r="K221" s="93" t="s">
        <v>278</v>
      </c>
      <c r="L221" s="60">
        <v>40189</v>
      </c>
      <c r="M221" s="93"/>
      <c r="N221" s="6"/>
    </row>
    <row r="222" spans="1:14" x14ac:dyDescent="0.2">
      <c r="A222" s="94">
        <v>40137</v>
      </c>
      <c r="B222" s="93">
        <v>198</v>
      </c>
      <c r="C222" s="96" t="s">
        <v>298</v>
      </c>
      <c r="D222" s="93"/>
      <c r="E222" s="8">
        <v>1</v>
      </c>
      <c r="F222" s="158">
        <v>6313.5</v>
      </c>
      <c r="G222" s="140">
        <f t="shared" si="7"/>
        <v>12185.055</v>
      </c>
      <c r="H222" s="82" t="s">
        <v>113</v>
      </c>
      <c r="I222" s="6"/>
      <c r="J222" s="53"/>
      <c r="K222" s="93" t="s">
        <v>278</v>
      </c>
      <c r="L222" s="53">
        <v>40188</v>
      </c>
      <c r="N222" s="6"/>
    </row>
    <row r="223" spans="1:14" ht="12" customHeight="1" x14ac:dyDescent="0.2">
      <c r="A223" s="94">
        <v>40130</v>
      </c>
      <c r="B223" s="93">
        <v>197</v>
      </c>
      <c r="C223" s="96" t="s">
        <v>145</v>
      </c>
      <c r="D223" s="93"/>
      <c r="E223" s="8">
        <v>8</v>
      </c>
      <c r="F223" s="158">
        <v>16962.7</v>
      </c>
      <c r="G223" s="140">
        <f t="shared" si="7"/>
        <v>32738.010999999999</v>
      </c>
      <c r="H223" s="82" t="s">
        <v>113</v>
      </c>
      <c r="I223" s="6"/>
      <c r="J223" s="53">
        <v>40115</v>
      </c>
      <c r="K223" s="99" t="s">
        <v>277</v>
      </c>
      <c r="L223" s="53">
        <v>40207</v>
      </c>
      <c r="N223" s="6"/>
    </row>
    <row r="224" spans="1:14" x14ac:dyDescent="0.2">
      <c r="A224" s="94">
        <v>40141</v>
      </c>
      <c r="B224" s="93">
        <v>199</v>
      </c>
      <c r="C224" s="96" t="s">
        <v>177</v>
      </c>
      <c r="D224" s="93"/>
      <c r="E224" s="8">
        <v>3</v>
      </c>
      <c r="F224" s="158">
        <v>7737.56</v>
      </c>
      <c r="G224" s="140">
        <f>F224*1.93</f>
        <v>14933.4908</v>
      </c>
      <c r="H224" s="82" t="s">
        <v>113</v>
      </c>
      <c r="I224" s="6"/>
      <c r="J224" s="53">
        <v>40124</v>
      </c>
      <c r="K224" s="99" t="s">
        <v>277</v>
      </c>
      <c r="L224" s="53">
        <v>40216</v>
      </c>
      <c r="N224" s="6"/>
    </row>
    <row r="225" spans="1:14" x14ac:dyDescent="0.2">
      <c r="A225" s="94">
        <v>40170</v>
      </c>
      <c r="B225" s="99">
        <v>205</v>
      </c>
      <c r="C225" s="99" t="s">
        <v>295</v>
      </c>
      <c r="D225" s="99"/>
      <c r="E225" s="99">
        <v>1</v>
      </c>
      <c r="F225" s="140">
        <v>12283.12</v>
      </c>
      <c r="G225" s="147">
        <f>F225*1.93</f>
        <v>23706.421600000001</v>
      </c>
      <c r="H225" s="82" t="s">
        <v>113</v>
      </c>
      <c r="I225" s="127"/>
      <c r="J225" s="128">
        <v>40524</v>
      </c>
      <c r="K225" s="93" t="s">
        <v>278</v>
      </c>
      <c r="L225" s="128">
        <v>40221</v>
      </c>
      <c r="N225" s="66"/>
    </row>
    <row r="226" spans="1:14" x14ac:dyDescent="0.2">
      <c r="A226" s="94">
        <v>40015</v>
      </c>
      <c r="B226" s="93">
        <v>170</v>
      </c>
      <c r="C226" s="96" t="s">
        <v>166</v>
      </c>
      <c r="D226" s="93"/>
      <c r="E226" s="8">
        <v>12</v>
      </c>
      <c r="F226" s="158">
        <v>67767.899999999994</v>
      </c>
      <c r="G226" s="140">
        <f>F226*1.93</f>
        <v>130792.04699999999</v>
      </c>
      <c r="H226" s="82" t="s">
        <v>113</v>
      </c>
      <c r="I226" s="6"/>
      <c r="J226" s="53"/>
      <c r="K226" s="18" t="s">
        <v>277</v>
      </c>
      <c r="L226" s="53">
        <v>40178</v>
      </c>
      <c r="N226" s="6"/>
    </row>
    <row r="227" spans="1:14" x14ac:dyDescent="0.2">
      <c r="A227" s="94">
        <v>40119</v>
      </c>
      <c r="B227" s="93">
        <v>196</v>
      </c>
      <c r="C227" s="96" t="s">
        <v>166</v>
      </c>
      <c r="D227" s="93"/>
      <c r="E227" s="8">
        <v>13</v>
      </c>
      <c r="F227" s="158">
        <v>65105.5</v>
      </c>
      <c r="G227" s="140">
        <f>F227*1.93</f>
        <v>125653.61499999999</v>
      </c>
      <c r="H227" s="82" t="s">
        <v>113</v>
      </c>
      <c r="I227" s="6"/>
      <c r="J227" s="53"/>
      <c r="K227" s="99" t="s">
        <v>272</v>
      </c>
      <c r="L227" s="53">
        <v>40178</v>
      </c>
      <c r="N227" s="6"/>
    </row>
    <row r="228" spans="1:14" x14ac:dyDescent="0.2">
      <c r="A228" s="94">
        <v>40149</v>
      </c>
      <c r="B228" s="99">
        <v>201</v>
      </c>
      <c r="C228" s="99" t="s">
        <v>192</v>
      </c>
      <c r="D228" s="99"/>
      <c r="E228" s="99">
        <v>6</v>
      </c>
      <c r="F228" s="140">
        <v>8154.76</v>
      </c>
      <c r="G228" s="140">
        <f>F228*1.93</f>
        <v>15738.686799999999</v>
      </c>
      <c r="H228" s="82" t="s">
        <v>113</v>
      </c>
      <c r="I228" s="127"/>
      <c r="J228" s="128">
        <v>40131</v>
      </c>
      <c r="K228" s="99" t="s">
        <v>277</v>
      </c>
      <c r="L228" s="146">
        <v>40223</v>
      </c>
      <c r="N228" s="66"/>
    </row>
    <row r="229" spans="1:14" x14ac:dyDescent="0.2">
      <c r="A229" s="94">
        <v>40158</v>
      </c>
      <c r="B229" s="93">
        <v>202</v>
      </c>
      <c r="C229" s="96" t="s">
        <v>212</v>
      </c>
      <c r="D229" s="93"/>
      <c r="E229" s="8">
        <v>6</v>
      </c>
      <c r="F229" s="158">
        <v>7060.6</v>
      </c>
      <c r="G229" s="147">
        <f>F229*1.92</f>
        <v>13556.352000000001</v>
      </c>
      <c r="H229" s="82" t="s">
        <v>113</v>
      </c>
      <c r="I229" s="6"/>
      <c r="J229" s="53">
        <v>40145</v>
      </c>
      <c r="K229" s="99" t="s">
        <v>277</v>
      </c>
      <c r="L229" s="53">
        <v>40237</v>
      </c>
      <c r="N229" s="6"/>
    </row>
    <row r="230" spans="1:14" x14ac:dyDescent="0.2">
      <c r="A230" s="94">
        <v>39886</v>
      </c>
      <c r="B230" s="99">
        <v>135</v>
      </c>
      <c r="C230" s="93" t="s">
        <v>230</v>
      </c>
      <c r="D230" s="99" t="s">
        <v>88</v>
      </c>
      <c r="E230" s="99">
        <v>1</v>
      </c>
      <c r="F230" s="140">
        <v>6726.09</v>
      </c>
      <c r="G230" s="140">
        <f>F230*1.93</f>
        <v>12981.3537</v>
      </c>
      <c r="H230" s="81" t="s">
        <v>72</v>
      </c>
      <c r="I230" s="81"/>
      <c r="J230" s="146">
        <v>39870</v>
      </c>
      <c r="K230" s="99" t="s">
        <v>228</v>
      </c>
      <c r="L230" s="180">
        <v>40020</v>
      </c>
      <c r="M230" s="93"/>
      <c r="N230" s="66"/>
    </row>
    <row r="231" spans="1:14" x14ac:dyDescent="0.2">
      <c r="A231" s="94">
        <v>40168</v>
      </c>
      <c r="B231" s="8">
        <v>204</v>
      </c>
      <c r="C231" s="96" t="s">
        <v>247</v>
      </c>
      <c r="D231" s="93"/>
      <c r="E231" s="8">
        <v>3</v>
      </c>
      <c r="F231" s="158">
        <v>3009</v>
      </c>
      <c r="G231" s="147">
        <f>F231*1.93</f>
        <v>5807.37</v>
      </c>
      <c r="H231" s="82" t="s">
        <v>113</v>
      </c>
      <c r="I231" s="6"/>
      <c r="J231" s="53">
        <v>40522</v>
      </c>
      <c r="K231" s="99" t="s">
        <v>277</v>
      </c>
      <c r="L231" s="53">
        <v>40247</v>
      </c>
      <c r="N231" s="6"/>
    </row>
    <row r="232" spans="1:14" x14ac:dyDescent="0.2">
      <c r="A232" s="94"/>
      <c r="B232" s="8"/>
      <c r="C232" s="96"/>
      <c r="D232" s="93"/>
      <c r="E232" s="8"/>
      <c r="F232" s="158"/>
      <c r="G232" s="147"/>
      <c r="H232" s="82"/>
      <c r="I232" s="6"/>
      <c r="J232" s="53"/>
      <c r="K232" s="93"/>
      <c r="L232" s="53"/>
      <c r="N232" s="6"/>
    </row>
    <row r="233" spans="1:14" x14ac:dyDescent="0.2">
      <c r="A233" s="94"/>
      <c r="B233" s="93"/>
      <c r="C233" s="96"/>
      <c r="D233" s="93"/>
      <c r="E233" s="8"/>
      <c r="F233" s="158"/>
      <c r="G233" s="147"/>
      <c r="H233" s="82"/>
      <c r="I233" s="6"/>
      <c r="J233" s="53"/>
      <c r="K233" s="93"/>
      <c r="L233" s="53"/>
      <c r="N233" s="6"/>
    </row>
    <row r="234" spans="1:14" ht="15.75" x14ac:dyDescent="0.25">
      <c r="A234" s="94"/>
      <c r="B234" s="93"/>
      <c r="C234" s="714" t="s">
        <v>328</v>
      </c>
      <c r="D234" s="93"/>
      <c r="E234" s="8"/>
      <c r="F234" s="158"/>
      <c r="G234" s="147">
        <f>SUM(G147:G231)</f>
        <v>1966069.1682849997</v>
      </c>
      <c r="H234" s="82"/>
      <c r="I234" s="6"/>
      <c r="J234" s="53"/>
      <c r="K234" s="93"/>
      <c r="L234" s="53"/>
      <c r="N234" s="6"/>
    </row>
    <row r="235" spans="1:14" x14ac:dyDescent="0.2">
      <c r="A235" s="94"/>
      <c r="B235" s="93"/>
      <c r="C235" s="96"/>
      <c r="D235" s="93"/>
      <c r="E235" s="8"/>
      <c r="F235" s="158"/>
      <c r="G235" s="147"/>
      <c r="H235" s="82"/>
      <c r="I235" s="6"/>
      <c r="J235" s="53"/>
      <c r="K235" s="93"/>
      <c r="L235" s="53"/>
      <c r="N235" s="6"/>
    </row>
    <row r="236" spans="1:14" x14ac:dyDescent="0.2">
      <c r="A236" s="94"/>
      <c r="B236" s="93"/>
      <c r="C236" s="96"/>
      <c r="D236" s="93"/>
      <c r="E236" s="8"/>
      <c r="F236" s="158"/>
      <c r="G236" s="147"/>
      <c r="H236" s="82"/>
      <c r="I236" s="6"/>
      <c r="J236" s="53"/>
      <c r="K236" s="93"/>
      <c r="L236" s="53"/>
      <c r="N236" s="6"/>
    </row>
    <row r="237" spans="1:14" x14ac:dyDescent="0.2">
      <c r="A237" s="94">
        <v>40241</v>
      </c>
      <c r="B237" s="8">
        <v>212</v>
      </c>
      <c r="C237" s="96" t="s">
        <v>311</v>
      </c>
      <c r="D237" s="93" t="s">
        <v>273</v>
      </c>
      <c r="E237" s="8">
        <v>2</v>
      </c>
      <c r="F237" s="158">
        <v>21846</v>
      </c>
      <c r="G237" s="182">
        <f>F237*1.3</f>
        <v>28399.8</v>
      </c>
      <c r="H237" s="83" t="s">
        <v>70</v>
      </c>
      <c r="I237" s="6"/>
      <c r="J237" s="53"/>
      <c r="K237" s="93" t="s">
        <v>167</v>
      </c>
      <c r="L237" s="211"/>
      <c r="N237" s="6"/>
    </row>
    <row r="238" spans="1:14" x14ac:dyDescent="0.2">
      <c r="A238" s="94">
        <v>40252</v>
      </c>
      <c r="B238" s="8">
        <v>215</v>
      </c>
      <c r="C238" s="96" t="s">
        <v>312</v>
      </c>
      <c r="D238" s="93" t="s">
        <v>313</v>
      </c>
      <c r="E238" s="8">
        <v>1</v>
      </c>
      <c r="F238" s="158">
        <v>19325</v>
      </c>
      <c r="G238" s="182">
        <f>F238*1.3</f>
        <v>25122.5</v>
      </c>
      <c r="H238" s="83" t="s">
        <v>70</v>
      </c>
      <c r="I238" s="6"/>
      <c r="J238" s="53"/>
      <c r="K238" s="93" t="s">
        <v>167</v>
      </c>
      <c r="L238" s="211" t="s">
        <v>325</v>
      </c>
      <c r="N238" s="6"/>
    </row>
    <row r="239" spans="1:14" x14ac:dyDescent="0.2">
      <c r="A239" s="94">
        <v>40204</v>
      </c>
      <c r="B239" s="93">
        <v>207</v>
      </c>
      <c r="C239" s="96" t="s">
        <v>304</v>
      </c>
      <c r="D239" s="93" t="s">
        <v>305</v>
      </c>
      <c r="E239" s="8">
        <v>1</v>
      </c>
      <c r="F239" s="158">
        <v>20837.2</v>
      </c>
      <c r="G239" s="147">
        <f>F239*1.93</f>
        <v>40215.796000000002</v>
      </c>
      <c r="H239" s="82" t="s">
        <v>113</v>
      </c>
      <c r="I239" s="6"/>
      <c r="J239" s="53"/>
      <c r="K239" s="93" t="s">
        <v>278</v>
      </c>
      <c r="L239" s="53">
        <v>40229</v>
      </c>
      <c r="N239" s="6"/>
    </row>
    <row r="240" spans="1:14" x14ac:dyDescent="0.2">
      <c r="A240" s="94">
        <v>40207</v>
      </c>
      <c r="B240" s="93">
        <v>209</v>
      </c>
      <c r="C240" s="96" t="s">
        <v>314</v>
      </c>
      <c r="D240" s="93"/>
      <c r="E240" s="8">
        <v>1</v>
      </c>
      <c r="F240" s="158">
        <v>10711.4</v>
      </c>
      <c r="G240" s="147">
        <f>F240*1.93</f>
        <v>20673.002</v>
      </c>
      <c r="H240" s="81" t="s">
        <v>72</v>
      </c>
      <c r="I240" s="6"/>
      <c r="J240" s="53"/>
      <c r="K240" s="93" t="s">
        <v>278</v>
      </c>
      <c r="L240" s="53">
        <v>40268</v>
      </c>
      <c r="N240" s="6"/>
    </row>
    <row r="241" spans="1:29" x14ac:dyDescent="0.2">
      <c r="A241" s="94">
        <v>40266</v>
      </c>
      <c r="B241" s="8">
        <v>223</v>
      </c>
      <c r="C241" s="96" t="s">
        <v>176</v>
      </c>
      <c r="D241" s="93"/>
      <c r="E241" s="8">
        <v>4</v>
      </c>
      <c r="F241" s="210">
        <v>2597.9</v>
      </c>
      <c r="G241" s="147">
        <f>F241*1.9</f>
        <v>4936.01</v>
      </c>
      <c r="H241" s="83" t="s">
        <v>70</v>
      </c>
      <c r="I241" s="6"/>
      <c r="J241" s="53"/>
      <c r="K241" s="93" t="s">
        <v>250</v>
      </c>
      <c r="L241" s="53"/>
      <c r="N241" s="6"/>
    </row>
    <row r="242" spans="1:29" x14ac:dyDescent="0.2">
      <c r="B242" s="8">
        <v>222</v>
      </c>
      <c r="C242" s="96" t="s">
        <v>243</v>
      </c>
      <c r="D242" s="93"/>
      <c r="E242" s="8">
        <v>2</v>
      </c>
      <c r="F242" s="158">
        <v>6849.47</v>
      </c>
      <c r="G242" s="147">
        <f>F242*1.9</f>
        <v>13013.993</v>
      </c>
      <c r="H242" s="82" t="s">
        <v>113</v>
      </c>
      <c r="I242" s="6"/>
      <c r="J242" s="53"/>
      <c r="K242" s="93" t="s">
        <v>250</v>
      </c>
      <c r="L242" s="53"/>
      <c r="N242" s="6"/>
    </row>
    <row r="243" spans="1:29" x14ac:dyDescent="0.2">
      <c r="A243" s="94">
        <v>40241</v>
      </c>
      <c r="B243" s="8">
        <v>213</v>
      </c>
      <c r="C243" s="96" t="s">
        <v>286</v>
      </c>
      <c r="D243" s="93" t="s">
        <v>86</v>
      </c>
      <c r="E243" s="8">
        <v>2</v>
      </c>
      <c r="F243" s="158">
        <v>11383.35</v>
      </c>
      <c r="G243" s="147">
        <f>F243*1.93</f>
        <v>21969.8655</v>
      </c>
      <c r="H243" s="82" t="s">
        <v>113</v>
      </c>
      <c r="I243" s="6"/>
      <c r="J243" s="53"/>
      <c r="K243" s="93" t="s">
        <v>320</v>
      </c>
      <c r="L243" s="53"/>
      <c r="N243" s="6"/>
    </row>
    <row r="244" spans="1:29" x14ac:dyDescent="0.2">
      <c r="A244" s="94">
        <v>40189</v>
      </c>
      <c r="B244" s="99">
        <v>206</v>
      </c>
      <c r="C244" s="99" t="s">
        <v>139</v>
      </c>
      <c r="D244" s="99"/>
      <c r="E244" s="99">
        <v>12</v>
      </c>
      <c r="F244" s="140">
        <v>20068.55</v>
      </c>
      <c r="G244" s="147">
        <f>F244*1.93</f>
        <v>38732.301499999994</v>
      </c>
      <c r="H244" s="81"/>
      <c r="I244" s="127"/>
      <c r="J244" s="146">
        <v>40183</v>
      </c>
      <c r="K244" s="99" t="s">
        <v>277</v>
      </c>
      <c r="L244" s="146">
        <v>40273</v>
      </c>
      <c r="N244" s="66"/>
    </row>
    <row r="245" spans="1:29" x14ac:dyDescent="0.2">
      <c r="A245" s="94">
        <v>40282</v>
      </c>
      <c r="B245" s="93">
        <v>231</v>
      </c>
      <c r="C245" s="96" t="s">
        <v>193</v>
      </c>
      <c r="D245" s="93" t="s">
        <v>86</v>
      </c>
      <c r="E245" s="8">
        <v>7</v>
      </c>
      <c r="F245" s="158">
        <v>7900</v>
      </c>
      <c r="G245" s="147">
        <f>F245*1.93</f>
        <v>15247</v>
      </c>
      <c r="H245" s="81" t="s">
        <v>72</v>
      </c>
      <c r="I245" s="6"/>
      <c r="J245" s="53"/>
      <c r="K245" s="93" t="s">
        <v>283</v>
      </c>
      <c r="L245" s="53"/>
      <c r="N245" s="6"/>
    </row>
    <row r="246" spans="1:29" x14ac:dyDescent="0.2">
      <c r="A246" s="94">
        <v>40252</v>
      </c>
      <c r="B246" s="93">
        <v>218</v>
      </c>
      <c r="C246" s="96" t="s">
        <v>49</v>
      </c>
      <c r="D246" s="93" t="s">
        <v>333</v>
      </c>
      <c r="E246" s="8" t="s">
        <v>326</v>
      </c>
      <c r="F246" s="158"/>
      <c r="G246" s="182"/>
      <c r="H246" s="82" t="s">
        <v>113</v>
      </c>
      <c r="I246" s="6"/>
      <c r="J246" s="53"/>
      <c r="K246" s="93"/>
      <c r="L246" s="211"/>
      <c r="N246" s="6"/>
    </row>
    <row r="247" spans="1:29" x14ac:dyDescent="0.2">
      <c r="A247" s="94">
        <v>40275</v>
      </c>
      <c r="B247" s="93">
        <v>226</v>
      </c>
      <c r="C247" s="96" t="s">
        <v>323</v>
      </c>
      <c r="D247" s="93"/>
      <c r="E247" s="8">
        <v>5</v>
      </c>
      <c r="F247" s="158">
        <v>2685</v>
      </c>
      <c r="G247" s="147">
        <f>F247*1.93</f>
        <v>5182.05</v>
      </c>
      <c r="H247" s="83" t="s">
        <v>70</v>
      </c>
      <c r="I247" s="6"/>
      <c r="J247" s="53"/>
      <c r="K247" s="93" t="s">
        <v>250</v>
      </c>
      <c r="L247" s="53"/>
      <c r="N247" s="6"/>
    </row>
    <row r="248" spans="1:29" x14ac:dyDescent="0.2">
      <c r="A248" s="94">
        <v>40205</v>
      </c>
      <c r="B248" s="93">
        <v>208</v>
      </c>
      <c r="C248" s="96" t="s">
        <v>198</v>
      </c>
      <c r="D248" s="93" t="s">
        <v>86</v>
      </c>
      <c r="E248" s="8">
        <v>5</v>
      </c>
      <c r="F248" s="158">
        <v>6000</v>
      </c>
      <c r="G248" s="147">
        <f>F248*1.93</f>
        <v>11580</v>
      </c>
      <c r="H248" s="82" t="s">
        <v>113</v>
      </c>
      <c r="I248" s="6"/>
      <c r="J248" s="53">
        <v>40197</v>
      </c>
      <c r="K248" s="93" t="s">
        <v>277</v>
      </c>
      <c r="L248" s="53">
        <v>40288</v>
      </c>
      <c r="N248" s="6"/>
    </row>
    <row r="249" spans="1:29" x14ac:dyDescent="0.2">
      <c r="A249" s="94">
        <v>40213</v>
      </c>
      <c r="B249" s="93">
        <v>211</v>
      </c>
      <c r="C249" s="96" t="s">
        <v>166</v>
      </c>
      <c r="D249" s="93"/>
      <c r="E249" s="8">
        <v>14</v>
      </c>
      <c r="F249" s="158">
        <v>63797.3</v>
      </c>
      <c r="G249" s="147">
        <f>F249*1.93</f>
        <v>123128.789</v>
      </c>
      <c r="H249" s="81" t="s">
        <v>72</v>
      </c>
      <c r="I249" s="6"/>
      <c r="J249" s="53"/>
      <c r="K249" s="99" t="s">
        <v>272</v>
      </c>
      <c r="L249" s="53"/>
      <c r="N249" s="6"/>
    </row>
    <row r="250" spans="1:29" x14ac:dyDescent="0.2">
      <c r="A250" s="94">
        <v>40305</v>
      </c>
      <c r="B250" s="8">
        <v>242</v>
      </c>
      <c r="C250" s="96" t="s">
        <v>306</v>
      </c>
      <c r="D250" s="93" t="s">
        <v>310</v>
      </c>
      <c r="E250" s="8">
        <v>1</v>
      </c>
      <c r="F250" s="158">
        <v>23216.37</v>
      </c>
      <c r="G250" s="147">
        <f>F250*1.4</f>
        <v>32502.917999999998</v>
      </c>
      <c r="H250" s="81" t="s">
        <v>72</v>
      </c>
      <c r="I250" s="6"/>
      <c r="J250" s="53"/>
      <c r="K250" s="93" t="s">
        <v>167</v>
      </c>
      <c r="L250" s="53"/>
      <c r="N250" s="6"/>
    </row>
    <row r="251" spans="1:29" x14ac:dyDescent="0.2">
      <c r="A251" s="94">
        <v>40305</v>
      </c>
      <c r="B251" s="8">
        <v>243</v>
      </c>
      <c r="C251" s="96" t="s">
        <v>308</v>
      </c>
      <c r="D251" s="93" t="s">
        <v>309</v>
      </c>
      <c r="E251" s="8">
        <v>1</v>
      </c>
      <c r="F251" s="158">
        <v>25583.73</v>
      </c>
      <c r="G251" s="147">
        <f>F251*1.9</f>
        <v>48609.087</v>
      </c>
      <c r="H251" s="81" t="s">
        <v>72</v>
      </c>
      <c r="I251" s="6"/>
      <c r="J251" s="53"/>
      <c r="K251" s="93" t="s">
        <v>167</v>
      </c>
      <c r="L251" s="53"/>
      <c r="N251" s="6"/>
      <c r="O251" s="63">
        <v>600</v>
      </c>
      <c r="P251" s="63">
        <v>1.3</v>
      </c>
      <c r="Q251" s="63">
        <f>O251*P251</f>
        <v>780</v>
      </c>
      <c r="S251" s="63">
        <v>300</v>
      </c>
      <c r="T251" s="63">
        <v>1.3</v>
      </c>
      <c r="U251" s="63">
        <f>S251*T251</f>
        <v>390</v>
      </c>
      <c r="W251" s="63">
        <v>300</v>
      </c>
      <c r="X251" s="63">
        <v>1.3</v>
      </c>
      <c r="Y251" s="63">
        <f>W251*X251</f>
        <v>390</v>
      </c>
      <c r="AA251" s="63"/>
      <c r="AB251" s="63">
        <v>1.3</v>
      </c>
      <c r="AC251" s="63">
        <f>AA251*AB251</f>
        <v>0</v>
      </c>
    </row>
    <row r="252" spans="1:29" x14ac:dyDescent="0.2">
      <c r="A252" s="94">
        <v>40255</v>
      </c>
      <c r="B252" s="93">
        <v>220</v>
      </c>
      <c r="C252" s="96" t="s">
        <v>192</v>
      </c>
      <c r="D252" s="93" t="s">
        <v>86</v>
      </c>
      <c r="E252" s="8">
        <v>7</v>
      </c>
      <c r="F252" s="158">
        <v>12883.44</v>
      </c>
      <c r="G252" s="147">
        <f>F252*1.9</f>
        <v>24478.536</v>
      </c>
      <c r="H252" s="82" t="s">
        <v>113</v>
      </c>
      <c r="I252" s="6"/>
      <c r="J252" s="53"/>
      <c r="K252" s="93" t="s">
        <v>277</v>
      </c>
      <c r="L252" s="53">
        <v>40318</v>
      </c>
      <c r="N252" s="6"/>
    </row>
    <row r="253" spans="1:29" x14ac:dyDescent="0.2">
      <c r="A253" s="94">
        <v>40275</v>
      </c>
      <c r="B253" s="93">
        <v>225</v>
      </c>
      <c r="C253" s="96" t="s">
        <v>223</v>
      </c>
      <c r="D253" s="93"/>
      <c r="E253" s="8">
        <v>2</v>
      </c>
      <c r="F253" s="158">
        <v>13121</v>
      </c>
      <c r="G253" s="147">
        <f>F253*1.9</f>
        <v>24929.899999999998</v>
      </c>
      <c r="H253" s="82" t="s">
        <v>113</v>
      </c>
      <c r="I253" s="6"/>
      <c r="J253" s="53">
        <v>40261</v>
      </c>
      <c r="K253" s="93" t="s">
        <v>336</v>
      </c>
      <c r="L253" s="53">
        <v>40322</v>
      </c>
      <c r="N253" s="6"/>
    </row>
    <row r="254" spans="1:29" x14ac:dyDescent="0.2">
      <c r="A254" s="202">
        <v>40212</v>
      </c>
      <c r="B254" s="93">
        <v>210</v>
      </c>
      <c r="C254" s="99" t="s">
        <v>139</v>
      </c>
      <c r="D254" s="93"/>
      <c r="E254" s="8">
        <v>13</v>
      </c>
      <c r="F254" s="158">
        <v>14368.59</v>
      </c>
      <c r="G254" s="147">
        <f>F254*1.93</f>
        <v>27731.378700000001</v>
      </c>
      <c r="H254" s="6"/>
      <c r="I254" s="6"/>
      <c r="J254" s="53"/>
      <c r="K254" s="93" t="s">
        <v>277</v>
      </c>
      <c r="L254" s="53">
        <v>40298</v>
      </c>
      <c r="N254" s="6"/>
    </row>
    <row r="255" spans="1:29" ht="13.5" customHeight="1" x14ac:dyDescent="0.2">
      <c r="A255" s="94">
        <v>40245</v>
      </c>
      <c r="B255" s="93">
        <v>214</v>
      </c>
      <c r="C255" s="96" t="s">
        <v>307</v>
      </c>
      <c r="D255" s="93" t="s">
        <v>86</v>
      </c>
      <c r="E255" s="8">
        <v>5</v>
      </c>
      <c r="F255" s="158">
        <v>20943</v>
      </c>
      <c r="G255" s="147">
        <f>F255*1.93</f>
        <v>40419.99</v>
      </c>
      <c r="H255" s="82" t="s">
        <v>113</v>
      </c>
      <c r="I255" s="6"/>
      <c r="J255" s="53">
        <v>40226</v>
      </c>
      <c r="K255" s="93" t="s">
        <v>278</v>
      </c>
      <c r="L255" s="53">
        <v>40285</v>
      </c>
      <c r="N255" s="6"/>
    </row>
    <row r="256" spans="1:29" ht="12" customHeight="1" x14ac:dyDescent="0.2">
      <c r="A256" s="94">
        <v>40252</v>
      </c>
      <c r="B256" s="93">
        <v>217</v>
      </c>
      <c r="C256" s="96" t="s">
        <v>212</v>
      </c>
      <c r="D256" s="93"/>
      <c r="E256" s="8">
        <v>7</v>
      </c>
      <c r="F256" s="158">
        <v>5391.6</v>
      </c>
      <c r="G256" s="147">
        <f>F256*1.9</f>
        <v>10244.040000000001</v>
      </c>
      <c r="H256" s="82" t="s">
        <v>113</v>
      </c>
      <c r="I256" s="6"/>
      <c r="J256" s="53"/>
      <c r="K256" s="93" t="s">
        <v>277</v>
      </c>
      <c r="L256" s="53">
        <v>40318</v>
      </c>
      <c r="N256" s="6"/>
    </row>
    <row r="257" spans="1:20" x14ac:dyDescent="0.2">
      <c r="A257" s="94">
        <v>40252</v>
      </c>
      <c r="B257" s="93">
        <v>216</v>
      </c>
      <c r="C257" s="96" t="s">
        <v>49</v>
      </c>
      <c r="D257" s="93"/>
      <c r="E257" s="8">
        <v>7</v>
      </c>
      <c r="F257" s="158">
        <v>17267.05</v>
      </c>
      <c r="G257" s="147">
        <f>F257*1.9</f>
        <v>32807.394999999997</v>
      </c>
      <c r="H257" s="82" t="s">
        <v>113</v>
      </c>
      <c r="I257" s="6"/>
      <c r="J257" s="53"/>
      <c r="K257" s="93" t="s">
        <v>277</v>
      </c>
      <c r="L257" s="53">
        <v>40325</v>
      </c>
      <c r="N257" s="6"/>
      <c r="O257" t="e">
        <f>#REF!/2</f>
        <v>#REF!</v>
      </c>
    </row>
    <row r="258" spans="1:20" x14ac:dyDescent="0.2">
      <c r="A258" s="94">
        <v>40255</v>
      </c>
      <c r="B258" s="93">
        <v>219</v>
      </c>
      <c r="C258" s="96" t="s">
        <v>200</v>
      </c>
      <c r="D258" s="93"/>
      <c r="E258" s="8">
        <v>4</v>
      </c>
      <c r="F258" s="158">
        <v>22590.21</v>
      </c>
      <c r="G258" s="147">
        <f>F258*1.9</f>
        <v>42921.398999999998</v>
      </c>
      <c r="H258" s="82" t="s">
        <v>113</v>
      </c>
      <c r="I258" s="6"/>
      <c r="J258" s="53"/>
      <c r="K258" s="93" t="s">
        <v>277</v>
      </c>
      <c r="L258" s="53">
        <v>40325</v>
      </c>
      <c r="N258" s="6"/>
    </row>
    <row r="259" spans="1:20" x14ac:dyDescent="0.2">
      <c r="A259" s="94">
        <v>40285</v>
      </c>
      <c r="B259" s="93">
        <v>228</v>
      </c>
      <c r="C259" s="96" t="s">
        <v>318</v>
      </c>
      <c r="D259" s="93" t="s">
        <v>87</v>
      </c>
      <c r="E259" s="8">
        <v>1</v>
      </c>
      <c r="F259" s="158">
        <v>11133.76</v>
      </c>
      <c r="G259" s="147">
        <f>F259*1.93</f>
        <v>21488.156800000001</v>
      </c>
      <c r="H259" s="81" t="s">
        <v>72</v>
      </c>
      <c r="I259" s="6"/>
      <c r="J259" s="53">
        <v>40257</v>
      </c>
      <c r="K259" s="93" t="s">
        <v>327</v>
      </c>
      <c r="L259" s="53">
        <v>40318</v>
      </c>
      <c r="N259" s="6"/>
    </row>
    <row r="260" spans="1:20" ht="13.5" customHeight="1" x14ac:dyDescent="0.2">
      <c r="A260" s="94">
        <v>40358</v>
      </c>
      <c r="B260" s="93">
        <v>257</v>
      </c>
      <c r="C260" s="96" t="s">
        <v>176</v>
      </c>
      <c r="D260" s="93"/>
      <c r="E260" s="8">
        <v>5</v>
      </c>
      <c r="F260" s="158">
        <v>2861.08</v>
      </c>
      <c r="G260" s="147">
        <f>F260*1.93</f>
        <v>5521.8843999999999</v>
      </c>
      <c r="H260" s="82"/>
      <c r="I260" s="6"/>
      <c r="J260" s="53"/>
      <c r="K260" s="93" t="s">
        <v>250</v>
      </c>
      <c r="L260" s="53"/>
      <c r="N260" s="6"/>
    </row>
    <row r="261" spans="1:20" x14ac:dyDescent="0.2">
      <c r="B261" s="93">
        <v>221</v>
      </c>
      <c r="C261" s="96" t="s">
        <v>66</v>
      </c>
      <c r="D261" s="93"/>
      <c r="E261" s="8">
        <v>7</v>
      </c>
      <c r="F261" s="158">
        <v>4935</v>
      </c>
      <c r="G261" s="147">
        <f>F261*1.93</f>
        <v>9524.5499999999993</v>
      </c>
      <c r="H261" s="82" t="s">
        <v>113</v>
      </c>
      <c r="I261" s="6"/>
      <c r="J261" s="53">
        <v>40255</v>
      </c>
      <c r="K261" s="93" t="s">
        <v>277</v>
      </c>
      <c r="L261" s="53">
        <v>40347</v>
      </c>
      <c r="N261" s="6"/>
    </row>
    <row r="262" spans="1:20" x14ac:dyDescent="0.2">
      <c r="A262" s="94">
        <v>40296</v>
      </c>
      <c r="B262" s="93">
        <v>238</v>
      </c>
      <c r="C262" s="96" t="s">
        <v>280</v>
      </c>
      <c r="D262" s="93"/>
      <c r="E262" s="8">
        <v>2</v>
      </c>
      <c r="F262" s="158">
        <v>3390.6</v>
      </c>
      <c r="G262" s="147">
        <f>F262*1.9</f>
        <v>6442.1399999999994</v>
      </c>
      <c r="H262" s="82" t="s">
        <v>113</v>
      </c>
      <c r="I262" s="6"/>
      <c r="J262" s="53">
        <v>40284</v>
      </c>
      <c r="K262" s="93" t="s">
        <v>278</v>
      </c>
      <c r="L262" s="53">
        <v>40345</v>
      </c>
      <c r="N262" s="6"/>
      <c r="O262" s="63"/>
      <c r="P262" s="63"/>
      <c r="Q262" s="63"/>
    </row>
    <row r="263" spans="1:20" x14ac:dyDescent="0.2">
      <c r="A263" s="94">
        <v>40315</v>
      </c>
      <c r="B263" s="8">
        <v>246</v>
      </c>
      <c r="C263" s="96" t="s">
        <v>245</v>
      </c>
      <c r="D263" s="93"/>
      <c r="E263" s="8">
        <v>2</v>
      </c>
      <c r="F263" s="158">
        <v>2924</v>
      </c>
      <c r="G263" s="147">
        <f>F263*1.93</f>
        <v>5643.32</v>
      </c>
      <c r="H263" s="82" t="s">
        <v>113</v>
      </c>
      <c r="I263" s="6"/>
      <c r="J263" s="53">
        <v>40289</v>
      </c>
      <c r="K263" s="93" t="s">
        <v>278</v>
      </c>
      <c r="L263" s="53">
        <v>40350</v>
      </c>
      <c r="N263" s="6"/>
    </row>
    <row r="264" spans="1:20" x14ac:dyDescent="0.2">
      <c r="A264" s="94">
        <v>40275</v>
      </c>
      <c r="B264" s="93">
        <v>227</v>
      </c>
      <c r="C264" s="96" t="s">
        <v>166</v>
      </c>
      <c r="D264" s="93"/>
      <c r="E264" s="8">
        <v>16</v>
      </c>
      <c r="F264" s="158">
        <v>43880</v>
      </c>
      <c r="G264" s="147">
        <f>F264*1.93</f>
        <v>84688.4</v>
      </c>
      <c r="H264" s="83" t="s">
        <v>70</v>
      </c>
      <c r="I264" s="6"/>
      <c r="J264" s="53"/>
      <c r="K264" s="93" t="s">
        <v>167</v>
      </c>
      <c r="L264" s="53">
        <v>40359</v>
      </c>
      <c r="N264" s="6"/>
    </row>
    <row r="265" spans="1:20" x14ac:dyDescent="0.2">
      <c r="A265" s="94">
        <v>40285</v>
      </c>
      <c r="B265" s="93">
        <v>233</v>
      </c>
      <c r="C265" s="96" t="s">
        <v>319</v>
      </c>
      <c r="D265" s="93"/>
      <c r="E265" s="8">
        <v>2</v>
      </c>
      <c r="F265" s="158">
        <v>6022.6</v>
      </c>
      <c r="G265" s="147">
        <f>F265*1.93</f>
        <v>11623.618</v>
      </c>
      <c r="H265" s="81" t="s">
        <v>72</v>
      </c>
      <c r="I265" s="6"/>
      <c r="J265" s="53">
        <v>40249</v>
      </c>
      <c r="K265" s="93" t="s">
        <v>277</v>
      </c>
      <c r="L265" s="53">
        <v>40341</v>
      </c>
      <c r="N265" s="6"/>
    </row>
    <row r="266" spans="1:20" x14ac:dyDescent="0.2">
      <c r="A266" s="94">
        <v>40281</v>
      </c>
      <c r="B266" s="93">
        <v>229</v>
      </c>
      <c r="C266" s="96" t="s">
        <v>316</v>
      </c>
      <c r="D266" s="93"/>
      <c r="E266" s="8">
        <v>15</v>
      </c>
      <c r="F266" s="158">
        <v>62020</v>
      </c>
      <c r="G266" s="147">
        <f>F266*1.93</f>
        <v>119698.59999999999</v>
      </c>
      <c r="H266" s="82" t="s">
        <v>113</v>
      </c>
      <c r="I266" s="6"/>
      <c r="J266" s="53"/>
      <c r="K266" s="93" t="s">
        <v>167</v>
      </c>
      <c r="L266" s="53">
        <v>40359</v>
      </c>
      <c r="N266" s="6"/>
    </row>
    <row r="267" spans="1:20" x14ac:dyDescent="0.2">
      <c r="B267" s="93">
        <v>255</v>
      </c>
      <c r="C267" s="96" t="s">
        <v>166</v>
      </c>
      <c r="D267" s="93"/>
      <c r="E267" s="8">
        <v>17</v>
      </c>
      <c r="F267" s="158">
        <v>38595.199999999997</v>
      </c>
      <c r="G267" s="147">
        <f>F267*1.9</f>
        <v>73330.87999999999</v>
      </c>
      <c r="H267" s="83" t="s">
        <v>70</v>
      </c>
      <c r="I267" s="6"/>
      <c r="J267" s="53"/>
      <c r="K267" s="93" t="s">
        <v>250</v>
      </c>
      <c r="L267" s="53"/>
      <c r="N267" s="6"/>
    </row>
    <row r="268" spans="1:20" x14ac:dyDescent="0.2">
      <c r="B268" s="93"/>
      <c r="C268" s="96"/>
      <c r="D268" s="93"/>
      <c r="E268" s="8"/>
      <c r="F268" s="158"/>
      <c r="G268" s="147"/>
      <c r="H268" s="8"/>
      <c r="I268" s="6"/>
      <c r="J268" s="53"/>
      <c r="K268" s="93"/>
      <c r="L268" s="53"/>
      <c r="N268" s="6"/>
    </row>
    <row r="269" spans="1:20" x14ac:dyDescent="0.2">
      <c r="A269" s="94">
        <v>40295</v>
      </c>
      <c r="B269" s="93">
        <v>236</v>
      </c>
      <c r="C269" s="96" t="s">
        <v>145</v>
      </c>
      <c r="D269" s="93"/>
      <c r="E269" s="8">
        <v>9</v>
      </c>
      <c r="F269" s="209">
        <v>28395.599999999999</v>
      </c>
      <c r="G269" s="147">
        <f>F269*1.87</f>
        <v>53099.771999999997</v>
      </c>
      <c r="H269" s="82" t="s">
        <v>113</v>
      </c>
      <c r="I269" s="6"/>
      <c r="J269" s="53">
        <v>40278</v>
      </c>
      <c r="K269" s="93" t="s">
        <v>277</v>
      </c>
      <c r="L269" s="53">
        <v>40369</v>
      </c>
      <c r="N269" s="6"/>
      <c r="O269" s="63"/>
      <c r="P269" s="63"/>
      <c r="Q269" s="63"/>
      <c r="T269" s="49">
        <f>U267+Y267+AC267</f>
        <v>0</v>
      </c>
    </row>
    <row r="270" spans="1:20" x14ac:dyDescent="0.2">
      <c r="A270" s="94">
        <v>40301</v>
      </c>
      <c r="B270" s="93">
        <v>240</v>
      </c>
      <c r="C270" s="96" t="s">
        <v>139</v>
      </c>
      <c r="D270" s="93"/>
      <c r="E270" s="8">
        <v>14</v>
      </c>
      <c r="F270" s="158">
        <v>12352.82</v>
      </c>
      <c r="G270" s="147">
        <f>F270*1.87</f>
        <v>23099.773400000002</v>
      </c>
      <c r="H270" s="82" t="s">
        <v>113</v>
      </c>
      <c r="I270" s="6"/>
      <c r="J270" s="53">
        <v>40285</v>
      </c>
      <c r="K270" s="93" t="s">
        <v>277</v>
      </c>
      <c r="L270" s="53">
        <v>40376</v>
      </c>
      <c r="N270" s="6"/>
    </row>
    <row r="271" spans="1:20" x14ac:dyDescent="0.2">
      <c r="A271" s="94">
        <v>40310</v>
      </c>
      <c r="B271" s="93">
        <v>244</v>
      </c>
      <c r="C271" s="96" t="s">
        <v>192</v>
      </c>
      <c r="D271" s="93"/>
      <c r="E271" s="8">
        <v>8</v>
      </c>
      <c r="F271" s="158">
        <v>11097.51</v>
      </c>
      <c r="G271" s="147">
        <f>F271*1.87</f>
        <v>20752.343700000001</v>
      </c>
      <c r="H271" s="82" t="s">
        <v>113</v>
      </c>
      <c r="I271" s="6"/>
      <c r="J271" s="53">
        <v>40292</v>
      </c>
      <c r="K271" s="93" t="s">
        <v>277</v>
      </c>
      <c r="L271" s="53">
        <v>40383</v>
      </c>
      <c r="N271" s="6"/>
    </row>
    <row r="272" spans="1:20" x14ac:dyDescent="0.2">
      <c r="A272" s="94">
        <v>40284</v>
      </c>
      <c r="B272" s="93">
        <v>232</v>
      </c>
      <c r="C272" s="96" t="s">
        <v>172</v>
      </c>
      <c r="D272" s="93"/>
      <c r="E272" s="8">
        <v>6</v>
      </c>
      <c r="F272" s="209">
        <v>13751.77</v>
      </c>
      <c r="G272" s="147">
        <f>F272*1.87</f>
        <v>25715.809900000004</v>
      </c>
      <c r="H272" s="82" t="s">
        <v>113</v>
      </c>
      <c r="I272" s="6"/>
      <c r="J272" s="53">
        <v>40271</v>
      </c>
      <c r="K272" s="93" t="s">
        <v>277</v>
      </c>
      <c r="L272" s="53">
        <v>40362</v>
      </c>
      <c r="N272" s="6"/>
    </row>
    <row r="273" spans="1:29" x14ac:dyDescent="0.2">
      <c r="A273" s="94">
        <v>40320</v>
      </c>
      <c r="B273" s="93">
        <v>248</v>
      </c>
      <c r="C273" s="96" t="s">
        <v>177</v>
      </c>
      <c r="D273" s="93"/>
      <c r="E273" s="8">
        <v>4</v>
      </c>
      <c r="F273" s="158">
        <v>10285.98</v>
      </c>
      <c r="G273" s="147">
        <f>F273*1.87</f>
        <v>19234.782599999999</v>
      </c>
      <c r="H273" s="82"/>
      <c r="I273" s="6"/>
      <c r="J273" s="53">
        <v>40311</v>
      </c>
      <c r="K273" s="93" t="s">
        <v>283</v>
      </c>
      <c r="L273" s="53">
        <v>40372</v>
      </c>
      <c r="N273" s="6"/>
    </row>
    <row r="274" spans="1:29" x14ac:dyDescent="0.2">
      <c r="A274" s="94">
        <v>40270</v>
      </c>
      <c r="B274" s="93">
        <v>224</v>
      </c>
      <c r="C274" s="96" t="s">
        <v>69</v>
      </c>
      <c r="D274" s="93"/>
      <c r="E274" s="8">
        <v>5</v>
      </c>
      <c r="F274" s="158">
        <v>15181.9</v>
      </c>
      <c r="G274" s="147">
        <f>F274*1.93</f>
        <v>29301.066999999999</v>
      </c>
      <c r="H274" s="82" t="s">
        <v>113</v>
      </c>
      <c r="I274" s="6"/>
      <c r="J274" s="53"/>
      <c r="K274" s="93" t="s">
        <v>277</v>
      </c>
      <c r="L274" s="53">
        <v>40359</v>
      </c>
      <c r="N274" s="6"/>
    </row>
    <row r="275" spans="1:29" x14ac:dyDescent="0.2">
      <c r="A275" s="94">
        <v>40282</v>
      </c>
      <c r="B275" s="93">
        <v>230</v>
      </c>
      <c r="C275" s="96" t="s">
        <v>285</v>
      </c>
      <c r="D275" s="93"/>
      <c r="E275" s="8">
        <v>2</v>
      </c>
      <c r="F275" s="158">
        <v>6086.95</v>
      </c>
      <c r="G275" s="147">
        <f>F275*1.9</f>
        <v>11565.205</v>
      </c>
      <c r="H275" s="82" t="s">
        <v>113</v>
      </c>
      <c r="I275" s="6"/>
      <c r="J275" s="53">
        <v>40271</v>
      </c>
      <c r="K275" s="93" t="s">
        <v>277</v>
      </c>
      <c r="L275" s="53">
        <v>40362</v>
      </c>
      <c r="N275" s="6"/>
    </row>
    <row r="276" spans="1:29" x14ac:dyDescent="0.2">
      <c r="A276" s="94">
        <v>40290</v>
      </c>
      <c r="B276" s="93">
        <v>234</v>
      </c>
      <c r="C276" s="96" t="s">
        <v>183</v>
      </c>
      <c r="D276" s="93" t="s">
        <v>86</v>
      </c>
      <c r="E276" s="8">
        <v>7</v>
      </c>
      <c r="F276" s="158">
        <v>13364.26</v>
      </c>
      <c r="G276" s="147">
        <f>F276*1.9</f>
        <v>25392.094000000001</v>
      </c>
      <c r="H276" s="82" t="s">
        <v>113</v>
      </c>
      <c r="I276" s="6"/>
      <c r="J276" s="53">
        <v>40261</v>
      </c>
      <c r="K276" s="93" t="s">
        <v>277</v>
      </c>
      <c r="L276" s="53">
        <v>40353</v>
      </c>
      <c r="N276" s="6"/>
      <c r="O276" s="63">
        <v>600</v>
      </c>
      <c r="P276" s="63">
        <v>2.25</v>
      </c>
      <c r="Q276" s="63">
        <f>O276*P276</f>
        <v>1350</v>
      </c>
      <c r="S276" s="63"/>
      <c r="T276" s="63">
        <v>2.25</v>
      </c>
      <c r="U276" s="63">
        <f>S276*T276</f>
        <v>0</v>
      </c>
      <c r="W276" s="213"/>
      <c r="X276" s="63">
        <v>2.25</v>
      </c>
      <c r="Y276" s="63">
        <f>W276*X276</f>
        <v>0</v>
      </c>
      <c r="AA276" s="63">
        <v>600</v>
      </c>
      <c r="AB276" s="63">
        <v>2.25</v>
      </c>
      <c r="AC276" s="63">
        <f>AA276*AB276</f>
        <v>1350</v>
      </c>
    </row>
    <row r="277" spans="1:29" x14ac:dyDescent="0.2">
      <c r="A277" s="94">
        <v>40290</v>
      </c>
      <c r="B277" s="93">
        <v>235</v>
      </c>
      <c r="C277" s="96" t="s">
        <v>322</v>
      </c>
      <c r="D277" s="93"/>
      <c r="E277" s="8">
        <v>2</v>
      </c>
      <c r="F277" s="158">
        <v>5070.3999999999996</v>
      </c>
      <c r="G277" s="147">
        <f>F277*1.9</f>
        <v>9633.7599999999984</v>
      </c>
      <c r="H277" s="82" t="s">
        <v>113</v>
      </c>
      <c r="I277" s="6"/>
      <c r="J277" s="53">
        <v>40269</v>
      </c>
      <c r="K277" s="93" t="s">
        <v>277</v>
      </c>
      <c r="L277" s="53">
        <v>40360</v>
      </c>
      <c r="N277" s="6"/>
      <c r="O277" s="63">
        <v>3000</v>
      </c>
      <c r="P277" s="63">
        <v>3.7</v>
      </c>
      <c r="Q277" s="63">
        <f>O277*P277</f>
        <v>11100</v>
      </c>
      <c r="S277" s="63"/>
      <c r="T277" s="63">
        <v>3.7</v>
      </c>
      <c r="U277" s="63">
        <f>S277*T277</f>
        <v>0</v>
      </c>
      <c r="W277" s="63">
        <v>1500</v>
      </c>
      <c r="X277" s="63">
        <v>3.7</v>
      </c>
      <c r="Y277" s="63">
        <f>W277*X277</f>
        <v>5550</v>
      </c>
      <c r="AA277" s="63">
        <v>1500</v>
      </c>
      <c r="AB277" s="63">
        <v>3.7</v>
      </c>
      <c r="AC277" s="63">
        <f>AA277*AB277</f>
        <v>5550</v>
      </c>
    </row>
    <row r="278" spans="1:29" x14ac:dyDescent="0.2">
      <c r="A278" s="94">
        <v>40296</v>
      </c>
      <c r="B278" s="93">
        <v>237</v>
      </c>
      <c r="C278" s="96" t="s">
        <v>248</v>
      </c>
      <c r="D278" s="93" t="s">
        <v>86</v>
      </c>
      <c r="E278" s="8">
        <v>2</v>
      </c>
      <c r="F278" s="158">
        <v>9408.25</v>
      </c>
      <c r="G278" s="147">
        <f>F278*1.9</f>
        <v>17875.674999999999</v>
      </c>
      <c r="H278" s="82" t="s">
        <v>113</v>
      </c>
      <c r="I278" s="6"/>
      <c r="J278" s="53">
        <v>40273</v>
      </c>
      <c r="K278" s="93" t="s">
        <v>277</v>
      </c>
      <c r="L278" s="53">
        <v>40364</v>
      </c>
      <c r="N278" s="6"/>
      <c r="O278" s="63">
        <v>20000</v>
      </c>
      <c r="P278" s="63">
        <v>1.2</v>
      </c>
      <c r="Q278" s="63">
        <f>O278*P278</f>
        <v>24000</v>
      </c>
      <c r="S278" s="63">
        <v>6000</v>
      </c>
      <c r="T278" s="63">
        <v>1.2</v>
      </c>
      <c r="U278" s="63">
        <f>S278*T278</f>
        <v>7200</v>
      </c>
      <c r="W278" s="63">
        <v>6000</v>
      </c>
      <c r="X278" s="63">
        <v>1.2</v>
      </c>
      <c r="Y278" s="63">
        <f>W278*X278</f>
        <v>7200</v>
      </c>
      <c r="AA278" s="63">
        <v>8000</v>
      </c>
      <c r="AB278" s="63">
        <v>1.2</v>
      </c>
      <c r="AC278" s="63">
        <f>AA278*AB278</f>
        <v>9600</v>
      </c>
    </row>
    <row r="279" spans="1:29" x14ac:dyDescent="0.2">
      <c r="B279" s="93">
        <v>250</v>
      </c>
      <c r="C279" s="96" t="s">
        <v>51</v>
      </c>
      <c r="D279" s="93"/>
      <c r="E279" s="8">
        <v>6</v>
      </c>
      <c r="F279" s="209">
        <v>7659.74</v>
      </c>
      <c r="G279" s="147">
        <f>F279*1.93</f>
        <v>14783.298199999999</v>
      </c>
      <c r="H279" s="82"/>
      <c r="I279" s="6"/>
      <c r="J279" s="53"/>
      <c r="K279" s="93" t="s">
        <v>250</v>
      </c>
      <c r="L279" s="53"/>
      <c r="N279" s="6"/>
    </row>
    <row r="280" spans="1:29" x14ac:dyDescent="0.2">
      <c r="B280" s="93">
        <v>254</v>
      </c>
      <c r="C280" s="96" t="s">
        <v>315</v>
      </c>
      <c r="D280" s="93" t="s">
        <v>276</v>
      </c>
      <c r="E280" s="8">
        <v>2</v>
      </c>
      <c r="F280" s="158">
        <v>28120.74</v>
      </c>
      <c r="G280" s="147">
        <f>F280*1.5</f>
        <v>42181.11</v>
      </c>
      <c r="H280" s="83" t="s">
        <v>70</v>
      </c>
      <c r="I280" s="6"/>
      <c r="J280" s="53"/>
      <c r="K280" s="93" t="s">
        <v>167</v>
      </c>
      <c r="L280" s="53">
        <v>40359</v>
      </c>
      <c r="N280" s="6"/>
    </row>
    <row r="281" spans="1:29" x14ac:dyDescent="0.2">
      <c r="B281" s="93"/>
      <c r="C281" s="96"/>
      <c r="D281" s="93"/>
      <c r="E281" s="8"/>
      <c r="F281" s="158"/>
      <c r="G281" s="147"/>
      <c r="H281" s="8"/>
      <c r="I281" s="6"/>
      <c r="J281" s="53"/>
      <c r="K281" s="93"/>
      <c r="L281" s="53"/>
      <c r="N281" s="6"/>
    </row>
    <row r="282" spans="1:29" x14ac:dyDescent="0.2">
      <c r="A282" s="94">
        <v>40301</v>
      </c>
      <c r="B282" s="93">
        <v>241</v>
      </c>
      <c r="C282" s="96" t="s">
        <v>329</v>
      </c>
      <c r="D282" s="93"/>
      <c r="E282" s="8">
        <v>4</v>
      </c>
      <c r="F282" s="158">
        <v>3690.8</v>
      </c>
      <c r="G282" s="147">
        <f>F282*1.9</f>
        <v>7012.52</v>
      </c>
      <c r="H282" s="82" t="s">
        <v>113</v>
      </c>
      <c r="I282" s="6"/>
      <c r="J282" s="53">
        <v>40283</v>
      </c>
      <c r="K282" s="93" t="s">
        <v>277</v>
      </c>
      <c r="L282" s="53">
        <v>40374</v>
      </c>
      <c r="N282" s="6"/>
      <c r="O282" s="63"/>
      <c r="P282" s="63"/>
      <c r="Q282" s="63">
        <f>SUM(Q235:Q281)</f>
        <v>37230</v>
      </c>
      <c r="S282" s="63"/>
      <c r="T282" s="63"/>
      <c r="U282" s="63">
        <f>SUM(U235:U281)</f>
        <v>7590</v>
      </c>
      <c r="W282" s="63"/>
      <c r="X282" s="63"/>
      <c r="Y282" s="63">
        <f>SUM(Y235:Y281)</f>
        <v>13140</v>
      </c>
      <c r="AA282" s="63"/>
      <c r="AB282" s="63"/>
      <c r="AC282" s="63">
        <f>SUM(AC235:AC281)</f>
        <v>16500</v>
      </c>
    </row>
    <row r="283" spans="1:29" x14ac:dyDescent="0.2">
      <c r="A283" s="94">
        <v>40376</v>
      </c>
      <c r="B283" s="8">
        <v>261</v>
      </c>
      <c r="C283" s="96" t="s">
        <v>286</v>
      </c>
      <c r="D283" s="93"/>
      <c r="E283" s="8">
        <v>3</v>
      </c>
      <c r="F283" s="158">
        <v>10179.02</v>
      </c>
      <c r="G283" s="147">
        <f>F283*1.87</f>
        <v>19034.767400000001</v>
      </c>
      <c r="H283" s="82" t="s">
        <v>113</v>
      </c>
      <c r="I283" s="6"/>
      <c r="J283" s="53">
        <v>40315</v>
      </c>
      <c r="K283" s="93" t="s">
        <v>320</v>
      </c>
      <c r="L283" s="53">
        <v>40376</v>
      </c>
      <c r="N283" s="6"/>
    </row>
    <row r="284" spans="1:29" x14ac:dyDescent="0.2">
      <c r="A284" s="94">
        <v>40298</v>
      </c>
      <c r="B284" s="93">
        <v>239</v>
      </c>
      <c r="C284" s="96" t="s">
        <v>173</v>
      </c>
      <c r="D284" s="93"/>
      <c r="E284" s="8">
        <v>4</v>
      </c>
      <c r="F284" s="158">
        <v>3791.26</v>
      </c>
      <c r="G284" s="147">
        <f>F284*1.9</f>
        <v>7203.3940000000002</v>
      </c>
      <c r="H284" s="82" t="s">
        <v>113</v>
      </c>
      <c r="I284" s="6"/>
      <c r="J284" s="53">
        <v>40285</v>
      </c>
      <c r="K284" s="93" t="s">
        <v>277</v>
      </c>
      <c r="L284" s="53">
        <v>40376</v>
      </c>
      <c r="N284" s="6"/>
      <c r="O284" s="63"/>
      <c r="P284" s="63"/>
      <c r="Q284" s="63"/>
      <c r="U284" s="49" t="e">
        <f>#REF!*1.9</f>
        <v>#REF!</v>
      </c>
      <c r="Y284" s="49" t="e">
        <f>#REF!*1.9</f>
        <v>#REF!</v>
      </c>
      <c r="AC284" s="49" t="e">
        <f>#REF!*1.9</f>
        <v>#REF!</v>
      </c>
    </row>
    <row r="285" spans="1:29" ht="13.5" customHeight="1" x14ac:dyDescent="0.2">
      <c r="B285" s="93">
        <v>251</v>
      </c>
      <c r="C285" s="96" t="s">
        <v>318</v>
      </c>
      <c r="D285" s="93"/>
      <c r="E285" s="8">
        <v>2</v>
      </c>
      <c r="F285" s="158">
        <v>12819.6</v>
      </c>
      <c r="G285" s="147">
        <f>F285*1.93</f>
        <v>24741.828000000001</v>
      </c>
      <c r="H285" s="81" t="s">
        <v>72</v>
      </c>
      <c r="I285" s="6"/>
      <c r="J285" s="53">
        <v>40334</v>
      </c>
      <c r="K285" s="93" t="s">
        <v>283</v>
      </c>
      <c r="L285" s="53">
        <v>40395</v>
      </c>
      <c r="N285" s="6"/>
    </row>
    <row r="286" spans="1:29" x14ac:dyDescent="0.2">
      <c r="B286" s="93">
        <v>253</v>
      </c>
      <c r="C286" s="96" t="s">
        <v>337</v>
      </c>
      <c r="D286" s="93"/>
      <c r="E286" s="8">
        <v>1</v>
      </c>
      <c r="F286" s="158">
        <v>7805</v>
      </c>
      <c r="G286" s="147">
        <f>F286*1.93</f>
        <v>15063.65</v>
      </c>
      <c r="H286" s="81" t="s">
        <v>72</v>
      </c>
      <c r="I286" s="6"/>
      <c r="J286" s="53"/>
      <c r="K286" s="93" t="s">
        <v>283</v>
      </c>
      <c r="L286" s="53">
        <v>40385</v>
      </c>
      <c r="N286" s="6"/>
    </row>
    <row r="287" spans="1:29" ht="13.5" customHeight="1" x14ac:dyDescent="0.2">
      <c r="A287" s="94">
        <v>40359</v>
      </c>
      <c r="B287" s="93">
        <v>258</v>
      </c>
      <c r="C287" s="96" t="s">
        <v>301</v>
      </c>
      <c r="D287" s="93"/>
      <c r="E287" s="8">
        <v>2</v>
      </c>
      <c r="F287" s="158">
        <v>2806.8</v>
      </c>
      <c r="G287" s="147">
        <f>F287*1.9</f>
        <v>5332.92</v>
      </c>
      <c r="H287" s="81" t="s">
        <v>72</v>
      </c>
      <c r="I287" s="81"/>
      <c r="J287" s="53">
        <v>40336</v>
      </c>
      <c r="K287" s="93" t="s">
        <v>283</v>
      </c>
      <c r="L287" s="53">
        <v>40397</v>
      </c>
      <c r="N287" s="6"/>
    </row>
    <row r="288" spans="1:29" ht="13.5" customHeight="1" x14ac:dyDescent="0.2">
      <c r="A288" s="94">
        <v>40392</v>
      </c>
      <c r="B288" s="8">
        <v>271</v>
      </c>
      <c r="C288" s="96" t="s">
        <v>339</v>
      </c>
      <c r="D288" s="93"/>
      <c r="E288" s="8">
        <v>1</v>
      </c>
      <c r="F288" s="158">
        <v>29220.5</v>
      </c>
      <c r="G288" s="147">
        <f>F288*1.93</f>
        <v>56395.564999999995</v>
      </c>
      <c r="H288" s="81" t="s">
        <v>72</v>
      </c>
      <c r="I288" s="6"/>
      <c r="J288" s="53">
        <v>40351</v>
      </c>
      <c r="K288" s="93" t="s">
        <v>343</v>
      </c>
      <c r="L288" s="211" t="s">
        <v>362</v>
      </c>
      <c r="N288" s="6"/>
    </row>
    <row r="289" spans="1:14" x14ac:dyDescent="0.2">
      <c r="A289" s="94">
        <v>40407</v>
      </c>
      <c r="B289" s="8">
        <v>278</v>
      </c>
      <c r="C289" s="96" t="s">
        <v>331</v>
      </c>
      <c r="D289" s="93" t="s">
        <v>273</v>
      </c>
      <c r="E289" s="8">
        <v>3</v>
      </c>
      <c r="F289" s="158">
        <v>28170</v>
      </c>
      <c r="G289" s="147">
        <f>F289*1.5</f>
        <v>42255</v>
      </c>
      <c r="H289" s="6" t="s">
        <v>330</v>
      </c>
      <c r="I289" s="6"/>
      <c r="J289" s="53"/>
      <c r="K289" s="93" t="s">
        <v>167</v>
      </c>
      <c r="L289" s="211" t="s">
        <v>362</v>
      </c>
      <c r="N289" s="6"/>
    </row>
    <row r="290" spans="1:14" x14ac:dyDescent="0.2">
      <c r="A290" s="94">
        <v>40313</v>
      </c>
      <c r="B290" s="93">
        <v>245</v>
      </c>
      <c r="C290" s="96" t="s">
        <v>50</v>
      </c>
      <c r="D290" s="93"/>
      <c r="E290" s="8">
        <v>7</v>
      </c>
      <c r="F290" s="158">
        <v>5681.88</v>
      </c>
      <c r="G290" s="147">
        <f>F290*1.93</f>
        <v>10966.028399999999</v>
      </c>
      <c r="H290" s="82" t="s">
        <v>113</v>
      </c>
      <c r="I290" s="6"/>
      <c r="J290" s="53">
        <v>40302</v>
      </c>
      <c r="K290" s="93" t="s">
        <v>334</v>
      </c>
      <c r="L290" s="53">
        <v>40394</v>
      </c>
      <c r="N290" s="6"/>
    </row>
    <row r="291" spans="1:14" x14ac:dyDescent="0.2">
      <c r="A291" s="94">
        <v>40320</v>
      </c>
      <c r="B291" s="93">
        <v>247</v>
      </c>
      <c r="C291" s="96" t="s">
        <v>64</v>
      </c>
      <c r="D291" s="93"/>
      <c r="E291" s="8">
        <v>7</v>
      </c>
      <c r="F291" s="158">
        <v>4648.2700000000004</v>
      </c>
      <c r="G291" s="147">
        <f>F291*1.93</f>
        <v>8971.1611000000012</v>
      </c>
      <c r="H291" s="82" t="s">
        <v>113</v>
      </c>
      <c r="I291" s="6"/>
      <c r="J291" s="53">
        <v>40303</v>
      </c>
      <c r="K291" s="93" t="s">
        <v>277</v>
      </c>
      <c r="L291" s="53">
        <v>40395</v>
      </c>
      <c r="N291" s="6"/>
    </row>
    <row r="292" spans="1:14" x14ac:dyDescent="0.2">
      <c r="A292" s="94">
        <v>40323</v>
      </c>
      <c r="B292" s="93">
        <v>249</v>
      </c>
      <c r="C292" s="96" t="s">
        <v>142</v>
      </c>
      <c r="D292" s="93"/>
      <c r="E292" s="8">
        <v>4</v>
      </c>
      <c r="F292" s="158">
        <v>12856.7</v>
      </c>
      <c r="G292" s="147">
        <f>F292*1.93</f>
        <v>24813.431</v>
      </c>
      <c r="H292" s="82" t="s">
        <v>113</v>
      </c>
      <c r="I292" s="6"/>
      <c r="J292" s="53">
        <v>40313</v>
      </c>
      <c r="K292" s="93" t="s">
        <v>277</v>
      </c>
      <c r="L292" s="53">
        <v>40405</v>
      </c>
      <c r="N292" s="6"/>
    </row>
    <row r="293" spans="1:14" x14ac:dyDescent="0.2">
      <c r="B293" s="93">
        <v>259</v>
      </c>
      <c r="C293" s="193" t="s">
        <v>317</v>
      </c>
      <c r="D293" s="93" t="s">
        <v>86</v>
      </c>
      <c r="E293" s="8">
        <v>1</v>
      </c>
      <c r="F293" s="158">
        <v>2774.4</v>
      </c>
      <c r="G293" s="147">
        <f>F293*1.87</f>
        <v>5188.1280000000006</v>
      </c>
      <c r="H293" s="82" t="s">
        <v>113</v>
      </c>
      <c r="I293" s="6"/>
      <c r="J293" s="53"/>
      <c r="K293" s="93" t="s">
        <v>278</v>
      </c>
      <c r="L293" s="53">
        <v>40411</v>
      </c>
      <c r="N293" s="6"/>
    </row>
    <row r="294" spans="1:14" x14ac:dyDescent="0.2">
      <c r="A294" s="94">
        <v>40365</v>
      </c>
      <c r="B294" s="93">
        <v>260</v>
      </c>
      <c r="C294" s="96" t="s">
        <v>335</v>
      </c>
      <c r="D294" s="93"/>
      <c r="E294" s="8">
        <v>2</v>
      </c>
      <c r="F294" s="158">
        <v>6489.75</v>
      </c>
      <c r="G294" s="147">
        <f>F294*1.87</f>
        <v>12135.8325</v>
      </c>
      <c r="H294" s="82" t="s">
        <v>113</v>
      </c>
      <c r="I294" s="6"/>
      <c r="J294" s="53">
        <v>40352</v>
      </c>
      <c r="K294" s="93" t="s">
        <v>283</v>
      </c>
      <c r="L294" s="53">
        <v>40413</v>
      </c>
      <c r="N294" s="6"/>
    </row>
    <row r="295" spans="1:14" x14ac:dyDescent="0.2">
      <c r="A295" s="94">
        <v>40388</v>
      </c>
      <c r="B295" s="8">
        <v>268</v>
      </c>
      <c r="C295" s="96" t="s">
        <v>293</v>
      </c>
      <c r="D295" s="93"/>
      <c r="E295" s="8">
        <v>2</v>
      </c>
      <c r="F295" s="158">
        <v>5376</v>
      </c>
      <c r="G295" s="147">
        <f>F295*1.9</f>
        <v>10214.4</v>
      </c>
      <c r="H295" s="82" t="s">
        <v>113</v>
      </c>
      <c r="I295" s="6"/>
      <c r="J295" s="53">
        <v>40374</v>
      </c>
      <c r="K295" s="93" t="s">
        <v>294</v>
      </c>
      <c r="L295" s="53">
        <v>40405</v>
      </c>
      <c r="N295" s="6"/>
    </row>
    <row r="296" spans="1:14" x14ac:dyDescent="0.2">
      <c r="A296" s="94">
        <v>40390</v>
      </c>
      <c r="B296" s="8">
        <v>270</v>
      </c>
      <c r="C296" s="96" t="s">
        <v>199</v>
      </c>
      <c r="D296" s="93"/>
      <c r="E296" s="8">
        <v>4</v>
      </c>
      <c r="F296" s="158">
        <v>16581.7</v>
      </c>
      <c r="G296" s="147">
        <f>F296*1.87</f>
        <v>31007.779000000002</v>
      </c>
      <c r="H296" s="82" t="s">
        <v>113</v>
      </c>
      <c r="I296" s="6"/>
      <c r="J296" s="53">
        <v>40353</v>
      </c>
      <c r="K296" s="93" t="s">
        <v>283</v>
      </c>
      <c r="L296" s="53">
        <v>40414</v>
      </c>
      <c r="N296" s="6"/>
    </row>
    <row r="297" spans="1:14" x14ac:dyDescent="0.2">
      <c r="A297" s="94">
        <v>40418</v>
      </c>
      <c r="B297" s="8">
        <v>286</v>
      </c>
      <c r="C297" s="193" t="s">
        <v>193</v>
      </c>
      <c r="D297" s="93"/>
      <c r="E297" s="8">
        <v>8</v>
      </c>
      <c r="F297" s="158">
        <v>15475</v>
      </c>
      <c r="G297" s="147">
        <f>F297*1.88</f>
        <v>29093</v>
      </c>
      <c r="H297" s="6" t="s">
        <v>72</v>
      </c>
      <c r="I297" s="6"/>
      <c r="J297" s="53"/>
      <c r="K297" s="93" t="s">
        <v>250</v>
      </c>
      <c r="L297" s="53"/>
      <c r="N297" s="6"/>
    </row>
    <row r="298" spans="1:14" x14ac:dyDescent="0.2">
      <c r="A298" s="94">
        <v>40418</v>
      </c>
      <c r="B298" s="8">
        <v>285</v>
      </c>
      <c r="C298" s="96" t="s">
        <v>312</v>
      </c>
      <c r="D298" s="93" t="s">
        <v>332</v>
      </c>
      <c r="E298" s="8">
        <v>2</v>
      </c>
      <c r="F298" s="158">
        <v>21602</v>
      </c>
      <c r="G298" s="147">
        <f>F298*1.5</f>
        <v>32403</v>
      </c>
      <c r="H298" s="6" t="s">
        <v>330</v>
      </c>
      <c r="I298" s="6"/>
      <c r="J298" s="53"/>
      <c r="K298" s="93" t="s">
        <v>167</v>
      </c>
      <c r="L298" s="53"/>
      <c r="N298" s="6"/>
    </row>
    <row r="299" spans="1:14" x14ac:dyDescent="0.2">
      <c r="A299" s="94">
        <v>40418</v>
      </c>
      <c r="B299" s="8">
        <v>284</v>
      </c>
      <c r="C299" s="96" t="s">
        <v>166</v>
      </c>
      <c r="D299" s="93"/>
      <c r="E299" s="8">
        <v>18</v>
      </c>
      <c r="F299" s="158">
        <v>82913.2</v>
      </c>
      <c r="G299" s="147">
        <f>F299*1.9</f>
        <v>157535.07999999999</v>
      </c>
      <c r="H299" s="6" t="s">
        <v>330</v>
      </c>
      <c r="I299" s="6"/>
      <c r="J299" s="53"/>
      <c r="K299" s="93" t="s">
        <v>355</v>
      </c>
      <c r="L299" s="211" t="s">
        <v>362</v>
      </c>
      <c r="N299" s="6"/>
    </row>
    <row r="300" spans="1:14" ht="13.5" customHeight="1" x14ac:dyDescent="0.2">
      <c r="B300" s="93">
        <v>252</v>
      </c>
      <c r="C300" s="96" t="s">
        <v>212</v>
      </c>
      <c r="D300" s="93"/>
      <c r="E300" s="8">
        <v>8</v>
      </c>
      <c r="F300" s="158">
        <v>13007.49</v>
      </c>
      <c r="G300" s="147">
        <f>F300*1.93</f>
        <v>25104.455699999999</v>
      </c>
      <c r="H300" s="82" t="s">
        <v>113</v>
      </c>
      <c r="I300" s="6"/>
      <c r="J300" s="53">
        <v>40329</v>
      </c>
      <c r="K300" s="93" t="s">
        <v>277</v>
      </c>
      <c r="L300" s="53">
        <v>40426</v>
      </c>
      <c r="N300" s="6"/>
    </row>
    <row r="301" spans="1:14" x14ac:dyDescent="0.2">
      <c r="A301" s="94">
        <v>40355</v>
      </c>
      <c r="B301" s="93">
        <v>256</v>
      </c>
      <c r="C301" s="96" t="s">
        <v>198</v>
      </c>
      <c r="D301" s="93"/>
      <c r="E301" s="8">
        <v>6</v>
      </c>
      <c r="F301" s="158">
        <v>5230.08</v>
      </c>
      <c r="G301" s="147">
        <f>F301*1.93</f>
        <v>10094.054399999999</v>
      </c>
      <c r="H301" s="82" t="s">
        <v>113</v>
      </c>
      <c r="I301" s="6"/>
      <c r="J301" s="53">
        <v>40336</v>
      </c>
      <c r="K301" s="93" t="s">
        <v>277</v>
      </c>
      <c r="L301" s="53">
        <v>40428</v>
      </c>
      <c r="N301" s="6"/>
    </row>
    <row r="302" spans="1:14" x14ac:dyDescent="0.2">
      <c r="A302" s="196">
        <v>40376</v>
      </c>
      <c r="B302" s="8">
        <v>262</v>
      </c>
      <c r="C302" s="193" t="s">
        <v>341</v>
      </c>
      <c r="D302" s="93"/>
      <c r="E302" s="8">
        <v>2</v>
      </c>
      <c r="F302" s="158">
        <v>2410</v>
      </c>
      <c r="G302" s="147">
        <f>F302*1.9</f>
        <v>4579</v>
      </c>
      <c r="H302" s="82" t="s">
        <v>113</v>
      </c>
      <c r="I302" s="6"/>
      <c r="J302" s="53">
        <v>40360</v>
      </c>
      <c r="K302" s="93" t="s">
        <v>283</v>
      </c>
      <c r="L302" s="53">
        <v>40422</v>
      </c>
      <c r="N302" s="6"/>
    </row>
    <row r="303" spans="1:14" ht="13.5" customHeight="1" x14ac:dyDescent="0.2">
      <c r="A303" s="94">
        <v>40404</v>
      </c>
      <c r="B303" s="8">
        <v>277</v>
      </c>
      <c r="C303" s="96" t="s">
        <v>344</v>
      </c>
      <c r="D303" s="93"/>
      <c r="E303" s="8">
        <v>1</v>
      </c>
      <c r="F303" s="158">
        <v>20723</v>
      </c>
      <c r="G303" s="147">
        <f>F303*1.9</f>
        <v>39373.699999999997</v>
      </c>
      <c r="H303" s="81" t="s">
        <v>72</v>
      </c>
      <c r="I303" s="6"/>
      <c r="J303" s="53">
        <v>40373</v>
      </c>
      <c r="K303" s="93" t="s">
        <v>343</v>
      </c>
      <c r="L303" s="53">
        <v>40434</v>
      </c>
      <c r="N303" s="6"/>
    </row>
    <row r="304" spans="1:14" x14ac:dyDescent="0.2">
      <c r="B304" s="8">
        <v>294</v>
      </c>
      <c r="C304" s="193" t="s">
        <v>360</v>
      </c>
      <c r="D304" s="93"/>
      <c r="E304" s="8">
        <v>1</v>
      </c>
      <c r="F304" s="158">
        <v>6610.3</v>
      </c>
      <c r="G304" s="147">
        <f>F304*1.93</f>
        <v>12757.879000000001</v>
      </c>
      <c r="H304" s="6" t="s">
        <v>72</v>
      </c>
      <c r="I304" s="6"/>
      <c r="J304" s="53"/>
      <c r="K304" s="93" t="s">
        <v>361</v>
      </c>
      <c r="L304" s="211" t="s">
        <v>362</v>
      </c>
      <c r="N304" s="6"/>
    </row>
    <row r="305" spans="1:14" ht="13.5" customHeight="1" x14ac:dyDescent="0.2">
      <c r="A305" s="94">
        <v>40443</v>
      </c>
      <c r="B305" s="8">
        <v>295</v>
      </c>
      <c r="C305" s="96" t="s">
        <v>51</v>
      </c>
      <c r="D305" s="93"/>
      <c r="E305" s="8">
        <v>7</v>
      </c>
      <c r="F305" s="158">
        <v>5590.66</v>
      </c>
      <c r="G305" s="147">
        <f>F305*1.9</f>
        <v>10622.253999999999</v>
      </c>
      <c r="H305" s="6" t="s">
        <v>72</v>
      </c>
      <c r="I305" s="6"/>
      <c r="J305" s="53"/>
      <c r="K305" s="93" t="s">
        <v>167</v>
      </c>
      <c r="L305" s="211" t="s">
        <v>362</v>
      </c>
      <c r="N305" s="6"/>
    </row>
    <row r="306" spans="1:14" x14ac:dyDescent="0.2">
      <c r="A306" s="94">
        <v>40418</v>
      </c>
      <c r="B306" s="8">
        <v>287</v>
      </c>
      <c r="C306" s="96" t="s">
        <v>338</v>
      </c>
      <c r="D306" s="93"/>
      <c r="E306" s="8">
        <v>1</v>
      </c>
      <c r="F306" s="158">
        <v>18992.27</v>
      </c>
      <c r="G306" s="147">
        <f>F306*1.939</f>
        <v>36826.011530000003</v>
      </c>
      <c r="H306" s="81" t="s">
        <v>72</v>
      </c>
      <c r="I306" s="6"/>
      <c r="J306" s="53"/>
      <c r="K306" s="93" t="s">
        <v>343</v>
      </c>
      <c r="L306" s="53"/>
      <c r="N306" s="6"/>
    </row>
    <row r="307" spans="1:14" x14ac:dyDescent="0.2">
      <c r="A307" s="94">
        <v>40429</v>
      </c>
      <c r="B307" s="8">
        <v>291</v>
      </c>
      <c r="C307" s="96" t="s">
        <v>166</v>
      </c>
      <c r="D307" s="93"/>
      <c r="E307" s="8">
        <v>19</v>
      </c>
      <c r="F307" s="158">
        <v>57515</v>
      </c>
      <c r="G307" s="147">
        <f>F307*1.9</f>
        <v>109278.5</v>
      </c>
      <c r="H307" s="81" t="s">
        <v>72</v>
      </c>
      <c r="I307" s="6"/>
      <c r="J307" s="53"/>
      <c r="K307" s="93" t="s">
        <v>355</v>
      </c>
      <c r="L307" s="211" t="s">
        <v>362</v>
      </c>
      <c r="N307" s="6"/>
    </row>
    <row r="308" spans="1:14" x14ac:dyDescent="0.2">
      <c r="B308" s="8">
        <v>282</v>
      </c>
      <c r="C308" s="96" t="s">
        <v>345</v>
      </c>
      <c r="D308" s="93"/>
      <c r="E308" s="8">
        <v>8</v>
      </c>
      <c r="F308" s="158">
        <v>6668.2</v>
      </c>
      <c r="G308" s="147">
        <f>F308*1.9</f>
        <v>12669.58</v>
      </c>
      <c r="H308" s="6" t="s">
        <v>72</v>
      </c>
      <c r="I308" s="6"/>
      <c r="J308" s="53"/>
      <c r="K308" s="93" t="s">
        <v>283</v>
      </c>
      <c r="L308" s="53">
        <v>40450</v>
      </c>
      <c r="N308" s="6"/>
    </row>
    <row r="309" spans="1:14" x14ac:dyDescent="0.2">
      <c r="A309" s="94"/>
      <c r="B309" s="8"/>
      <c r="C309" s="96"/>
      <c r="D309" s="93"/>
      <c r="E309" s="8"/>
      <c r="F309" s="158"/>
      <c r="G309" s="147"/>
      <c r="H309" s="6"/>
      <c r="I309" s="6"/>
      <c r="J309" s="53"/>
      <c r="K309" s="93"/>
      <c r="L309" s="211"/>
      <c r="N309" s="6"/>
    </row>
    <row r="310" spans="1:14" x14ac:dyDescent="0.2">
      <c r="A310" s="94">
        <v>40381</v>
      </c>
      <c r="B310" s="8">
        <v>264</v>
      </c>
      <c r="C310" s="193" t="s">
        <v>247</v>
      </c>
      <c r="D310" s="93"/>
      <c r="E310" s="8">
        <v>5</v>
      </c>
      <c r="F310" s="158">
        <v>2861.7</v>
      </c>
      <c r="G310" s="147">
        <f>F310*1.9</f>
        <v>5437.23</v>
      </c>
      <c r="H310" s="82" t="s">
        <v>113</v>
      </c>
      <c r="I310" s="6"/>
      <c r="J310" s="53">
        <v>40360</v>
      </c>
      <c r="K310" s="93" t="s">
        <v>277</v>
      </c>
      <c r="L310" s="53">
        <v>40452</v>
      </c>
      <c r="N310" s="6"/>
    </row>
    <row r="311" spans="1:14" x14ac:dyDescent="0.2">
      <c r="A311" s="94">
        <v>40429</v>
      </c>
      <c r="B311" s="8">
        <v>292</v>
      </c>
      <c r="C311" s="193" t="s">
        <v>352</v>
      </c>
      <c r="D311" s="93"/>
      <c r="E311" s="8">
        <v>4</v>
      </c>
      <c r="F311" s="158">
        <v>11620</v>
      </c>
      <c r="G311" s="147">
        <f>F311*1.93</f>
        <v>22426.6</v>
      </c>
      <c r="H311" s="82" t="s">
        <v>113</v>
      </c>
      <c r="I311" s="6"/>
      <c r="J311" s="53">
        <v>40394</v>
      </c>
      <c r="K311" s="93" t="s">
        <v>278</v>
      </c>
      <c r="L311" s="53">
        <v>40454</v>
      </c>
      <c r="N311" s="6"/>
    </row>
    <row r="312" spans="1:14" ht="13.5" customHeight="1" x14ac:dyDescent="0.2">
      <c r="A312" s="94">
        <v>40421</v>
      </c>
      <c r="B312" s="8">
        <v>288</v>
      </c>
      <c r="C312" s="96" t="s">
        <v>354</v>
      </c>
      <c r="D312" s="93"/>
      <c r="E312" s="8">
        <v>1</v>
      </c>
      <c r="F312" s="158">
        <v>6540.78</v>
      </c>
      <c r="G312" s="147">
        <f>F312*1.93</f>
        <v>12623.705399999999</v>
      </c>
      <c r="H312" s="82" t="s">
        <v>113</v>
      </c>
      <c r="I312" s="6"/>
      <c r="J312" s="53">
        <v>40397</v>
      </c>
      <c r="K312" s="93" t="s">
        <v>283</v>
      </c>
      <c r="L312" s="53">
        <v>40458</v>
      </c>
      <c r="N312" s="6"/>
    </row>
    <row r="313" spans="1:14" ht="13.5" customHeight="1" x14ac:dyDescent="0.2">
      <c r="A313" s="94">
        <v>40381</v>
      </c>
      <c r="B313" s="8">
        <v>265</v>
      </c>
      <c r="C313" s="96" t="s">
        <v>145</v>
      </c>
      <c r="D313" s="93"/>
      <c r="E313" s="8">
        <v>10</v>
      </c>
      <c r="F313" s="158">
        <v>32603.34</v>
      </c>
      <c r="G313" s="147">
        <f>F313*1.87</f>
        <v>60968.245800000004</v>
      </c>
      <c r="H313" s="82" t="s">
        <v>113</v>
      </c>
      <c r="I313" s="6"/>
      <c r="J313" s="53">
        <v>40362</v>
      </c>
      <c r="K313" s="93" t="s">
        <v>277</v>
      </c>
      <c r="L313" s="53">
        <v>40454</v>
      </c>
      <c r="N313" s="6"/>
    </row>
    <row r="314" spans="1:14" x14ac:dyDescent="0.2">
      <c r="A314" s="94">
        <v>40380</v>
      </c>
      <c r="B314" s="8">
        <v>263</v>
      </c>
      <c r="C314" s="96" t="s">
        <v>69</v>
      </c>
      <c r="D314" s="93"/>
      <c r="E314" s="8">
        <v>6</v>
      </c>
      <c r="F314" s="158">
        <v>23718.7</v>
      </c>
      <c r="G314" s="147">
        <f>F314*1.87</f>
        <v>44353.969000000005</v>
      </c>
      <c r="H314" s="82" t="s">
        <v>113</v>
      </c>
      <c r="I314" s="6"/>
      <c r="J314" s="53"/>
      <c r="K314" s="93" t="s">
        <v>277</v>
      </c>
      <c r="L314" s="53">
        <v>40448</v>
      </c>
      <c r="M314" s="55" t="s">
        <v>363</v>
      </c>
      <c r="N314" s="6"/>
    </row>
    <row r="315" spans="1:14" ht="13.5" customHeight="1" x14ac:dyDescent="0.2">
      <c r="A315" s="94">
        <v>40387</v>
      </c>
      <c r="B315" s="8">
        <v>266</v>
      </c>
      <c r="C315" s="96" t="s">
        <v>285</v>
      </c>
      <c r="D315" s="93"/>
      <c r="E315" s="8">
        <v>3</v>
      </c>
      <c r="F315" s="158">
        <v>8130.09</v>
      </c>
      <c r="G315" s="147">
        <f t="shared" ref="G315:G324" si="8">F315*1.95</f>
        <v>15853.675499999999</v>
      </c>
      <c r="H315" s="82" t="s">
        <v>113</v>
      </c>
      <c r="I315" s="6"/>
      <c r="J315" s="53">
        <v>40364</v>
      </c>
      <c r="K315" s="93" t="s">
        <v>277</v>
      </c>
      <c r="L315" s="53">
        <v>40456</v>
      </c>
      <c r="N315" s="6"/>
    </row>
    <row r="316" spans="1:14" x14ac:dyDescent="0.2">
      <c r="A316" s="94">
        <v>40387</v>
      </c>
      <c r="B316" s="8">
        <v>267</v>
      </c>
      <c r="C316" s="193" t="s">
        <v>192</v>
      </c>
      <c r="D316" s="93"/>
      <c r="E316" s="8">
        <v>9</v>
      </c>
      <c r="F316" s="158">
        <v>11183.18</v>
      </c>
      <c r="G316" s="147">
        <f t="shared" si="8"/>
        <v>21807.201000000001</v>
      </c>
      <c r="H316" s="82" t="s">
        <v>113</v>
      </c>
      <c r="I316" s="6"/>
      <c r="J316" s="53">
        <v>40352</v>
      </c>
      <c r="K316" s="93" t="s">
        <v>277</v>
      </c>
      <c r="L316" s="53">
        <v>40444</v>
      </c>
      <c r="N316" s="6"/>
    </row>
    <row r="317" spans="1:14" ht="13.5" customHeight="1" x14ac:dyDescent="0.2">
      <c r="A317" s="94">
        <v>40394</v>
      </c>
      <c r="B317" s="8">
        <v>272</v>
      </c>
      <c r="C317" s="96" t="s">
        <v>200</v>
      </c>
      <c r="D317" s="93"/>
      <c r="E317" s="8">
        <v>5</v>
      </c>
      <c r="F317" s="158">
        <v>14439.02</v>
      </c>
      <c r="G317" s="147">
        <f t="shared" si="8"/>
        <v>28156.089</v>
      </c>
      <c r="H317" s="82" t="s">
        <v>113</v>
      </c>
      <c r="I317" s="6"/>
      <c r="J317" s="53">
        <v>40369</v>
      </c>
      <c r="K317" s="93" t="s">
        <v>277</v>
      </c>
      <c r="L317" s="53">
        <v>40461</v>
      </c>
      <c r="N317" s="6"/>
    </row>
    <row r="318" spans="1:14" x14ac:dyDescent="0.2">
      <c r="A318" s="94">
        <v>40399</v>
      </c>
      <c r="B318" s="8">
        <v>274</v>
      </c>
      <c r="C318" s="96" t="s">
        <v>223</v>
      </c>
      <c r="D318" s="93"/>
      <c r="E318" s="8">
        <v>3</v>
      </c>
      <c r="F318" s="158">
        <v>14859</v>
      </c>
      <c r="G318" s="147">
        <f t="shared" si="8"/>
        <v>28975.05</v>
      </c>
      <c r="H318" s="82" t="s">
        <v>113</v>
      </c>
      <c r="I318" s="6"/>
      <c r="J318" s="53">
        <v>40380</v>
      </c>
      <c r="K318" s="93" t="s">
        <v>283</v>
      </c>
      <c r="L318" s="53">
        <v>40442</v>
      </c>
      <c r="N318" s="6"/>
    </row>
    <row r="319" spans="1:14" x14ac:dyDescent="0.2">
      <c r="A319" s="94"/>
      <c r="B319" s="8"/>
      <c r="C319" s="96"/>
      <c r="D319" s="93"/>
      <c r="E319" s="8"/>
      <c r="F319" s="158"/>
      <c r="G319" s="147">
        <f t="shared" si="8"/>
        <v>0</v>
      </c>
      <c r="H319" s="106"/>
      <c r="I319" s="6"/>
      <c r="J319" s="53"/>
      <c r="K319" s="93"/>
      <c r="L319" s="53"/>
      <c r="N319" s="6"/>
    </row>
    <row r="320" spans="1:14" x14ac:dyDescent="0.2">
      <c r="A320" s="94">
        <v>40414</v>
      </c>
      <c r="B320" s="8">
        <v>283</v>
      </c>
      <c r="C320" s="193" t="s">
        <v>321</v>
      </c>
      <c r="D320" s="93"/>
      <c r="E320" s="8">
        <v>1</v>
      </c>
      <c r="F320" s="158">
        <v>4200</v>
      </c>
      <c r="G320" s="147">
        <f t="shared" si="8"/>
        <v>8190</v>
      </c>
      <c r="H320" s="82" t="s">
        <v>113</v>
      </c>
      <c r="I320" s="6"/>
      <c r="J320" s="53">
        <v>40404</v>
      </c>
      <c r="K320" s="93" t="s">
        <v>278</v>
      </c>
      <c r="L320" s="53">
        <v>40465</v>
      </c>
      <c r="N320" s="6"/>
    </row>
    <row r="321" spans="1:14" ht="13.5" customHeight="1" x14ac:dyDescent="0.2">
      <c r="A321" s="94">
        <v>40396</v>
      </c>
      <c r="B321" s="8">
        <v>273</v>
      </c>
      <c r="C321" s="96" t="s">
        <v>49</v>
      </c>
      <c r="D321" s="93"/>
      <c r="E321" s="8">
        <v>8</v>
      </c>
      <c r="F321" s="158">
        <v>5741.32</v>
      </c>
      <c r="G321" s="147">
        <f t="shared" si="8"/>
        <v>11195.573999999999</v>
      </c>
      <c r="H321" s="82" t="s">
        <v>113</v>
      </c>
      <c r="I321" s="6"/>
      <c r="J321" s="53">
        <v>40374</v>
      </c>
      <c r="K321" s="93" t="s">
        <v>277</v>
      </c>
      <c r="L321" s="53">
        <v>40466</v>
      </c>
      <c r="N321" s="6"/>
    </row>
    <row r="322" spans="1:14" ht="13.5" customHeight="1" x14ac:dyDescent="0.2">
      <c r="A322" s="94">
        <v>40388</v>
      </c>
      <c r="B322" s="8">
        <v>269</v>
      </c>
      <c r="C322" s="96" t="s">
        <v>172</v>
      </c>
      <c r="D322" s="93"/>
      <c r="E322" s="8">
        <v>7</v>
      </c>
      <c r="F322" s="158">
        <v>9196.15</v>
      </c>
      <c r="G322" s="147">
        <f t="shared" si="8"/>
        <v>17932.4925</v>
      </c>
      <c r="H322" s="82" t="s">
        <v>113</v>
      </c>
      <c r="I322" s="6"/>
      <c r="J322" s="53">
        <v>40376</v>
      </c>
      <c r="K322" s="93" t="s">
        <v>277</v>
      </c>
      <c r="L322" s="53">
        <v>40468</v>
      </c>
      <c r="N322" s="6"/>
    </row>
    <row r="323" spans="1:14" x14ac:dyDescent="0.2">
      <c r="A323" s="94">
        <v>40410</v>
      </c>
      <c r="B323" s="8">
        <v>281</v>
      </c>
      <c r="C323" s="193" t="s">
        <v>187</v>
      </c>
      <c r="D323" s="93"/>
      <c r="E323" s="8">
        <v>3</v>
      </c>
      <c r="F323" s="158">
        <v>17235.580000000002</v>
      </c>
      <c r="G323" s="147">
        <f t="shared" si="8"/>
        <v>33609.381000000001</v>
      </c>
      <c r="H323" s="82" t="s">
        <v>113</v>
      </c>
      <c r="I323" s="6"/>
      <c r="J323" s="53">
        <v>40376</v>
      </c>
      <c r="K323" s="93" t="s">
        <v>277</v>
      </c>
      <c r="L323" s="53">
        <v>40468</v>
      </c>
      <c r="N323" s="6"/>
    </row>
    <row r="324" spans="1:14" x14ac:dyDescent="0.2">
      <c r="A324" s="94">
        <v>40422</v>
      </c>
      <c r="B324" s="8">
        <v>290</v>
      </c>
      <c r="C324" s="96" t="s">
        <v>208</v>
      </c>
      <c r="D324" s="93"/>
      <c r="E324" s="8">
        <v>4</v>
      </c>
      <c r="F324" s="158">
        <v>5245.08</v>
      </c>
      <c r="G324" s="147">
        <f t="shared" si="8"/>
        <v>10227.905999999999</v>
      </c>
      <c r="H324" s="82" t="s">
        <v>113</v>
      </c>
      <c r="I324" s="6"/>
      <c r="J324" s="53"/>
      <c r="K324" s="93" t="s">
        <v>277</v>
      </c>
      <c r="L324" s="53">
        <v>40471</v>
      </c>
      <c r="N324" s="6"/>
    </row>
    <row r="325" spans="1:14" ht="12" customHeight="1" x14ac:dyDescent="0.2">
      <c r="A325" s="94">
        <v>40400</v>
      </c>
      <c r="B325" s="8">
        <v>276</v>
      </c>
      <c r="C325" s="96" t="s">
        <v>180</v>
      </c>
      <c r="D325" s="93"/>
      <c r="E325" s="8">
        <v>5</v>
      </c>
      <c r="F325" s="158">
        <v>4075.68</v>
      </c>
      <c r="G325" s="147">
        <f>F325*1.95</f>
        <v>7947.5759999999991</v>
      </c>
      <c r="H325" s="82" t="s">
        <v>113</v>
      </c>
      <c r="I325" s="6"/>
      <c r="J325" s="53">
        <v>40386</v>
      </c>
      <c r="K325" s="93" t="s">
        <v>283</v>
      </c>
      <c r="L325" s="218">
        <v>40474</v>
      </c>
      <c r="N325" s="6"/>
    </row>
    <row r="326" spans="1:14" ht="12" customHeight="1" x14ac:dyDescent="0.2">
      <c r="A326" s="94"/>
      <c r="B326" s="8"/>
      <c r="C326" s="96"/>
      <c r="D326" s="93"/>
      <c r="E326" s="8"/>
      <c r="F326" s="158"/>
      <c r="G326" s="147"/>
      <c r="H326" s="106"/>
      <c r="I326" s="6"/>
      <c r="J326" s="53"/>
      <c r="K326" s="93"/>
      <c r="L326" s="218"/>
      <c r="N326" s="6"/>
    </row>
    <row r="327" spans="1:14" x14ac:dyDescent="0.2">
      <c r="A327" s="196">
        <v>40422</v>
      </c>
      <c r="B327" s="8">
        <v>289</v>
      </c>
      <c r="C327" s="96" t="s">
        <v>183</v>
      </c>
      <c r="D327" s="93"/>
      <c r="E327" s="8">
        <v>8</v>
      </c>
      <c r="F327" s="158">
        <v>22365.48</v>
      </c>
      <c r="G327" s="147">
        <f>F327*1.93</f>
        <v>43165.376400000001</v>
      </c>
      <c r="H327" s="82"/>
      <c r="I327" s="6"/>
      <c r="J327" s="53">
        <v>40390</v>
      </c>
      <c r="K327" s="93" t="s">
        <v>277</v>
      </c>
      <c r="L327" s="53">
        <v>40482</v>
      </c>
      <c r="N327" s="6"/>
    </row>
    <row r="328" spans="1:14" x14ac:dyDescent="0.2">
      <c r="A328" s="94">
        <v>40400</v>
      </c>
      <c r="B328" s="8">
        <v>275</v>
      </c>
      <c r="C328" s="96" t="s">
        <v>139</v>
      </c>
      <c r="D328" s="93"/>
      <c r="E328" s="8">
        <v>15</v>
      </c>
      <c r="F328" s="158">
        <v>36585.360000000001</v>
      </c>
      <c r="G328" s="147">
        <f>F328*1.94</f>
        <v>70975.598400000003</v>
      </c>
      <c r="H328" s="82" t="s">
        <v>113</v>
      </c>
      <c r="I328" s="6"/>
      <c r="J328" s="53">
        <v>40395</v>
      </c>
      <c r="K328" s="93" t="s">
        <v>277</v>
      </c>
      <c r="L328" s="53">
        <v>40487</v>
      </c>
      <c r="N328" s="6"/>
    </row>
    <row r="329" spans="1:14" x14ac:dyDescent="0.2">
      <c r="A329" s="94">
        <v>40410</v>
      </c>
      <c r="B329" s="8">
        <v>280</v>
      </c>
      <c r="C329" s="96" t="s">
        <v>173</v>
      </c>
      <c r="D329" s="93"/>
      <c r="E329" s="8">
        <v>5</v>
      </c>
      <c r="F329" s="158">
        <v>4785.67</v>
      </c>
      <c r="G329" s="147">
        <f>F329*1.9</f>
        <v>9092.7729999999992</v>
      </c>
      <c r="H329" s="82" t="s">
        <v>113</v>
      </c>
      <c r="I329" s="6"/>
      <c r="J329" s="53">
        <v>40397</v>
      </c>
      <c r="K329" s="93" t="s">
        <v>277</v>
      </c>
      <c r="L329" s="53">
        <v>40489</v>
      </c>
      <c r="N329" s="6"/>
    </row>
    <row r="330" spans="1:14" x14ac:dyDescent="0.2">
      <c r="A330" s="94">
        <v>40407</v>
      </c>
      <c r="B330" s="8">
        <v>279</v>
      </c>
      <c r="C330" s="193" t="s">
        <v>342</v>
      </c>
      <c r="D330" s="93"/>
      <c r="E330" s="8">
        <v>1</v>
      </c>
      <c r="F330" s="158">
        <v>27000</v>
      </c>
      <c r="G330" s="147">
        <f>F330*1.93</f>
        <v>52110</v>
      </c>
      <c r="H330" s="82" t="s">
        <v>113</v>
      </c>
      <c r="I330" s="6"/>
      <c r="J330" s="53">
        <v>40395</v>
      </c>
      <c r="K330" s="93" t="s">
        <v>364</v>
      </c>
      <c r="L330" s="53">
        <v>40500</v>
      </c>
      <c r="N330" s="6"/>
    </row>
    <row r="331" spans="1:14" x14ac:dyDescent="0.2">
      <c r="B331" s="8">
        <v>307</v>
      </c>
      <c r="C331" s="193" t="s">
        <v>360</v>
      </c>
      <c r="D331" s="93"/>
      <c r="E331" s="8">
        <v>2</v>
      </c>
      <c r="F331" s="158">
        <v>9234.1200000000008</v>
      </c>
      <c r="G331" s="147">
        <f>F331*1.95</f>
        <v>18006.534</v>
      </c>
      <c r="H331" s="82" t="s">
        <v>72</v>
      </c>
      <c r="I331" s="6"/>
      <c r="J331" s="53"/>
      <c r="K331" s="93" t="s">
        <v>250</v>
      </c>
      <c r="L331" s="53"/>
      <c r="N331" s="6"/>
    </row>
    <row r="332" spans="1:14" x14ac:dyDescent="0.2">
      <c r="B332" s="8">
        <v>314</v>
      </c>
      <c r="C332" s="193" t="s">
        <v>375</v>
      </c>
      <c r="D332" s="93"/>
      <c r="E332" s="8">
        <v>6</v>
      </c>
      <c r="F332" s="158">
        <v>3840.93</v>
      </c>
      <c r="G332" s="147">
        <f>F332*1.95</f>
        <v>7489.8134999999993</v>
      </c>
      <c r="H332" s="82" t="s">
        <v>70</v>
      </c>
      <c r="I332" s="6"/>
      <c r="J332" s="53"/>
      <c r="K332" s="93"/>
      <c r="L332" s="53"/>
      <c r="N332" s="6"/>
    </row>
    <row r="333" spans="1:14" x14ac:dyDescent="0.2">
      <c r="A333" s="94">
        <v>40437</v>
      </c>
      <c r="B333" s="8">
        <v>293</v>
      </c>
      <c r="C333" s="96" t="s">
        <v>139</v>
      </c>
      <c r="D333" s="93"/>
      <c r="E333" s="8">
        <v>16</v>
      </c>
      <c r="F333" s="158">
        <v>900</v>
      </c>
      <c r="G333" s="147">
        <f>F333*1.9</f>
        <v>1710</v>
      </c>
      <c r="H333" s="82" t="s">
        <v>113</v>
      </c>
      <c r="I333" s="6"/>
      <c r="J333" s="53"/>
      <c r="K333" s="93" t="s">
        <v>277</v>
      </c>
      <c r="L333" s="53">
        <v>40522</v>
      </c>
      <c r="N333" s="6"/>
    </row>
    <row r="334" spans="1:14" ht="13.5" customHeight="1" x14ac:dyDescent="0.2">
      <c r="A334" s="94">
        <v>40448</v>
      </c>
      <c r="B334" s="8">
        <v>296</v>
      </c>
      <c r="C334" s="96" t="s">
        <v>66</v>
      </c>
      <c r="D334" s="93"/>
      <c r="E334" s="8">
        <v>8</v>
      </c>
      <c r="F334" s="158">
        <v>9769.9</v>
      </c>
      <c r="G334" s="147">
        <f>F334*1.93</f>
        <v>18855.906999999999</v>
      </c>
      <c r="H334" s="82" t="s">
        <v>113</v>
      </c>
      <c r="I334" s="6"/>
      <c r="J334" s="53"/>
      <c r="K334" s="93" t="s">
        <v>277</v>
      </c>
      <c r="L334" s="53">
        <v>40522</v>
      </c>
      <c r="N334" s="6"/>
    </row>
    <row r="335" spans="1:14" x14ac:dyDescent="0.2">
      <c r="A335" s="94">
        <v>40451</v>
      </c>
      <c r="B335" s="8">
        <v>297</v>
      </c>
      <c r="C335" s="193" t="s">
        <v>198</v>
      </c>
      <c r="D335" s="93"/>
      <c r="E335" s="8">
        <v>7</v>
      </c>
      <c r="F335" s="158">
        <v>9712.7999999999993</v>
      </c>
      <c r="G335" s="147">
        <f>F335*1.93</f>
        <v>18745.703999999998</v>
      </c>
      <c r="H335" s="82" t="s">
        <v>113</v>
      </c>
      <c r="I335" s="6"/>
      <c r="J335" s="53">
        <v>40442</v>
      </c>
      <c r="K335" s="93" t="s">
        <v>277</v>
      </c>
      <c r="L335" s="53">
        <v>40533</v>
      </c>
      <c r="N335" s="6"/>
    </row>
    <row r="336" spans="1:14" ht="13.5" customHeight="1" x14ac:dyDescent="0.2">
      <c r="A336" s="94">
        <v>40474</v>
      </c>
      <c r="B336" s="8">
        <v>299</v>
      </c>
      <c r="C336" s="193" t="s">
        <v>354</v>
      </c>
      <c r="D336" s="93"/>
      <c r="E336" s="8">
        <v>2</v>
      </c>
      <c r="F336" s="158">
        <v>20625</v>
      </c>
      <c r="G336" s="147">
        <f>F336*1.95</f>
        <v>40218.75</v>
      </c>
      <c r="H336" s="82" t="s">
        <v>113</v>
      </c>
      <c r="I336" s="6"/>
      <c r="J336" s="53">
        <v>40460</v>
      </c>
      <c r="K336" s="93" t="s">
        <v>283</v>
      </c>
      <c r="L336" s="53">
        <v>40521</v>
      </c>
      <c r="N336" s="6"/>
    </row>
    <row r="337" spans="1:14" x14ac:dyDescent="0.2">
      <c r="A337" s="94">
        <v>40469</v>
      </c>
      <c r="B337" s="8">
        <v>298</v>
      </c>
      <c r="C337" s="193" t="s">
        <v>50</v>
      </c>
      <c r="D337" s="93"/>
      <c r="E337" s="8">
        <v>8</v>
      </c>
      <c r="F337" s="158">
        <v>6665.8</v>
      </c>
      <c r="G337" s="147">
        <f>F337*1.95</f>
        <v>12998.31</v>
      </c>
      <c r="H337" s="82" t="s">
        <v>113</v>
      </c>
      <c r="I337" s="6"/>
      <c r="J337" s="53">
        <v>40457</v>
      </c>
      <c r="K337" s="93" t="s">
        <v>277</v>
      </c>
      <c r="L337" s="53">
        <v>40549</v>
      </c>
      <c r="N337" s="6"/>
    </row>
    <row r="338" spans="1:14" x14ac:dyDescent="0.2">
      <c r="A338" s="94"/>
      <c r="B338" s="8"/>
      <c r="C338" s="193"/>
      <c r="D338" s="93"/>
      <c r="E338" s="8"/>
      <c r="F338" s="158"/>
      <c r="G338" s="147"/>
      <c r="H338" s="106"/>
      <c r="I338" s="6"/>
      <c r="J338" s="53"/>
      <c r="K338" s="93"/>
      <c r="L338" s="53"/>
      <c r="N338" s="6"/>
    </row>
    <row r="339" spans="1:14" x14ac:dyDescent="0.2">
      <c r="A339" s="94">
        <v>40477</v>
      </c>
      <c r="B339" s="8">
        <v>300</v>
      </c>
      <c r="C339" s="193" t="s">
        <v>139</v>
      </c>
      <c r="D339" s="93"/>
      <c r="E339" s="8">
        <v>17</v>
      </c>
      <c r="F339" s="158">
        <v>17517.66</v>
      </c>
      <c r="G339" s="147">
        <f>F339*1.95</f>
        <v>34159.436999999998</v>
      </c>
      <c r="H339" s="82" t="s">
        <v>113</v>
      </c>
      <c r="I339" s="6"/>
      <c r="J339" s="53">
        <v>40463</v>
      </c>
      <c r="K339" s="93" t="s">
        <v>376</v>
      </c>
      <c r="L339" s="53">
        <v>40190</v>
      </c>
      <c r="N339" s="6"/>
    </row>
    <row r="340" spans="1:14" x14ac:dyDescent="0.2">
      <c r="A340" s="94">
        <v>40486</v>
      </c>
      <c r="B340" s="8">
        <v>301</v>
      </c>
      <c r="C340" s="193" t="s">
        <v>353</v>
      </c>
      <c r="D340" s="93"/>
      <c r="E340" s="8">
        <v>2</v>
      </c>
      <c r="F340" s="158">
        <v>13444.05</v>
      </c>
      <c r="G340" s="147">
        <f>F340*1.95</f>
        <v>26215.897499999999</v>
      </c>
      <c r="H340" s="82" t="s">
        <v>113</v>
      </c>
      <c r="I340" s="6"/>
      <c r="J340" s="53">
        <v>40462</v>
      </c>
      <c r="K340" s="93" t="s">
        <v>277</v>
      </c>
      <c r="L340" s="53">
        <v>40209</v>
      </c>
      <c r="N340" s="6"/>
    </row>
    <row r="341" spans="1:14" x14ac:dyDescent="0.2">
      <c r="A341" s="94">
        <v>40505</v>
      </c>
      <c r="B341" s="8">
        <v>304</v>
      </c>
      <c r="C341" s="193" t="s">
        <v>307</v>
      </c>
      <c r="D341" s="93"/>
      <c r="E341" s="8">
        <v>6</v>
      </c>
      <c r="F341" s="158">
        <v>21327.93</v>
      </c>
      <c r="G341" s="147">
        <f>F341*1.95</f>
        <v>41589.463499999998</v>
      </c>
      <c r="H341" s="82" t="s">
        <v>113</v>
      </c>
      <c r="I341" s="6"/>
      <c r="J341" s="53">
        <v>40488</v>
      </c>
      <c r="K341" s="93" t="s">
        <v>283</v>
      </c>
      <c r="L341" s="53">
        <v>40184</v>
      </c>
      <c r="N341" s="6"/>
    </row>
    <row r="342" spans="1:14" x14ac:dyDescent="0.2">
      <c r="A342" s="94">
        <v>40505</v>
      </c>
      <c r="B342" s="8">
        <v>303</v>
      </c>
      <c r="C342" s="193" t="s">
        <v>69</v>
      </c>
      <c r="D342" s="93"/>
      <c r="E342" s="8">
        <v>7</v>
      </c>
      <c r="F342" s="158">
        <v>19142.599999999999</v>
      </c>
      <c r="G342" s="147">
        <f t="shared" ref="G342:G352" si="9">F342*1.95</f>
        <v>37328.07</v>
      </c>
      <c r="H342" s="82" t="s">
        <v>113</v>
      </c>
      <c r="I342" s="6"/>
      <c r="J342" s="53">
        <v>40488</v>
      </c>
      <c r="K342" s="93" t="s">
        <v>277</v>
      </c>
      <c r="L342" s="53">
        <v>40215</v>
      </c>
      <c r="N342" s="6"/>
    </row>
    <row r="343" spans="1:14" x14ac:dyDescent="0.2">
      <c r="A343" s="94">
        <v>40511</v>
      </c>
      <c r="B343" s="8">
        <v>305</v>
      </c>
      <c r="C343" s="193" t="s">
        <v>280</v>
      </c>
      <c r="D343" s="93"/>
      <c r="E343" s="8">
        <v>3</v>
      </c>
      <c r="F343" s="158">
        <v>4089.88</v>
      </c>
      <c r="G343" s="147">
        <f t="shared" si="9"/>
        <v>7975.2659999999996</v>
      </c>
      <c r="H343" s="82" t="s">
        <v>113</v>
      </c>
      <c r="I343" s="6"/>
      <c r="J343" s="53">
        <v>40499</v>
      </c>
      <c r="K343" s="93" t="s">
        <v>283</v>
      </c>
      <c r="L343" s="53">
        <v>40195</v>
      </c>
      <c r="N343" s="6"/>
    </row>
    <row r="344" spans="1:14" x14ac:dyDescent="0.2">
      <c r="A344" s="94">
        <v>40515</v>
      </c>
      <c r="B344" s="8">
        <v>309</v>
      </c>
      <c r="C344" s="193" t="s">
        <v>245</v>
      </c>
      <c r="D344" s="93"/>
      <c r="E344" s="8">
        <v>3</v>
      </c>
      <c r="F344" s="158">
        <v>3875.8</v>
      </c>
      <c r="G344" s="147">
        <f t="shared" si="9"/>
        <v>7557.81</v>
      </c>
      <c r="H344" s="82" t="s">
        <v>113</v>
      </c>
      <c r="I344" s="6"/>
      <c r="J344" s="53">
        <v>40493</v>
      </c>
      <c r="K344" s="93" t="s">
        <v>283</v>
      </c>
      <c r="L344" s="53">
        <v>40189</v>
      </c>
      <c r="N344" s="6"/>
    </row>
    <row r="345" spans="1:14" ht="13.5" customHeight="1" x14ac:dyDescent="0.2">
      <c r="A345" s="94">
        <v>40505</v>
      </c>
      <c r="B345" s="8">
        <v>302</v>
      </c>
      <c r="C345" s="96" t="s">
        <v>200</v>
      </c>
      <c r="D345" s="93"/>
      <c r="E345" s="8">
        <v>6</v>
      </c>
      <c r="F345" s="158">
        <v>6856.74</v>
      </c>
      <c r="G345" s="147">
        <f t="shared" si="9"/>
        <v>13370.643</v>
      </c>
      <c r="H345" s="95" t="s">
        <v>72</v>
      </c>
      <c r="I345" s="6"/>
      <c r="J345" s="53">
        <v>40485</v>
      </c>
      <c r="K345" s="93" t="s">
        <v>277</v>
      </c>
      <c r="L345" s="53">
        <v>40580</v>
      </c>
      <c r="N345" s="6"/>
    </row>
    <row r="346" spans="1:14" x14ac:dyDescent="0.2">
      <c r="A346" s="94">
        <v>40511</v>
      </c>
      <c r="B346" s="8">
        <v>306</v>
      </c>
      <c r="C346" s="193" t="s">
        <v>183</v>
      </c>
      <c r="D346" s="93"/>
      <c r="E346" s="8">
        <v>9</v>
      </c>
      <c r="F346" s="158">
        <v>16805.54</v>
      </c>
      <c r="G346" s="147">
        <f t="shared" si="9"/>
        <v>32770.803</v>
      </c>
      <c r="H346" s="95" t="s">
        <v>70</v>
      </c>
      <c r="I346" s="6"/>
      <c r="J346" s="53">
        <v>40498</v>
      </c>
      <c r="K346" s="93" t="s">
        <v>283</v>
      </c>
      <c r="L346" s="53">
        <v>40559</v>
      </c>
      <c r="N346" s="6"/>
    </row>
    <row r="347" spans="1:14" ht="13.5" customHeight="1" x14ac:dyDescent="0.2">
      <c r="A347" s="94">
        <v>40542</v>
      </c>
      <c r="B347" s="8">
        <v>315</v>
      </c>
      <c r="C347" s="96" t="s">
        <v>318</v>
      </c>
      <c r="D347" s="93"/>
      <c r="E347" s="8">
        <v>3</v>
      </c>
      <c r="F347" s="158">
        <v>11250.3</v>
      </c>
      <c r="G347" s="147">
        <f t="shared" si="9"/>
        <v>21938.084999999999</v>
      </c>
      <c r="H347" s="95" t="s">
        <v>72</v>
      </c>
      <c r="I347" s="6"/>
      <c r="J347" s="53">
        <v>40508</v>
      </c>
      <c r="K347" s="93" t="s">
        <v>283</v>
      </c>
      <c r="L347" s="53">
        <v>40569</v>
      </c>
      <c r="N347" s="6"/>
    </row>
    <row r="348" spans="1:14" x14ac:dyDescent="0.2">
      <c r="A348" s="94">
        <v>40523</v>
      </c>
      <c r="B348" s="8">
        <v>310</v>
      </c>
      <c r="C348" s="193" t="s">
        <v>192</v>
      </c>
      <c r="D348" s="93"/>
      <c r="E348" s="8">
        <v>10</v>
      </c>
      <c r="F348" s="158">
        <v>17686.14</v>
      </c>
      <c r="G348" s="147">
        <f t="shared" si="9"/>
        <v>34487.972999999998</v>
      </c>
      <c r="H348" s="82" t="s">
        <v>383</v>
      </c>
      <c r="I348" s="6"/>
      <c r="J348" s="53">
        <v>40490</v>
      </c>
      <c r="K348" s="93" t="s">
        <v>384</v>
      </c>
      <c r="L348" s="53">
        <v>40582</v>
      </c>
      <c r="N348" s="6"/>
    </row>
    <row r="349" spans="1:14" x14ac:dyDescent="0.2">
      <c r="A349" s="94">
        <v>40514</v>
      </c>
      <c r="B349" s="8">
        <v>308</v>
      </c>
      <c r="C349" s="193" t="s">
        <v>181</v>
      </c>
      <c r="D349" s="93"/>
      <c r="E349" s="8">
        <v>3</v>
      </c>
      <c r="F349" s="158">
        <v>3569.4</v>
      </c>
      <c r="G349" s="147">
        <f t="shared" si="9"/>
        <v>6960.33</v>
      </c>
      <c r="H349" s="82" t="s">
        <v>113</v>
      </c>
      <c r="I349" s="6"/>
      <c r="J349" s="53">
        <v>40499</v>
      </c>
      <c r="K349" s="93" t="s">
        <v>277</v>
      </c>
      <c r="L349" s="53">
        <v>40226</v>
      </c>
      <c r="N349" s="6"/>
    </row>
    <row r="350" spans="1:14" ht="13.5" customHeight="1" x14ac:dyDescent="0.2">
      <c r="A350" s="94">
        <v>40523</v>
      </c>
      <c r="B350" s="8">
        <v>311</v>
      </c>
      <c r="C350" s="96" t="s">
        <v>49</v>
      </c>
      <c r="D350" s="93"/>
      <c r="E350" s="8">
        <v>10</v>
      </c>
      <c r="F350" s="158">
        <v>14002.58</v>
      </c>
      <c r="G350" s="147">
        <f t="shared" si="9"/>
        <v>27305.030999999999</v>
      </c>
      <c r="H350" s="82" t="s">
        <v>113</v>
      </c>
      <c r="I350" s="6"/>
      <c r="J350" s="53">
        <v>40509</v>
      </c>
      <c r="K350" s="93" t="s">
        <v>334</v>
      </c>
      <c r="L350" s="53">
        <v>40601</v>
      </c>
      <c r="N350" s="6"/>
    </row>
    <row r="351" spans="1:14" x14ac:dyDescent="0.2">
      <c r="A351" s="94">
        <v>40526</v>
      </c>
      <c r="B351" s="8">
        <v>312</v>
      </c>
      <c r="C351" s="193" t="s">
        <v>196</v>
      </c>
      <c r="D351" s="93"/>
      <c r="E351" s="8">
        <v>9</v>
      </c>
      <c r="F351" s="158">
        <v>20686.09</v>
      </c>
      <c r="G351" s="147">
        <f t="shared" si="9"/>
        <v>40337.875500000002</v>
      </c>
      <c r="H351" s="82" t="s">
        <v>113</v>
      </c>
      <c r="I351" s="6"/>
      <c r="J351" s="53">
        <v>40507</v>
      </c>
      <c r="K351" s="93" t="s">
        <v>277</v>
      </c>
      <c r="L351" s="53">
        <v>40234</v>
      </c>
      <c r="N351" s="6"/>
    </row>
    <row r="352" spans="1:14" ht="13.5" customHeight="1" x14ac:dyDescent="0.2">
      <c r="A352" s="94">
        <v>40527</v>
      </c>
      <c r="B352" s="8">
        <v>313</v>
      </c>
      <c r="C352" s="96" t="s">
        <v>145</v>
      </c>
      <c r="D352" s="93"/>
      <c r="E352" s="8">
        <v>11</v>
      </c>
      <c r="F352" s="158">
        <v>10538.25</v>
      </c>
      <c r="G352" s="147">
        <f t="shared" si="9"/>
        <v>20549.587499999998</v>
      </c>
      <c r="H352" s="82" t="s">
        <v>113</v>
      </c>
      <c r="I352" s="6"/>
      <c r="J352" s="53">
        <v>40516</v>
      </c>
      <c r="K352" s="93" t="s">
        <v>334</v>
      </c>
      <c r="L352" s="53">
        <v>40606</v>
      </c>
      <c r="N352" s="6"/>
    </row>
    <row r="353" spans="1:14" ht="13.5" customHeight="1" x14ac:dyDescent="0.2">
      <c r="A353" s="94">
        <v>40542</v>
      </c>
      <c r="B353" s="8">
        <v>316</v>
      </c>
      <c r="C353" s="193" t="s">
        <v>319</v>
      </c>
      <c r="D353" s="93"/>
      <c r="E353" s="8">
        <v>3</v>
      </c>
      <c r="F353" s="158">
        <v>6191.4</v>
      </c>
      <c r="G353" s="147">
        <f>F353*1.95</f>
        <v>12073.23</v>
      </c>
      <c r="H353" s="95" t="s">
        <v>72</v>
      </c>
      <c r="I353" s="6"/>
      <c r="J353" s="53">
        <v>40533</v>
      </c>
      <c r="K353" s="93" t="s">
        <v>277</v>
      </c>
      <c r="L353" s="53">
        <v>40623</v>
      </c>
      <c r="N353" s="6"/>
    </row>
    <row r="354" spans="1:14" ht="13.5" customHeight="1" x14ac:dyDescent="0.2">
      <c r="A354" s="94">
        <v>40542</v>
      </c>
      <c r="B354" s="8">
        <v>317</v>
      </c>
      <c r="C354" s="96" t="s">
        <v>172</v>
      </c>
      <c r="D354" s="93"/>
      <c r="E354" s="8">
        <v>8</v>
      </c>
      <c r="F354" s="158">
        <v>6446.32</v>
      </c>
      <c r="G354" s="147">
        <f>F354*1.95</f>
        <v>12570.323999999999</v>
      </c>
      <c r="H354" s="82" t="s">
        <v>113</v>
      </c>
      <c r="I354" s="6"/>
      <c r="J354" s="53">
        <v>40523</v>
      </c>
      <c r="K354" s="93" t="s">
        <v>334</v>
      </c>
      <c r="L354" s="53">
        <v>40613</v>
      </c>
      <c r="N354" s="6"/>
    </row>
    <row r="355" spans="1:14" ht="13.5" customHeight="1" x14ac:dyDescent="0.2">
      <c r="A355" s="94"/>
      <c r="B355" s="8"/>
      <c r="C355" s="96"/>
      <c r="D355" s="93"/>
      <c r="E355" s="8"/>
      <c r="F355" s="158"/>
      <c r="G355" s="147"/>
      <c r="H355" s="82"/>
      <c r="I355" s="6"/>
      <c r="J355" s="53"/>
      <c r="K355" s="93"/>
      <c r="L355" s="53"/>
      <c r="N355" s="6"/>
    </row>
    <row r="356" spans="1:14" x14ac:dyDescent="0.2">
      <c r="A356" s="94"/>
      <c r="B356" s="8"/>
      <c r="C356" s="193"/>
      <c r="D356" s="93"/>
      <c r="E356" s="8"/>
      <c r="F356" s="158"/>
      <c r="G356" s="147"/>
      <c r="H356" s="82"/>
      <c r="I356" s="6"/>
      <c r="J356" s="53"/>
      <c r="K356" s="93"/>
      <c r="L356" s="53"/>
      <c r="N356" s="6"/>
    </row>
    <row r="357" spans="1:14" x14ac:dyDescent="0.2">
      <c r="A357" s="94"/>
      <c r="B357" s="93"/>
      <c r="C357" s="193" t="s">
        <v>400</v>
      </c>
      <c r="D357" s="93"/>
      <c r="E357" s="93"/>
      <c r="F357" s="174"/>
      <c r="G357" s="147">
        <f>SUM(G237:G354)</f>
        <v>3024378.1972300005</v>
      </c>
      <c r="H357" s="82"/>
      <c r="I357" s="6"/>
      <c r="J357" s="53"/>
      <c r="K357" s="93"/>
      <c r="L357" s="53"/>
      <c r="N357" s="6"/>
    </row>
    <row r="358" spans="1:14" x14ac:dyDescent="0.2">
      <c r="A358" s="94"/>
      <c r="B358" s="8"/>
      <c r="C358" s="193"/>
      <c r="D358" s="93"/>
      <c r="E358" s="8"/>
      <c r="F358" s="158"/>
      <c r="G358" s="147"/>
      <c r="H358" s="82"/>
      <c r="I358" s="6"/>
      <c r="J358" s="53"/>
      <c r="K358" s="93"/>
      <c r="L358" s="53"/>
      <c r="N358" s="6"/>
    </row>
    <row r="359" spans="1:14" x14ac:dyDescent="0.2">
      <c r="A359" s="94"/>
      <c r="B359" s="8"/>
      <c r="C359" s="193"/>
      <c r="D359" s="93"/>
      <c r="E359" s="8"/>
      <c r="F359" s="158"/>
      <c r="G359" s="147"/>
      <c r="H359" s="82"/>
      <c r="I359" s="6"/>
      <c r="J359" s="53"/>
      <c r="K359" s="93"/>
      <c r="L359" s="53"/>
      <c r="N359" s="6"/>
    </row>
    <row r="360" spans="1:14" x14ac:dyDescent="0.2">
      <c r="A360" s="94">
        <v>40549</v>
      </c>
      <c r="B360" s="8">
        <v>320</v>
      </c>
      <c r="C360" s="193" t="s">
        <v>324</v>
      </c>
      <c r="D360" s="93"/>
      <c r="E360" s="8">
        <v>1</v>
      </c>
      <c r="F360" s="158">
        <v>13527.72</v>
      </c>
      <c r="G360" s="147">
        <f>F360*1.4</f>
        <v>18938.807999999997</v>
      </c>
      <c r="H360" s="82" t="s">
        <v>113</v>
      </c>
      <c r="I360" s="6"/>
      <c r="J360" s="53">
        <v>40497</v>
      </c>
      <c r="K360" s="93" t="s">
        <v>278</v>
      </c>
      <c r="L360" s="53">
        <v>40193</v>
      </c>
      <c r="N360" s="6"/>
    </row>
    <row r="361" spans="1:14" x14ac:dyDescent="0.2">
      <c r="A361" s="94">
        <v>40549</v>
      </c>
      <c r="B361" s="8">
        <v>321</v>
      </c>
      <c r="C361" s="193" t="s">
        <v>286</v>
      </c>
      <c r="D361" s="93"/>
      <c r="E361" s="8">
        <v>4</v>
      </c>
      <c r="F361" s="158">
        <v>10569.84</v>
      </c>
      <c r="G361" s="147">
        <f t="shared" ref="G361:G373" si="10">F361*1.95</f>
        <v>20611.187999999998</v>
      </c>
      <c r="H361" s="82" t="s">
        <v>113</v>
      </c>
      <c r="I361" s="6"/>
      <c r="J361" s="53">
        <v>40505</v>
      </c>
      <c r="K361" s="93" t="s">
        <v>385</v>
      </c>
      <c r="L361" s="53">
        <v>40535</v>
      </c>
      <c r="N361" s="6"/>
    </row>
    <row r="362" spans="1:14" x14ac:dyDescent="0.2">
      <c r="A362" s="94">
        <v>40548</v>
      </c>
      <c r="B362" s="8">
        <v>318</v>
      </c>
      <c r="C362" s="193" t="s">
        <v>382</v>
      </c>
      <c r="D362" s="93"/>
      <c r="E362" s="8">
        <v>3</v>
      </c>
      <c r="F362" s="158">
        <v>6043.94</v>
      </c>
      <c r="G362" s="147">
        <f t="shared" si="10"/>
        <v>11785.682999999999</v>
      </c>
      <c r="H362" s="82" t="s">
        <v>113</v>
      </c>
      <c r="I362" s="6"/>
      <c r="J362" s="53"/>
      <c r="K362" s="93" t="s">
        <v>250</v>
      </c>
      <c r="L362" s="53"/>
      <c r="N362" s="6"/>
    </row>
    <row r="363" spans="1:14" x14ac:dyDescent="0.2">
      <c r="A363" s="94">
        <v>40583</v>
      </c>
      <c r="B363" s="8">
        <v>329</v>
      </c>
      <c r="C363" s="193" t="s">
        <v>166</v>
      </c>
      <c r="D363" s="93"/>
      <c r="E363" s="8">
        <v>20</v>
      </c>
      <c r="F363" s="158">
        <v>101908.8</v>
      </c>
      <c r="G363" s="147">
        <f t="shared" si="10"/>
        <v>198722.16</v>
      </c>
      <c r="H363" s="6" t="s">
        <v>72</v>
      </c>
      <c r="I363" s="6"/>
      <c r="J363" s="53"/>
      <c r="K363" s="93" t="s">
        <v>167</v>
      </c>
      <c r="L363" s="53"/>
      <c r="N363" s="6"/>
    </row>
    <row r="364" spans="1:14" ht="13.5" customHeight="1" x14ac:dyDescent="0.2">
      <c r="A364" s="94">
        <v>40590</v>
      </c>
      <c r="B364" s="8">
        <v>330</v>
      </c>
      <c r="C364" s="96" t="s">
        <v>387</v>
      </c>
      <c r="D364" s="93"/>
      <c r="E364" s="8">
        <v>1</v>
      </c>
      <c r="F364" s="158">
        <v>7230.88</v>
      </c>
      <c r="G364" s="147">
        <f t="shared" si="10"/>
        <v>14100.216</v>
      </c>
      <c r="H364" s="95" t="s">
        <v>70</v>
      </c>
      <c r="I364" s="6"/>
      <c r="J364" s="53">
        <v>40188</v>
      </c>
      <c r="K364" s="93" t="s">
        <v>388</v>
      </c>
      <c r="L364" s="53">
        <v>40247</v>
      </c>
      <c r="N364" s="6"/>
    </row>
    <row r="365" spans="1:14" ht="13.5" customHeight="1" x14ac:dyDescent="0.2">
      <c r="A365" s="94">
        <v>40568</v>
      </c>
      <c r="B365" s="8">
        <v>326</v>
      </c>
      <c r="C365" s="96" t="s">
        <v>338</v>
      </c>
      <c r="D365" s="93"/>
      <c r="E365" s="8">
        <v>2</v>
      </c>
      <c r="F365" s="158">
        <v>7954.29</v>
      </c>
      <c r="G365" s="147">
        <f t="shared" si="10"/>
        <v>15510.8655</v>
      </c>
      <c r="H365" s="82" t="s">
        <v>70</v>
      </c>
      <c r="I365" s="6"/>
      <c r="J365" s="53">
        <v>40522</v>
      </c>
      <c r="K365" s="93" t="s">
        <v>343</v>
      </c>
      <c r="L365" s="53">
        <v>40598</v>
      </c>
      <c r="N365" s="6"/>
    </row>
    <row r="366" spans="1:14" x14ac:dyDescent="0.2">
      <c r="A366" s="94">
        <v>40551</v>
      </c>
      <c r="B366" s="8">
        <v>322</v>
      </c>
      <c r="C366" s="193" t="s">
        <v>223</v>
      </c>
      <c r="D366" s="93"/>
      <c r="E366" s="8">
        <v>4</v>
      </c>
      <c r="F366" s="158">
        <v>9780</v>
      </c>
      <c r="G366" s="147">
        <f t="shared" si="10"/>
        <v>19071</v>
      </c>
      <c r="H366" s="82" t="s">
        <v>113</v>
      </c>
      <c r="I366" s="6"/>
      <c r="J366" s="53">
        <v>40537</v>
      </c>
      <c r="K366" s="93" t="s">
        <v>278</v>
      </c>
      <c r="L366" s="53">
        <v>40595</v>
      </c>
      <c r="N366" s="6"/>
    </row>
    <row r="367" spans="1:14" x14ac:dyDescent="0.2">
      <c r="A367" s="94">
        <v>40567</v>
      </c>
      <c r="B367" s="8">
        <v>325</v>
      </c>
      <c r="C367" s="193" t="s">
        <v>177</v>
      </c>
      <c r="D367" s="93"/>
      <c r="E367" s="8">
        <v>5</v>
      </c>
      <c r="F367" s="158">
        <v>9887.64</v>
      </c>
      <c r="G367" s="147">
        <f t="shared" si="10"/>
        <v>19280.897999999997</v>
      </c>
      <c r="H367" s="82" t="s">
        <v>113</v>
      </c>
      <c r="I367" s="6"/>
      <c r="J367" s="53">
        <v>40532</v>
      </c>
      <c r="K367" s="93" t="s">
        <v>283</v>
      </c>
      <c r="L367" s="53">
        <v>40604</v>
      </c>
      <c r="N367" s="6"/>
    </row>
    <row r="368" spans="1:14" x14ac:dyDescent="0.2">
      <c r="A368" s="94">
        <v>40577</v>
      </c>
      <c r="B368" s="8">
        <v>328</v>
      </c>
      <c r="C368" s="193" t="s">
        <v>208</v>
      </c>
      <c r="D368" s="93"/>
      <c r="E368" s="8">
        <v>5</v>
      </c>
      <c r="F368" s="158">
        <v>8325.1</v>
      </c>
      <c r="G368" s="147">
        <f t="shared" si="10"/>
        <v>16233.945</v>
      </c>
      <c r="H368" s="82" t="s">
        <v>113</v>
      </c>
      <c r="I368" s="6"/>
      <c r="J368" s="53">
        <v>40537</v>
      </c>
      <c r="K368" s="93" t="s">
        <v>283</v>
      </c>
      <c r="L368" s="53">
        <v>40609</v>
      </c>
      <c r="N368" s="6"/>
    </row>
    <row r="369" spans="1:15" x14ac:dyDescent="0.2">
      <c r="A369" s="94">
        <v>40603</v>
      </c>
      <c r="B369" s="8">
        <v>332</v>
      </c>
      <c r="C369" s="96" t="s">
        <v>293</v>
      </c>
      <c r="D369" s="93"/>
      <c r="E369" s="8">
        <v>3</v>
      </c>
      <c r="F369" s="158">
        <v>4440</v>
      </c>
      <c r="G369" s="147">
        <f t="shared" si="10"/>
        <v>8658</v>
      </c>
      <c r="H369" s="82" t="s">
        <v>113</v>
      </c>
      <c r="I369" s="6"/>
      <c r="J369" s="53"/>
      <c r="K369" s="93" t="s">
        <v>385</v>
      </c>
      <c r="L369" s="53"/>
      <c r="N369" s="6"/>
    </row>
    <row r="370" spans="1:15" ht="13.5" customHeight="1" x14ac:dyDescent="0.2">
      <c r="A370" s="94">
        <v>40547</v>
      </c>
      <c r="B370" s="8">
        <v>319</v>
      </c>
      <c r="C370" s="193" t="s">
        <v>188</v>
      </c>
      <c r="D370" s="93"/>
      <c r="E370" s="8">
        <v>2</v>
      </c>
      <c r="F370" s="158">
        <v>22542.89</v>
      </c>
      <c r="G370" s="147">
        <f t="shared" si="10"/>
        <v>43958.635499999997</v>
      </c>
      <c r="H370" s="82" t="s">
        <v>330</v>
      </c>
      <c r="I370" s="6"/>
      <c r="J370" s="53">
        <v>40533</v>
      </c>
      <c r="K370" s="93" t="s">
        <v>277</v>
      </c>
      <c r="L370" s="53">
        <v>40625</v>
      </c>
      <c r="N370" s="6"/>
    </row>
    <row r="371" spans="1:15" x14ac:dyDescent="0.2">
      <c r="A371" s="94">
        <v>40551</v>
      </c>
      <c r="B371" s="8">
        <v>323</v>
      </c>
      <c r="C371" s="193" t="s">
        <v>121</v>
      </c>
      <c r="D371" s="93"/>
      <c r="E371" s="8">
        <v>5</v>
      </c>
      <c r="F371" s="158">
        <v>10707.7</v>
      </c>
      <c r="G371" s="147">
        <f t="shared" si="10"/>
        <v>20880.014999999999</v>
      </c>
      <c r="H371" s="82" t="s">
        <v>113</v>
      </c>
      <c r="I371" s="6"/>
      <c r="J371" s="53">
        <v>40532</v>
      </c>
      <c r="K371" s="93" t="s">
        <v>277</v>
      </c>
      <c r="L371" s="53">
        <v>40632</v>
      </c>
      <c r="N371" s="6"/>
    </row>
    <row r="372" spans="1:15" x14ac:dyDescent="0.2">
      <c r="A372" s="94">
        <v>40568</v>
      </c>
      <c r="B372" s="8">
        <v>327</v>
      </c>
      <c r="C372" s="193" t="s">
        <v>374</v>
      </c>
      <c r="D372" s="93"/>
      <c r="E372" s="8">
        <v>1</v>
      </c>
      <c r="F372" s="158">
        <v>13747.55</v>
      </c>
      <c r="G372" s="147">
        <f t="shared" si="10"/>
        <v>26807.722499999996</v>
      </c>
      <c r="H372" s="82" t="s">
        <v>113</v>
      </c>
      <c r="I372" s="6"/>
      <c r="J372" s="53">
        <v>40532</v>
      </c>
      <c r="K372" s="93" t="s">
        <v>277</v>
      </c>
      <c r="L372" s="53">
        <v>40633</v>
      </c>
      <c r="N372" s="6"/>
    </row>
    <row r="373" spans="1:15" x14ac:dyDescent="0.2">
      <c r="A373" s="94">
        <v>40567</v>
      </c>
      <c r="B373" s="8">
        <v>324</v>
      </c>
      <c r="C373" s="193" t="s">
        <v>381</v>
      </c>
      <c r="D373" s="93"/>
      <c r="E373" s="8">
        <v>9</v>
      </c>
      <c r="F373" s="158">
        <v>6747.48</v>
      </c>
      <c r="G373" s="147">
        <f t="shared" si="10"/>
        <v>13157.585999999999</v>
      </c>
      <c r="H373" s="82" t="s">
        <v>113</v>
      </c>
      <c r="I373" s="6"/>
      <c r="J373" s="53">
        <v>40532</v>
      </c>
      <c r="K373" s="93" t="s">
        <v>334</v>
      </c>
      <c r="L373" s="53">
        <v>40631</v>
      </c>
      <c r="N373" s="6"/>
    </row>
    <row r="374" spans="1:15" x14ac:dyDescent="0.2">
      <c r="B374" s="8">
        <v>337</v>
      </c>
      <c r="C374" s="193" t="s">
        <v>308</v>
      </c>
      <c r="D374" s="93"/>
      <c r="E374" s="8">
        <v>2</v>
      </c>
      <c r="F374" s="158">
        <v>29885.46</v>
      </c>
      <c r="G374" s="147">
        <f>F374*1.4</f>
        <v>41839.643999999993</v>
      </c>
      <c r="H374" s="82" t="s">
        <v>330</v>
      </c>
      <c r="I374" s="6"/>
      <c r="J374" s="53"/>
      <c r="K374" s="93" t="s">
        <v>167</v>
      </c>
      <c r="L374" s="53">
        <v>40237</v>
      </c>
      <c r="N374" s="6"/>
    </row>
    <row r="375" spans="1:15" x14ac:dyDescent="0.2">
      <c r="A375" s="94">
        <v>40598</v>
      </c>
      <c r="B375" s="8">
        <v>331</v>
      </c>
      <c r="C375" s="193" t="s">
        <v>380</v>
      </c>
      <c r="D375" s="93"/>
      <c r="E375" s="8">
        <v>2</v>
      </c>
      <c r="F375" s="158">
        <v>27515</v>
      </c>
      <c r="G375" s="147">
        <f>F375*1.95</f>
        <v>53654.25</v>
      </c>
      <c r="H375" s="82" t="s">
        <v>113</v>
      </c>
      <c r="I375" s="6"/>
      <c r="J375" s="53">
        <v>40198</v>
      </c>
      <c r="K375" s="93" t="s">
        <v>401</v>
      </c>
      <c r="L375" s="53">
        <v>40288</v>
      </c>
      <c r="N375" s="6"/>
    </row>
    <row r="376" spans="1:15" x14ac:dyDescent="0.2">
      <c r="B376" s="8">
        <v>334</v>
      </c>
      <c r="C376" s="193" t="s">
        <v>139</v>
      </c>
      <c r="D376" s="93"/>
      <c r="E376" s="8">
        <v>18</v>
      </c>
      <c r="F376" s="158">
        <v>39303.949999999997</v>
      </c>
      <c r="G376" s="147">
        <f>F376*1.95</f>
        <v>76642.702499999999</v>
      </c>
      <c r="H376" s="82" t="s">
        <v>330</v>
      </c>
      <c r="I376" s="6"/>
      <c r="J376" s="53">
        <v>40532</v>
      </c>
      <c r="K376" s="93" t="s">
        <v>277</v>
      </c>
      <c r="L376" s="53">
        <v>40257</v>
      </c>
      <c r="N376" s="6"/>
    </row>
    <row r="377" spans="1:15" x14ac:dyDescent="0.2">
      <c r="A377" s="94">
        <v>40625</v>
      </c>
      <c r="B377" s="8">
        <v>336</v>
      </c>
      <c r="C377" s="96" t="s">
        <v>176</v>
      </c>
      <c r="D377" s="93"/>
      <c r="E377" s="8">
        <v>6</v>
      </c>
      <c r="F377" s="158">
        <v>2971</v>
      </c>
      <c r="G377" s="147">
        <f>F377*1.95</f>
        <v>5793.45</v>
      </c>
      <c r="H377" s="82" t="s">
        <v>70</v>
      </c>
      <c r="I377" s="6"/>
      <c r="J377" s="53"/>
      <c r="K377" s="93" t="s">
        <v>250</v>
      </c>
      <c r="L377" s="53"/>
      <c r="N377" s="6"/>
    </row>
    <row r="378" spans="1:15" x14ac:dyDescent="0.2">
      <c r="B378" s="8">
        <v>344</v>
      </c>
      <c r="C378" s="96" t="s">
        <v>193</v>
      </c>
      <c r="D378" s="93"/>
      <c r="E378" s="8">
        <v>9</v>
      </c>
      <c r="F378" s="158">
        <v>8950</v>
      </c>
      <c r="G378" s="147">
        <f>F378*1.95</f>
        <v>17452.5</v>
      </c>
      <c r="H378" s="106" t="s">
        <v>72</v>
      </c>
      <c r="I378" s="6"/>
      <c r="J378" s="53"/>
      <c r="K378" s="93" t="s">
        <v>250</v>
      </c>
      <c r="L378" s="53"/>
      <c r="N378" s="6"/>
    </row>
    <row r="379" spans="1:15" x14ac:dyDescent="0.2">
      <c r="B379" s="8">
        <v>338</v>
      </c>
      <c r="C379" s="96" t="s">
        <v>185</v>
      </c>
      <c r="D379" s="93"/>
      <c r="E379" s="8">
        <v>6</v>
      </c>
      <c r="F379" s="158">
        <v>2924.05</v>
      </c>
      <c r="G379" s="147">
        <f t="shared" ref="G379:G385" si="11">F379*2</f>
        <v>5848.1</v>
      </c>
      <c r="H379" s="82" t="s">
        <v>113</v>
      </c>
      <c r="I379" s="6"/>
      <c r="J379" s="53">
        <v>40619</v>
      </c>
      <c r="K379" s="93" t="s">
        <v>278</v>
      </c>
      <c r="L379" s="53">
        <v>40675</v>
      </c>
      <c r="N379" s="6"/>
      <c r="O379" s="50"/>
    </row>
    <row r="380" spans="1:15" x14ac:dyDescent="0.2">
      <c r="B380" s="8">
        <v>341</v>
      </c>
      <c r="C380" s="96" t="s">
        <v>298</v>
      </c>
      <c r="D380" s="93"/>
      <c r="E380" s="8">
        <v>2</v>
      </c>
      <c r="F380" s="158">
        <v>5616.8</v>
      </c>
      <c r="G380" s="147">
        <f t="shared" si="11"/>
        <v>11233.6</v>
      </c>
      <c r="H380" s="82" t="s">
        <v>113</v>
      </c>
      <c r="I380" s="6"/>
      <c r="J380" s="53">
        <v>40624</v>
      </c>
      <c r="K380" s="93" t="s">
        <v>278</v>
      </c>
      <c r="L380" s="53">
        <v>40685</v>
      </c>
      <c r="N380" s="6"/>
      <c r="O380" s="50"/>
    </row>
    <row r="381" spans="1:15" ht="13.5" customHeight="1" x14ac:dyDescent="0.2">
      <c r="A381" s="94">
        <v>40603</v>
      </c>
      <c r="B381" s="8">
        <v>333</v>
      </c>
      <c r="C381" s="193" t="s">
        <v>248</v>
      </c>
      <c r="D381" s="93"/>
      <c r="E381" s="8">
        <v>3</v>
      </c>
      <c r="F381" s="158">
        <v>17535.400000000001</v>
      </c>
      <c r="G381" s="147">
        <f t="shared" si="11"/>
        <v>35070.800000000003</v>
      </c>
      <c r="H381" s="82" t="s">
        <v>113</v>
      </c>
      <c r="I381" s="6"/>
      <c r="J381" s="53">
        <v>40585</v>
      </c>
      <c r="K381" s="93" t="s">
        <v>277</v>
      </c>
      <c r="L381" s="53">
        <v>40674</v>
      </c>
      <c r="N381" s="6"/>
      <c r="O381" s="50"/>
    </row>
    <row r="382" spans="1:15" x14ac:dyDescent="0.2">
      <c r="B382" s="8">
        <v>339</v>
      </c>
      <c r="C382" s="96" t="s">
        <v>180</v>
      </c>
      <c r="D382" s="93"/>
      <c r="E382" s="8">
        <v>6</v>
      </c>
      <c r="F382" s="158">
        <v>4234</v>
      </c>
      <c r="G382" s="147">
        <f t="shared" si="11"/>
        <v>8468</v>
      </c>
      <c r="H382" s="82" t="s">
        <v>113</v>
      </c>
      <c r="I382" s="6"/>
      <c r="J382" s="53">
        <v>40619</v>
      </c>
      <c r="K382" s="93" t="s">
        <v>278</v>
      </c>
      <c r="L382" s="53">
        <v>40697</v>
      </c>
      <c r="N382" s="6"/>
      <c r="O382" s="50"/>
    </row>
    <row r="383" spans="1:15" x14ac:dyDescent="0.2">
      <c r="A383" s="360"/>
      <c r="B383" s="8">
        <v>361</v>
      </c>
      <c r="C383" s="193" t="s">
        <v>166</v>
      </c>
      <c r="D383" s="93"/>
      <c r="E383" s="8">
        <v>21</v>
      </c>
      <c r="F383" s="158">
        <v>104924</v>
      </c>
      <c r="G383" s="147">
        <f t="shared" si="11"/>
        <v>209848</v>
      </c>
      <c r="H383" s="82" t="s">
        <v>113</v>
      </c>
      <c r="I383" s="6"/>
      <c r="J383" s="53">
        <v>40663</v>
      </c>
      <c r="K383" s="193" t="s">
        <v>272</v>
      </c>
      <c r="L383" s="357"/>
      <c r="N383" s="6"/>
    </row>
    <row r="384" spans="1:15" x14ac:dyDescent="0.2">
      <c r="B384" s="8">
        <v>366</v>
      </c>
      <c r="C384" s="193" t="s">
        <v>360</v>
      </c>
      <c r="D384" s="93"/>
      <c r="E384" s="8">
        <v>3</v>
      </c>
      <c r="F384" s="158">
        <v>5713.92</v>
      </c>
      <c r="G384" s="147">
        <f t="shared" si="11"/>
        <v>11427.84</v>
      </c>
      <c r="H384" s="82" t="s">
        <v>113</v>
      </c>
      <c r="I384" s="6"/>
      <c r="J384" s="53"/>
      <c r="K384" s="93" t="s">
        <v>250</v>
      </c>
      <c r="L384" s="53"/>
      <c r="N384" s="6"/>
    </row>
    <row r="385" spans="1:15" x14ac:dyDescent="0.2">
      <c r="A385" s="94">
        <v>40687</v>
      </c>
      <c r="B385" s="8">
        <v>362</v>
      </c>
      <c r="C385" s="96" t="s">
        <v>193</v>
      </c>
      <c r="D385" s="93"/>
      <c r="E385" s="8">
        <v>10</v>
      </c>
      <c r="F385" s="158">
        <v>18150</v>
      </c>
      <c r="G385" s="147">
        <f t="shared" si="11"/>
        <v>36300</v>
      </c>
      <c r="H385" s="106" t="s">
        <v>72</v>
      </c>
      <c r="I385" s="6"/>
      <c r="J385" s="53"/>
      <c r="K385" s="93" t="s">
        <v>250</v>
      </c>
      <c r="L385" s="53"/>
      <c r="N385" s="6"/>
    </row>
    <row r="386" spans="1:15" x14ac:dyDescent="0.2">
      <c r="B386" s="8"/>
      <c r="C386" s="193"/>
      <c r="D386" s="93"/>
      <c r="E386" s="8"/>
      <c r="F386" s="158"/>
      <c r="G386" s="147"/>
      <c r="H386" s="106"/>
      <c r="I386" s="6"/>
      <c r="J386" s="53"/>
      <c r="K386" s="193"/>
      <c r="L386" s="357"/>
      <c r="N386" s="6"/>
    </row>
    <row r="387" spans="1:15" x14ac:dyDescent="0.2">
      <c r="B387" s="8">
        <v>343</v>
      </c>
      <c r="C387" s="96" t="s">
        <v>307</v>
      </c>
      <c r="D387" s="93"/>
      <c r="E387" s="8">
        <v>7</v>
      </c>
      <c r="F387" s="158">
        <v>25412.9</v>
      </c>
      <c r="G387" s="147">
        <f>F387*2</f>
        <v>50825.8</v>
      </c>
      <c r="H387" s="82" t="s">
        <v>113</v>
      </c>
      <c r="I387" s="6"/>
      <c r="J387" s="53">
        <v>40615</v>
      </c>
      <c r="K387" s="93" t="s">
        <v>278</v>
      </c>
      <c r="L387" s="53">
        <v>40676</v>
      </c>
      <c r="N387" s="6"/>
      <c r="O387" s="50"/>
    </row>
    <row r="388" spans="1:15" x14ac:dyDescent="0.2">
      <c r="A388" s="94">
        <v>40620</v>
      </c>
      <c r="B388" s="8">
        <v>335</v>
      </c>
      <c r="C388" s="193" t="s">
        <v>64</v>
      </c>
      <c r="D388" s="93"/>
      <c r="E388" s="8">
        <v>8</v>
      </c>
      <c r="F388" s="158">
        <v>5484.4</v>
      </c>
      <c r="G388" s="147">
        <f>F388*2</f>
        <v>10968.8</v>
      </c>
      <c r="H388" s="82" t="s">
        <v>113</v>
      </c>
      <c r="I388" s="6"/>
      <c r="J388" s="53">
        <v>40612</v>
      </c>
      <c r="K388" s="93" t="s">
        <v>334</v>
      </c>
      <c r="L388" s="53">
        <v>40704</v>
      </c>
      <c r="N388" s="6"/>
      <c r="O388" s="50"/>
    </row>
    <row r="389" spans="1:15" x14ac:dyDescent="0.2">
      <c r="B389" s="8">
        <v>353</v>
      </c>
      <c r="C389" s="96" t="s">
        <v>223</v>
      </c>
      <c r="D389" s="93"/>
      <c r="E389" s="8">
        <v>5</v>
      </c>
      <c r="F389" s="158">
        <v>13260</v>
      </c>
      <c r="G389" s="147">
        <f>F389*2</f>
        <v>26520</v>
      </c>
      <c r="H389" s="82" t="s">
        <v>113</v>
      </c>
      <c r="I389" s="6"/>
      <c r="J389" s="53">
        <v>40645</v>
      </c>
      <c r="K389" s="93" t="s">
        <v>278</v>
      </c>
      <c r="L389" s="53">
        <v>40706</v>
      </c>
      <c r="N389" s="6"/>
      <c r="O389" s="50"/>
    </row>
    <row r="390" spans="1:15" x14ac:dyDescent="0.2">
      <c r="B390" s="8">
        <v>351</v>
      </c>
      <c r="C390" s="96" t="s">
        <v>304</v>
      </c>
      <c r="D390" s="93"/>
      <c r="E390" s="8">
        <v>2</v>
      </c>
      <c r="F390" s="158">
        <v>9791.9</v>
      </c>
      <c r="G390" s="147">
        <f>F390*2</f>
        <v>19583.8</v>
      </c>
      <c r="H390" s="82" t="s">
        <v>397</v>
      </c>
      <c r="I390" s="6"/>
      <c r="J390" s="53">
        <v>40642</v>
      </c>
      <c r="K390" s="93" t="s">
        <v>278</v>
      </c>
      <c r="L390" s="53">
        <v>40703</v>
      </c>
      <c r="N390" s="6"/>
      <c r="O390" s="50"/>
    </row>
    <row r="391" spans="1:15" x14ac:dyDescent="0.2">
      <c r="B391" s="8">
        <v>340</v>
      </c>
      <c r="C391" s="96" t="s">
        <v>192</v>
      </c>
      <c r="D391" s="93"/>
      <c r="E391" s="8">
        <v>11</v>
      </c>
      <c r="F391" s="158">
        <v>15159.55</v>
      </c>
      <c r="G391" s="147">
        <f>F391*2</f>
        <v>30319.1</v>
      </c>
      <c r="H391" s="82" t="s">
        <v>397</v>
      </c>
      <c r="I391" s="6"/>
      <c r="J391" s="53">
        <v>40621</v>
      </c>
      <c r="K391" s="93" t="s">
        <v>277</v>
      </c>
      <c r="L391" s="53">
        <v>40713</v>
      </c>
      <c r="N391" s="6"/>
      <c r="O391" s="50"/>
    </row>
    <row r="392" spans="1:15" x14ac:dyDescent="0.2">
      <c r="B392" s="8"/>
      <c r="C392" s="96"/>
      <c r="D392" s="93"/>
      <c r="E392" s="8"/>
      <c r="F392" s="158"/>
      <c r="G392" s="147"/>
      <c r="H392" s="106"/>
      <c r="I392" s="6"/>
      <c r="J392" s="53"/>
      <c r="K392" s="93"/>
      <c r="L392" s="53"/>
      <c r="N392" s="6"/>
      <c r="O392" s="50"/>
    </row>
    <row r="393" spans="1:15" ht="13.5" customHeight="1" x14ac:dyDescent="0.2">
      <c r="B393" s="8">
        <v>342</v>
      </c>
      <c r="C393" s="96" t="s">
        <v>145</v>
      </c>
      <c r="D393" s="93"/>
      <c r="E393" s="8">
        <v>12</v>
      </c>
      <c r="F393" s="158">
        <v>21655.26</v>
      </c>
      <c r="G393" s="147">
        <f t="shared" ref="G393:G398" si="12">F393*2</f>
        <v>43310.52</v>
      </c>
      <c r="H393" s="82" t="s">
        <v>113</v>
      </c>
      <c r="I393" s="6"/>
      <c r="J393" s="53">
        <v>40628</v>
      </c>
      <c r="K393" s="93" t="s">
        <v>334</v>
      </c>
      <c r="L393" s="53">
        <v>40720</v>
      </c>
      <c r="N393" s="6"/>
      <c r="O393" s="50"/>
    </row>
    <row r="394" spans="1:15" x14ac:dyDescent="0.2">
      <c r="B394" s="8">
        <v>350</v>
      </c>
      <c r="C394" s="96" t="s">
        <v>353</v>
      </c>
      <c r="D394" s="93"/>
      <c r="E394" s="8">
        <v>2</v>
      </c>
      <c r="F394" s="158">
        <v>10004.700000000001</v>
      </c>
      <c r="G394" s="147">
        <f t="shared" si="12"/>
        <v>20009.400000000001</v>
      </c>
      <c r="H394" s="82" t="s">
        <v>113</v>
      </c>
      <c r="I394" s="6"/>
      <c r="J394" s="53">
        <v>40623</v>
      </c>
      <c r="K394" s="93" t="s">
        <v>277</v>
      </c>
      <c r="L394" s="53">
        <v>40724</v>
      </c>
      <c r="N394" s="6"/>
      <c r="O394" s="50"/>
    </row>
    <row r="395" spans="1:15" x14ac:dyDescent="0.2">
      <c r="B395" s="8">
        <v>367</v>
      </c>
      <c r="C395" s="96" t="s">
        <v>352</v>
      </c>
      <c r="D395" s="93"/>
      <c r="E395" s="8">
        <v>5</v>
      </c>
      <c r="F395" s="158">
        <v>13320</v>
      </c>
      <c r="G395" s="147">
        <f t="shared" si="12"/>
        <v>26640</v>
      </c>
      <c r="H395" s="82" t="s">
        <v>113</v>
      </c>
      <c r="I395" s="6"/>
      <c r="J395" s="53">
        <v>40659</v>
      </c>
      <c r="K395" s="93" t="s">
        <v>278</v>
      </c>
      <c r="L395" s="53">
        <v>40720</v>
      </c>
      <c r="N395" s="6"/>
      <c r="O395" s="50"/>
    </row>
    <row r="396" spans="1:15" x14ac:dyDescent="0.2">
      <c r="B396" s="8">
        <v>365</v>
      </c>
      <c r="C396" s="193" t="s">
        <v>398</v>
      </c>
      <c r="D396" s="93"/>
      <c r="E396" s="8">
        <v>2</v>
      </c>
      <c r="F396" s="158">
        <v>9781.4</v>
      </c>
      <c r="G396" s="147">
        <f t="shared" si="12"/>
        <v>19562.8</v>
      </c>
      <c r="H396" s="106" t="s">
        <v>330</v>
      </c>
      <c r="I396" s="6"/>
      <c r="J396" s="53">
        <v>40660</v>
      </c>
      <c r="K396" s="193" t="s">
        <v>402</v>
      </c>
      <c r="L396" s="53">
        <v>40721</v>
      </c>
      <c r="N396" s="6"/>
      <c r="O396" s="50"/>
    </row>
    <row r="397" spans="1:15" x14ac:dyDescent="0.2">
      <c r="B397" s="8">
        <v>383</v>
      </c>
      <c r="C397" s="193" t="s">
        <v>51</v>
      </c>
      <c r="D397" s="93"/>
      <c r="E397" s="8">
        <v>8</v>
      </c>
      <c r="F397" s="158">
        <v>15888.12</v>
      </c>
      <c r="G397" s="147">
        <f t="shared" si="12"/>
        <v>31776.240000000002</v>
      </c>
      <c r="H397" s="106" t="s">
        <v>330</v>
      </c>
      <c r="I397" s="6"/>
      <c r="J397" s="53"/>
      <c r="K397" s="193" t="s">
        <v>403</v>
      </c>
      <c r="L397" s="53"/>
      <c r="N397" s="6"/>
    </row>
    <row r="398" spans="1:15" x14ac:dyDescent="0.2">
      <c r="B398" s="8">
        <v>375</v>
      </c>
      <c r="C398" s="96" t="s">
        <v>338</v>
      </c>
      <c r="D398" s="93"/>
      <c r="E398" s="8">
        <v>3</v>
      </c>
      <c r="F398" s="158">
        <v>16461.09</v>
      </c>
      <c r="G398" s="147">
        <f t="shared" si="12"/>
        <v>32922.18</v>
      </c>
      <c r="H398" s="106" t="s">
        <v>330</v>
      </c>
      <c r="I398" s="6"/>
      <c r="J398" s="53">
        <v>40694</v>
      </c>
      <c r="K398" s="193" t="s">
        <v>327</v>
      </c>
      <c r="L398" s="53">
        <v>40755</v>
      </c>
      <c r="N398" s="6"/>
    </row>
    <row r="399" spans="1:15" x14ac:dyDescent="0.2">
      <c r="B399" s="8">
        <v>376</v>
      </c>
      <c r="C399" s="96" t="s">
        <v>235</v>
      </c>
      <c r="D399" s="93"/>
      <c r="E399" s="8">
        <v>2</v>
      </c>
      <c r="F399" s="158">
        <v>23355</v>
      </c>
      <c r="G399" s="147">
        <f>F399*1.45</f>
        <v>33864.75</v>
      </c>
      <c r="H399" s="106" t="s">
        <v>330</v>
      </c>
      <c r="I399" s="6"/>
      <c r="J399" s="53">
        <v>40676</v>
      </c>
      <c r="K399" s="193" t="s">
        <v>402</v>
      </c>
      <c r="L399" s="53">
        <v>40736</v>
      </c>
      <c r="N399" s="6"/>
    </row>
    <row r="400" spans="1:15" x14ac:dyDescent="0.2">
      <c r="B400" s="8">
        <v>377</v>
      </c>
      <c r="C400" s="193" t="s">
        <v>386</v>
      </c>
      <c r="D400" s="93" t="s">
        <v>299</v>
      </c>
      <c r="E400" s="8">
        <v>4</v>
      </c>
      <c r="F400" s="158">
        <v>30041.62</v>
      </c>
      <c r="G400" s="147">
        <f>F400*1.4</f>
        <v>42058.267999999996</v>
      </c>
      <c r="H400" s="82" t="s">
        <v>70</v>
      </c>
      <c r="I400" s="6"/>
      <c r="J400" s="53"/>
      <c r="K400" s="93" t="s">
        <v>167</v>
      </c>
      <c r="L400" s="218" t="s">
        <v>419</v>
      </c>
      <c r="N400" s="6"/>
      <c r="O400" s="49"/>
    </row>
    <row r="401" spans="1:15" x14ac:dyDescent="0.2">
      <c r="B401" s="8">
        <v>345</v>
      </c>
      <c r="C401" s="96" t="s">
        <v>173</v>
      </c>
      <c r="D401" s="93"/>
      <c r="E401" s="8">
        <v>6</v>
      </c>
      <c r="F401" s="158">
        <v>4631.95</v>
      </c>
      <c r="G401" s="147">
        <f t="shared" ref="G401:G409" si="13">F401*2</f>
        <v>9263.9</v>
      </c>
      <c r="H401" s="82" t="s">
        <v>113</v>
      </c>
      <c r="I401" s="6"/>
      <c r="J401" s="53">
        <v>40635</v>
      </c>
      <c r="K401" s="93" t="s">
        <v>334</v>
      </c>
      <c r="L401" s="53">
        <v>40726</v>
      </c>
      <c r="N401" s="6"/>
      <c r="O401" s="50"/>
    </row>
    <row r="402" spans="1:15" x14ac:dyDescent="0.2">
      <c r="B402" s="8">
        <v>346</v>
      </c>
      <c r="C402" s="193" t="s">
        <v>172</v>
      </c>
      <c r="D402" s="93"/>
      <c r="E402" s="8">
        <v>9</v>
      </c>
      <c r="F402" s="158">
        <v>6489.52</v>
      </c>
      <c r="G402" s="147">
        <f t="shared" si="13"/>
        <v>12979.04</v>
      </c>
      <c r="H402" s="82" t="s">
        <v>113</v>
      </c>
      <c r="I402" s="6"/>
      <c r="J402" s="53">
        <v>40635</v>
      </c>
      <c r="K402" s="93" t="s">
        <v>277</v>
      </c>
      <c r="L402" s="53">
        <v>40726</v>
      </c>
      <c r="N402" s="6"/>
      <c r="O402" s="50"/>
    </row>
    <row r="403" spans="1:15" x14ac:dyDescent="0.2">
      <c r="B403" s="8">
        <v>355</v>
      </c>
      <c r="C403" s="96" t="s">
        <v>69</v>
      </c>
      <c r="D403" s="93"/>
      <c r="E403" s="8">
        <v>8</v>
      </c>
      <c r="F403" s="158">
        <v>32558</v>
      </c>
      <c r="G403" s="147">
        <f t="shared" si="13"/>
        <v>65116</v>
      </c>
      <c r="H403" s="82" t="s">
        <v>113</v>
      </c>
      <c r="I403" s="6"/>
      <c r="J403" s="53">
        <v>40637</v>
      </c>
      <c r="K403" s="93" t="s">
        <v>277</v>
      </c>
      <c r="L403" s="53">
        <v>40728</v>
      </c>
      <c r="N403" s="6"/>
      <c r="O403" s="50"/>
    </row>
    <row r="404" spans="1:15" x14ac:dyDescent="0.2">
      <c r="B404" s="8">
        <v>364</v>
      </c>
      <c r="C404" s="193" t="s">
        <v>379</v>
      </c>
      <c r="D404" s="93"/>
      <c r="E404" s="8">
        <v>3</v>
      </c>
      <c r="F404" s="158">
        <v>12033.91</v>
      </c>
      <c r="G404" s="147">
        <f t="shared" si="13"/>
        <v>24067.82</v>
      </c>
      <c r="H404" s="82" t="s">
        <v>113</v>
      </c>
      <c r="I404" s="6"/>
      <c r="J404" s="53">
        <v>40669</v>
      </c>
      <c r="K404" s="93" t="s">
        <v>278</v>
      </c>
      <c r="L404" s="53">
        <v>40730</v>
      </c>
      <c r="N404" s="6"/>
      <c r="O404" s="50"/>
    </row>
    <row r="405" spans="1:15" x14ac:dyDescent="0.2">
      <c r="B405" s="8">
        <v>348</v>
      </c>
      <c r="C405" s="96" t="s">
        <v>285</v>
      </c>
      <c r="D405" s="93"/>
      <c r="E405" s="8">
        <v>4</v>
      </c>
      <c r="F405" s="158">
        <v>8198.35</v>
      </c>
      <c r="G405" s="147">
        <f t="shared" si="13"/>
        <v>16396.7</v>
      </c>
      <c r="H405" s="82" t="s">
        <v>113</v>
      </c>
      <c r="I405" s="6"/>
      <c r="J405" s="53">
        <v>40642</v>
      </c>
      <c r="K405" s="93" t="s">
        <v>277</v>
      </c>
      <c r="L405" s="53">
        <v>40733</v>
      </c>
      <c r="N405" s="6"/>
      <c r="O405" s="50"/>
    </row>
    <row r="406" spans="1:15" x14ac:dyDescent="0.2">
      <c r="B406" s="8">
        <v>349</v>
      </c>
      <c r="C406" s="96" t="s">
        <v>49</v>
      </c>
      <c r="D406" s="93"/>
      <c r="E406" s="8">
        <v>11</v>
      </c>
      <c r="F406" s="158">
        <v>11346.24</v>
      </c>
      <c r="G406" s="147">
        <f t="shared" si="13"/>
        <v>22692.48</v>
      </c>
      <c r="H406" s="82" t="s">
        <v>113</v>
      </c>
      <c r="I406" s="6"/>
      <c r="J406" s="53">
        <v>40642</v>
      </c>
      <c r="K406" s="93" t="s">
        <v>277</v>
      </c>
      <c r="L406" s="53">
        <v>40733</v>
      </c>
      <c r="N406" s="6"/>
      <c r="O406" s="50"/>
    </row>
    <row r="407" spans="1:15" x14ac:dyDescent="0.2">
      <c r="B407" s="8">
        <v>352</v>
      </c>
      <c r="C407" s="96" t="s">
        <v>399</v>
      </c>
      <c r="D407" s="93"/>
      <c r="E407" s="8">
        <v>10</v>
      </c>
      <c r="F407" s="158">
        <v>5796.54</v>
      </c>
      <c r="G407" s="147">
        <f t="shared" si="13"/>
        <v>11593.08</v>
      </c>
      <c r="H407" s="82" t="s">
        <v>113</v>
      </c>
      <c r="I407" s="6"/>
      <c r="J407" s="53">
        <v>40645</v>
      </c>
      <c r="K407" s="93" t="s">
        <v>277</v>
      </c>
      <c r="L407" s="53">
        <v>40736</v>
      </c>
      <c r="N407" s="6"/>
      <c r="O407" s="50"/>
    </row>
    <row r="408" spans="1:15" x14ac:dyDescent="0.2">
      <c r="B408" s="8">
        <v>354</v>
      </c>
      <c r="C408" s="193" t="s">
        <v>248</v>
      </c>
      <c r="D408" s="93"/>
      <c r="E408" s="8">
        <v>4</v>
      </c>
      <c r="F408" s="158">
        <v>9160.4</v>
      </c>
      <c r="G408" s="147">
        <f t="shared" si="13"/>
        <v>18320.8</v>
      </c>
      <c r="H408" s="82" t="s">
        <v>113</v>
      </c>
      <c r="I408" s="6"/>
      <c r="J408" s="53">
        <v>40641</v>
      </c>
      <c r="K408" s="93" t="s">
        <v>277</v>
      </c>
      <c r="L408" s="53">
        <v>40732</v>
      </c>
      <c r="N408" s="6"/>
      <c r="O408" s="50"/>
    </row>
    <row r="409" spans="1:15" x14ac:dyDescent="0.2">
      <c r="B409" s="8">
        <v>368</v>
      </c>
      <c r="C409" s="96" t="s">
        <v>199</v>
      </c>
      <c r="D409" s="93"/>
      <c r="E409" s="8">
        <v>5</v>
      </c>
      <c r="F409" s="158">
        <v>4565</v>
      </c>
      <c r="G409" s="147">
        <f t="shared" si="13"/>
        <v>9130</v>
      </c>
      <c r="H409" s="82" t="s">
        <v>113</v>
      </c>
      <c r="I409" s="6"/>
      <c r="J409" s="53">
        <v>40666</v>
      </c>
      <c r="K409" s="93" t="s">
        <v>278</v>
      </c>
      <c r="L409" s="53">
        <v>40727</v>
      </c>
      <c r="N409" s="6"/>
      <c r="O409" s="50"/>
    </row>
    <row r="410" spans="1:15" x14ac:dyDescent="0.2">
      <c r="B410" s="8">
        <v>347</v>
      </c>
      <c r="C410" s="96" t="s">
        <v>139</v>
      </c>
      <c r="D410" s="93"/>
      <c r="E410" s="8">
        <v>19</v>
      </c>
      <c r="F410" s="158">
        <v>20673.439999999999</v>
      </c>
      <c r="G410" s="147">
        <f>F410*2</f>
        <v>41346.879999999997</v>
      </c>
      <c r="H410" s="82" t="s">
        <v>113</v>
      </c>
      <c r="I410" s="6"/>
      <c r="J410" s="53">
        <v>40653</v>
      </c>
      <c r="K410" s="93" t="s">
        <v>277</v>
      </c>
      <c r="L410" s="53">
        <v>40744</v>
      </c>
      <c r="N410" s="6"/>
      <c r="O410" s="50"/>
    </row>
    <row r="411" spans="1:15" ht="13.5" customHeight="1" x14ac:dyDescent="0.2">
      <c r="B411" s="8">
        <v>357</v>
      </c>
      <c r="C411" s="96" t="s">
        <v>66</v>
      </c>
      <c r="D411" s="93"/>
      <c r="E411" s="8">
        <v>9</v>
      </c>
      <c r="F411" s="158">
        <v>15235</v>
      </c>
      <c r="G411" s="147">
        <f>F411*1.99</f>
        <v>30317.65</v>
      </c>
      <c r="H411" s="82" t="s">
        <v>113</v>
      </c>
      <c r="I411" s="6"/>
      <c r="J411" s="53">
        <v>40654</v>
      </c>
      <c r="K411" s="93" t="s">
        <v>334</v>
      </c>
      <c r="L411" s="53">
        <v>40745</v>
      </c>
      <c r="N411" s="6"/>
      <c r="O411" s="50"/>
    </row>
    <row r="412" spans="1:15" x14ac:dyDescent="0.2">
      <c r="B412" s="8">
        <v>356</v>
      </c>
      <c r="C412" s="96" t="s">
        <v>395</v>
      </c>
      <c r="D412" s="93"/>
      <c r="E412" s="8">
        <v>7</v>
      </c>
      <c r="F412" s="158">
        <v>12235.93</v>
      </c>
      <c r="G412" s="147">
        <f>F412*2</f>
        <v>24471.86</v>
      </c>
      <c r="H412" s="83" t="s">
        <v>72</v>
      </c>
      <c r="I412" s="6"/>
      <c r="J412" s="53">
        <v>40646</v>
      </c>
      <c r="K412" s="93" t="s">
        <v>277</v>
      </c>
      <c r="L412" s="53">
        <v>40737</v>
      </c>
      <c r="N412" s="6"/>
      <c r="O412" s="50"/>
    </row>
    <row r="413" spans="1:15" x14ac:dyDescent="0.2">
      <c r="B413" s="8">
        <v>358</v>
      </c>
      <c r="C413" s="193" t="s">
        <v>319</v>
      </c>
      <c r="D413" s="93"/>
      <c r="E413" s="8">
        <v>4</v>
      </c>
      <c r="F413" s="158">
        <v>9947.6200000000008</v>
      </c>
      <c r="G413" s="147">
        <f>F413*1.99</f>
        <v>19795.763800000001</v>
      </c>
      <c r="H413" s="83" t="s">
        <v>72</v>
      </c>
      <c r="I413" s="6"/>
      <c r="J413" s="53">
        <v>40652</v>
      </c>
      <c r="K413" s="93" t="s">
        <v>277</v>
      </c>
      <c r="L413" s="53">
        <v>40743</v>
      </c>
      <c r="N413" s="6"/>
      <c r="O413" s="50"/>
    </row>
    <row r="414" spans="1:15" x14ac:dyDescent="0.2">
      <c r="B414" s="8">
        <v>380</v>
      </c>
      <c r="C414" s="96" t="s">
        <v>166</v>
      </c>
      <c r="D414" s="93"/>
      <c r="E414" s="8">
        <v>22</v>
      </c>
      <c r="F414" s="158">
        <v>152065</v>
      </c>
      <c r="G414" s="147">
        <f>F414*2</f>
        <v>304130</v>
      </c>
      <c r="H414" s="106" t="s">
        <v>72</v>
      </c>
      <c r="I414" s="233" t="s">
        <v>420</v>
      </c>
      <c r="J414" s="53"/>
      <c r="K414" s="181" t="s">
        <v>272</v>
      </c>
      <c r="L414" s="354" t="s">
        <v>408</v>
      </c>
      <c r="N414" s="6"/>
    </row>
    <row r="415" spans="1:15" x14ac:dyDescent="0.2">
      <c r="A415" s="195"/>
      <c r="B415" s="8">
        <v>359</v>
      </c>
      <c r="C415" s="193" t="s">
        <v>198</v>
      </c>
      <c r="D415" s="93"/>
      <c r="E415" s="8">
        <v>8</v>
      </c>
      <c r="F415" s="158">
        <v>9836.64</v>
      </c>
      <c r="G415" s="147">
        <f>F415*1.99</f>
        <v>19574.9136</v>
      </c>
      <c r="H415" s="82" t="s">
        <v>113</v>
      </c>
      <c r="I415" s="6"/>
      <c r="J415" s="53">
        <v>40652</v>
      </c>
      <c r="K415" s="93" t="s">
        <v>277</v>
      </c>
      <c r="L415" s="53">
        <v>40743</v>
      </c>
      <c r="N415" s="6"/>
      <c r="O415" s="50"/>
    </row>
    <row r="416" spans="1:15" x14ac:dyDescent="0.2">
      <c r="B416" s="8">
        <v>360</v>
      </c>
      <c r="C416" s="193" t="s">
        <v>411</v>
      </c>
      <c r="D416" s="93"/>
      <c r="E416" s="8">
        <v>2</v>
      </c>
      <c r="F416" s="158">
        <v>23392.01</v>
      </c>
      <c r="G416" s="147">
        <f>F416*1.99</f>
        <v>46550.099899999994</v>
      </c>
      <c r="H416" s="82" t="s">
        <v>113</v>
      </c>
      <c r="I416" s="6"/>
      <c r="J416" s="53">
        <v>40662</v>
      </c>
      <c r="K416" s="93" t="s">
        <v>277</v>
      </c>
      <c r="L416" s="53">
        <v>40753</v>
      </c>
      <c r="N416" s="6"/>
      <c r="O416" s="50"/>
    </row>
    <row r="417" spans="1:29" x14ac:dyDescent="0.2">
      <c r="B417" s="8">
        <v>386</v>
      </c>
      <c r="C417" s="96" t="s">
        <v>338</v>
      </c>
      <c r="D417" s="93"/>
      <c r="E417" s="8">
        <v>4</v>
      </c>
      <c r="F417" s="158">
        <v>7786.05</v>
      </c>
      <c r="G417" s="147">
        <f>F417*2</f>
        <v>15572.1</v>
      </c>
      <c r="H417" s="106" t="s">
        <v>330</v>
      </c>
      <c r="I417" s="6"/>
      <c r="J417" s="53"/>
      <c r="K417" s="193" t="s">
        <v>327</v>
      </c>
      <c r="L417" s="53"/>
      <c r="N417" s="6"/>
    </row>
    <row r="418" spans="1:29" x14ac:dyDescent="0.2">
      <c r="B418" s="8">
        <v>387</v>
      </c>
      <c r="C418" s="96" t="s">
        <v>424</v>
      </c>
      <c r="D418" s="93"/>
      <c r="E418" s="8">
        <v>1</v>
      </c>
      <c r="F418" s="158">
        <v>2940.24</v>
      </c>
      <c r="G418" s="147">
        <f>F418*1.98</f>
        <v>5821.6751999999997</v>
      </c>
      <c r="H418" s="106" t="s">
        <v>72</v>
      </c>
      <c r="I418" s="6"/>
      <c r="J418" s="53"/>
      <c r="K418" s="193" t="s">
        <v>423</v>
      </c>
      <c r="L418" s="53">
        <v>40732</v>
      </c>
      <c r="N418" s="6"/>
    </row>
    <row r="419" spans="1:29" x14ac:dyDescent="0.2">
      <c r="B419" s="8"/>
      <c r="C419" s="96"/>
      <c r="D419" s="93"/>
      <c r="E419" s="8"/>
      <c r="F419" s="158"/>
      <c r="G419" s="147"/>
      <c r="H419" s="106"/>
      <c r="I419" s="6"/>
      <c r="J419" s="53"/>
      <c r="K419" s="193"/>
      <c r="L419" s="53"/>
      <c r="N419" s="6"/>
    </row>
    <row r="420" spans="1:29" x14ac:dyDescent="0.2">
      <c r="B420" s="8">
        <v>363</v>
      </c>
      <c r="C420" s="96" t="s">
        <v>196</v>
      </c>
      <c r="D420" s="93"/>
      <c r="E420" s="8">
        <v>10</v>
      </c>
      <c r="F420" s="158">
        <v>11198.44</v>
      </c>
      <c r="G420" s="147">
        <f>F420*2</f>
        <v>22396.880000000001</v>
      </c>
      <c r="H420" s="82" t="s">
        <v>113</v>
      </c>
      <c r="I420" s="6"/>
      <c r="J420" s="53">
        <v>40668</v>
      </c>
      <c r="K420" s="93" t="s">
        <v>277</v>
      </c>
      <c r="L420" s="53">
        <v>40760</v>
      </c>
      <c r="N420" s="6"/>
      <c r="O420" s="50"/>
    </row>
    <row r="421" spans="1:29" x14ac:dyDescent="0.2">
      <c r="B421" s="8">
        <v>372</v>
      </c>
      <c r="C421" s="193" t="s">
        <v>280</v>
      </c>
      <c r="D421" s="93"/>
      <c r="E421" s="8">
        <v>4</v>
      </c>
      <c r="F421" s="158">
        <v>5755.32</v>
      </c>
      <c r="G421" s="147">
        <f>F421*2</f>
        <v>11510.64</v>
      </c>
      <c r="H421" s="106" t="s">
        <v>113</v>
      </c>
      <c r="I421" s="6"/>
      <c r="J421" s="53"/>
      <c r="K421" s="93"/>
      <c r="L421" s="53">
        <v>40764</v>
      </c>
      <c r="N421" s="6"/>
    </row>
    <row r="422" spans="1:29" x14ac:dyDescent="0.2">
      <c r="B422" s="8">
        <v>373</v>
      </c>
      <c r="C422" s="96" t="s">
        <v>301</v>
      </c>
      <c r="D422" s="93"/>
      <c r="E422" s="8">
        <v>3</v>
      </c>
      <c r="F422" s="158">
        <v>3344</v>
      </c>
      <c r="G422" s="147">
        <f>F422*2</f>
        <v>6688</v>
      </c>
      <c r="H422" s="106" t="s">
        <v>113</v>
      </c>
      <c r="I422" s="6"/>
      <c r="J422" s="53"/>
      <c r="K422" s="93" t="s">
        <v>278</v>
      </c>
      <c r="L422" s="53">
        <v>40764</v>
      </c>
      <c r="N422" s="6"/>
    </row>
    <row r="423" spans="1:29" x14ac:dyDescent="0.2">
      <c r="B423" s="8">
        <v>374</v>
      </c>
      <c r="C423" s="193" t="s">
        <v>354</v>
      </c>
      <c r="D423" s="93"/>
      <c r="E423" s="8">
        <v>3</v>
      </c>
      <c r="F423" s="158">
        <v>5000</v>
      </c>
      <c r="G423" s="147">
        <f>F423*2</f>
        <v>10000</v>
      </c>
      <c r="H423" s="106" t="s">
        <v>113</v>
      </c>
      <c r="I423" s="6"/>
      <c r="J423" s="53"/>
      <c r="K423" s="93" t="s">
        <v>278</v>
      </c>
      <c r="L423" s="53">
        <v>40766</v>
      </c>
      <c r="N423" s="6"/>
    </row>
    <row r="424" spans="1:29" x14ac:dyDescent="0.2">
      <c r="A424" s="94">
        <v>40773</v>
      </c>
      <c r="B424" s="8">
        <v>401</v>
      </c>
      <c r="C424" s="193" t="s">
        <v>378</v>
      </c>
      <c r="D424" s="93"/>
      <c r="E424" s="8">
        <v>3</v>
      </c>
      <c r="F424" s="158">
        <v>39926.949999999997</v>
      </c>
      <c r="G424" s="147">
        <f>F424*1.4</f>
        <v>55897.729999999996</v>
      </c>
      <c r="H424" s="82" t="s">
        <v>70</v>
      </c>
      <c r="I424" s="6"/>
      <c r="J424" s="53"/>
      <c r="K424" s="93" t="s">
        <v>167</v>
      </c>
      <c r="L424" s="218"/>
      <c r="N424" s="6"/>
      <c r="O424" s="49"/>
    </row>
    <row r="425" spans="1:29" ht="16.5" customHeight="1" x14ac:dyDescent="0.2">
      <c r="B425" s="93">
        <v>369</v>
      </c>
      <c r="C425" s="93" t="s">
        <v>49</v>
      </c>
      <c r="D425" s="93"/>
      <c r="E425" s="93">
        <v>12</v>
      </c>
      <c r="F425" s="93">
        <v>9408.83</v>
      </c>
      <c r="G425" s="147">
        <f t="shared" ref="G425:G430" si="14">F425*2</f>
        <v>18817.66</v>
      </c>
      <c r="H425" s="106" t="s">
        <v>113</v>
      </c>
      <c r="I425" s="6"/>
      <c r="J425" s="177">
        <v>40688</v>
      </c>
      <c r="K425" s="93" t="s">
        <v>334</v>
      </c>
      <c r="L425" s="53">
        <v>40780</v>
      </c>
      <c r="M425" s="93"/>
      <c r="N425" s="6"/>
      <c r="O425" s="63"/>
      <c r="P425" s="63"/>
      <c r="Q425" s="63"/>
      <c r="S425" s="63"/>
      <c r="T425" s="63"/>
      <c r="U425" s="63"/>
      <c r="W425" s="63"/>
      <c r="X425" s="63"/>
      <c r="Y425" s="63"/>
      <c r="AA425" s="63"/>
      <c r="AB425" s="63"/>
      <c r="AC425" s="63"/>
    </row>
    <row r="426" spans="1:29" x14ac:dyDescent="0.2">
      <c r="A426" s="94">
        <v>40705</v>
      </c>
      <c r="B426" s="8">
        <v>370</v>
      </c>
      <c r="C426" s="193" t="s">
        <v>192</v>
      </c>
      <c r="D426" s="93"/>
      <c r="E426" s="8">
        <v>12</v>
      </c>
      <c r="F426" s="158">
        <v>10424.68</v>
      </c>
      <c r="G426" s="147">
        <f t="shared" si="14"/>
        <v>20849.36</v>
      </c>
      <c r="H426" s="106" t="s">
        <v>113</v>
      </c>
      <c r="I426" s="6"/>
      <c r="J426" s="53">
        <v>40684</v>
      </c>
      <c r="K426" s="93" t="s">
        <v>334</v>
      </c>
      <c r="L426" s="53">
        <v>40776</v>
      </c>
      <c r="N426" s="6"/>
    </row>
    <row r="427" spans="1:29" x14ac:dyDescent="0.2">
      <c r="B427" s="8">
        <v>382</v>
      </c>
      <c r="C427" s="193" t="s">
        <v>245</v>
      </c>
      <c r="D427" s="93"/>
      <c r="E427" s="8">
        <v>4</v>
      </c>
      <c r="F427" s="158">
        <v>5209</v>
      </c>
      <c r="G427" s="147">
        <f t="shared" si="14"/>
        <v>10418</v>
      </c>
      <c r="H427" s="106" t="s">
        <v>113</v>
      </c>
      <c r="I427" s="6"/>
      <c r="J427" s="53"/>
      <c r="K427" s="93"/>
      <c r="L427" s="53">
        <v>40778</v>
      </c>
      <c r="N427" s="6"/>
    </row>
    <row r="428" spans="1:29" ht="16.5" customHeight="1" x14ac:dyDescent="0.2">
      <c r="A428" s="94">
        <v>40779</v>
      </c>
      <c r="B428" s="93">
        <v>399</v>
      </c>
      <c r="C428" s="93" t="s">
        <v>382</v>
      </c>
      <c r="D428" s="93"/>
      <c r="E428" s="93">
        <v>4</v>
      </c>
      <c r="F428" s="93">
        <v>8648.19</v>
      </c>
      <c r="G428" s="147">
        <f t="shared" si="14"/>
        <v>17296.38</v>
      </c>
      <c r="H428" s="6" t="s">
        <v>113</v>
      </c>
      <c r="I428" s="6"/>
      <c r="J428" s="86"/>
      <c r="K428" s="93" t="s">
        <v>190</v>
      </c>
      <c r="L428" s="361" t="s">
        <v>419</v>
      </c>
      <c r="M428" s="93"/>
      <c r="N428" s="6"/>
      <c r="O428" s="63"/>
      <c r="P428" s="63"/>
      <c r="Q428" s="63"/>
      <c r="S428" s="63"/>
      <c r="T428" s="63"/>
      <c r="U428" s="63"/>
      <c r="W428" s="63"/>
      <c r="X428" s="63"/>
      <c r="Y428" s="63"/>
      <c r="AA428" s="63"/>
      <c r="AB428" s="63"/>
      <c r="AC428" s="63"/>
    </row>
    <row r="429" spans="1:29" x14ac:dyDescent="0.2">
      <c r="B429" s="8">
        <v>371</v>
      </c>
      <c r="C429" s="193" t="s">
        <v>187</v>
      </c>
      <c r="D429" s="93"/>
      <c r="E429" s="8">
        <v>4</v>
      </c>
      <c r="F429" s="158">
        <v>15368.78</v>
      </c>
      <c r="G429" s="147">
        <f t="shared" si="14"/>
        <v>30737.56</v>
      </c>
      <c r="H429" s="106" t="s">
        <v>113</v>
      </c>
      <c r="I429" s="6"/>
      <c r="J429" s="53">
        <v>40695</v>
      </c>
      <c r="K429" s="93" t="s">
        <v>277</v>
      </c>
      <c r="L429" s="53">
        <v>40787</v>
      </c>
      <c r="N429" s="6"/>
      <c r="O429" s="49">
        <f>G429</f>
        <v>30737.56</v>
      </c>
    </row>
    <row r="430" spans="1:29" x14ac:dyDescent="0.2">
      <c r="B430" s="8">
        <v>384</v>
      </c>
      <c r="C430" s="193" t="s">
        <v>409</v>
      </c>
      <c r="D430" s="93"/>
      <c r="E430" s="8">
        <v>1</v>
      </c>
      <c r="F430" s="158">
        <v>39658.080000000002</v>
      </c>
      <c r="G430" s="147">
        <f t="shared" si="14"/>
        <v>79316.160000000003</v>
      </c>
      <c r="H430" s="106" t="s">
        <v>113</v>
      </c>
      <c r="I430" s="6"/>
      <c r="J430" s="53">
        <v>40724</v>
      </c>
      <c r="K430" s="93" t="s">
        <v>278</v>
      </c>
      <c r="L430" s="53">
        <v>40786</v>
      </c>
      <c r="N430" s="6"/>
    </row>
    <row r="431" spans="1:29" x14ac:dyDescent="0.2">
      <c r="B431" s="8">
        <v>388</v>
      </c>
      <c r="C431" s="96" t="s">
        <v>425</v>
      </c>
      <c r="D431" s="93"/>
      <c r="E431" s="8">
        <v>1</v>
      </c>
      <c r="F431" s="158">
        <v>19000</v>
      </c>
      <c r="G431" s="147">
        <f>F431*1.98</f>
        <v>37620</v>
      </c>
      <c r="H431" s="106" t="s">
        <v>72</v>
      </c>
      <c r="I431" s="6"/>
      <c r="J431" s="53"/>
      <c r="K431" s="193" t="s">
        <v>426</v>
      </c>
      <c r="L431" s="53">
        <v>40784</v>
      </c>
      <c r="N431" s="6"/>
    </row>
    <row r="432" spans="1:29" x14ac:dyDescent="0.2">
      <c r="B432" s="8"/>
      <c r="C432" s="96"/>
      <c r="D432" s="93"/>
      <c r="E432" s="8"/>
      <c r="F432" s="158"/>
      <c r="G432" s="147"/>
      <c r="H432" s="106"/>
      <c r="I432" s="6"/>
      <c r="J432" s="53"/>
      <c r="K432" s="193"/>
      <c r="L432" s="53"/>
      <c r="N432" s="6"/>
    </row>
    <row r="433" spans="1:29" x14ac:dyDescent="0.2">
      <c r="A433" s="94">
        <v>40798</v>
      </c>
      <c r="B433" s="8">
        <v>403</v>
      </c>
      <c r="C433" s="193" t="s">
        <v>380</v>
      </c>
      <c r="D433" s="93"/>
      <c r="E433" s="8">
        <v>3</v>
      </c>
      <c r="F433" s="158">
        <v>31397.5</v>
      </c>
      <c r="G433" s="147">
        <f>F433*2</f>
        <v>62795</v>
      </c>
      <c r="H433" s="106" t="s">
        <v>330</v>
      </c>
      <c r="I433" s="361" t="s">
        <v>417</v>
      </c>
      <c r="J433" s="53"/>
      <c r="K433" s="93" t="s">
        <v>416</v>
      </c>
      <c r="L433" s="53"/>
      <c r="N433" s="6"/>
    </row>
    <row r="434" spans="1:29" x14ac:dyDescent="0.2">
      <c r="B434" s="365">
        <v>381</v>
      </c>
      <c r="C434" s="193" t="s">
        <v>183</v>
      </c>
      <c r="D434" s="93"/>
      <c r="E434" s="8">
        <v>10</v>
      </c>
      <c r="F434" s="158">
        <v>21095.07</v>
      </c>
      <c r="G434" s="147">
        <f>F434*2</f>
        <v>42190.14</v>
      </c>
      <c r="H434" s="106" t="s">
        <v>113</v>
      </c>
      <c r="I434" s="6"/>
      <c r="J434" s="53"/>
      <c r="K434" s="93" t="s">
        <v>277</v>
      </c>
      <c r="L434" s="53">
        <v>40800</v>
      </c>
      <c r="N434" s="6"/>
      <c r="O434" s="49">
        <f>G434</f>
        <v>42190.14</v>
      </c>
    </row>
    <row r="435" spans="1:29" x14ac:dyDescent="0.2">
      <c r="B435" s="365">
        <v>389</v>
      </c>
      <c r="C435" s="193" t="s">
        <v>177</v>
      </c>
      <c r="D435" s="93"/>
      <c r="E435" s="8">
        <v>6</v>
      </c>
      <c r="F435" s="158">
        <v>8537.5400000000009</v>
      </c>
      <c r="G435" s="147">
        <f>F435*2</f>
        <v>17075.080000000002</v>
      </c>
      <c r="H435" s="106" t="s">
        <v>330</v>
      </c>
      <c r="I435" s="6"/>
      <c r="J435" s="53">
        <v>40735</v>
      </c>
      <c r="K435" s="93" t="s">
        <v>278</v>
      </c>
      <c r="L435" s="53">
        <v>40797</v>
      </c>
      <c r="N435" s="6"/>
      <c r="O435" s="49">
        <f>G435</f>
        <v>17075.080000000002</v>
      </c>
    </row>
    <row r="436" spans="1:29" ht="12" customHeight="1" x14ac:dyDescent="0.2">
      <c r="B436" s="8"/>
      <c r="C436" s="96"/>
      <c r="D436" s="93"/>
      <c r="E436" s="8"/>
      <c r="F436" s="158"/>
      <c r="G436" s="147"/>
      <c r="H436" s="106"/>
      <c r="I436" s="6"/>
      <c r="J436" s="53"/>
      <c r="K436" s="193"/>
      <c r="L436" s="53"/>
      <c r="N436" s="6"/>
    </row>
    <row r="437" spans="1:29" x14ac:dyDescent="0.2">
      <c r="B437" s="364">
        <v>378</v>
      </c>
      <c r="C437" s="193" t="s">
        <v>418</v>
      </c>
      <c r="D437" s="93"/>
      <c r="E437" s="8">
        <v>11</v>
      </c>
      <c r="F437" s="158">
        <v>6973.2</v>
      </c>
      <c r="G437" s="147">
        <f>F437*2</f>
        <v>13946.4</v>
      </c>
      <c r="H437" s="106" t="s">
        <v>113</v>
      </c>
      <c r="I437" s="6"/>
      <c r="J437" s="53">
        <v>40715</v>
      </c>
      <c r="K437" s="93" t="s">
        <v>277</v>
      </c>
      <c r="L437" s="53">
        <v>40806</v>
      </c>
      <c r="N437" s="6"/>
      <c r="O437" s="49">
        <f>G437</f>
        <v>13946.4</v>
      </c>
    </row>
    <row r="438" spans="1:29" x14ac:dyDescent="0.2">
      <c r="B438" s="364">
        <v>379</v>
      </c>
      <c r="C438" s="193" t="s">
        <v>212</v>
      </c>
      <c r="D438" s="93"/>
      <c r="E438" s="8">
        <v>11</v>
      </c>
      <c r="F438" s="158">
        <v>13216.43</v>
      </c>
      <c r="G438" s="147">
        <f>F438*2</f>
        <v>26432.86</v>
      </c>
      <c r="H438" s="106" t="s">
        <v>113</v>
      </c>
      <c r="I438" s="6"/>
      <c r="J438" s="53"/>
      <c r="K438" s="93" t="s">
        <v>277</v>
      </c>
      <c r="L438" s="53">
        <v>40804</v>
      </c>
      <c r="N438" s="6"/>
      <c r="O438" s="49">
        <f>G438</f>
        <v>26432.86</v>
      </c>
    </row>
    <row r="439" spans="1:29" x14ac:dyDescent="0.2">
      <c r="B439" s="364">
        <v>392</v>
      </c>
      <c r="C439" s="193" t="s">
        <v>412</v>
      </c>
      <c r="D439" s="93"/>
      <c r="E439" s="8">
        <v>2</v>
      </c>
      <c r="F439" s="158">
        <v>10846.34</v>
      </c>
      <c r="G439" s="147">
        <f>F439*2</f>
        <v>21692.68</v>
      </c>
      <c r="H439" s="6" t="s">
        <v>113</v>
      </c>
      <c r="I439" s="6"/>
      <c r="J439" s="53">
        <v>40750</v>
      </c>
      <c r="K439" s="93" t="s">
        <v>278</v>
      </c>
      <c r="L439" s="53">
        <v>40812</v>
      </c>
      <c r="N439" s="6"/>
      <c r="O439" s="49">
        <f>G439</f>
        <v>21692.68</v>
      </c>
    </row>
    <row r="440" spans="1:29" ht="12" customHeight="1" x14ac:dyDescent="0.2">
      <c r="B440" s="8"/>
      <c r="C440" s="96"/>
      <c r="D440" s="93"/>
      <c r="E440" s="8"/>
      <c r="F440" s="158"/>
      <c r="G440" s="147"/>
      <c r="H440" s="106"/>
      <c r="I440" s="6"/>
      <c r="J440" s="53"/>
      <c r="K440" s="193"/>
      <c r="L440" s="53"/>
      <c r="N440" s="6"/>
    </row>
    <row r="441" spans="1:29" x14ac:dyDescent="0.2">
      <c r="B441" s="364">
        <v>390</v>
      </c>
      <c r="C441" s="193" t="s">
        <v>318</v>
      </c>
      <c r="D441" s="93"/>
      <c r="E441" s="8">
        <v>4</v>
      </c>
      <c r="F441" s="158">
        <v>5026.2</v>
      </c>
      <c r="G441" s="147">
        <f>F441*2</f>
        <v>10052.4</v>
      </c>
      <c r="H441" s="6" t="s">
        <v>113</v>
      </c>
      <c r="I441" s="6"/>
      <c r="J441" s="53">
        <v>40752</v>
      </c>
      <c r="K441" s="93" t="s">
        <v>278</v>
      </c>
      <c r="L441" s="53">
        <v>40814</v>
      </c>
      <c r="N441" s="6"/>
      <c r="O441" s="49">
        <f>G441</f>
        <v>10052.4</v>
      </c>
    </row>
    <row r="442" spans="1:29" ht="16.5" customHeight="1" x14ac:dyDescent="0.2">
      <c r="B442" s="93">
        <v>400</v>
      </c>
      <c r="C442" s="93" t="s">
        <v>431</v>
      </c>
      <c r="D442" s="93"/>
      <c r="E442" s="93">
        <v>4</v>
      </c>
      <c r="F442" s="93">
        <v>1053.8</v>
      </c>
      <c r="G442" s="147">
        <f>F442*2</f>
        <v>2107.6</v>
      </c>
      <c r="H442" s="6" t="s">
        <v>113</v>
      </c>
      <c r="I442" s="6"/>
      <c r="J442" s="177">
        <v>40749</v>
      </c>
      <c r="K442" s="93" t="s">
        <v>278</v>
      </c>
      <c r="L442" s="53">
        <v>40811</v>
      </c>
      <c r="M442" s="93"/>
      <c r="N442" s="6"/>
      <c r="O442" s="63">
        <f>G442</f>
        <v>2107.6</v>
      </c>
      <c r="P442" s="63"/>
      <c r="Q442" s="63"/>
      <c r="S442" s="63"/>
      <c r="T442" s="63"/>
      <c r="U442" s="63"/>
      <c r="W442" s="63"/>
      <c r="X442" s="63"/>
      <c r="Y442" s="63"/>
      <c r="AA442" s="63"/>
      <c r="AB442" s="63"/>
      <c r="AC442" s="63"/>
    </row>
    <row r="443" spans="1:29" ht="16.5" customHeight="1" x14ac:dyDescent="0.2">
      <c r="B443" s="93"/>
      <c r="C443" s="93"/>
      <c r="D443" s="93"/>
      <c r="E443" s="93"/>
      <c r="F443" s="93"/>
      <c r="G443" s="147"/>
      <c r="H443" s="6"/>
      <c r="I443" s="6"/>
      <c r="J443" s="177"/>
      <c r="K443" s="93"/>
      <c r="L443" s="53"/>
      <c r="M443" s="93"/>
      <c r="N443" s="6"/>
      <c r="O443" s="63"/>
      <c r="P443" s="63"/>
      <c r="Q443" s="63"/>
      <c r="S443" s="63"/>
      <c r="T443" s="63"/>
      <c r="U443" s="63"/>
      <c r="W443" s="63"/>
      <c r="X443" s="63"/>
      <c r="Y443" s="63"/>
      <c r="AA443" s="63"/>
      <c r="AB443" s="63"/>
      <c r="AC443" s="63"/>
    </row>
    <row r="444" spans="1:29" x14ac:dyDescent="0.2">
      <c r="A444" s="94">
        <v>40792</v>
      </c>
      <c r="B444" s="8">
        <v>402</v>
      </c>
      <c r="C444" s="193" t="s">
        <v>223</v>
      </c>
      <c r="D444" s="93"/>
      <c r="E444" s="8">
        <v>6</v>
      </c>
      <c r="F444" s="158">
        <v>12238</v>
      </c>
      <c r="G444" s="147">
        <f>F444*2</f>
        <v>24476</v>
      </c>
      <c r="H444" s="6" t="s">
        <v>113</v>
      </c>
      <c r="I444" s="6"/>
      <c r="J444" s="53">
        <v>40764</v>
      </c>
      <c r="K444" s="93" t="s">
        <v>278</v>
      </c>
      <c r="L444" s="53">
        <v>40825</v>
      </c>
      <c r="N444" s="6"/>
      <c r="P444" s="49">
        <f>G444</f>
        <v>24476</v>
      </c>
    </row>
    <row r="445" spans="1:29" x14ac:dyDescent="0.2">
      <c r="B445" s="8">
        <v>385</v>
      </c>
      <c r="C445" s="193" t="s">
        <v>411</v>
      </c>
      <c r="D445" s="93"/>
      <c r="E445" s="8">
        <v>3</v>
      </c>
      <c r="F445" s="158">
        <v>24027.26</v>
      </c>
      <c r="G445" s="147">
        <f>F445*1.98</f>
        <v>47573.974799999996</v>
      </c>
      <c r="H445" s="106" t="s">
        <v>330</v>
      </c>
      <c r="I445" s="6"/>
      <c r="J445" s="53">
        <v>40733</v>
      </c>
      <c r="K445" s="93" t="s">
        <v>277</v>
      </c>
      <c r="L445" s="53">
        <v>40825</v>
      </c>
      <c r="N445" s="6"/>
      <c r="P445" s="49">
        <f>G445</f>
        <v>47573.974799999996</v>
      </c>
    </row>
    <row r="446" spans="1:29" ht="16.5" customHeight="1" x14ac:dyDescent="0.2">
      <c r="A446" s="94">
        <v>40770</v>
      </c>
      <c r="B446" s="93">
        <v>394</v>
      </c>
      <c r="C446" s="93" t="s">
        <v>433</v>
      </c>
      <c r="D446" s="93"/>
      <c r="E446" s="93">
        <v>7</v>
      </c>
      <c r="F446" s="93">
        <v>2999.27</v>
      </c>
      <c r="G446" s="147">
        <f>F446*2</f>
        <v>5998.54</v>
      </c>
      <c r="H446" s="6" t="s">
        <v>113</v>
      </c>
      <c r="I446" s="6"/>
      <c r="J446" s="53">
        <v>40754</v>
      </c>
      <c r="K446" s="93" t="s">
        <v>278</v>
      </c>
      <c r="L446" s="60">
        <v>40837</v>
      </c>
      <c r="M446" s="93"/>
      <c r="N446" s="6"/>
      <c r="O446" s="63"/>
      <c r="P446" s="63">
        <f>G446</f>
        <v>5998.54</v>
      </c>
      <c r="Q446" s="63"/>
      <c r="S446" s="63"/>
      <c r="T446" s="63"/>
      <c r="U446" s="63"/>
      <c r="W446" s="63"/>
      <c r="X446" s="63"/>
      <c r="Y446" s="63"/>
      <c r="AA446" s="63"/>
      <c r="AB446" s="63"/>
      <c r="AC446" s="63"/>
    </row>
    <row r="447" spans="1:29" x14ac:dyDescent="0.2">
      <c r="A447" s="94">
        <v>40770</v>
      </c>
      <c r="B447" s="8">
        <v>395</v>
      </c>
      <c r="C447" s="193" t="s">
        <v>69</v>
      </c>
      <c r="D447" s="93"/>
      <c r="E447" s="8">
        <v>9</v>
      </c>
      <c r="F447" s="158">
        <v>30482.57</v>
      </c>
      <c r="G447" s="147">
        <f>F447*2</f>
        <v>60965.14</v>
      </c>
      <c r="H447" s="6" t="s">
        <v>113</v>
      </c>
      <c r="I447" s="6"/>
      <c r="J447" s="53">
        <v>40750</v>
      </c>
      <c r="K447" s="93" t="s">
        <v>277</v>
      </c>
      <c r="L447" s="53">
        <v>40842</v>
      </c>
      <c r="N447" s="6"/>
      <c r="P447" s="49">
        <f>G447</f>
        <v>60965.14</v>
      </c>
    </row>
    <row r="448" spans="1:29" ht="13.5" customHeight="1" x14ac:dyDescent="0.2">
      <c r="B448" s="8">
        <v>391</v>
      </c>
      <c r="C448" s="193" t="s">
        <v>145</v>
      </c>
      <c r="D448" s="93"/>
      <c r="E448" s="8">
        <v>13</v>
      </c>
      <c r="F448" s="158">
        <v>36651.74</v>
      </c>
      <c r="G448" s="147">
        <f>F448*2</f>
        <v>73303.48</v>
      </c>
      <c r="H448" s="6" t="s">
        <v>113</v>
      </c>
      <c r="I448" s="6"/>
      <c r="J448" s="53">
        <v>40747</v>
      </c>
      <c r="K448" s="93" t="s">
        <v>334</v>
      </c>
      <c r="L448" s="53">
        <v>40839</v>
      </c>
      <c r="N448" s="6"/>
      <c r="P448" s="49">
        <f>G448</f>
        <v>73303.48</v>
      </c>
    </row>
    <row r="449" spans="1:29" ht="16.5" customHeight="1" x14ac:dyDescent="0.2">
      <c r="A449" s="94">
        <v>40837</v>
      </c>
      <c r="B449" s="93">
        <v>409</v>
      </c>
      <c r="C449" s="93" t="s">
        <v>430</v>
      </c>
      <c r="D449" s="93"/>
      <c r="E449" s="93">
        <v>1</v>
      </c>
      <c r="F449" s="93">
        <v>7044.23</v>
      </c>
      <c r="G449" s="147">
        <f>F449*2</f>
        <v>14088.46</v>
      </c>
      <c r="H449" s="6" t="s">
        <v>72</v>
      </c>
      <c r="I449" s="6"/>
      <c r="J449" s="86"/>
      <c r="K449" s="93" t="s">
        <v>190</v>
      </c>
      <c r="L449" s="6"/>
      <c r="M449" s="93"/>
      <c r="N449" s="6"/>
      <c r="O449" s="63"/>
      <c r="P449" s="63"/>
      <c r="Q449" s="63"/>
      <c r="S449" s="63"/>
      <c r="T449" s="63"/>
      <c r="U449" s="63"/>
      <c r="W449" s="63"/>
      <c r="X449" s="63"/>
      <c r="Y449" s="63"/>
      <c r="AA449" s="63"/>
      <c r="AB449" s="63"/>
      <c r="AC449" s="63"/>
    </row>
    <row r="450" spans="1:29" ht="16.5" customHeight="1" x14ac:dyDescent="0.2">
      <c r="A450" s="94">
        <v>40827</v>
      </c>
      <c r="B450" s="93">
        <v>407</v>
      </c>
      <c r="C450" s="93" t="s">
        <v>450</v>
      </c>
      <c r="D450" s="93" t="s">
        <v>451</v>
      </c>
      <c r="E450" s="93"/>
      <c r="F450" s="93"/>
      <c r="G450" s="147"/>
      <c r="H450" s="6"/>
      <c r="I450" s="6"/>
      <c r="J450" s="86"/>
      <c r="K450" s="93"/>
      <c r="L450" s="6"/>
      <c r="M450" s="93"/>
      <c r="N450" s="6"/>
      <c r="O450" s="63"/>
      <c r="P450" s="63"/>
      <c r="Q450" s="63"/>
      <c r="S450" s="63"/>
      <c r="T450" s="63"/>
      <c r="U450" s="63"/>
      <c r="W450" s="63"/>
      <c r="X450" s="63"/>
      <c r="Y450" s="63"/>
      <c r="AA450" s="63"/>
      <c r="AB450" s="63"/>
      <c r="AC450" s="63"/>
    </row>
    <row r="451" spans="1:29" x14ac:dyDescent="0.2">
      <c r="B451" s="93">
        <v>410</v>
      </c>
      <c r="C451" s="96" t="s">
        <v>352</v>
      </c>
      <c r="D451" s="93"/>
      <c r="E451" s="8">
        <v>6</v>
      </c>
      <c r="F451" s="158">
        <v>13460</v>
      </c>
      <c r="G451" s="147">
        <f>F451*2</f>
        <v>26920</v>
      </c>
      <c r="H451" s="370" t="s">
        <v>70</v>
      </c>
      <c r="I451" s="6"/>
      <c r="J451" s="53"/>
      <c r="K451" s="93" t="s">
        <v>422</v>
      </c>
      <c r="L451" s="53">
        <v>40852</v>
      </c>
      <c r="N451" s="6"/>
    </row>
    <row r="452" spans="1:29" x14ac:dyDescent="0.2">
      <c r="B452" s="93">
        <v>420</v>
      </c>
      <c r="C452" s="193" t="s">
        <v>293</v>
      </c>
      <c r="D452" s="93"/>
      <c r="E452" s="8">
        <v>4</v>
      </c>
      <c r="F452" s="158">
        <v>4890</v>
      </c>
      <c r="G452" s="147">
        <f>F452*2</f>
        <v>9780</v>
      </c>
      <c r="H452" s="82" t="s">
        <v>113</v>
      </c>
      <c r="I452" s="6"/>
      <c r="J452" s="53"/>
      <c r="K452" s="93"/>
      <c r="L452" s="53"/>
      <c r="N452" s="6"/>
    </row>
    <row r="453" spans="1:29" x14ac:dyDescent="0.2">
      <c r="A453" s="94">
        <v>40770</v>
      </c>
      <c r="B453" s="8">
        <v>393</v>
      </c>
      <c r="C453" s="193" t="s">
        <v>192</v>
      </c>
      <c r="D453" s="93"/>
      <c r="E453" s="8">
        <v>13</v>
      </c>
      <c r="F453" s="158">
        <v>13941.39</v>
      </c>
      <c r="G453" s="147">
        <f>F453*1.966</f>
        <v>27408.772739999997</v>
      </c>
      <c r="H453" s="6" t="s">
        <v>113</v>
      </c>
      <c r="I453" s="6"/>
      <c r="J453" s="53">
        <v>40754</v>
      </c>
      <c r="K453" s="93" t="s">
        <v>277</v>
      </c>
      <c r="L453" s="53">
        <v>40846</v>
      </c>
      <c r="N453" s="6"/>
      <c r="P453" s="49">
        <f>G453</f>
        <v>27408.772739999997</v>
      </c>
    </row>
    <row r="454" spans="1:29" ht="16.5" customHeight="1" x14ac:dyDescent="0.2">
      <c r="A454" s="94">
        <v>40773</v>
      </c>
      <c r="B454" s="93">
        <v>396</v>
      </c>
      <c r="C454" s="93" t="s">
        <v>432</v>
      </c>
      <c r="D454" s="93"/>
      <c r="E454" s="93">
        <v>6</v>
      </c>
      <c r="F454" s="93">
        <v>21610.7</v>
      </c>
      <c r="G454" s="147">
        <f>F454*1.966</f>
        <v>42486.636200000001</v>
      </c>
      <c r="H454" s="6" t="s">
        <v>113</v>
      </c>
      <c r="I454" s="6"/>
      <c r="J454" s="177">
        <v>40755</v>
      </c>
      <c r="K454" s="93" t="s">
        <v>277</v>
      </c>
      <c r="L454" s="53">
        <v>40847</v>
      </c>
      <c r="M454" s="93"/>
      <c r="N454" s="6"/>
      <c r="O454" s="63"/>
      <c r="P454" s="63">
        <f>G454</f>
        <v>42486.636200000001</v>
      </c>
      <c r="Q454" s="63"/>
      <c r="S454" s="63"/>
      <c r="T454" s="63"/>
      <c r="U454" s="63"/>
      <c r="W454" s="63"/>
      <c r="X454" s="63"/>
      <c r="Y454" s="63"/>
      <c r="AA454" s="63"/>
      <c r="AB454" s="63"/>
      <c r="AC454" s="63"/>
    </row>
    <row r="455" spans="1:29" x14ac:dyDescent="0.2">
      <c r="A455" s="94">
        <v>40775</v>
      </c>
      <c r="B455" s="8">
        <v>397</v>
      </c>
      <c r="C455" s="193" t="s">
        <v>139</v>
      </c>
      <c r="D455" s="93"/>
      <c r="E455" s="8">
        <v>20</v>
      </c>
      <c r="F455" s="158">
        <v>15164.01</v>
      </c>
      <c r="G455" s="147">
        <f>F455*1.966</f>
        <v>29812.443660000001</v>
      </c>
      <c r="H455" s="6" t="s">
        <v>113</v>
      </c>
      <c r="I455" s="6"/>
      <c r="J455" s="53">
        <v>40750</v>
      </c>
      <c r="K455" s="93" t="s">
        <v>277</v>
      </c>
      <c r="L455" s="53">
        <v>40842</v>
      </c>
      <c r="N455" s="6"/>
      <c r="P455" s="49">
        <f>G455</f>
        <v>29812.443660000001</v>
      </c>
    </row>
    <row r="456" spans="1:29" x14ac:dyDescent="0.2">
      <c r="B456" s="93">
        <v>417</v>
      </c>
      <c r="C456" s="193" t="s">
        <v>286</v>
      </c>
      <c r="D456" s="93"/>
      <c r="E456" s="8">
        <v>5</v>
      </c>
      <c r="F456" s="158">
        <v>31730.41</v>
      </c>
      <c r="G456" s="147">
        <f>F456*1.966</f>
        <v>62381.986059999996</v>
      </c>
      <c r="H456" s="82" t="s">
        <v>113</v>
      </c>
      <c r="I456" s="6"/>
      <c r="J456" s="53">
        <v>40826</v>
      </c>
      <c r="K456" s="93" t="s">
        <v>320</v>
      </c>
      <c r="L456" s="53">
        <v>40857</v>
      </c>
      <c r="N456" s="6"/>
    </row>
    <row r="457" spans="1:29" x14ac:dyDescent="0.2">
      <c r="A457" s="94">
        <v>40817</v>
      </c>
      <c r="B457" s="93">
        <v>405</v>
      </c>
      <c r="C457" s="193" t="s">
        <v>319</v>
      </c>
      <c r="D457" s="93"/>
      <c r="E457" s="8">
        <v>5</v>
      </c>
      <c r="F457" s="158">
        <v>6000</v>
      </c>
      <c r="G457" s="147">
        <f>F457*2</f>
        <v>12000</v>
      </c>
      <c r="H457" s="370" t="s">
        <v>72</v>
      </c>
      <c r="I457" s="6"/>
      <c r="J457" s="53">
        <v>40799</v>
      </c>
      <c r="K457" s="93"/>
      <c r="L457" s="53">
        <v>40890</v>
      </c>
      <c r="N457" s="6"/>
    </row>
    <row r="458" spans="1:29" x14ac:dyDescent="0.2">
      <c r="A458" s="94">
        <v>40815</v>
      </c>
      <c r="B458" s="369">
        <v>404</v>
      </c>
      <c r="C458" s="193" t="s">
        <v>172</v>
      </c>
      <c r="D458" s="93"/>
      <c r="E458" s="8">
        <v>10</v>
      </c>
      <c r="F458" s="158">
        <v>13166.3</v>
      </c>
      <c r="G458" s="147">
        <f>F458*2</f>
        <v>26332.6</v>
      </c>
      <c r="H458" s="6" t="s">
        <v>113</v>
      </c>
      <c r="I458" s="6"/>
      <c r="J458" s="53"/>
      <c r="K458" s="93"/>
      <c r="L458" s="53">
        <v>40894</v>
      </c>
      <c r="N458" s="6"/>
    </row>
    <row r="459" spans="1:29" x14ac:dyDescent="0.2">
      <c r="A459" s="94">
        <v>40826</v>
      </c>
      <c r="B459" s="369">
        <v>406</v>
      </c>
      <c r="C459" s="193" t="s">
        <v>173</v>
      </c>
      <c r="D459" s="93"/>
      <c r="E459" s="8">
        <v>7</v>
      </c>
      <c r="F459" s="158">
        <v>3203.6</v>
      </c>
      <c r="G459" s="147">
        <f>F459*2</f>
        <v>6407.2</v>
      </c>
      <c r="H459" s="6" t="s">
        <v>113</v>
      </c>
      <c r="I459" s="6"/>
      <c r="J459" s="53">
        <v>40815</v>
      </c>
      <c r="K459" s="93" t="s">
        <v>277</v>
      </c>
      <c r="L459" s="53">
        <v>40906</v>
      </c>
      <c r="N459" s="6"/>
    </row>
    <row r="460" spans="1:29" x14ac:dyDescent="0.2">
      <c r="B460" s="93">
        <v>415</v>
      </c>
      <c r="C460" s="193" t="s">
        <v>223</v>
      </c>
      <c r="D460" s="93"/>
      <c r="E460" s="8">
        <v>7</v>
      </c>
      <c r="F460" s="158">
        <v>8510</v>
      </c>
      <c r="G460" s="147">
        <f>F460*2</f>
        <v>17020</v>
      </c>
      <c r="H460" s="82" t="s">
        <v>113</v>
      </c>
      <c r="I460" s="6"/>
      <c r="J460" s="177">
        <v>40841</v>
      </c>
      <c r="K460" s="93" t="s">
        <v>283</v>
      </c>
      <c r="L460" s="53">
        <v>40902</v>
      </c>
      <c r="N460" s="6"/>
    </row>
    <row r="461" spans="1:29" x14ac:dyDescent="0.2">
      <c r="B461" s="93">
        <v>414</v>
      </c>
      <c r="C461" s="193" t="s">
        <v>398</v>
      </c>
      <c r="D461" s="93"/>
      <c r="E461" s="8">
        <v>3</v>
      </c>
      <c r="F461" s="158">
        <v>18501</v>
      </c>
      <c r="G461" s="147">
        <f>F461*2</f>
        <v>37002</v>
      </c>
      <c r="H461" s="366" t="s">
        <v>70</v>
      </c>
      <c r="I461" s="6"/>
      <c r="J461" s="53">
        <v>40821</v>
      </c>
      <c r="K461" s="93"/>
      <c r="L461" s="53">
        <v>40882</v>
      </c>
      <c r="N461" s="6"/>
    </row>
    <row r="462" spans="1:29" x14ac:dyDescent="0.2">
      <c r="B462" s="93"/>
      <c r="C462" s="193"/>
      <c r="D462" s="93"/>
      <c r="E462" s="8"/>
      <c r="F462" s="158"/>
      <c r="G462" s="147"/>
      <c r="H462" s="370"/>
      <c r="I462" s="6"/>
      <c r="J462" s="53"/>
      <c r="K462" s="93"/>
      <c r="L462" s="53"/>
      <c r="N462" s="6"/>
    </row>
    <row r="463" spans="1:29" x14ac:dyDescent="0.2">
      <c r="B463" s="93">
        <v>419</v>
      </c>
      <c r="C463" s="193" t="s">
        <v>185</v>
      </c>
      <c r="D463" s="93"/>
      <c r="E463" s="8">
        <v>7</v>
      </c>
      <c r="F463" s="158">
        <v>3128.29</v>
      </c>
      <c r="G463" s="147">
        <f>F463*2</f>
        <v>6256.58</v>
      </c>
      <c r="H463" s="82" t="s">
        <v>113</v>
      </c>
      <c r="I463" s="6"/>
      <c r="J463" s="53">
        <v>40849</v>
      </c>
      <c r="K463" s="93" t="s">
        <v>283</v>
      </c>
      <c r="L463" s="53">
        <v>40545</v>
      </c>
      <c r="N463" s="6"/>
      <c r="O463" s="49">
        <f>G463</f>
        <v>6256.58</v>
      </c>
    </row>
    <row r="464" spans="1:29" x14ac:dyDescent="0.2">
      <c r="A464" s="94">
        <v>40836</v>
      </c>
      <c r="B464" s="369">
        <v>408</v>
      </c>
      <c r="C464" s="193" t="s">
        <v>428</v>
      </c>
      <c r="D464" s="93"/>
      <c r="E464" s="8">
        <v>8</v>
      </c>
      <c r="F464" s="158">
        <v>13555.26</v>
      </c>
      <c r="G464" s="147">
        <f>F464*2</f>
        <v>27110.52</v>
      </c>
      <c r="H464" s="6" t="s">
        <v>113</v>
      </c>
      <c r="I464" s="6"/>
      <c r="J464" s="53">
        <v>40822</v>
      </c>
      <c r="K464" s="93" t="s">
        <v>278</v>
      </c>
      <c r="L464" s="53">
        <v>40883</v>
      </c>
      <c r="N464" s="6"/>
      <c r="O464" s="49">
        <f>G464</f>
        <v>27110.52</v>
      </c>
    </row>
    <row r="465" spans="1:16" x14ac:dyDescent="0.2">
      <c r="A465" s="94">
        <v>40871</v>
      </c>
      <c r="B465" s="93">
        <v>424</v>
      </c>
      <c r="C465" s="193" t="s">
        <v>439</v>
      </c>
      <c r="D465" s="93"/>
      <c r="E465" s="8">
        <v>23</v>
      </c>
      <c r="F465" s="158">
        <v>47987</v>
      </c>
      <c r="G465" s="147">
        <f>F465*2</f>
        <v>95974</v>
      </c>
      <c r="H465" s="366" t="s">
        <v>397</v>
      </c>
      <c r="I465" s="6"/>
      <c r="J465" s="53"/>
      <c r="K465" s="93" t="s">
        <v>167</v>
      </c>
      <c r="L465" s="53"/>
      <c r="N465" s="6"/>
    </row>
    <row r="466" spans="1:16" x14ac:dyDescent="0.2">
      <c r="A466" s="94">
        <v>40886</v>
      </c>
      <c r="B466" s="93">
        <v>427</v>
      </c>
      <c r="C466" s="193" t="s">
        <v>439</v>
      </c>
      <c r="D466" s="93"/>
      <c r="E466" s="8">
        <v>24</v>
      </c>
      <c r="F466" s="158">
        <v>101703.52</v>
      </c>
      <c r="G466" s="147">
        <f>F466*2</f>
        <v>203407.04</v>
      </c>
      <c r="H466" s="82" t="s">
        <v>113</v>
      </c>
      <c r="I466" s="6"/>
      <c r="J466" s="53"/>
      <c r="K466" s="93" t="s">
        <v>167</v>
      </c>
      <c r="L466" s="53"/>
      <c r="N466" s="6"/>
    </row>
    <row r="467" spans="1:16" x14ac:dyDescent="0.2">
      <c r="A467" s="94"/>
      <c r="B467" s="93"/>
      <c r="C467" s="193"/>
      <c r="D467" s="93"/>
      <c r="E467" s="8"/>
      <c r="F467" s="158"/>
      <c r="G467" s="147"/>
      <c r="H467" s="106"/>
      <c r="I467" s="6"/>
      <c r="J467" s="53"/>
      <c r="K467" s="93"/>
      <c r="L467" s="53"/>
      <c r="N467" s="6"/>
    </row>
    <row r="468" spans="1:16" x14ac:dyDescent="0.2">
      <c r="B468" s="93">
        <v>411</v>
      </c>
      <c r="C468" s="193" t="s">
        <v>192</v>
      </c>
      <c r="D468" s="93"/>
      <c r="E468" s="8">
        <v>14</v>
      </c>
      <c r="F468" s="158">
        <v>8359.67</v>
      </c>
      <c r="G468" s="147">
        <f t="shared" ref="G468:G483" si="15">F468*2</f>
        <v>16719.34</v>
      </c>
      <c r="H468" s="82" t="s">
        <v>113</v>
      </c>
      <c r="I468" s="6"/>
      <c r="J468" s="53">
        <v>40831</v>
      </c>
      <c r="K468" s="93" t="s">
        <v>277</v>
      </c>
      <c r="L468" s="53">
        <v>40923</v>
      </c>
      <c r="N468" s="6"/>
      <c r="O468" s="49">
        <f>G468</f>
        <v>16719.34</v>
      </c>
    </row>
    <row r="469" spans="1:16" x14ac:dyDescent="0.2">
      <c r="B469" s="93">
        <v>413</v>
      </c>
      <c r="C469" s="193" t="s">
        <v>49</v>
      </c>
      <c r="D469" s="93"/>
      <c r="E469" s="8">
        <v>13</v>
      </c>
      <c r="F469" s="158">
        <v>8329.4599999999991</v>
      </c>
      <c r="G469" s="147">
        <f t="shared" si="15"/>
        <v>16658.919999999998</v>
      </c>
      <c r="H469" s="82" t="s">
        <v>113</v>
      </c>
      <c r="I469" s="6"/>
      <c r="J469" s="53">
        <v>40838</v>
      </c>
      <c r="K469" s="93" t="s">
        <v>277</v>
      </c>
      <c r="L469" s="53">
        <v>40930</v>
      </c>
      <c r="N469" s="6"/>
      <c r="O469" s="49">
        <f t="shared" ref="O469:O475" si="16">G469</f>
        <v>16658.919999999998</v>
      </c>
    </row>
    <row r="470" spans="1:16" x14ac:dyDescent="0.2">
      <c r="B470" s="93">
        <v>412</v>
      </c>
      <c r="C470" s="193" t="s">
        <v>440</v>
      </c>
      <c r="D470" s="93"/>
      <c r="E470" s="8">
        <v>13</v>
      </c>
      <c r="F470" s="158">
        <v>7035.71</v>
      </c>
      <c r="G470" s="147">
        <f t="shared" si="15"/>
        <v>14071.42</v>
      </c>
      <c r="H470" s="82" t="s">
        <v>113</v>
      </c>
      <c r="I470" s="6"/>
      <c r="J470" s="53">
        <v>40838</v>
      </c>
      <c r="K470" s="93" t="s">
        <v>277</v>
      </c>
      <c r="L470" s="53">
        <v>40930</v>
      </c>
      <c r="N470" s="6"/>
      <c r="O470" s="49">
        <f t="shared" si="16"/>
        <v>14071.42</v>
      </c>
    </row>
    <row r="471" spans="1:16" x14ac:dyDescent="0.2">
      <c r="B471" s="93">
        <v>416</v>
      </c>
      <c r="C471" s="193" t="s">
        <v>410</v>
      </c>
      <c r="D471" s="93"/>
      <c r="E471" s="8">
        <v>3</v>
      </c>
      <c r="F471" s="158">
        <v>5236.6400000000003</v>
      </c>
      <c r="G471" s="147">
        <f t="shared" si="15"/>
        <v>10473.280000000001</v>
      </c>
      <c r="H471" s="82" t="s">
        <v>113</v>
      </c>
      <c r="I471" s="6"/>
      <c r="J471" s="53">
        <v>40843</v>
      </c>
      <c r="K471" s="93" t="s">
        <v>277</v>
      </c>
      <c r="L471" s="53">
        <v>40935</v>
      </c>
      <c r="N471" s="6"/>
      <c r="O471" s="49">
        <f t="shared" si="16"/>
        <v>10473.280000000001</v>
      </c>
    </row>
    <row r="472" spans="1:16" x14ac:dyDescent="0.2">
      <c r="B472" s="93">
        <v>418</v>
      </c>
      <c r="C472" s="193" t="s">
        <v>64</v>
      </c>
      <c r="D472" s="93"/>
      <c r="E472" s="8">
        <v>9</v>
      </c>
      <c r="F472" s="158">
        <v>5224.92</v>
      </c>
      <c r="G472" s="147">
        <f t="shared" si="15"/>
        <v>10449.84</v>
      </c>
      <c r="H472" s="82" t="s">
        <v>113</v>
      </c>
      <c r="I472" s="6"/>
      <c r="J472" s="53">
        <v>40847</v>
      </c>
      <c r="K472" s="93" t="s">
        <v>277</v>
      </c>
      <c r="L472" s="53">
        <v>40574</v>
      </c>
      <c r="N472" s="6"/>
      <c r="O472" s="49">
        <f t="shared" si="16"/>
        <v>10449.84</v>
      </c>
    </row>
    <row r="473" spans="1:16" x14ac:dyDescent="0.2">
      <c r="B473" s="93">
        <v>422</v>
      </c>
      <c r="C473" s="193" t="s">
        <v>183</v>
      </c>
      <c r="D473" s="93"/>
      <c r="E473" s="8">
        <v>11</v>
      </c>
      <c r="F473" s="158">
        <v>28396.720000000001</v>
      </c>
      <c r="G473" s="147">
        <f t="shared" si="15"/>
        <v>56793.440000000002</v>
      </c>
      <c r="H473" s="82" t="s">
        <v>113</v>
      </c>
      <c r="I473" s="6"/>
      <c r="J473" s="53">
        <v>41201</v>
      </c>
      <c r="K473" s="93" t="s">
        <v>277</v>
      </c>
      <c r="L473" s="53">
        <v>40927</v>
      </c>
      <c r="N473" s="6"/>
      <c r="O473" s="49">
        <f t="shared" si="16"/>
        <v>56793.440000000002</v>
      </c>
    </row>
    <row r="474" spans="1:16" x14ac:dyDescent="0.2">
      <c r="A474" s="94">
        <v>40893</v>
      </c>
      <c r="B474" s="93">
        <v>429</v>
      </c>
      <c r="C474" s="193" t="s">
        <v>387</v>
      </c>
      <c r="D474" s="93"/>
      <c r="E474" s="8">
        <v>2</v>
      </c>
      <c r="F474" s="158">
        <v>6660.1</v>
      </c>
      <c r="G474" s="147">
        <f t="shared" si="15"/>
        <v>13320.2</v>
      </c>
      <c r="H474" s="372" t="s">
        <v>468</v>
      </c>
      <c r="I474" s="6"/>
      <c r="J474" s="53">
        <v>40878</v>
      </c>
      <c r="K474" s="93" t="s">
        <v>474</v>
      </c>
      <c r="L474" s="53">
        <v>40940</v>
      </c>
      <c r="N474" s="6"/>
      <c r="P474" s="49">
        <f>G474</f>
        <v>13320.2</v>
      </c>
    </row>
    <row r="475" spans="1:16" x14ac:dyDescent="0.2">
      <c r="A475" s="94">
        <v>40877</v>
      </c>
      <c r="B475" s="93">
        <v>423</v>
      </c>
      <c r="C475" s="193" t="s">
        <v>353</v>
      </c>
      <c r="D475" s="93"/>
      <c r="E475" s="8">
        <v>3</v>
      </c>
      <c r="F475" s="158">
        <v>11297.49</v>
      </c>
      <c r="G475" s="147">
        <f t="shared" si="15"/>
        <v>22594.98</v>
      </c>
      <c r="H475" s="82" t="s">
        <v>113</v>
      </c>
      <c r="I475" s="6"/>
      <c r="J475" s="53">
        <v>40839</v>
      </c>
      <c r="K475" s="93" t="s">
        <v>334</v>
      </c>
      <c r="L475" s="53">
        <v>40566</v>
      </c>
      <c r="N475" s="6"/>
      <c r="O475" s="49">
        <f t="shared" si="16"/>
        <v>22594.98</v>
      </c>
    </row>
    <row r="476" spans="1:16" x14ac:dyDescent="0.2">
      <c r="B476" s="93">
        <v>421</v>
      </c>
      <c r="C476" s="193" t="s">
        <v>444</v>
      </c>
      <c r="D476" s="93"/>
      <c r="E476" s="8">
        <v>1</v>
      </c>
      <c r="F476" s="158">
        <v>14753.99</v>
      </c>
      <c r="G476" s="147">
        <f t="shared" si="15"/>
        <v>29507.98</v>
      </c>
      <c r="H476" s="82" t="s">
        <v>113</v>
      </c>
      <c r="I476" s="6"/>
      <c r="J476" s="53">
        <v>40854</v>
      </c>
      <c r="K476" s="93" t="s">
        <v>277</v>
      </c>
      <c r="L476" s="53">
        <v>40581</v>
      </c>
      <c r="N476" s="6"/>
      <c r="P476" s="49">
        <f t="shared" ref="P476:P481" si="17">G476</f>
        <v>29507.98</v>
      </c>
    </row>
    <row r="477" spans="1:16" x14ac:dyDescent="0.2">
      <c r="A477" s="94">
        <v>40885</v>
      </c>
      <c r="B477" s="93">
        <v>425</v>
      </c>
      <c r="C477" s="193" t="s">
        <v>212</v>
      </c>
      <c r="D477" s="93"/>
      <c r="E477" s="8">
        <v>12</v>
      </c>
      <c r="F477" s="158">
        <v>10900</v>
      </c>
      <c r="G477" s="147">
        <f t="shared" si="15"/>
        <v>21800</v>
      </c>
      <c r="H477" s="82" t="s">
        <v>113</v>
      </c>
      <c r="I477" s="6"/>
      <c r="J477" s="53">
        <v>40871</v>
      </c>
      <c r="K477" s="93" t="s">
        <v>277</v>
      </c>
      <c r="L477" s="53">
        <v>40598</v>
      </c>
      <c r="N477" s="6"/>
      <c r="P477" s="49">
        <f t="shared" si="17"/>
        <v>21800</v>
      </c>
    </row>
    <row r="478" spans="1:16" x14ac:dyDescent="0.2">
      <c r="A478" s="94">
        <v>40886</v>
      </c>
      <c r="B478" s="93">
        <v>426</v>
      </c>
      <c r="C478" s="193" t="s">
        <v>285</v>
      </c>
      <c r="D478" s="93"/>
      <c r="E478" s="8">
        <v>5</v>
      </c>
      <c r="F478" s="158">
        <v>7040.66</v>
      </c>
      <c r="G478" s="147">
        <f t="shared" si="15"/>
        <v>14081.32</v>
      </c>
      <c r="H478" s="82" t="s">
        <v>113</v>
      </c>
      <c r="I478" s="6"/>
      <c r="J478" s="53">
        <v>40871</v>
      </c>
      <c r="K478" s="93" t="s">
        <v>277</v>
      </c>
      <c r="L478" s="53">
        <v>40598</v>
      </c>
      <c r="N478" s="6"/>
      <c r="P478" s="49">
        <f t="shared" si="17"/>
        <v>14081.32</v>
      </c>
    </row>
    <row r="479" spans="1:16" x14ac:dyDescent="0.2">
      <c r="A479" s="94">
        <v>40891</v>
      </c>
      <c r="B479" s="93">
        <v>428</v>
      </c>
      <c r="C479" s="193" t="s">
        <v>69</v>
      </c>
      <c r="D479" s="93"/>
      <c r="E479" s="8">
        <v>10</v>
      </c>
      <c r="F479" s="158">
        <v>46770.5</v>
      </c>
      <c r="G479" s="147">
        <f t="shared" si="15"/>
        <v>93541</v>
      </c>
      <c r="H479" s="82" t="s">
        <v>113</v>
      </c>
      <c r="I479" s="6"/>
      <c r="J479" s="53">
        <v>40875</v>
      </c>
      <c r="K479" s="93" t="s">
        <v>277</v>
      </c>
      <c r="L479" s="53">
        <v>40602</v>
      </c>
      <c r="N479" s="6"/>
      <c r="P479" s="49">
        <f t="shared" si="17"/>
        <v>93541</v>
      </c>
    </row>
    <row r="480" spans="1:16" x14ac:dyDescent="0.2">
      <c r="A480" s="94">
        <v>40898</v>
      </c>
      <c r="B480" s="93">
        <v>430</v>
      </c>
      <c r="C480" s="193" t="s">
        <v>208</v>
      </c>
      <c r="D480" s="93"/>
      <c r="E480" s="8">
        <v>6</v>
      </c>
      <c r="F480" s="158">
        <v>8897.2999999999993</v>
      </c>
      <c r="G480" s="147">
        <f t="shared" si="15"/>
        <v>17794.599999999999</v>
      </c>
      <c r="H480" s="82" t="s">
        <v>113</v>
      </c>
      <c r="I480" s="6"/>
      <c r="J480" s="53">
        <v>40883</v>
      </c>
      <c r="K480" s="93" t="s">
        <v>278</v>
      </c>
      <c r="L480" s="53">
        <v>40945</v>
      </c>
      <c r="N480" s="6"/>
      <c r="P480" s="49">
        <f t="shared" si="17"/>
        <v>17794.599999999999</v>
      </c>
    </row>
    <row r="481" spans="1:29" x14ac:dyDescent="0.2">
      <c r="A481" s="94">
        <v>40906</v>
      </c>
      <c r="B481" s="93">
        <v>432</v>
      </c>
      <c r="C481" s="193" t="s">
        <v>280</v>
      </c>
      <c r="D481" s="93"/>
      <c r="E481" s="8">
        <v>5</v>
      </c>
      <c r="F481" s="158">
        <v>4571.28</v>
      </c>
      <c r="G481" s="147">
        <f t="shared" si="15"/>
        <v>9142.56</v>
      </c>
      <c r="H481" s="82" t="s">
        <v>113</v>
      </c>
      <c r="I481" s="6"/>
      <c r="J481" s="53">
        <v>40894</v>
      </c>
      <c r="K481" s="93" t="s">
        <v>278</v>
      </c>
      <c r="L481" s="53">
        <v>40956</v>
      </c>
      <c r="N481" s="6"/>
      <c r="P481" s="49">
        <f t="shared" si="17"/>
        <v>9142.56</v>
      </c>
    </row>
    <row r="482" spans="1:29" x14ac:dyDescent="0.2">
      <c r="A482" s="94">
        <v>40903</v>
      </c>
      <c r="B482" s="93">
        <v>431</v>
      </c>
      <c r="C482" s="193" t="s">
        <v>187</v>
      </c>
      <c r="D482" s="93"/>
      <c r="E482" s="8">
        <v>5</v>
      </c>
      <c r="F482" s="158">
        <v>7673.78</v>
      </c>
      <c r="G482" s="147">
        <f t="shared" si="15"/>
        <v>15347.56</v>
      </c>
      <c r="H482" s="82" t="s">
        <v>113</v>
      </c>
      <c r="I482" s="6"/>
      <c r="J482" s="53">
        <v>41255</v>
      </c>
      <c r="K482" s="93" t="s">
        <v>277</v>
      </c>
      <c r="L482" s="53">
        <v>40980</v>
      </c>
      <c r="N482" s="6"/>
      <c r="P482" s="49"/>
      <c r="Q482" s="49">
        <f>G482</f>
        <v>15347.56</v>
      </c>
    </row>
    <row r="483" spans="1:29" x14ac:dyDescent="0.2">
      <c r="A483" s="94">
        <v>40907</v>
      </c>
      <c r="B483" s="93">
        <v>433</v>
      </c>
      <c r="C483" s="193" t="s">
        <v>198</v>
      </c>
      <c r="D483" s="93"/>
      <c r="E483" s="8">
        <v>9</v>
      </c>
      <c r="F483" s="158">
        <v>6882.96</v>
      </c>
      <c r="G483" s="198">
        <f t="shared" si="15"/>
        <v>13765.92</v>
      </c>
      <c r="H483" s="82" t="s">
        <v>113</v>
      </c>
      <c r="I483" s="6"/>
      <c r="J483" s="53">
        <v>40897</v>
      </c>
      <c r="K483" s="93" t="s">
        <v>277</v>
      </c>
      <c r="L483" s="53">
        <v>40988</v>
      </c>
      <c r="N483" s="6"/>
      <c r="P483" s="49"/>
      <c r="Q483" s="49">
        <f>G483</f>
        <v>13765.92</v>
      </c>
    </row>
    <row r="484" spans="1:29" x14ac:dyDescent="0.2">
      <c r="A484" s="94"/>
      <c r="B484" s="93"/>
      <c r="C484" s="193"/>
      <c r="D484" s="93"/>
      <c r="E484" s="8"/>
      <c r="F484" s="158"/>
      <c r="G484" s="198"/>
      <c r="H484" s="82"/>
      <c r="I484" s="6"/>
      <c r="J484" s="53"/>
      <c r="K484" s="93"/>
      <c r="L484" s="53"/>
      <c r="N484" s="6"/>
      <c r="P484" s="49"/>
      <c r="Q484" s="49"/>
    </row>
    <row r="485" spans="1:29" x14ac:dyDescent="0.2">
      <c r="A485" s="94"/>
      <c r="B485" s="93"/>
      <c r="C485" s="193"/>
      <c r="D485" s="93"/>
      <c r="E485" s="8"/>
      <c r="F485" s="158"/>
      <c r="G485" s="198"/>
      <c r="H485" s="82"/>
      <c r="I485" s="6"/>
      <c r="J485" s="53"/>
      <c r="K485" s="93"/>
      <c r="L485" s="53"/>
      <c r="N485" s="6"/>
      <c r="P485" s="49"/>
      <c r="Q485" s="49"/>
    </row>
    <row r="486" spans="1:29" x14ac:dyDescent="0.2">
      <c r="A486" s="94"/>
      <c r="B486" s="93"/>
      <c r="C486" s="193" t="s">
        <v>620</v>
      </c>
      <c r="D486" s="93"/>
      <c r="E486" s="8"/>
      <c r="F486" s="158"/>
      <c r="G486" s="198">
        <f>SUM(G360:G483)</f>
        <v>3797406.2929599998</v>
      </c>
      <c r="H486" s="82"/>
      <c r="I486" s="6"/>
      <c r="J486" s="53"/>
      <c r="K486" s="93"/>
      <c r="L486" s="53"/>
      <c r="N486" s="6"/>
      <c r="P486" s="49"/>
      <c r="Q486" s="49"/>
    </row>
    <row r="487" spans="1:29" x14ac:dyDescent="0.2">
      <c r="A487" s="94"/>
      <c r="B487" s="93"/>
      <c r="C487" s="193"/>
      <c r="D487" s="93"/>
      <c r="E487" s="8"/>
      <c r="F487" s="158"/>
      <c r="G487" s="198"/>
      <c r="H487" s="82"/>
      <c r="I487" s="6"/>
      <c r="J487" s="53"/>
      <c r="K487" s="93"/>
      <c r="L487" s="53"/>
      <c r="N487" s="6"/>
      <c r="P487" s="49"/>
      <c r="Q487" s="49"/>
    </row>
    <row r="488" spans="1:29" x14ac:dyDescent="0.2">
      <c r="A488" s="94"/>
      <c r="B488" s="93"/>
      <c r="C488" s="193"/>
      <c r="D488" s="93"/>
      <c r="E488" s="8"/>
      <c r="F488" s="158"/>
      <c r="G488" s="198"/>
      <c r="H488" s="82"/>
      <c r="I488" s="6"/>
      <c r="J488" s="53"/>
      <c r="K488" s="93"/>
      <c r="L488" s="53"/>
      <c r="N488" s="6"/>
      <c r="P488" s="49"/>
      <c r="Q488" s="49"/>
    </row>
    <row r="489" spans="1:29" x14ac:dyDescent="0.2">
      <c r="A489" s="94"/>
      <c r="B489" s="93"/>
      <c r="C489" s="193"/>
      <c r="D489" s="93"/>
      <c r="E489" s="8"/>
      <c r="F489" s="158"/>
      <c r="G489" s="198"/>
      <c r="H489" s="82"/>
      <c r="I489" s="6"/>
      <c r="J489" s="53"/>
      <c r="K489" s="93"/>
      <c r="L489" s="53"/>
      <c r="N489" s="6"/>
      <c r="P489" s="49"/>
      <c r="Q489" s="49"/>
    </row>
    <row r="490" spans="1:29" x14ac:dyDescent="0.2">
      <c r="A490" t="s">
        <v>619</v>
      </c>
      <c r="B490" s="8">
        <v>434</v>
      </c>
      <c r="C490" s="193" t="s">
        <v>448</v>
      </c>
      <c r="D490" s="93"/>
      <c r="E490" s="8">
        <v>5</v>
      </c>
      <c r="F490" s="158">
        <v>16499.96</v>
      </c>
      <c r="G490" s="147">
        <f>F490*2</f>
        <v>32999.919999999998</v>
      </c>
      <c r="H490" s="106" t="s">
        <v>113</v>
      </c>
      <c r="I490" s="6"/>
      <c r="J490" s="53"/>
      <c r="K490" s="93"/>
      <c r="L490" s="53">
        <v>40960</v>
      </c>
      <c r="N490" s="6"/>
    </row>
    <row r="491" spans="1:29" x14ac:dyDescent="0.2">
      <c r="B491" s="93">
        <v>436</v>
      </c>
      <c r="C491" s="193" t="s">
        <v>338</v>
      </c>
      <c r="D491" s="93"/>
      <c r="E491" s="8">
        <v>5</v>
      </c>
      <c r="F491" s="158">
        <v>22785.03</v>
      </c>
      <c r="G491" s="147">
        <f>F491*2</f>
        <v>45570.06</v>
      </c>
      <c r="H491" s="106" t="s">
        <v>468</v>
      </c>
      <c r="I491" s="6"/>
      <c r="J491" s="53">
        <v>40877</v>
      </c>
      <c r="K491" s="93" t="s">
        <v>484</v>
      </c>
      <c r="L491" s="53">
        <v>40939</v>
      </c>
      <c r="N491" s="6"/>
      <c r="P491" s="49">
        <f>G491</f>
        <v>45570.06</v>
      </c>
    </row>
    <row r="492" spans="1:29" x14ac:dyDescent="0.2">
      <c r="B492" s="8">
        <v>443</v>
      </c>
      <c r="C492" s="193" t="s">
        <v>476</v>
      </c>
      <c r="D492" s="93" t="s">
        <v>438</v>
      </c>
      <c r="E492" s="8">
        <v>3</v>
      </c>
      <c r="F492" s="158">
        <v>29048.9</v>
      </c>
      <c r="G492" s="147">
        <f>F492*1.5</f>
        <v>43573.350000000006</v>
      </c>
      <c r="H492" s="366" t="s">
        <v>397</v>
      </c>
      <c r="I492" s="6"/>
      <c r="J492" s="53"/>
      <c r="K492" s="93" t="s">
        <v>167</v>
      </c>
      <c r="L492" s="53"/>
      <c r="N492" s="6"/>
    </row>
    <row r="493" spans="1:29" x14ac:dyDescent="0.2">
      <c r="B493" s="8">
        <v>444</v>
      </c>
      <c r="C493" s="193" t="s">
        <v>245</v>
      </c>
      <c r="D493" s="93"/>
      <c r="E493" s="8">
        <v>5</v>
      </c>
      <c r="F493" s="158">
        <v>3411.5</v>
      </c>
      <c r="G493" s="147">
        <f t="shared" ref="G493:G504" si="18">F493*2</f>
        <v>6823</v>
      </c>
      <c r="H493" s="106" t="s">
        <v>113</v>
      </c>
      <c r="I493" s="6"/>
      <c r="J493" s="53"/>
      <c r="K493" s="93"/>
      <c r="L493" s="53">
        <v>40982</v>
      </c>
      <c r="N493" s="6"/>
    </row>
    <row r="494" spans="1:29" x14ac:dyDescent="0.2">
      <c r="B494" s="8">
        <v>451</v>
      </c>
      <c r="C494" s="193" t="s">
        <v>324</v>
      </c>
      <c r="D494" s="93"/>
      <c r="E494" s="8">
        <v>2</v>
      </c>
      <c r="F494" s="158">
        <v>12485.04</v>
      </c>
      <c r="G494" s="147">
        <f t="shared" si="18"/>
        <v>24970.080000000002</v>
      </c>
      <c r="H494" s="106" t="s">
        <v>113</v>
      </c>
      <c r="I494" s="6"/>
      <c r="J494" s="53"/>
      <c r="K494" s="93"/>
      <c r="L494" s="53"/>
      <c r="N494" s="6"/>
    </row>
    <row r="495" spans="1:29" x14ac:dyDescent="0.2">
      <c r="B495" s="8">
        <v>457</v>
      </c>
      <c r="C495" s="193" t="s">
        <v>443</v>
      </c>
      <c r="D495" s="93"/>
      <c r="E495" s="8">
        <v>4</v>
      </c>
      <c r="F495" s="158">
        <v>34042</v>
      </c>
      <c r="G495" s="147">
        <f t="shared" si="18"/>
        <v>68084</v>
      </c>
      <c r="H495" s="361" t="s">
        <v>397</v>
      </c>
      <c r="I495" s="6"/>
      <c r="J495" s="53"/>
      <c r="K495" s="93"/>
      <c r="L495" s="53">
        <v>41046</v>
      </c>
      <c r="N495" s="6"/>
    </row>
    <row r="496" spans="1:29" ht="16.5" customHeight="1" x14ac:dyDescent="0.2">
      <c r="B496" s="93">
        <v>442</v>
      </c>
      <c r="C496" s="93" t="s">
        <v>176</v>
      </c>
      <c r="D496" s="93"/>
      <c r="E496" s="93">
        <v>7</v>
      </c>
      <c r="F496" s="93">
        <v>3049.9</v>
      </c>
      <c r="G496" s="147">
        <f t="shared" si="18"/>
        <v>6099.8</v>
      </c>
      <c r="H496" s="106" t="s">
        <v>468</v>
      </c>
      <c r="I496" s="6"/>
      <c r="J496" s="86"/>
      <c r="K496" s="93"/>
      <c r="L496" s="53">
        <v>40944</v>
      </c>
      <c r="M496" s="93"/>
      <c r="N496" s="6"/>
      <c r="O496" s="63"/>
      <c r="P496" s="63"/>
      <c r="Q496" s="63"/>
      <c r="S496" s="63"/>
      <c r="T496" s="63"/>
      <c r="U496" s="63"/>
      <c r="W496" s="63"/>
      <c r="X496" s="63"/>
      <c r="Y496" s="63"/>
      <c r="AA496" s="63"/>
      <c r="AB496" s="63"/>
      <c r="AC496" s="63"/>
    </row>
    <row r="497" spans="1:29" ht="16.5" customHeight="1" x14ac:dyDescent="0.2">
      <c r="B497" s="93">
        <v>439</v>
      </c>
      <c r="C497" s="93" t="s">
        <v>473</v>
      </c>
      <c r="D497" s="93" t="s">
        <v>511</v>
      </c>
      <c r="E497" s="93">
        <v>1</v>
      </c>
      <c r="F497" s="93">
        <v>11132.5</v>
      </c>
      <c r="G497" s="147">
        <f t="shared" si="18"/>
        <v>22265</v>
      </c>
      <c r="H497" s="361" t="s">
        <v>397</v>
      </c>
      <c r="I497" s="6"/>
      <c r="J497" s="86"/>
      <c r="K497" s="93"/>
      <c r="L497" s="6"/>
      <c r="M497" s="93"/>
      <c r="N497" s="6"/>
      <c r="O497" s="63"/>
      <c r="P497" s="63"/>
      <c r="Q497" s="63"/>
      <c r="S497" s="63"/>
      <c r="T497" s="63"/>
      <c r="U497" s="63"/>
      <c r="W497" s="63"/>
      <c r="X497" s="63"/>
      <c r="Y497" s="63"/>
      <c r="AA497" s="63"/>
      <c r="AB497" s="63"/>
      <c r="AC497" s="63"/>
    </row>
    <row r="498" spans="1:29" ht="16.5" customHeight="1" x14ac:dyDescent="0.2">
      <c r="B498" s="93">
        <v>438</v>
      </c>
      <c r="C498" s="93" t="s">
        <v>409</v>
      </c>
      <c r="D498" s="93"/>
      <c r="E498" s="93">
        <v>2</v>
      </c>
      <c r="F498" s="93">
        <v>11032.8</v>
      </c>
      <c r="G498" s="147">
        <f t="shared" si="18"/>
        <v>22065.599999999999</v>
      </c>
      <c r="H498" s="82" t="s">
        <v>113</v>
      </c>
      <c r="I498" s="6"/>
      <c r="J498" s="86"/>
      <c r="K498" s="93"/>
      <c r="L498" s="53">
        <v>40963</v>
      </c>
      <c r="M498" s="93"/>
      <c r="N498" s="6"/>
      <c r="O498" s="63"/>
      <c r="P498" s="63"/>
      <c r="Q498" s="63"/>
      <c r="S498" s="63"/>
      <c r="T498" s="63"/>
      <c r="U498" s="63"/>
      <c r="W498" s="63"/>
      <c r="X498" s="63"/>
      <c r="Y498" s="63"/>
      <c r="AA498" s="63"/>
      <c r="AB498" s="63"/>
      <c r="AC498" s="63"/>
    </row>
    <row r="499" spans="1:29" x14ac:dyDescent="0.2">
      <c r="B499" s="93">
        <v>435</v>
      </c>
      <c r="C499" s="193" t="s">
        <v>177</v>
      </c>
      <c r="D499" s="93"/>
      <c r="E499" s="8">
        <v>7</v>
      </c>
      <c r="F499" s="158">
        <v>7819.6</v>
      </c>
      <c r="G499" s="147">
        <f t="shared" si="18"/>
        <v>15639.2</v>
      </c>
      <c r="H499" s="82" t="s">
        <v>113</v>
      </c>
      <c r="I499" s="6"/>
      <c r="J499" s="53"/>
      <c r="K499" s="93"/>
      <c r="L499" s="53">
        <v>40961</v>
      </c>
      <c r="N499" s="6"/>
    </row>
    <row r="500" spans="1:29" x14ac:dyDescent="0.2">
      <c r="B500" s="8">
        <v>437</v>
      </c>
      <c r="C500" s="193" t="s">
        <v>181</v>
      </c>
      <c r="D500" s="93"/>
      <c r="E500" s="8">
        <v>4</v>
      </c>
      <c r="F500" s="158">
        <v>3020.1</v>
      </c>
      <c r="G500" s="147">
        <f t="shared" si="18"/>
        <v>6040.2</v>
      </c>
      <c r="H500" s="82" t="s">
        <v>113</v>
      </c>
      <c r="I500" s="6"/>
      <c r="J500" s="53"/>
      <c r="K500" s="93"/>
      <c r="L500" s="53">
        <v>40995</v>
      </c>
      <c r="N500" s="6"/>
    </row>
    <row r="501" spans="1:29" x14ac:dyDescent="0.2">
      <c r="B501" s="93">
        <v>441</v>
      </c>
      <c r="C501" s="193" t="s">
        <v>145</v>
      </c>
      <c r="D501" s="93"/>
      <c r="E501" s="8">
        <v>14</v>
      </c>
      <c r="F501" s="158">
        <v>44256.160000000003</v>
      </c>
      <c r="G501" s="198">
        <f t="shared" si="18"/>
        <v>88512.320000000007</v>
      </c>
      <c r="H501" s="82" t="s">
        <v>113</v>
      </c>
      <c r="I501" s="6"/>
      <c r="J501" s="53"/>
      <c r="K501" s="93"/>
      <c r="L501" s="53">
        <v>40990</v>
      </c>
      <c r="N501" s="6"/>
    </row>
    <row r="502" spans="1:29" ht="16.5" customHeight="1" x14ac:dyDescent="0.2">
      <c r="B502" s="93">
        <v>440</v>
      </c>
      <c r="C502" s="93" t="s">
        <v>196</v>
      </c>
      <c r="D502" s="93"/>
      <c r="E502" s="93">
        <v>13</v>
      </c>
      <c r="F502" s="93">
        <v>12862.72</v>
      </c>
      <c r="G502" s="198">
        <f t="shared" si="18"/>
        <v>25725.439999999999</v>
      </c>
      <c r="H502" s="82" t="s">
        <v>113</v>
      </c>
      <c r="I502" s="6"/>
      <c r="J502" s="86"/>
      <c r="K502" s="93"/>
      <c r="L502" s="53">
        <v>40990</v>
      </c>
      <c r="M502" s="93"/>
      <c r="N502" s="6"/>
      <c r="O502" s="63"/>
      <c r="P502" s="63"/>
      <c r="Q502" s="63"/>
      <c r="S502" s="63"/>
      <c r="T502" s="63"/>
      <c r="U502" s="63"/>
      <c r="W502" s="63"/>
      <c r="X502" s="63"/>
      <c r="Y502" s="63"/>
      <c r="AA502" s="63"/>
      <c r="AB502" s="63"/>
      <c r="AC502" s="63"/>
    </row>
    <row r="503" spans="1:29" x14ac:dyDescent="0.2">
      <c r="B503" s="8">
        <v>455</v>
      </c>
      <c r="C503" s="193" t="s">
        <v>398</v>
      </c>
      <c r="D503" s="93"/>
      <c r="E503" s="8">
        <v>4</v>
      </c>
      <c r="F503" s="158">
        <v>9181.2000000000007</v>
      </c>
      <c r="G503" s="147">
        <f t="shared" si="18"/>
        <v>18362.400000000001</v>
      </c>
      <c r="H503" s="366" t="s">
        <v>72</v>
      </c>
      <c r="I503" s="6"/>
      <c r="J503" s="53"/>
      <c r="K503" s="93" t="s">
        <v>475</v>
      </c>
      <c r="L503" s="53">
        <v>40993</v>
      </c>
      <c r="N503" s="6"/>
    </row>
    <row r="504" spans="1:29" x14ac:dyDescent="0.2">
      <c r="A504" s="94">
        <v>40992</v>
      </c>
      <c r="B504" s="8">
        <v>462</v>
      </c>
      <c r="C504" s="193" t="s">
        <v>477</v>
      </c>
      <c r="D504" s="93"/>
      <c r="E504" s="8">
        <v>2</v>
      </c>
      <c r="F504" s="158">
        <v>4186.47</v>
      </c>
      <c r="G504" s="147">
        <f t="shared" si="18"/>
        <v>8372.94</v>
      </c>
      <c r="H504" s="82" t="s">
        <v>72</v>
      </c>
      <c r="I504" s="6"/>
      <c r="J504" s="53" t="s">
        <v>250</v>
      </c>
      <c r="K504" s="93" t="s">
        <v>250</v>
      </c>
      <c r="L504" s="53"/>
      <c r="N504" s="6"/>
    </row>
    <row r="505" spans="1:29" x14ac:dyDescent="0.2">
      <c r="A505" s="94">
        <v>41001</v>
      </c>
      <c r="B505" s="8">
        <v>464</v>
      </c>
      <c r="C505" s="193" t="s">
        <v>235</v>
      </c>
      <c r="D505" s="93"/>
      <c r="E505" s="8">
        <v>3</v>
      </c>
      <c r="F505" s="158">
        <v>37530.449999999997</v>
      </c>
      <c r="G505" s="147">
        <f>F505*1.5</f>
        <v>56295.674999999996</v>
      </c>
      <c r="H505" s="366" t="s">
        <v>70</v>
      </c>
      <c r="I505" s="6"/>
      <c r="J505" s="53"/>
      <c r="K505" s="93" t="s">
        <v>167</v>
      </c>
      <c r="L505" s="53"/>
      <c r="N505" s="6"/>
    </row>
    <row r="506" spans="1:29" x14ac:dyDescent="0.2">
      <c r="A506" s="94">
        <v>41003</v>
      </c>
      <c r="B506" s="8">
        <v>465</v>
      </c>
      <c r="C506" s="193" t="s">
        <v>382</v>
      </c>
      <c r="D506" s="93"/>
      <c r="E506" s="8">
        <v>5</v>
      </c>
      <c r="F506" s="158">
        <v>7449</v>
      </c>
      <c r="G506" s="147">
        <f>F506*2</f>
        <v>14898</v>
      </c>
      <c r="H506" s="106" t="s">
        <v>113</v>
      </c>
      <c r="I506" s="6"/>
      <c r="J506" s="53"/>
      <c r="K506" s="93" t="s">
        <v>250</v>
      </c>
      <c r="L506" s="53"/>
      <c r="N506" s="6"/>
    </row>
    <row r="507" spans="1:29" x14ac:dyDescent="0.2">
      <c r="A507" s="94">
        <v>41027</v>
      </c>
      <c r="B507" s="8">
        <v>477</v>
      </c>
      <c r="C507" s="193" t="s">
        <v>480</v>
      </c>
      <c r="D507" s="93"/>
      <c r="E507" s="364">
        <v>1</v>
      </c>
      <c r="F507" s="158">
        <v>14215.2</v>
      </c>
      <c r="G507" s="147">
        <f>F507*1.97</f>
        <v>28003.944</v>
      </c>
      <c r="H507" s="82" t="s">
        <v>113</v>
      </c>
      <c r="I507" s="6"/>
      <c r="J507" s="53"/>
      <c r="K507" s="93" t="s">
        <v>423</v>
      </c>
      <c r="L507" s="53" t="s">
        <v>419</v>
      </c>
      <c r="N507" s="6"/>
    </row>
    <row r="508" spans="1:29" x14ac:dyDescent="0.2">
      <c r="A508" s="94">
        <v>41033</v>
      </c>
      <c r="B508" s="8">
        <v>479</v>
      </c>
      <c r="C508" s="193" t="s">
        <v>489</v>
      </c>
      <c r="D508" s="93"/>
      <c r="E508" s="364">
        <v>1</v>
      </c>
      <c r="F508" s="158">
        <v>9093.6</v>
      </c>
      <c r="G508" s="147">
        <f>F508*2</f>
        <v>18187.2</v>
      </c>
      <c r="H508" s="366" t="s">
        <v>72</v>
      </c>
      <c r="I508" s="6"/>
      <c r="J508" s="53"/>
      <c r="K508" s="93"/>
      <c r="L508" s="53" t="s">
        <v>419</v>
      </c>
      <c r="N508" s="6"/>
    </row>
    <row r="509" spans="1:29" x14ac:dyDescent="0.2">
      <c r="B509" s="8">
        <v>445</v>
      </c>
      <c r="C509" s="193" t="s">
        <v>174</v>
      </c>
      <c r="D509" s="93"/>
      <c r="E509" s="8">
        <v>1</v>
      </c>
      <c r="F509" s="158">
        <v>4519.5</v>
      </c>
      <c r="G509" s="147">
        <f>F509*2</f>
        <v>9039</v>
      </c>
      <c r="H509" s="106" t="s">
        <v>113</v>
      </c>
      <c r="I509" s="6"/>
      <c r="J509" s="53"/>
      <c r="K509" s="93"/>
      <c r="L509" s="53">
        <v>41013</v>
      </c>
      <c r="N509" s="6"/>
    </row>
    <row r="510" spans="1:29" x14ac:dyDescent="0.2">
      <c r="B510" s="8">
        <v>446</v>
      </c>
      <c r="C510" s="193" t="s">
        <v>447</v>
      </c>
      <c r="D510" s="93"/>
      <c r="E510" s="8">
        <v>11</v>
      </c>
      <c r="F510" s="158">
        <v>6238.26</v>
      </c>
      <c r="G510" s="147">
        <f>F510*2</f>
        <v>12476.52</v>
      </c>
      <c r="H510" s="106" t="s">
        <v>113</v>
      </c>
      <c r="I510" s="6"/>
      <c r="J510" s="53"/>
      <c r="K510" s="93" t="s">
        <v>334</v>
      </c>
      <c r="L510" s="53">
        <v>41016</v>
      </c>
      <c r="N510" s="6"/>
    </row>
    <row r="511" spans="1:29" x14ac:dyDescent="0.2">
      <c r="B511" s="8">
        <v>450</v>
      </c>
      <c r="C511" s="193" t="s">
        <v>427</v>
      </c>
      <c r="D511" s="93"/>
      <c r="E511" s="8">
        <v>8</v>
      </c>
      <c r="F511" s="158">
        <v>18177.900000000001</v>
      </c>
      <c r="G511" s="147">
        <f>F511*2</f>
        <v>36355.800000000003</v>
      </c>
      <c r="H511" s="106" t="s">
        <v>113</v>
      </c>
      <c r="I511" s="6"/>
      <c r="J511" s="53">
        <v>40947</v>
      </c>
      <c r="K511" s="93" t="s">
        <v>334</v>
      </c>
      <c r="L511" s="53">
        <v>41007</v>
      </c>
      <c r="N511" s="6"/>
    </row>
    <row r="512" spans="1:29" x14ac:dyDescent="0.2">
      <c r="B512" s="8">
        <v>454</v>
      </c>
      <c r="C512" s="193" t="s">
        <v>488</v>
      </c>
      <c r="D512" s="93"/>
      <c r="E512" s="8">
        <v>1</v>
      </c>
      <c r="F512" s="158">
        <f>12023.95/2</f>
        <v>6011.9750000000004</v>
      </c>
      <c r="G512" s="147">
        <f>F512*2</f>
        <v>12023.95</v>
      </c>
      <c r="H512" s="106" t="s">
        <v>113</v>
      </c>
      <c r="I512" s="6"/>
      <c r="J512" s="53">
        <v>40953</v>
      </c>
      <c r="K512" s="93"/>
      <c r="L512" s="53">
        <v>41006</v>
      </c>
      <c r="N512" s="6"/>
    </row>
    <row r="513" spans="1:14" x14ac:dyDescent="0.2">
      <c r="A513" s="94">
        <v>41039</v>
      </c>
      <c r="B513" s="8">
        <v>481</v>
      </c>
      <c r="C513" s="193" t="s">
        <v>481</v>
      </c>
      <c r="D513" s="93"/>
      <c r="E513" s="364">
        <v>1</v>
      </c>
      <c r="F513" s="158">
        <v>10794.2</v>
      </c>
      <c r="G513" s="147">
        <f>F513*1.52</f>
        <v>16407.184000000001</v>
      </c>
      <c r="H513" s="82" t="s">
        <v>113</v>
      </c>
      <c r="I513" s="6"/>
      <c r="J513" s="53"/>
      <c r="K513" s="93" t="s">
        <v>487</v>
      </c>
      <c r="L513" s="53"/>
      <c r="N513" s="6"/>
    </row>
    <row r="514" spans="1:14" x14ac:dyDescent="0.2">
      <c r="A514" s="94">
        <v>41041</v>
      </c>
      <c r="B514" s="8">
        <v>482</v>
      </c>
      <c r="C514" s="193" t="s">
        <v>193</v>
      </c>
      <c r="D514" s="93" t="s">
        <v>511</v>
      </c>
      <c r="E514" s="364">
        <v>11</v>
      </c>
      <c r="F514" s="158">
        <v>18000</v>
      </c>
      <c r="G514" s="147">
        <f>F514*2</f>
        <v>36000</v>
      </c>
      <c r="H514" s="366" t="s">
        <v>72</v>
      </c>
      <c r="I514" s="6"/>
      <c r="J514" s="53"/>
      <c r="K514" s="93" t="s">
        <v>423</v>
      </c>
      <c r="L514" s="53"/>
      <c r="N514" s="6"/>
    </row>
    <row r="515" spans="1:14" x14ac:dyDescent="0.2">
      <c r="A515" s="94">
        <v>41032</v>
      </c>
      <c r="B515" s="93">
        <v>486</v>
      </c>
      <c r="C515" s="93" t="s">
        <v>501</v>
      </c>
      <c r="D515" s="93"/>
      <c r="E515" s="93">
        <v>1</v>
      </c>
      <c r="F515" s="93">
        <v>8429.09</v>
      </c>
      <c r="G515" s="147">
        <f>F515*2</f>
        <v>16858.18</v>
      </c>
      <c r="H515" s="81"/>
      <c r="I515" s="86"/>
      <c r="J515" s="86"/>
      <c r="K515" s="93" t="s">
        <v>250</v>
      </c>
      <c r="L515" s="86"/>
      <c r="N515" s="6"/>
    </row>
    <row r="516" spans="1:14" x14ac:dyDescent="0.2">
      <c r="A516" s="94">
        <v>41046</v>
      </c>
      <c r="B516" s="8">
        <v>488</v>
      </c>
      <c r="C516" s="193" t="s">
        <v>166</v>
      </c>
      <c r="D516" s="93"/>
      <c r="E516" s="364">
        <v>26</v>
      </c>
      <c r="F516" s="158">
        <v>60917.5</v>
      </c>
      <c r="G516" s="147">
        <f>F516*2</f>
        <v>121835</v>
      </c>
      <c r="H516" s="366" t="s">
        <v>70</v>
      </c>
      <c r="I516" s="6"/>
      <c r="J516" s="53"/>
      <c r="K516" s="93"/>
      <c r="L516" s="53"/>
      <c r="N516" s="6"/>
    </row>
    <row r="517" spans="1:14" x14ac:dyDescent="0.2">
      <c r="A517" s="94">
        <v>41046</v>
      </c>
      <c r="B517" s="8">
        <v>487</v>
      </c>
      <c r="C517" s="193" t="s">
        <v>166</v>
      </c>
      <c r="D517" s="93"/>
      <c r="E517" s="364">
        <v>25</v>
      </c>
      <c r="F517" s="158">
        <v>103046</v>
      </c>
      <c r="G517" s="147">
        <f>F517*1.97</f>
        <v>203000.62</v>
      </c>
      <c r="H517" s="82" t="s">
        <v>113</v>
      </c>
      <c r="I517" s="6"/>
      <c r="J517" s="53"/>
      <c r="K517" s="93"/>
      <c r="L517" s="53"/>
      <c r="N517" s="6"/>
    </row>
    <row r="518" spans="1:14" x14ac:dyDescent="0.2">
      <c r="A518" s="202">
        <v>41045</v>
      </c>
      <c r="B518" s="8">
        <v>485</v>
      </c>
      <c r="C518" s="193" t="s">
        <v>421</v>
      </c>
      <c r="D518" s="93" t="s">
        <v>437</v>
      </c>
      <c r="E518" s="364">
        <v>3</v>
      </c>
      <c r="F518" s="158">
        <v>36542.199999999997</v>
      </c>
      <c r="G518" s="147">
        <f>F518*1.5</f>
        <v>54813.299999999996</v>
      </c>
      <c r="H518" s="366" t="s">
        <v>397</v>
      </c>
      <c r="I518" s="6"/>
      <c r="J518" s="53"/>
      <c r="K518" s="93" t="s">
        <v>167</v>
      </c>
      <c r="L518" s="53"/>
      <c r="N518" s="6"/>
    </row>
    <row r="519" spans="1:14" x14ac:dyDescent="0.2">
      <c r="A519" s="94">
        <v>41044</v>
      </c>
      <c r="B519" s="8">
        <v>484</v>
      </c>
      <c r="C519" s="193" t="s">
        <v>176</v>
      </c>
      <c r="D519" s="93"/>
      <c r="E519" s="364">
        <v>7</v>
      </c>
      <c r="F519" s="158">
        <v>3187.04</v>
      </c>
      <c r="G519" s="147">
        <f>F519*2</f>
        <v>6374.08</v>
      </c>
      <c r="H519" s="106" t="s">
        <v>70</v>
      </c>
      <c r="I519" s="6"/>
      <c r="J519" s="53"/>
      <c r="K519" s="93" t="s">
        <v>250</v>
      </c>
      <c r="L519" s="53"/>
      <c r="N519" s="6"/>
    </row>
    <row r="520" spans="1:14" x14ac:dyDescent="0.2">
      <c r="B520" s="8">
        <v>447</v>
      </c>
      <c r="C520" s="193" t="s">
        <v>192</v>
      </c>
      <c r="D520" s="193"/>
      <c r="E520" s="8">
        <v>15</v>
      </c>
      <c r="F520" s="158">
        <v>16045.28</v>
      </c>
      <c r="G520" s="147">
        <f t="shared" ref="G520:G525" si="19">F520*2</f>
        <v>32090.560000000001</v>
      </c>
      <c r="H520" s="106" t="s">
        <v>113</v>
      </c>
      <c r="I520" s="6"/>
      <c r="J520" s="53"/>
      <c r="K520" s="93" t="s">
        <v>334</v>
      </c>
      <c r="L520" s="53">
        <v>41013</v>
      </c>
      <c r="N520" s="6"/>
    </row>
    <row r="521" spans="1:14" x14ac:dyDescent="0.2">
      <c r="B521" s="8">
        <v>449</v>
      </c>
      <c r="C521" s="193" t="s">
        <v>200</v>
      </c>
      <c r="D521" s="93"/>
      <c r="E521" s="8">
        <v>9</v>
      </c>
      <c r="F521" s="158">
        <v>19869.669999999998</v>
      </c>
      <c r="G521" s="147">
        <f t="shared" si="19"/>
        <v>39739.339999999997</v>
      </c>
      <c r="H521" s="106" t="s">
        <v>113</v>
      </c>
      <c r="I521" s="6"/>
      <c r="J521" s="53"/>
      <c r="K521" s="93" t="s">
        <v>334</v>
      </c>
      <c r="L521" s="53">
        <v>41018</v>
      </c>
      <c r="N521" s="6"/>
    </row>
    <row r="522" spans="1:14" x14ac:dyDescent="0.2">
      <c r="B522" s="8">
        <v>452</v>
      </c>
      <c r="C522" s="181" t="s">
        <v>139</v>
      </c>
      <c r="D522" s="93"/>
      <c r="E522" s="8">
        <v>21</v>
      </c>
      <c r="F522" s="158">
        <v>22244.06</v>
      </c>
      <c r="G522" s="147">
        <f t="shared" si="19"/>
        <v>44488.12</v>
      </c>
      <c r="H522" s="106" t="s">
        <v>113</v>
      </c>
      <c r="I522" s="6"/>
      <c r="J522" s="53"/>
      <c r="K522" s="93" t="s">
        <v>334</v>
      </c>
      <c r="L522" s="53">
        <v>41029</v>
      </c>
      <c r="N522" s="6"/>
    </row>
    <row r="523" spans="1:14" x14ac:dyDescent="0.2">
      <c r="B523" s="8">
        <v>448</v>
      </c>
      <c r="C523" s="181" t="s">
        <v>49</v>
      </c>
      <c r="D523" s="93"/>
      <c r="E523" s="8">
        <v>14</v>
      </c>
      <c r="F523" s="158">
        <v>9237.7099999999991</v>
      </c>
      <c r="G523" s="147">
        <f t="shared" si="19"/>
        <v>18475.419999999998</v>
      </c>
      <c r="H523" s="106" t="s">
        <v>113</v>
      </c>
      <c r="I523" s="6"/>
      <c r="J523" s="53"/>
      <c r="K523" s="93" t="s">
        <v>334</v>
      </c>
      <c r="L523" s="53">
        <v>41025</v>
      </c>
      <c r="N523" s="6"/>
    </row>
    <row r="524" spans="1:14" x14ac:dyDescent="0.2">
      <c r="B524" s="8">
        <v>453</v>
      </c>
      <c r="C524" s="193" t="s">
        <v>409</v>
      </c>
      <c r="D524" s="93"/>
      <c r="E524" s="8">
        <v>3</v>
      </c>
      <c r="F524" s="158">
        <v>12138.84</v>
      </c>
      <c r="G524" s="147">
        <f t="shared" si="19"/>
        <v>24277.68</v>
      </c>
      <c r="H524" s="106" t="s">
        <v>113</v>
      </c>
      <c r="I524" s="6"/>
      <c r="J524" s="53"/>
      <c r="K524" s="93" t="s">
        <v>278</v>
      </c>
      <c r="L524" s="53">
        <v>41003</v>
      </c>
      <c r="N524" s="6"/>
    </row>
    <row r="525" spans="1:14" x14ac:dyDescent="0.2">
      <c r="A525" s="94">
        <v>40985</v>
      </c>
      <c r="B525" s="8">
        <v>460</v>
      </c>
      <c r="C525" s="193" t="s">
        <v>223</v>
      </c>
      <c r="D525" s="93"/>
      <c r="E525" s="8">
        <v>8</v>
      </c>
      <c r="F525" s="158">
        <v>10460</v>
      </c>
      <c r="G525" s="147">
        <f t="shared" si="19"/>
        <v>20920</v>
      </c>
      <c r="H525" s="366" t="s">
        <v>113</v>
      </c>
      <c r="I525" s="6"/>
      <c r="J525" s="53">
        <v>40968</v>
      </c>
      <c r="K525" s="93" t="s">
        <v>278</v>
      </c>
      <c r="L525" s="53">
        <v>41028</v>
      </c>
      <c r="N525" s="6"/>
    </row>
    <row r="526" spans="1:14" x14ac:dyDescent="0.2">
      <c r="A526" s="94">
        <v>41019</v>
      </c>
      <c r="B526" s="8">
        <v>473</v>
      </c>
      <c r="C526" s="181" t="s">
        <v>183</v>
      </c>
      <c r="D526" s="93"/>
      <c r="E526" s="8">
        <v>12</v>
      </c>
      <c r="F526" s="158">
        <v>24660.85</v>
      </c>
      <c r="G526" s="147">
        <f>F526*2</f>
        <v>49321.7</v>
      </c>
      <c r="H526" s="82" t="s">
        <v>113</v>
      </c>
      <c r="I526" s="6"/>
      <c r="J526" s="53">
        <v>40954</v>
      </c>
      <c r="K526" s="93" t="s">
        <v>384</v>
      </c>
      <c r="L526" s="53">
        <v>41044</v>
      </c>
      <c r="N526" s="6"/>
    </row>
    <row r="527" spans="1:14" x14ac:dyDescent="0.2">
      <c r="B527" s="8">
        <v>454</v>
      </c>
      <c r="C527" s="193" t="s">
        <v>488</v>
      </c>
      <c r="D527" s="93"/>
      <c r="E527" s="8">
        <v>1</v>
      </c>
      <c r="F527" s="158">
        <f>12023.95/2</f>
        <v>6011.9750000000004</v>
      </c>
      <c r="G527" s="147">
        <f>F527*2</f>
        <v>12023.95</v>
      </c>
      <c r="H527" s="106" t="s">
        <v>113</v>
      </c>
      <c r="I527" s="6"/>
      <c r="J527" s="53"/>
      <c r="K527" s="93"/>
      <c r="L527" s="53">
        <v>41031</v>
      </c>
      <c r="N527" s="6"/>
    </row>
    <row r="528" spans="1:14" x14ac:dyDescent="0.2">
      <c r="A528" s="94">
        <v>40991</v>
      </c>
      <c r="B528" s="8">
        <v>461</v>
      </c>
      <c r="C528" s="193" t="s">
        <v>448</v>
      </c>
      <c r="D528" s="93"/>
      <c r="E528" s="8">
        <v>6</v>
      </c>
      <c r="F528" s="158">
        <v>9198</v>
      </c>
      <c r="G528" s="147">
        <f>F528*2</f>
        <v>18396</v>
      </c>
      <c r="H528" s="106" t="s">
        <v>113</v>
      </c>
      <c r="I528" s="6"/>
      <c r="J528" s="53">
        <v>40975</v>
      </c>
      <c r="K528" s="93" t="s">
        <v>500</v>
      </c>
      <c r="L528" s="53">
        <v>41036</v>
      </c>
      <c r="N528" s="6"/>
    </row>
    <row r="529" spans="1:14" x14ac:dyDescent="0.2">
      <c r="B529" s="55">
        <v>459</v>
      </c>
      <c r="C529" s="193" t="s">
        <v>172</v>
      </c>
      <c r="D529" s="93"/>
      <c r="E529" s="8">
        <v>11</v>
      </c>
      <c r="F529" s="158">
        <v>8307.6200000000008</v>
      </c>
      <c r="G529" s="147">
        <f>F529*2</f>
        <v>16615.240000000002</v>
      </c>
      <c r="H529" s="106" t="s">
        <v>113</v>
      </c>
      <c r="I529" s="6"/>
      <c r="J529" s="53">
        <v>40962</v>
      </c>
      <c r="K529" s="93"/>
      <c r="L529" s="53">
        <v>41052</v>
      </c>
      <c r="N529" s="6"/>
    </row>
    <row r="530" spans="1:14" x14ac:dyDescent="0.2">
      <c r="B530" s="55"/>
      <c r="C530" s="193"/>
      <c r="D530" s="93"/>
      <c r="E530" s="8"/>
      <c r="F530" s="158"/>
      <c r="G530" s="147"/>
      <c r="H530" s="106"/>
      <c r="I530" s="6"/>
      <c r="J530" s="53"/>
      <c r="K530" s="93"/>
      <c r="L530" s="53"/>
      <c r="N530" s="6"/>
    </row>
    <row r="531" spans="1:14" x14ac:dyDescent="0.2">
      <c r="B531" s="8">
        <v>458</v>
      </c>
      <c r="C531" s="193" t="s">
        <v>479</v>
      </c>
      <c r="D531" s="93"/>
      <c r="E531" s="8">
        <v>1</v>
      </c>
      <c r="F531" s="158">
        <v>8247.94</v>
      </c>
      <c r="G531" s="147">
        <f>F531*2</f>
        <v>16495.88</v>
      </c>
      <c r="H531" s="106" t="s">
        <v>113</v>
      </c>
      <c r="I531" s="6"/>
      <c r="J531" s="53">
        <v>40978</v>
      </c>
      <c r="K531" s="93" t="s">
        <v>278</v>
      </c>
      <c r="L531" s="53">
        <v>41039</v>
      </c>
      <c r="N531" s="6"/>
    </row>
    <row r="532" spans="1:14" x14ac:dyDescent="0.2">
      <c r="A532" s="94">
        <v>40999</v>
      </c>
      <c r="B532" s="8">
        <v>463</v>
      </c>
      <c r="C532" s="193" t="s">
        <v>173</v>
      </c>
      <c r="D532" s="93"/>
      <c r="E532" s="8">
        <v>8</v>
      </c>
      <c r="F532" s="158">
        <v>5851.35</v>
      </c>
      <c r="G532" s="147">
        <f>F532*2</f>
        <v>11702.7</v>
      </c>
      <c r="H532" s="106" t="s">
        <v>113</v>
      </c>
      <c r="I532" s="6"/>
      <c r="J532" s="53">
        <v>40957</v>
      </c>
      <c r="K532" s="93"/>
      <c r="L532" s="53">
        <v>41047</v>
      </c>
      <c r="N532" s="6"/>
    </row>
    <row r="533" spans="1:14" x14ac:dyDescent="0.2">
      <c r="A533" s="94">
        <v>41029</v>
      </c>
      <c r="B533" s="8">
        <v>476</v>
      </c>
      <c r="C533" s="193" t="s">
        <v>286</v>
      </c>
      <c r="D533" s="93"/>
      <c r="E533" s="365">
        <v>6</v>
      </c>
      <c r="F533" s="158">
        <v>14781.07</v>
      </c>
      <c r="G533" s="147">
        <f>F533*2</f>
        <v>29562.14</v>
      </c>
      <c r="H533" s="82" t="s">
        <v>113</v>
      </c>
      <c r="I533" s="6"/>
      <c r="J533" s="53">
        <v>40997</v>
      </c>
      <c r="K533" s="93" t="s">
        <v>385</v>
      </c>
      <c r="L533" s="53">
        <v>41060</v>
      </c>
      <c r="N533" s="6"/>
    </row>
    <row r="534" spans="1:14" x14ac:dyDescent="0.2">
      <c r="A534" s="94"/>
      <c r="B534" s="8"/>
      <c r="C534" s="193"/>
      <c r="D534" s="93"/>
      <c r="E534" s="365"/>
      <c r="F534" s="158"/>
      <c r="G534" s="147"/>
      <c r="H534" s="106"/>
      <c r="I534" s="6"/>
      <c r="J534" s="53"/>
      <c r="K534" s="93"/>
      <c r="L534" s="53"/>
      <c r="N534" s="6"/>
    </row>
    <row r="535" spans="1:14" x14ac:dyDescent="0.2">
      <c r="A535" s="94"/>
      <c r="B535" s="8"/>
      <c r="C535" s="193"/>
      <c r="D535" s="93"/>
      <c r="E535" s="8"/>
      <c r="F535" s="158"/>
      <c r="G535" s="147"/>
      <c r="H535" s="106"/>
      <c r="I535" s="6"/>
      <c r="J535" s="53"/>
      <c r="K535" s="93"/>
      <c r="L535" s="53"/>
      <c r="N535" s="6"/>
    </row>
    <row r="536" spans="1:14" x14ac:dyDescent="0.2">
      <c r="A536" s="94">
        <v>41004</v>
      </c>
      <c r="B536" s="8">
        <v>466</v>
      </c>
      <c r="C536" s="193" t="s">
        <v>478</v>
      </c>
      <c r="D536" s="93"/>
      <c r="E536" s="365">
        <v>1</v>
      </c>
      <c r="F536" s="158">
        <v>8880.39</v>
      </c>
      <c r="G536" s="147">
        <f t="shared" ref="G536:G543" si="20">F536*2</f>
        <v>17760.78</v>
      </c>
      <c r="H536" s="82" t="s">
        <v>113</v>
      </c>
      <c r="I536" s="6"/>
      <c r="J536" s="53">
        <v>40988</v>
      </c>
      <c r="K536" s="93" t="s">
        <v>384</v>
      </c>
      <c r="L536" s="53">
        <v>41080</v>
      </c>
      <c r="N536" s="6"/>
    </row>
    <row r="537" spans="1:14" x14ac:dyDescent="0.2">
      <c r="A537" s="94">
        <v>41004</v>
      </c>
      <c r="B537" s="8">
        <v>467</v>
      </c>
      <c r="C537" s="193" t="s">
        <v>411</v>
      </c>
      <c r="D537" s="93"/>
      <c r="E537" s="365">
        <v>4</v>
      </c>
      <c r="F537" s="158">
        <v>20252.7</v>
      </c>
      <c r="G537" s="147">
        <f t="shared" si="20"/>
        <v>40505.4</v>
      </c>
      <c r="H537" s="82" t="s">
        <v>113</v>
      </c>
      <c r="I537" s="6"/>
      <c r="J537" s="53">
        <v>40989</v>
      </c>
      <c r="K537" s="93" t="s">
        <v>384</v>
      </c>
      <c r="L537" s="53">
        <v>41081</v>
      </c>
      <c r="N537" s="6"/>
    </row>
    <row r="538" spans="1:14" x14ac:dyDescent="0.2">
      <c r="A538" s="94">
        <v>41011</v>
      </c>
      <c r="B538" s="8">
        <v>468</v>
      </c>
      <c r="C538" s="193" t="s">
        <v>304</v>
      </c>
      <c r="D538" s="93"/>
      <c r="E538" s="365">
        <v>3</v>
      </c>
      <c r="F538" s="158">
        <v>10055.5</v>
      </c>
      <c r="G538" s="147">
        <f t="shared" si="20"/>
        <v>20111</v>
      </c>
      <c r="H538" s="82" t="s">
        <v>113</v>
      </c>
      <c r="I538" s="6"/>
      <c r="J538" s="53">
        <v>41000</v>
      </c>
      <c r="K538" s="93" t="s">
        <v>500</v>
      </c>
      <c r="L538" s="53">
        <v>41061</v>
      </c>
      <c r="N538" s="6"/>
    </row>
    <row r="539" spans="1:14" x14ac:dyDescent="0.2">
      <c r="A539" s="94">
        <v>41016</v>
      </c>
      <c r="B539" s="8">
        <v>469</v>
      </c>
      <c r="C539" s="193" t="s">
        <v>187</v>
      </c>
      <c r="D539" s="93"/>
      <c r="E539" s="365">
        <v>6</v>
      </c>
      <c r="F539" s="158">
        <v>8981.61</v>
      </c>
      <c r="G539" s="147">
        <f t="shared" si="20"/>
        <v>17963.22</v>
      </c>
      <c r="H539" s="106" t="s">
        <v>113</v>
      </c>
      <c r="I539" s="6"/>
      <c r="J539" s="53">
        <v>40992</v>
      </c>
      <c r="K539" s="93" t="s">
        <v>384</v>
      </c>
      <c r="L539" s="53">
        <v>41084</v>
      </c>
      <c r="N539" s="6"/>
    </row>
    <row r="540" spans="1:14" x14ac:dyDescent="0.2">
      <c r="A540" s="94">
        <v>41016</v>
      </c>
      <c r="B540" s="8">
        <v>470</v>
      </c>
      <c r="C540" s="193" t="s">
        <v>341</v>
      </c>
      <c r="D540" s="93"/>
      <c r="E540" s="365">
        <v>3</v>
      </c>
      <c r="F540" s="158">
        <v>5230</v>
      </c>
      <c r="G540" s="147">
        <f t="shared" si="20"/>
        <v>10460</v>
      </c>
      <c r="H540" s="82" t="s">
        <v>113</v>
      </c>
      <c r="I540" s="6"/>
      <c r="J540" s="53">
        <v>41001</v>
      </c>
      <c r="K540" s="93" t="s">
        <v>384</v>
      </c>
      <c r="L540" s="53">
        <v>41062</v>
      </c>
      <c r="N540" s="6"/>
    </row>
    <row r="541" spans="1:14" x14ac:dyDescent="0.2">
      <c r="A541" s="94">
        <v>41017</v>
      </c>
      <c r="B541" s="8">
        <v>471</v>
      </c>
      <c r="C541" s="193" t="s">
        <v>49</v>
      </c>
      <c r="D541" s="93"/>
      <c r="E541" s="365">
        <v>15</v>
      </c>
      <c r="F541" s="158">
        <v>8681.11</v>
      </c>
      <c r="G541" s="147">
        <f t="shared" si="20"/>
        <v>17362.22</v>
      </c>
      <c r="H541" s="82" t="s">
        <v>113</v>
      </c>
      <c r="I541" s="6"/>
      <c r="J541" s="53">
        <v>40997</v>
      </c>
      <c r="K541" s="93" t="s">
        <v>384</v>
      </c>
      <c r="L541" s="53">
        <v>41089</v>
      </c>
      <c r="N541" s="6"/>
    </row>
    <row r="542" spans="1:14" x14ac:dyDescent="0.2">
      <c r="A542" s="94">
        <v>41019</v>
      </c>
      <c r="B542" s="8">
        <v>472</v>
      </c>
      <c r="C542" s="193" t="s">
        <v>248</v>
      </c>
      <c r="D542" s="193"/>
      <c r="E542" s="365">
        <v>5</v>
      </c>
      <c r="F542" s="158">
        <v>23077.5</v>
      </c>
      <c r="G542" s="147">
        <f t="shared" si="20"/>
        <v>46155</v>
      </c>
      <c r="H542" s="82" t="s">
        <v>113</v>
      </c>
      <c r="I542" s="6"/>
      <c r="J542" s="53">
        <v>40995</v>
      </c>
      <c r="K542" s="93" t="s">
        <v>384</v>
      </c>
      <c r="L542" s="53">
        <v>41087</v>
      </c>
      <c r="N542" s="6"/>
    </row>
    <row r="543" spans="1:14" x14ac:dyDescent="0.2">
      <c r="A543" s="94">
        <v>41024</v>
      </c>
      <c r="B543" s="8">
        <v>474</v>
      </c>
      <c r="C543" s="193" t="s">
        <v>145</v>
      </c>
      <c r="D543" s="93"/>
      <c r="E543" s="365">
        <v>15</v>
      </c>
      <c r="F543" s="158">
        <v>21239.69</v>
      </c>
      <c r="G543" s="147">
        <f t="shared" si="20"/>
        <v>42479.38</v>
      </c>
      <c r="H543" s="82" t="s">
        <v>113</v>
      </c>
      <c r="I543" s="6"/>
      <c r="J543" s="53">
        <v>40999</v>
      </c>
      <c r="K543" s="93" t="s">
        <v>384</v>
      </c>
      <c r="L543" s="53">
        <v>41090</v>
      </c>
      <c r="N543" s="6"/>
    </row>
    <row r="544" spans="1:14" ht="12" customHeight="1" x14ac:dyDescent="0.2">
      <c r="A544" s="94">
        <v>41025</v>
      </c>
      <c r="B544" s="8">
        <v>475</v>
      </c>
      <c r="C544" s="193" t="s">
        <v>223</v>
      </c>
      <c r="D544" s="93"/>
      <c r="E544" s="365"/>
      <c r="F544" s="158">
        <v>4220</v>
      </c>
      <c r="G544" s="147">
        <f>F544*2</f>
        <v>8440</v>
      </c>
      <c r="H544" s="82" t="s">
        <v>113</v>
      </c>
      <c r="I544" s="6"/>
      <c r="J544" s="53">
        <v>41002</v>
      </c>
      <c r="K544" s="93" t="s">
        <v>500</v>
      </c>
      <c r="L544" s="53">
        <v>41063</v>
      </c>
      <c r="N544" s="6"/>
    </row>
    <row r="545" spans="1:14" x14ac:dyDescent="0.2">
      <c r="A545" s="94">
        <v>41031</v>
      </c>
      <c r="B545" s="8">
        <v>478</v>
      </c>
      <c r="C545" s="193" t="s">
        <v>493</v>
      </c>
      <c r="D545" s="93"/>
      <c r="E545" s="365">
        <v>1</v>
      </c>
      <c r="F545" s="158">
        <v>12466.45</v>
      </c>
      <c r="G545" s="147">
        <f>F545*2</f>
        <v>24932.9</v>
      </c>
      <c r="H545" s="82" t="s">
        <v>113</v>
      </c>
      <c r="I545" s="6"/>
      <c r="J545" s="53">
        <v>41005</v>
      </c>
      <c r="K545" s="93" t="s">
        <v>500</v>
      </c>
      <c r="L545" s="53">
        <v>41066</v>
      </c>
      <c r="N545" s="6"/>
    </row>
    <row r="546" spans="1:14" x14ac:dyDescent="0.2">
      <c r="A546" s="202">
        <v>41058</v>
      </c>
      <c r="B546" s="8">
        <v>491</v>
      </c>
      <c r="C546" s="193" t="s">
        <v>476</v>
      </c>
      <c r="D546" s="93" t="s">
        <v>299</v>
      </c>
      <c r="E546" s="365">
        <v>5</v>
      </c>
      <c r="F546" s="158">
        <v>65479.68</v>
      </c>
      <c r="G546" s="147">
        <f>F546*1.5</f>
        <v>98219.520000000004</v>
      </c>
      <c r="H546" s="366" t="s">
        <v>72</v>
      </c>
      <c r="I546" s="6"/>
      <c r="J546" s="53"/>
      <c r="K546" s="93" t="s">
        <v>167</v>
      </c>
      <c r="L546" s="53"/>
      <c r="N546" s="6"/>
    </row>
    <row r="547" spans="1:14" x14ac:dyDescent="0.2">
      <c r="A547" s="94">
        <v>41080</v>
      </c>
      <c r="B547" s="8">
        <v>497</v>
      </c>
      <c r="C547" s="193" t="s">
        <v>477</v>
      </c>
      <c r="D547" s="93"/>
      <c r="E547" s="8">
        <v>32</v>
      </c>
      <c r="F547" s="158">
        <v>5269.44</v>
      </c>
      <c r="G547" s="147">
        <f>F547*2</f>
        <v>10538.88</v>
      </c>
      <c r="H547" s="366" t="s">
        <v>72</v>
      </c>
      <c r="I547" s="6"/>
      <c r="J547" s="53"/>
      <c r="K547" s="93" t="s">
        <v>250</v>
      </c>
      <c r="L547" s="53"/>
      <c r="N547" s="6"/>
    </row>
    <row r="548" spans="1:14" x14ac:dyDescent="0.2">
      <c r="A548" s="94"/>
      <c r="B548" s="8"/>
      <c r="C548" s="193"/>
      <c r="D548" s="93"/>
      <c r="E548" s="8"/>
      <c r="F548" s="158"/>
      <c r="G548" s="147"/>
      <c r="H548" s="370"/>
      <c r="I548" s="6"/>
      <c r="J548" s="53"/>
      <c r="K548" s="93"/>
      <c r="L548" s="53"/>
      <c r="N548" s="6"/>
    </row>
    <row r="549" spans="1:14" ht="12" customHeight="1" x14ac:dyDescent="0.2">
      <c r="A549" s="94">
        <v>41034</v>
      </c>
      <c r="B549" s="8">
        <v>480</v>
      </c>
      <c r="C549" s="193" t="s">
        <v>319</v>
      </c>
      <c r="D549" s="93"/>
      <c r="E549" s="8">
        <v>5</v>
      </c>
      <c r="F549" s="158">
        <v>42592.03</v>
      </c>
      <c r="G549" s="147">
        <f>F549*2</f>
        <v>85184.06</v>
      </c>
      <c r="H549" s="366" t="s">
        <v>72</v>
      </c>
      <c r="I549" s="6"/>
      <c r="J549" s="53">
        <v>40948</v>
      </c>
      <c r="K549" s="93" t="s">
        <v>384</v>
      </c>
      <c r="L549" s="53">
        <v>41099</v>
      </c>
      <c r="N549" s="6"/>
    </row>
    <row r="550" spans="1:14" x14ac:dyDescent="0.2">
      <c r="B550" s="8">
        <v>490</v>
      </c>
      <c r="C550" s="193" t="s">
        <v>425</v>
      </c>
      <c r="D550" s="93"/>
      <c r="E550" s="365">
        <v>2</v>
      </c>
      <c r="F550" s="158">
        <v>19000</v>
      </c>
      <c r="G550" s="147">
        <f>F550*2</f>
        <v>38000</v>
      </c>
      <c r="H550" s="82" t="s">
        <v>113</v>
      </c>
      <c r="I550" s="6"/>
      <c r="J550" s="53"/>
      <c r="K550" s="93" t="s">
        <v>494</v>
      </c>
      <c r="L550" s="53">
        <v>41100</v>
      </c>
      <c r="N550" s="6"/>
    </row>
    <row r="551" spans="1:14" x14ac:dyDescent="0.2">
      <c r="A551" s="94">
        <v>41069</v>
      </c>
      <c r="B551" s="8">
        <v>493</v>
      </c>
      <c r="C551" s="193" t="s">
        <v>171</v>
      </c>
      <c r="D551" s="93"/>
      <c r="E551" s="365">
        <v>9</v>
      </c>
      <c r="F551" s="158">
        <v>25310.55</v>
      </c>
      <c r="G551" s="147">
        <f>F551*2</f>
        <v>50621.1</v>
      </c>
      <c r="H551" s="82" t="s">
        <v>113</v>
      </c>
      <c r="I551" s="6"/>
      <c r="J551" s="53">
        <v>41041</v>
      </c>
      <c r="K551" s="93" t="s">
        <v>500</v>
      </c>
      <c r="L551" s="53">
        <v>41102</v>
      </c>
      <c r="N551" s="6"/>
    </row>
    <row r="552" spans="1:14" x14ac:dyDescent="0.2">
      <c r="A552" s="94">
        <v>41062</v>
      </c>
      <c r="B552" s="8">
        <v>492</v>
      </c>
      <c r="C552" s="193" t="s">
        <v>245</v>
      </c>
      <c r="D552" s="93"/>
      <c r="E552" s="365">
        <v>6</v>
      </c>
      <c r="F552" s="158">
        <v>3986</v>
      </c>
      <c r="G552" s="147">
        <f>F552*2</f>
        <v>7972</v>
      </c>
      <c r="H552" s="82" t="s">
        <v>113</v>
      </c>
      <c r="I552" s="6"/>
      <c r="J552" s="53">
        <v>41047</v>
      </c>
      <c r="K552" s="93" t="s">
        <v>607</v>
      </c>
      <c r="L552" s="53">
        <v>41108</v>
      </c>
      <c r="N552" s="6"/>
    </row>
    <row r="553" spans="1:14" ht="12" customHeight="1" x14ac:dyDescent="0.2">
      <c r="A553" s="94">
        <v>41079</v>
      </c>
      <c r="B553" s="8">
        <v>496</v>
      </c>
      <c r="C553" s="193" t="s">
        <v>338</v>
      </c>
      <c r="D553" s="93"/>
      <c r="E553" s="8">
        <v>6</v>
      </c>
      <c r="F553" s="158">
        <v>15596.67</v>
      </c>
      <c r="G553" s="147">
        <f>F553*2.02</f>
        <v>31505.273400000002</v>
      </c>
      <c r="H553" s="106" t="s">
        <v>397</v>
      </c>
      <c r="I553" s="6"/>
      <c r="J553" s="53">
        <v>41047</v>
      </c>
      <c r="K553" s="93" t="s">
        <v>601</v>
      </c>
      <c r="L553" s="53">
        <v>41108</v>
      </c>
      <c r="N553" s="6"/>
    </row>
    <row r="554" spans="1:14" ht="12" customHeight="1" x14ac:dyDescent="0.2">
      <c r="A554" s="94">
        <v>41099</v>
      </c>
      <c r="B554" s="8">
        <v>506</v>
      </c>
      <c r="C554" s="193" t="s">
        <v>293</v>
      </c>
      <c r="D554" s="93"/>
      <c r="E554" s="8">
        <v>4</v>
      </c>
      <c r="F554" s="158">
        <v>6408</v>
      </c>
      <c r="G554" s="147">
        <f>F554*2.02</f>
        <v>12944.16</v>
      </c>
      <c r="H554" s="106" t="s">
        <v>113</v>
      </c>
      <c r="I554" s="6"/>
      <c r="J554" s="53"/>
      <c r="K554" s="93"/>
      <c r="L554" s="53"/>
      <c r="N554" s="6"/>
    </row>
    <row r="555" spans="1:14" ht="12" customHeight="1" x14ac:dyDescent="0.2">
      <c r="A555" s="94"/>
      <c r="B555" s="8"/>
      <c r="C555" s="193"/>
      <c r="D555" s="93"/>
      <c r="E555" s="8"/>
      <c r="F555" s="158"/>
      <c r="G555" s="147"/>
      <c r="H555" s="106"/>
      <c r="I555" s="6"/>
      <c r="J555" s="53"/>
      <c r="K555" s="93"/>
      <c r="L555" s="53"/>
      <c r="N555" s="6"/>
    </row>
    <row r="556" spans="1:14" x14ac:dyDescent="0.2">
      <c r="A556" s="94">
        <v>41044</v>
      </c>
      <c r="B556" s="8">
        <v>483</v>
      </c>
      <c r="C556" s="96" t="s">
        <v>212</v>
      </c>
      <c r="D556" s="93"/>
      <c r="E556" s="365">
        <v>15</v>
      </c>
      <c r="F556" s="158">
        <v>10653.5</v>
      </c>
      <c r="G556" s="147">
        <f>F556*2</f>
        <v>21307</v>
      </c>
      <c r="H556" s="82" t="s">
        <v>113</v>
      </c>
      <c r="I556" s="6"/>
      <c r="J556" s="53">
        <v>41025</v>
      </c>
      <c r="K556" s="93" t="s">
        <v>384</v>
      </c>
      <c r="L556" s="53">
        <v>41116</v>
      </c>
      <c r="N556" s="6"/>
    </row>
    <row r="557" spans="1:14" x14ac:dyDescent="0.2">
      <c r="A557" s="94">
        <v>41051</v>
      </c>
      <c r="B557" s="8">
        <v>489</v>
      </c>
      <c r="C557" s="193" t="s">
        <v>447</v>
      </c>
      <c r="D557" s="93"/>
      <c r="E557" s="365">
        <v>12</v>
      </c>
      <c r="F557" s="158">
        <v>13204.56</v>
      </c>
      <c r="G557" s="147">
        <f>F557*2</f>
        <v>26409.119999999999</v>
      </c>
      <c r="H557" s="82" t="s">
        <v>113</v>
      </c>
      <c r="I557" s="6"/>
      <c r="J557" s="53">
        <v>41036</v>
      </c>
      <c r="K557" s="93" t="s">
        <v>384</v>
      </c>
      <c r="L557" s="53">
        <v>41128</v>
      </c>
      <c r="N557" s="6"/>
    </row>
    <row r="558" spans="1:14" x14ac:dyDescent="0.2">
      <c r="A558" s="94">
        <v>41076</v>
      </c>
      <c r="B558" s="8">
        <v>495</v>
      </c>
      <c r="C558" s="193" t="s">
        <v>352</v>
      </c>
      <c r="D558" s="93" t="s">
        <v>512</v>
      </c>
      <c r="E558" s="8">
        <v>7</v>
      </c>
      <c r="F558" s="158">
        <v>13160</v>
      </c>
      <c r="G558" s="147">
        <f>F558*2</f>
        <v>26320</v>
      </c>
      <c r="H558" s="82" t="s">
        <v>113</v>
      </c>
      <c r="I558" s="6"/>
      <c r="J558" s="53">
        <v>41059</v>
      </c>
      <c r="K558" s="93" t="s">
        <v>500</v>
      </c>
      <c r="L558" s="53">
        <v>41120</v>
      </c>
      <c r="N558" s="6"/>
    </row>
    <row r="559" spans="1:14" x14ac:dyDescent="0.2">
      <c r="A559" s="94">
        <v>41081</v>
      </c>
      <c r="B559" s="8">
        <v>498</v>
      </c>
      <c r="C559" s="193" t="s">
        <v>185</v>
      </c>
      <c r="D559" s="93"/>
      <c r="E559" s="8">
        <v>8</v>
      </c>
      <c r="F559" s="158">
        <v>5205.3900000000003</v>
      </c>
      <c r="G559" s="147">
        <f>F559*1.95</f>
        <v>10150.5105</v>
      </c>
      <c r="H559" s="82" t="s">
        <v>113</v>
      </c>
      <c r="I559" s="6"/>
      <c r="J559" s="53">
        <v>41057</v>
      </c>
      <c r="K559" s="93" t="s">
        <v>500</v>
      </c>
      <c r="L559" s="53">
        <v>41118</v>
      </c>
      <c r="N559" s="6"/>
    </row>
    <row r="560" spans="1:14" x14ac:dyDescent="0.2">
      <c r="A560" s="94">
        <v>41085</v>
      </c>
      <c r="B560" s="8">
        <v>500</v>
      </c>
      <c r="C560" s="193" t="s">
        <v>298</v>
      </c>
      <c r="D560" s="93"/>
      <c r="E560" s="365">
        <v>3</v>
      </c>
      <c r="F560" s="158">
        <v>5987.6</v>
      </c>
      <c r="G560" s="147">
        <f>F560*2</f>
        <v>11975.2</v>
      </c>
      <c r="H560" s="82" t="s">
        <v>113</v>
      </c>
      <c r="I560" s="6"/>
      <c r="J560" s="53">
        <v>41065</v>
      </c>
      <c r="K560" s="93" t="s">
        <v>500</v>
      </c>
      <c r="L560" s="53">
        <v>41126</v>
      </c>
      <c r="N560" s="6"/>
    </row>
    <row r="561" spans="1:14" x14ac:dyDescent="0.2">
      <c r="A561" s="94">
        <v>41104</v>
      </c>
      <c r="B561" s="8">
        <v>512</v>
      </c>
      <c r="C561" s="193" t="s">
        <v>493</v>
      </c>
      <c r="D561" s="93"/>
      <c r="E561" s="8">
        <v>2</v>
      </c>
      <c r="F561" s="158" t="s">
        <v>609</v>
      </c>
      <c r="G561" s="147"/>
      <c r="H561" s="370"/>
      <c r="I561" s="6"/>
      <c r="J561" s="53"/>
      <c r="K561" s="93"/>
      <c r="L561" s="53"/>
      <c r="N561" s="6"/>
    </row>
    <row r="562" spans="1:14" x14ac:dyDescent="0.2">
      <c r="A562" s="94">
        <v>41122</v>
      </c>
      <c r="B562" s="8">
        <v>524</v>
      </c>
      <c r="C562" s="193" t="s">
        <v>610</v>
      </c>
      <c r="D562" s="93"/>
      <c r="E562" s="8">
        <v>1</v>
      </c>
      <c r="F562" s="158">
        <v>2070</v>
      </c>
      <c r="G562" s="147">
        <f>F562*1.6234</f>
        <v>3360.4380000000001</v>
      </c>
      <c r="H562" s="82" t="s">
        <v>113</v>
      </c>
      <c r="I562" s="6"/>
      <c r="J562" s="53"/>
      <c r="K562" s="93" t="s">
        <v>487</v>
      </c>
      <c r="L562" s="53"/>
      <c r="N562" s="6"/>
    </row>
    <row r="563" spans="1:14" x14ac:dyDescent="0.2">
      <c r="A563" s="94">
        <v>41113</v>
      </c>
      <c r="B563" s="8">
        <v>517</v>
      </c>
      <c r="C563" s="193" t="s">
        <v>360</v>
      </c>
      <c r="D563" s="93"/>
      <c r="E563" s="8">
        <v>4</v>
      </c>
      <c r="F563" s="158">
        <v>8390.2000000000007</v>
      </c>
      <c r="G563" s="147">
        <f t="shared" ref="G563:G569" si="21">F563*2</f>
        <v>16780.400000000001</v>
      </c>
      <c r="H563" s="106" t="s">
        <v>113</v>
      </c>
      <c r="I563" s="6"/>
      <c r="J563" s="53"/>
      <c r="K563" s="93" t="s">
        <v>494</v>
      </c>
      <c r="L563" s="53">
        <v>41132</v>
      </c>
      <c r="N563" s="6"/>
    </row>
    <row r="564" spans="1:14" x14ac:dyDescent="0.2">
      <c r="A564" s="94"/>
      <c r="B564" s="8">
        <v>526</v>
      </c>
      <c r="C564" s="193" t="s">
        <v>382</v>
      </c>
      <c r="D564" s="93"/>
      <c r="E564" s="365">
        <v>6</v>
      </c>
      <c r="F564" s="158">
        <v>10818.55</v>
      </c>
      <c r="G564" s="147">
        <f t="shared" si="21"/>
        <v>21637.1</v>
      </c>
      <c r="H564" s="106" t="s">
        <v>113</v>
      </c>
      <c r="I564" s="6"/>
      <c r="J564" s="53">
        <v>41088</v>
      </c>
      <c r="K564" s="93" t="s">
        <v>250</v>
      </c>
      <c r="L564" s="53"/>
      <c r="N564" s="6"/>
    </row>
    <row r="565" spans="1:14" x14ac:dyDescent="0.2">
      <c r="A565" s="94">
        <v>41097</v>
      </c>
      <c r="B565" s="8">
        <v>504</v>
      </c>
      <c r="C565" s="193" t="s">
        <v>180</v>
      </c>
      <c r="D565" s="93"/>
      <c r="E565" s="8">
        <v>8</v>
      </c>
      <c r="F565" s="158">
        <v>3840.34</v>
      </c>
      <c r="G565" s="147">
        <f t="shared" si="21"/>
        <v>7680.68</v>
      </c>
      <c r="H565" s="82" t="s">
        <v>113</v>
      </c>
      <c r="I565" s="6"/>
      <c r="J565" s="53">
        <v>41072</v>
      </c>
      <c r="K565" s="93" t="s">
        <v>500</v>
      </c>
      <c r="L565" s="53">
        <v>41133</v>
      </c>
      <c r="N565" s="6"/>
    </row>
    <row r="566" spans="1:14" x14ac:dyDescent="0.2">
      <c r="A566" s="94">
        <v>41107</v>
      </c>
      <c r="B566" s="8">
        <v>515</v>
      </c>
      <c r="C566" s="193" t="s">
        <v>208</v>
      </c>
      <c r="D566" s="93"/>
      <c r="E566" s="365">
        <v>7</v>
      </c>
      <c r="F566" s="158">
        <v>5779.14</v>
      </c>
      <c r="G566" s="147">
        <f t="shared" si="21"/>
        <v>11558.28</v>
      </c>
      <c r="H566" s="106" t="s">
        <v>113</v>
      </c>
      <c r="I566" s="6"/>
      <c r="J566" s="53">
        <v>41073</v>
      </c>
      <c r="K566" s="93" t="s">
        <v>500</v>
      </c>
      <c r="L566" s="53">
        <v>41134</v>
      </c>
      <c r="N566" s="6"/>
    </row>
    <row r="567" spans="1:14" x14ac:dyDescent="0.2">
      <c r="A567" s="94">
        <v>41094</v>
      </c>
      <c r="B567" s="8">
        <v>503</v>
      </c>
      <c r="C567" s="193" t="s">
        <v>177</v>
      </c>
      <c r="D567" s="93"/>
      <c r="E567" s="365">
        <v>8</v>
      </c>
      <c r="F567" s="158">
        <v>8670</v>
      </c>
      <c r="G567" s="147">
        <f t="shared" si="21"/>
        <v>17340</v>
      </c>
      <c r="H567" s="82" t="s">
        <v>113</v>
      </c>
      <c r="I567" s="6"/>
      <c r="J567" s="53">
        <v>41076</v>
      </c>
      <c r="K567" s="93" t="s">
        <v>500</v>
      </c>
      <c r="L567" s="53">
        <v>41137</v>
      </c>
      <c r="N567" s="6"/>
    </row>
    <row r="568" spans="1:14" x14ac:dyDescent="0.2">
      <c r="A568" s="94">
        <v>41101</v>
      </c>
      <c r="B568" s="8">
        <v>508</v>
      </c>
      <c r="C568" s="193" t="s">
        <v>446</v>
      </c>
      <c r="D568" s="93"/>
      <c r="E568" s="8">
        <v>3</v>
      </c>
      <c r="F568" s="158">
        <v>3555.6</v>
      </c>
      <c r="G568" s="147">
        <f t="shared" si="21"/>
        <v>7111.2</v>
      </c>
      <c r="H568" s="82" t="s">
        <v>113</v>
      </c>
      <c r="I568" s="6"/>
      <c r="J568" s="53">
        <v>41079</v>
      </c>
      <c r="K568" s="93" t="s">
        <v>500</v>
      </c>
      <c r="L568" s="53">
        <v>41140</v>
      </c>
      <c r="N568" s="6"/>
    </row>
    <row r="569" spans="1:14" x14ac:dyDescent="0.2">
      <c r="A569" s="94">
        <v>41104</v>
      </c>
      <c r="B569" s="8">
        <v>511</v>
      </c>
      <c r="C569" s="193" t="s">
        <v>301</v>
      </c>
      <c r="D569" s="93"/>
      <c r="E569" s="8">
        <v>4</v>
      </c>
      <c r="F569" s="158">
        <v>5012</v>
      </c>
      <c r="G569" s="147">
        <f t="shared" si="21"/>
        <v>10024</v>
      </c>
      <c r="H569" s="82" t="s">
        <v>113</v>
      </c>
      <c r="I569" s="6"/>
      <c r="J569" s="53">
        <v>41083</v>
      </c>
      <c r="K569" s="93" t="s">
        <v>278</v>
      </c>
      <c r="L569" s="53">
        <v>41144</v>
      </c>
      <c r="N569" s="6"/>
    </row>
    <row r="570" spans="1:14" x14ac:dyDescent="0.2">
      <c r="A570" s="94"/>
      <c r="B570" s="8"/>
      <c r="C570" s="193"/>
      <c r="D570" s="93"/>
      <c r="E570" s="8"/>
      <c r="F570" s="158"/>
      <c r="G570" s="147"/>
      <c r="H570" s="106"/>
      <c r="I570" s="6"/>
      <c r="J570" s="53"/>
      <c r="K570" s="93"/>
      <c r="L570" s="53"/>
      <c r="N570" s="6"/>
    </row>
    <row r="571" spans="1:14" x14ac:dyDescent="0.2">
      <c r="A571" s="94">
        <v>41116</v>
      </c>
      <c r="B571" s="8">
        <v>519</v>
      </c>
      <c r="C571" s="193" t="s">
        <v>286</v>
      </c>
      <c r="D571" s="93"/>
      <c r="E571" s="8">
        <v>7</v>
      </c>
      <c r="F571" s="158">
        <v>10002.370000000001</v>
      </c>
      <c r="G571" s="147">
        <f t="shared" ref="G571:G576" si="22">F571*2</f>
        <v>20004.740000000002</v>
      </c>
      <c r="H571" s="106" t="s">
        <v>113</v>
      </c>
      <c r="I571" s="6"/>
      <c r="J571" s="53">
        <v>41116</v>
      </c>
      <c r="K571" s="93" t="s">
        <v>385</v>
      </c>
      <c r="L571" s="53">
        <v>41147</v>
      </c>
      <c r="N571" s="6"/>
    </row>
    <row r="572" spans="1:14" x14ac:dyDescent="0.2">
      <c r="A572" s="94">
        <v>41114</v>
      </c>
      <c r="B572" s="8">
        <v>518</v>
      </c>
      <c r="C572" s="193" t="s">
        <v>280</v>
      </c>
      <c r="D572" s="93"/>
      <c r="E572" s="8">
        <v>6</v>
      </c>
      <c r="F572" s="158">
        <v>5027.4399999999996</v>
      </c>
      <c r="G572" s="147">
        <f t="shared" si="22"/>
        <v>10054.879999999999</v>
      </c>
      <c r="H572" s="106" t="s">
        <v>113</v>
      </c>
      <c r="I572" s="6"/>
      <c r="J572" s="53">
        <v>41088</v>
      </c>
      <c r="K572" s="93" t="s">
        <v>500</v>
      </c>
      <c r="L572" s="53">
        <v>41149</v>
      </c>
      <c r="N572" s="6"/>
    </row>
    <row r="573" spans="1:14" x14ac:dyDescent="0.2">
      <c r="A573" s="94">
        <v>41124</v>
      </c>
      <c r="B573" s="8">
        <v>523</v>
      </c>
      <c r="C573" s="193" t="s">
        <v>173</v>
      </c>
      <c r="D573" s="93"/>
      <c r="E573" s="365">
        <v>8</v>
      </c>
      <c r="F573" s="158">
        <v>5143.3599999999997</v>
      </c>
      <c r="G573" s="147">
        <f t="shared" si="22"/>
        <v>10286.719999999999</v>
      </c>
      <c r="H573" s="106" t="s">
        <v>113</v>
      </c>
      <c r="I573" s="6"/>
      <c r="J573" s="53">
        <v>41090</v>
      </c>
      <c r="K573" s="93" t="s">
        <v>500</v>
      </c>
      <c r="L573" s="53">
        <v>41151</v>
      </c>
      <c r="N573" s="6"/>
    </row>
    <row r="574" spans="1:14" x14ac:dyDescent="0.2">
      <c r="A574" s="94">
        <v>41083</v>
      </c>
      <c r="B574" s="8">
        <v>499</v>
      </c>
      <c r="C574" s="96" t="s">
        <v>192</v>
      </c>
      <c r="D574" s="93"/>
      <c r="E574" s="8">
        <v>16</v>
      </c>
      <c r="F574" s="158">
        <v>19842.439999999999</v>
      </c>
      <c r="G574" s="147">
        <f t="shared" si="22"/>
        <v>39684.879999999997</v>
      </c>
      <c r="H574" s="82" t="s">
        <v>113</v>
      </c>
      <c r="I574" s="6"/>
      <c r="J574" s="53">
        <v>41060</v>
      </c>
      <c r="K574" s="93" t="s">
        <v>384</v>
      </c>
      <c r="L574" s="53">
        <v>41152</v>
      </c>
      <c r="N574" s="6"/>
    </row>
    <row r="575" spans="1:14" x14ac:dyDescent="0.2">
      <c r="A575" s="94">
        <v>41073</v>
      </c>
      <c r="B575" s="8">
        <v>494</v>
      </c>
      <c r="C575" s="193" t="s">
        <v>139</v>
      </c>
      <c r="D575" s="93"/>
      <c r="E575" s="365">
        <v>22</v>
      </c>
      <c r="F575" s="158">
        <v>22181.91</v>
      </c>
      <c r="G575" s="147">
        <f t="shared" si="22"/>
        <v>44363.82</v>
      </c>
      <c r="H575" s="82" t="s">
        <v>113</v>
      </c>
      <c r="I575" s="6"/>
      <c r="J575" s="53">
        <v>41060</v>
      </c>
      <c r="K575" s="93" t="s">
        <v>384</v>
      </c>
      <c r="L575" s="53">
        <v>41152</v>
      </c>
      <c r="N575" s="6"/>
    </row>
    <row r="576" spans="1:14" x14ac:dyDescent="0.2">
      <c r="A576" s="94">
        <v>41121</v>
      </c>
      <c r="B576" s="365">
        <v>521</v>
      </c>
      <c r="C576" s="193" t="s">
        <v>223</v>
      </c>
      <c r="D576" s="93"/>
      <c r="E576" s="365">
        <v>9</v>
      </c>
      <c r="F576" s="158">
        <v>20815.72</v>
      </c>
      <c r="G576" s="147">
        <f t="shared" si="22"/>
        <v>41631.440000000002</v>
      </c>
      <c r="H576" s="106" t="s">
        <v>113</v>
      </c>
      <c r="I576" s="6"/>
      <c r="J576" s="53">
        <v>41094</v>
      </c>
      <c r="K576" s="93" t="s">
        <v>500</v>
      </c>
      <c r="L576" s="53">
        <v>41156</v>
      </c>
      <c r="N576" s="6"/>
    </row>
    <row r="577" spans="1:29" x14ac:dyDescent="0.2">
      <c r="A577" s="94">
        <v>41160</v>
      </c>
      <c r="B577" s="8">
        <v>540</v>
      </c>
      <c r="C577" s="193" t="s">
        <v>166</v>
      </c>
      <c r="D577" s="93"/>
      <c r="E577" s="8">
        <v>27</v>
      </c>
      <c r="F577" s="158">
        <v>95162.8</v>
      </c>
      <c r="G577" s="147">
        <f>F577*2.01</f>
        <v>191277.22799999997</v>
      </c>
      <c r="H577" s="106" t="s">
        <v>397</v>
      </c>
      <c r="I577" s="8" t="s">
        <v>624</v>
      </c>
      <c r="J577" s="413">
        <v>52827</v>
      </c>
      <c r="K577" s="93" t="s">
        <v>167</v>
      </c>
      <c r="L577" s="53" t="s">
        <v>613</v>
      </c>
      <c r="N577" s="6"/>
    </row>
    <row r="578" spans="1:29" x14ac:dyDescent="0.2">
      <c r="A578" s="94">
        <v>41156</v>
      </c>
      <c r="B578" s="8">
        <v>538</v>
      </c>
      <c r="C578" s="193" t="s">
        <v>166</v>
      </c>
      <c r="D578" s="93"/>
      <c r="E578" s="8">
        <v>28</v>
      </c>
      <c r="F578" s="158">
        <v>104514.7</v>
      </c>
      <c r="G578" s="147">
        <f>F578*2.01</f>
        <v>210074.54699999996</v>
      </c>
      <c r="H578" s="106" t="s">
        <v>72</v>
      </c>
      <c r="I578" s="8" t="s">
        <v>624</v>
      </c>
      <c r="J578" s="413">
        <v>105000</v>
      </c>
      <c r="K578" s="93" t="s">
        <v>167</v>
      </c>
      <c r="L578" s="53" t="s">
        <v>613</v>
      </c>
      <c r="N578" s="6"/>
    </row>
    <row r="579" spans="1:29" ht="16.5" customHeight="1" x14ac:dyDescent="0.2">
      <c r="A579" s="94">
        <v>41157</v>
      </c>
      <c r="B579" s="93">
        <v>537</v>
      </c>
      <c r="C579" s="93" t="s">
        <v>612</v>
      </c>
      <c r="D579" s="93"/>
      <c r="E579" s="93">
        <v>1</v>
      </c>
      <c r="F579" s="147">
        <v>13067</v>
      </c>
      <c r="G579" s="147">
        <f>F579*1.65</f>
        <v>21560.55</v>
      </c>
      <c r="H579" s="412" t="s">
        <v>397</v>
      </c>
      <c r="I579" s="6"/>
      <c r="J579" s="86"/>
      <c r="K579" s="93" t="s">
        <v>272</v>
      </c>
      <c r="L579" s="6"/>
      <c r="M579" s="93"/>
      <c r="N579" s="6"/>
      <c r="O579" s="63"/>
      <c r="P579" s="63"/>
      <c r="Q579" s="63"/>
      <c r="S579" s="63"/>
      <c r="T579" s="63"/>
      <c r="U579" s="63"/>
      <c r="W579" s="63"/>
      <c r="X579" s="63"/>
      <c r="Y579" s="63"/>
      <c r="AA579" s="63"/>
      <c r="AB579" s="63"/>
      <c r="AC579" s="63"/>
    </row>
    <row r="580" spans="1:29" x14ac:dyDescent="0.2">
      <c r="A580" s="94">
        <v>41087</v>
      </c>
      <c r="B580" s="365">
        <v>501</v>
      </c>
      <c r="C580" s="193" t="s">
        <v>64</v>
      </c>
      <c r="D580" s="93"/>
      <c r="E580" s="8">
        <v>10</v>
      </c>
      <c r="F580" s="158">
        <v>6341.96</v>
      </c>
      <c r="G580" s="147">
        <f>F580*2</f>
        <v>12683.92</v>
      </c>
      <c r="H580" s="82" t="s">
        <v>113</v>
      </c>
      <c r="I580" s="6"/>
      <c r="J580" s="53">
        <v>41069</v>
      </c>
      <c r="K580" s="93" t="s">
        <v>384</v>
      </c>
      <c r="L580" s="53">
        <v>41161</v>
      </c>
      <c r="N580" s="6"/>
    </row>
    <row r="581" spans="1:29" x14ac:dyDescent="0.2">
      <c r="A581" s="94">
        <v>41089</v>
      </c>
      <c r="B581" s="365">
        <v>502</v>
      </c>
      <c r="C581" s="193" t="s">
        <v>145</v>
      </c>
      <c r="D581" s="93"/>
      <c r="E581" s="8">
        <v>16</v>
      </c>
      <c r="F581" s="158">
        <v>13386.01</v>
      </c>
      <c r="G581" s="147">
        <f>F581*2</f>
        <v>26772.02</v>
      </c>
      <c r="H581" s="82" t="s">
        <v>113</v>
      </c>
      <c r="I581" s="6"/>
      <c r="J581" s="53">
        <v>41069</v>
      </c>
      <c r="K581" s="93" t="s">
        <v>384</v>
      </c>
      <c r="L581" s="53">
        <v>41161</v>
      </c>
      <c r="N581" s="6"/>
    </row>
    <row r="582" spans="1:29" x14ac:dyDescent="0.2">
      <c r="A582" s="94"/>
      <c r="B582" s="365">
        <v>528</v>
      </c>
      <c r="C582" s="193" t="s">
        <v>611</v>
      </c>
      <c r="D582" s="93"/>
      <c r="E582" s="365">
        <v>2</v>
      </c>
      <c r="F582" s="158">
        <v>6201.69</v>
      </c>
      <c r="G582" s="147">
        <f>F582*2</f>
        <v>12403.38</v>
      </c>
      <c r="H582" s="106" t="s">
        <v>113</v>
      </c>
      <c r="I582" s="6"/>
      <c r="J582" s="53">
        <v>41122</v>
      </c>
      <c r="K582" s="93" t="s">
        <v>500</v>
      </c>
      <c r="L582" s="53">
        <v>40435</v>
      </c>
      <c r="N582" s="6"/>
    </row>
    <row r="583" spans="1:29" x14ac:dyDescent="0.2">
      <c r="A583" s="94">
        <v>41169</v>
      </c>
      <c r="B583" s="93">
        <v>545</v>
      </c>
      <c r="C583" s="193" t="s">
        <v>324</v>
      </c>
      <c r="D583" s="93"/>
      <c r="E583" s="365">
        <v>3</v>
      </c>
      <c r="F583" s="158">
        <v>20898.18</v>
      </c>
      <c r="G583" s="147">
        <f>F583*1.58</f>
        <v>33019.124400000001</v>
      </c>
      <c r="H583" s="106" t="s">
        <v>113</v>
      </c>
      <c r="I583" s="6"/>
      <c r="J583" s="53"/>
      <c r="K583" s="93" t="s">
        <v>250</v>
      </c>
      <c r="L583" s="53"/>
      <c r="N583" s="6"/>
    </row>
    <row r="584" spans="1:29" x14ac:dyDescent="0.2">
      <c r="A584" s="94">
        <v>41107</v>
      </c>
      <c r="B584" s="365">
        <v>514</v>
      </c>
      <c r="C584" s="193" t="s">
        <v>353</v>
      </c>
      <c r="D584" s="93"/>
      <c r="E584" s="365">
        <v>4</v>
      </c>
      <c r="F584" s="158">
        <v>25729.34</v>
      </c>
      <c r="G584" s="147">
        <f>F584*2</f>
        <v>51458.68</v>
      </c>
      <c r="H584" s="106" t="s">
        <v>113</v>
      </c>
      <c r="I584" s="6"/>
      <c r="J584" s="53">
        <v>41076</v>
      </c>
      <c r="K584" s="93" t="s">
        <v>384</v>
      </c>
      <c r="L584" s="53">
        <v>41168</v>
      </c>
      <c r="N584" s="6"/>
    </row>
    <row r="585" spans="1:29" x14ac:dyDescent="0.2">
      <c r="A585" s="94">
        <v>41125</v>
      </c>
      <c r="B585" s="365">
        <v>525</v>
      </c>
      <c r="C585" s="193" t="s">
        <v>198</v>
      </c>
      <c r="D585" s="93"/>
      <c r="E585" s="365">
        <v>11</v>
      </c>
      <c r="F585" s="158">
        <v>7277.76</v>
      </c>
      <c r="G585" s="147">
        <f>F585*2</f>
        <v>14555.52</v>
      </c>
      <c r="H585" s="106" t="s">
        <v>113</v>
      </c>
      <c r="I585" s="6"/>
      <c r="J585" s="53">
        <v>41107</v>
      </c>
      <c r="K585" s="93" t="s">
        <v>500</v>
      </c>
      <c r="L585" s="53">
        <v>41169</v>
      </c>
      <c r="N585" s="6"/>
    </row>
    <row r="586" spans="1:29" x14ac:dyDescent="0.2">
      <c r="A586" s="94">
        <v>41111</v>
      </c>
      <c r="B586" s="365">
        <v>520</v>
      </c>
      <c r="C586" s="193" t="s">
        <v>318</v>
      </c>
      <c r="D586" s="93"/>
      <c r="E586" s="365">
        <v>5</v>
      </c>
      <c r="F586" s="158">
        <v>7070.16</v>
      </c>
      <c r="G586" s="147">
        <f>F586*2</f>
        <v>14140.32</v>
      </c>
      <c r="H586" s="106" t="s">
        <v>113</v>
      </c>
      <c r="I586" s="6"/>
      <c r="J586" s="53">
        <v>41109</v>
      </c>
      <c r="K586" s="93" t="s">
        <v>500</v>
      </c>
      <c r="L586" s="53">
        <v>41171</v>
      </c>
      <c r="N586" s="6"/>
    </row>
    <row r="587" spans="1:29" x14ac:dyDescent="0.2">
      <c r="A587" s="94"/>
      <c r="B587" s="365">
        <v>527</v>
      </c>
      <c r="C587" s="193" t="s">
        <v>605</v>
      </c>
      <c r="D587" s="93"/>
      <c r="E587" s="365">
        <v>2</v>
      </c>
      <c r="F587" s="158">
        <v>5822.66</v>
      </c>
      <c r="G587" s="147">
        <f>F587*2</f>
        <v>11645.32</v>
      </c>
      <c r="H587" s="106" t="s">
        <v>113</v>
      </c>
      <c r="I587" s="6"/>
      <c r="J587" s="53">
        <v>41109</v>
      </c>
      <c r="K587" s="93" t="s">
        <v>500</v>
      </c>
      <c r="L587" s="53">
        <v>41171</v>
      </c>
      <c r="N587" s="6"/>
    </row>
    <row r="588" spans="1:29" x14ac:dyDescent="0.2">
      <c r="A588" s="94">
        <v>41097</v>
      </c>
      <c r="B588" s="365">
        <v>505</v>
      </c>
      <c r="C588" s="193" t="s">
        <v>478</v>
      </c>
      <c r="D588" s="93"/>
      <c r="E588" s="365">
        <v>2</v>
      </c>
      <c r="F588" s="158">
        <v>3279.52</v>
      </c>
      <c r="G588" s="147">
        <f>F588*2</f>
        <v>6559.04</v>
      </c>
      <c r="H588" s="106" t="s">
        <v>113</v>
      </c>
      <c r="I588" s="6"/>
      <c r="J588" s="53">
        <v>41079</v>
      </c>
      <c r="K588" s="93" t="s">
        <v>384</v>
      </c>
      <c r="L588" s="53">
        <v>41171</v>
      </c>
      <c r="N588" s="6"/>
    </row>
    <row r="589" spans="1:29" x14ac:dyDescent="0.2">
      <c r="A589" s="94">
        <v>41104</v>
      </c>
      <c r="B589" s="365">
        <v>513</v>
      </c>
      <c r="C589" s="193" t="s">
        <v>198</v>
      </c>
      <c r="D589" s="93"/>
      <c r="E589" s="365">
        <v>10</v>
      </c>
      <c r="F589" s="158">
        <v>5568</v>
      </c>
      <c r="G589" s="147">
        <f t="shared" ref="G589:G595" si="23">F589*2</f>
        <v>11136</v>
      </c>
      <c r="H589" s="106" t="s">
        <v>113</v>
      </c>
      <c r="I589" s="6"/>
      <c r="J589" s="53">
        <v>41086</v>
      </c>
      <c r="K589" s="93" t="s">
        <v>384</v>
      </c>
      <c r="L589" s="53">
        <v>41178</v>
      </c>
      <c r="N589" s="6"/>
    </row>
    <row r="590" spans="1:29" x14ac:dyDescent="0.2">
      <c r="A590" s="94">
        <v>41103</v>
      </c>
      <c r="B590" s="365">
        <v>509</v>
      </c>
      <c r="C590" s="193" t="s">
        <v>187</v>
      </c>
      <c r="D590" s="93"/>
      <c r="E590" s="8">
        <v>7</v>
      </c>
      <c r="F590" s="158">
        <v>10415.52</v>
      </c>
      <c r="G590" s="147">
        <f t="shared" si="23"/>
        <v>20831.04</v>
      </c>
      <c r="H590" s="106" t="s">
        <v>113</v>
      </c>
      <c r="I590" s="6"/>
      <c r="J590" s="53">
        <v>41088</v>
      </c>
      <c r="K590" s="93" t="s">
        <v>384</v>
      </c>
      <c r="L590" s="53">
        <v>41180</v>
      </c>
      <c r="N590" s="6"/>
    </row>
    <row r="591" spans="1:29" x14ac:dyDescent="0.2">
      <c r="A591" s="94">
        <v>41110</v>
      </c>
      <c r="B591" s="365">
        <v>516</v>
      </c>
      <c r="C591" s="193" t="s">
        <v>49</v>
      </c>
      <c r="D591" s="93"/>
      <c r="E591" s="365">
        <v>15</v>
      </c>
      <c r="F591" s="158">
        <v>6015.24</v>
      </c>
      <c r="G591" s="147">
        <f t="shared" si="23"/>
        <v>12030.48</v>
      </c>
      <c r="H591" s="106" t="s">
        <v>113</v>
      </c>
      <c r="I591" s="6"/>
      <c r="J591" s="53">
        <v>41088</v>
      </c>
      <c r="K591" s="93" t="s">
        <v>384</v>
      </c>
      <c r="L591" s="53">
        <v>41180</v>
      </c>
      <c r="N591" s="6"/>
    </row>
    <row r="592" spans="1:29" x14ac:dyDescent="0.2">
      <c r="A592" s="94">
        <v>41123</v>
      </c>
      <c r="B592" s="365">
        <v>522</v>
      </c>
      <c r="C592" s="193" t="s">
        <v>196</v>
      </c>
      <c r="D592" s="93"/>
      <c r="E592" s="365">
        <v>16</v>
      </c>
      <c r="F592" s="158">
        <v>14049.65</v>
      </c>
      <c r="G592" s="147">
        <f t="shared" si="23"/>
        <v>28099.3</v>
      </c>
      <c r="H592" s="106" t="s">
        <v>113</v>
      </c>
      <c r="I592" s="6"/>
      <c r="J592" s="53">
        <v>41088</v>
      </c>
      <c r="K592" s="93" t="s">
        <v>384</v>
      </c>
      <c r="L592" s="53">
        <v>41180</v>
      </c>
      <c r="N592" s="6"/>
    </row>
    <row r="593" spans="1:29" x14ac:dyDescent="0.2">
      <c r="A593" s="94">
        <v>41103</v>
      </c>
      <c r="B593" s="365">
        <v>510</v>
      </c>
      <c r="C593" s="193" t="s">
        <v>69</v>
      </c>
      <c r="D593" s="93"/>
      <c r="E593" s="365">
        <v>11</v>
      </c>
      <c r="F593" s="158">
        <v>26580.61</v>
      </c>
      <c r="G593" s="147">
        <f t="shared" si="23"/>
        <v>53161.22</v>
      </c>
      <c r="H593" s="106" t="s">
        <v>113</v>
      </c>
      <c r="I593" s="6"/>
      <c r="J593" s="53">
        <v>41078</v>
      </c>
      <c r="K593" s="93" t="s">
        <v>384</v>
      </c>
      <c r="L593" s="53">
        <v>41170</v>
      </c>
      <c r="N593" s="6"/>
    </row>
    <row r="594" spans="1:29" x14ac:dyDescent="0.2">
      <c r="A594" s="94">
        <v>41100</v>
      </c>
      <c r="B594" s="365">
        <v>507</v>
      </c>
      <c r="C594" s="193" t="s">
        <v>502</v>
      </c>
      <c r="D594" s="93"/>
      <c r="E594" s="365">
        <v>5</v>
      </c>
      <c r="F594" s="158">
        <v>28122.65</v>
      </c>
      <c r="G594" s="147">
        <f t="shared" si="23"/>
        <v>56245.3</v>
      </c>
      <c r="H594" s="106" t="s">
        <v>113</v>
      </c>
      <c r="I594" s="6"/>
      <c r="J594" s="53">
        <v>41080</v>
      </c>
      <c r="K594" s="93" t="s">
        <v>384</v>
      </c>
      <c r="L594" s="53">
        <v>41172</v>
      </c>
      <c r="N594" s="6"/>
    </row>
    <row r="595" spans="1:29" x14ac:dyDescent="0.2">
      <c r="A595" s="94">
        <v>41139</v>
      </c>
      <c r="B595" s="365">
        <v>531</v>
      </c>
      <c r="C595" s="193" t="s">
        <v>66</v>
      </c>
      <c r="D595" s="93"/>
      <c r="E595" s="365">
        <v>10</v>
      </c>
      <c r="F595" s="158">
        <v>28750</v>
      </c>
      <c r="G595" s="147">
        <f t="shared" si="23"/>
        <v>57500</v>
      </c>
      <c r="H595" s="106" t="s">
        <v>113</v>
      </c>
      <c r="I595" s="6"/>
      <c r="J595" s="53">
        <v>41118</v>
      </c>
      <c r="K595" s="93" t="s">
        <v>278</v>
      </c>
      <c r="L595" s="53">
        <v>41180</v>
      </c>
      <c r="N595" s="6"/>
    </row>
    <row r="596" spans="1:29" x14ac:dyDescent="0.2">
      <c r="A596" s="94">
        <v>41127</v>
      </c>
      <c r="B596" s="365">
        <v>529</v>
      </c>
      <c r="C596" s="193" t="s">
        <v>285</v>
      </c>
      <c r="D596" s="93"/>
      <c r="E596" s="365">
        <v>6</v>
      </c>
      <c r="F596" s="158">
        <v>6098.97</v>
      </c>
      <c r="G596" s="147">
        <f>F596*2</f>
        <v>12197.94</v>
      </c>
      <c r="H596" s="106" t="s">
        <v>113</v>
      </c>
      <c r="I596" s="6"/>
      <c r="J596" s="53">
        <v>41111</v>
      </c>
      <c r="K596" s="93" t="s">
        <v>384</v>
      </c>
      <c r="L596" s="53">
        <v>41203</v>
      </c>
      <c r="N596" s="6"/>
    </row>
    <row r="597" spans="1:29" x14ac:dyDescent="0.2">
      <c r="A597" s="94">
        <v>41136</v>
      </c>
      <c r="B597" s="365">
        <v>530</v>
      </c>
      <c r="C597" s="193" t="s">
        <v>196</v>
      </c>
      <c r="D597" s="93"/>
      <c r="E597" s="365">
        <v>14</v>
      </c>
      <c r="F597" s="158">
        <v>9475.4</v>
      </c>
      <c r="G597" s="147">
        <f>F597*2</f>
        <v>18950.8</v>
      </c>
      <c r="H597" s="106" t="s">
        <v>113</v>
      </c>
      <c r="I597" s="6"/>
      <c r="J597" s="53">
        <v>41111</v>
      </c>
      <c r="K597" s="93" t="s">
        <v>384</v>
      </c>
      <c r="L597" s="53">
        <v>41203</v>
      </c>
      <c r="N597" s="6"/>
    </row>
    <row r="598" spans="1:29" x14ac:dyDescent="0.2">
      <c r="A598" s="94">
        <v>41180</v>
      </c>
      <c r="B598" s="93">
        <v>547</v>
      </c>
      <c r="C598" s="193" t="s">
        <v>616</v>
      </c>
      <c r="D598" s="93"/>
      <c r="E598" s="8">
        <v>1</v>
      </c>
      <c r="F598" s="158">
        <v>4526</v>
      </c>
      <c r="G598" s="147">
        <f>F598*2.01</f>
        <v>9097.2599999999984</v>
      </c>
      <c r="H598" s="106" t="s">
        <v>397</v>
      </c>
      <c r="I598" s="6"/>
      <c r="J598" s="53"/>
      <c r="K598" s="93" t="s">
        <v>617</v>
      </c>
      <c r="L598" s="53">
        <v>41221</v>
      </c>
      <c r="N598" s="6"/>
    </row>
    <row r="599" spans="1:29" x14ac:dyDescent="0.2">
      <c r="A599" s="94"/>
      <c r="B599" s="365">
        <v>550</v>
      </c>
      <c r="C599" s="193" t="s">
        <v>69</v>
      </c>
      <c r="D599" s="93" t="s">
        <v>699</v>
      </c>
      <c r="E599" s="365"/>
      <c r="F599" s="158"/>
      <c r="G599" s="147"/>
      <c r="H599" s="106"/>
      <c r="I599" s="6"/>
      <c r="J599" s="53"/>
      <c r="K599" s="93"/>
      <c r="L599" s="53"/>
      <c r="N599" s="6"/>
    </row>
    <row r="600" spans="1:29" x14ac:dyDescent="0.2">
      <c r="A600" s="94">
        <v>41138</v>
      </c>
      <c r="B600" s="8">
        <v>532</v>
      </c>
      <c r="C600" s="193" t="s">
        <v>447</v>
      </c>
      <c r="D600" s="93"/>
      <c r="E600" s="365">
        <v>13</v>
      </c>
      <c r="F600" s="158">
        <v>10814.11</v>
      </c>
      <c r="G600" s="147">
        <f>F600*2</f>
        <v>21628.22</v>
      </c>
      <c r="H600" s="82" t="s">
        <v>113</v>
      </c>
      <c r="I600" s="6"/>
      <c r="J600" s="53">
        <v>41115</v>
      </c>
      <c r="K600" s="93" t="s">
        <v>384</v>
      </c>
      <c r="L600" s="53">
        <v>41207</v>
      </c>
      <c r="N600" s="6"/>
    </row>
    <row r="601" spans="1:29" x14ac:dyDescent="0.2">
      <c r="A601" s="94">
        <v>41163</v>
      </c>
      <c r="B601" s="93">
        <v>541</v>
      </c>
      <c r="C601" s="193" t="s">
        <v>208</v>
      </c>
      <c r="D601" s="93"/>
      <c r="E601" s="365">
        <v>8</v>
      </c>
      <c r="F601" s="158">
        <v>21975.9</v>
      </c>
      <c r="G601" s="147">
        <f>F601*2.01</f>
        <v>44171.559000000001</v>
      </c>
      <c r="H601" s="106" t="s">
        <v>113</v>
      </c>
      <c r="I601" s="6"/>
      <c r="J601" s="53">
        <v>41115</v>
      </c>
      <c r="K601" s="93" t="s">
        <v>500</v>
      </c>
      <c r="L601" s="53">
        <v>41207</v>
      </c>
      <c r="N601" s="6"/>
    </row>
    <row r="602" spans="1:29" ht="16.5" customHeight="1" x14ac:dyDescent="0.2">
      <c r="A602" s="94">
        <v>41149</v>
      </c>
      <c r="B602" s="93">
        <v>533</v>
      </c>
      <c r="C602" s="93" t="s">
        <v>192</v>
      </c>
      <c r="D602" s="93"/>
      <c r="E602" s="93">
        <v>17</v>
      </c>
      <c r="F602" s="147">
        <v>15963.89</v>
      </c>
      <c r="G602" s="147">
        <f>F602*2.01</f>
        <v>32087.418899999997</v>
      </c>
      <c r="H602" s="106" t="s">
        <v>113</v>
      </c>
      <c r="I602" s="6"/>
      <c r="J602" s="24">
        <v>41118</v>
      </c>
      <c r="K602" s="93" t="s">
        <v>384</v>
      </c>
      <c r="L602" s="60">
        <v>41210</v>
      </c>
      <c r="M602" s="93"/>
      <c r="N602" s="6"/>
      <c r="O602" s="63"/>
      <c r="P602" s="63"/>
      <c r="Q602" s="63"/>
      <c r="S602" s="63"/>
      <c r="T602" s="63"/>
      <c r="U602" s="63"/>
      <c r="W602" s="63"/>
      <c r="X602" s="63"/>
      <c r="Y602" s="63"/>
      <c r="AA602" s="63"/>
      <c r="AB602" s="63"/>
      <c r="AC602" s="63"/>
    </row>
    <row r="603" spans="1:29" x14ac:dyDescent="0.2">
      <c r="A603" s="94">
        <v>41177</v>
      </c>
      <c r="B603" s="93">
        <v>546</v>
      </c>
      <c r="C603" s="193" t="s">
        <v>304</v>
      </c>
      <c r="D603" s="93"/>
      <c r="E603" s="8">
        <v>4</v>
      </c>
      <c r="F603" s="158">
        <v>22059.5</v>
      </c>
      <c r="G603" s="147">
        <f t="shared" ref="G603:G608" si="24">F603*2.01</f>
        <v>44339.594999999994</v>
      </c>
      <c r="H603" s="106" t="s">
        <v>113</v>
      </c>
      <c r="I603" s="6"/>
      <c r="J603" s="53">
        <v>41155</v>
      </c>
      <c r="K603" s="93" t="s">
        <v>500</v>
      </c>
      <c r="L603" s="53">
        <v>41216</v>
      </c>
      <c r="N603" s="6"/>
    </row>
    <row r="604" spans="1:29" ht="16.5" customHeight="1" x14ac:dyDescent="0.2">
      <c r="A604" s="94">
        <v>41156</v>
      </c>
      <c r="B604" s="93">
        <v>535</v>
      </c>
      <c r="C604" s="93" t="s">
        <v>444</v>
      </c>
      <c r="D604" s="93"/>
      <c r="E604" s="93">
        <v>2</v>
      </c>
      <c r="F604" s="147">
        <v>14854.62</v>
      </c>
      <c r="G604" s="147">
        <f t="shared" si="24"/>
        <v>29857.786199999999</v>
      </c>
      <c r="H604" s="106" t="s">
        <v>113</v>
      </c>
      <c r="I604" s="6"/>
      <c r="J604" s="24">
        <v>41127</v>
      </c>
      <c r="K604" s="93" t="s">
        <v>384</v>
      </c>
      <c r="L604" s="60">
        <v>41219</v>
      </c>
      <c r="M604" s="93"/>
      <c r="N604" s="6"/>
      <c r="O604" s="63"/>
      <c r="P604" s="63"/>
      <c r="Q604" s="63"/>
      <c r="S604" s="63"/>
      <c r="T604" s="63"/>
      <c r="U604" s="63"/>
      <c r="W604" s="63"/>
      <c r="X604" s="63"/>
      <c r="Y604" s="63"/>
      <c r="AA604" s="63"/>
      <c r="AB604" s="63"/>
      <c r="AC604" s="63"/>
    </row>
    <row r="605" spans="1:29" ht="16.5" customHeight="1" x14ac:dyDescent="0.2">
      <c r="A605" s="94">
        <v>41159</v>
      </c>
      <c r="B605" s="93">
        <v>539</v>
      </c>
      <c r="C605" s="93" t="s">
        <v>604</v>
      </c>
      <c r="D605" s="93"/>
      <c r="E605" s="93">
        <v>1</v>
      </c>
      <c r="F605" s="147">
        <v>38905.53</v>
      </c>
      <c r="G605" s="147">
        <f t="shared" si="24"/>
        <v>78200.11529999999</v>
      </c>
      <c r="H605" s="106" t="s">
        <v>113</v>
      </c>
      <c r="I605" s="6"/>
      <c r="J605" s="24">
        <v>41128</v>
      </c>
      <c r="K605" s="93" t="s">
        <v>384</v>
      </c>
      <c r="L605" s="60">
        <v>41220</v>
      </c>
      <c r="M605" s="93"/>
      <c r="N605" s="6"/>
      <c r="O605" s="63"/>
      <c r="P605" s="63"/>
      <c r="Q605" s="63"/>
      <c r="S605" s="63"/>
      <c r="T605" s="63"/>
      <c r="U605" s="63"/>
      <c r="W605" s="63"/>
      <c r="X605" s="63"/>
      <c r="Y605" s="63"/>
      <c r="AA605" s="63"/>
      <c r="AB605" s="63"/>
      <c r="AC605" s="63"/>
    </row>
    <row r="606" spans="1:29" x14ac:dyDescent="0.2">
      <c r="A606" s="94">
        <v>41157</v>
      </c>
      <c r="B606" s="93">
        <v>536</v>
      </c>
      <c r="C606" s="193" t="s">
        <v>603</v>
      </c>
      <c r="D606" s="93"/>
      <c r="E606" s="365">
        <v>2</v>
      </c>
      <c r="F606" s="158">
        <v>14904.5</v>
      </c>
      <c r="G606" s="147">
        <f t="shared" si="24"/>
        <v>29958.044999999998</v>
      </c>
      <c r="H606" s="106" t="s">
        <v>113</v>
      </c>
      <c r="I606" s="6"/>
      <c r="J606" s="53">
        <v>41128</v>
      </c>
      <c r="K606" s="93" t="s">
        <v>384</v>
      </c>
      <c r="L606" s="53">
        <v>41220</v>
      </c>
      <c r="N606" s="6"/>
    </row>
    <row r="607" spans="1:29" x14ac:dyDescent="0.2">
      <c r="A607" s="94">
        <v>41166</v>
      </c>
      <c r="B607" s="93">
        <v>543</v>
      </c>
      <c r="C607" s="193" t="s">
        <v>183</v>
      </c>
      <c r="D607" s="93"/>
      <c r="E607" s="365">
        <v>13</v>
      </c>
      <c r="F607" s="158">
        <v>33609.17</v>
      </c>
      <c r="G607" s="147">
        <f t="shared" si="24"/>
        <v>67554.431699999986</v>
      </c>
      <c r="H607" s="106" t="s">
        <v>113</v>
      </c>
      <c r="I607" s="6"/>
      <c r="J607" s="53">
        <v>41129</v>
      </c>
      <c r="K607" s="93" t="s">
        <v>384</v>
      </c>
      <c r="L607" s="53">
        <v>41221</v>
      </c>
      <c r="N607" s="6"/>
    </row>
    <row r="608" spans="1:29" ht="16.5" customHeight="1" x14ac:dyDescent="0.2">
      <c r="A608" s="94">
        <v>41152</v>
      </c>
      <c r="B608" s="93">
        <v>534</v>
      </c>
      <c r="C608" s="93" t="s">
        <v>187</v>
      </c>
      <c r="D608" s="93"/>
      <c r="E608" s="93">
        <v>8</v>
      </c>
      <c r="F608" s="147">
        <v>3932.48</v>
      </c>
      <c r="G608" s="147">
        <f t="shared" si="24"/>
        <v>7904.2847999999994</v>
      </c>
      <c r="H608" s="106" t="s">
        <v>113</v>
      </c>
      <c r="I608" s="6"/>
      <c r="J608" s="24">
        <v>41130</v>
      </c>
      <c r="K608" s="93" t="s">
        <v>384</v>
      </c>
      <c r="L608" s="60">
        <v>41222</v>
      </c>
      <c r="M608" s="93"/>
      <c r="N608" s="6"/>
      <c r="O608" s="63"/>
      <c r="P608" s="63"/>
      <c r="Q608" s="63"/>
      <c r="S608" s="63"/>
      <c r="T608" s="63"/>
      <c r="U608" s="63"/>
      <c r="W608" s="63"/>
      <c r="X608" s="63"/>
      <c r="Y608" s="63"/>
      <c r="AA608" s="63"/>
      <c r="AB608" s="63"/>
      <c r="AC608" s="63"/>
    </row>
    <row r="609" spans="1:14" x14ac:dyDescent="0.2">
      <c r="A609" s="94">
        <v>41191</v>
      </c>
      <c r="B609" s="93">
        <v>548</v>
      </c>
      <c r="C609" s="193" t="s">
        <v>139</v>
      </c>
      <c r="D609" s="93"/>
      <c r="E609" s="8">
        <v>23</v>
      </c>
      <c r="F609" s="158">
        <v>12161.21</v>
      </c>
      <c r="G609" s="147">
        <f>F609*2.01</f>
        <v>24444.032099999997</v>
      </c>
      <c r="H609" s="370" t="s">
        <v>113</v>
      </c>
      <c r="I609" s="6"/>
      <c r="J609" s="53">
        <v>41121</v>
      </c>
      <c r="K609" s="93" t="s">
        <v>384</v>
      </c>
      <c r="L609" s="53">
        <v>41243</v>
      </c>
      <c r="N609" s="6"/>
    </row>
    <row r="610" spans="1:14" x14ac:dyDescent="0.2">
      <c r="A610" s="196">
        <v>41172</v>
      </c>
      <c r="B610" s="93">
        <v>544</v>
      </c>
      <c r="C610" s="193" t="s">
        <v>69</v>
      </c>
      <c r="D610" s="93"/>
      <c r="E610" s="8">
        <v>12</v>
      </c>
      <c r="F610" s="158">
        <v>54672.45</v>
      </c>
      <c r="G610" s="147">
        <f>F610*2.01</f>
        <v>109891.62449999998</v>
      </c>
      <c r="H610" s="106" t="s">
        <v>113</v>
      </c>
      <c r="I610" s="6"/>
      <c r="J610" s="53">
        <v>41151</v>
      </c>
      <c r="K610" s="93" t="s">
        <v>384</v>
      </c>
      <c r="L610" s="53">
        <v>41243</v>
      </c>
      <c r="N610" s="6"/>
    </row>
    <row r="611" spans="1:14" x14ac:dyDescent="0.2">
      <c r="A611" s="94">
        <v>41165</v>
      </c>
      <c r="B611" s="93">
        <v>542</v>
      </c>
      <c r="C611" s="193" t="s">
        <v>172</v>
      </c>
      <c r="D611" s="93"/>
      <c r="E611" s="365">
        <v>12</v>
      </c>
      <c r="F611" s="158">
        <v>5745.66</v>
      </c>
      <c r="G611" s="147">
        <f>F611*2.01</f>
        <v>11548.776599999999</v>
      </c>
      <c r="H611" s="106" t="s">
        <v>113</v>
      </c>
      <c r="I611" s="6"/>
      <c r="J611" s="53">
        <v>41053</v>
      </c>
      <c r="K611" s="93" t="s">
        <v>384</v>
      </c>
      <c r="L611" s="411">
        <v>41253</v>
      </c>
      <c r="N611" s="6"/>
    </row>
    <row r="612" spans="1:14" x14ac:dyDescent="0.2">
      <c r="A612" s="94">
        <v>41213</v>
      </c>
      <c r="B612" s="93">
        <v>552</v>
      </c>
      <c r="C612" s="193" t="s">
        <v>223</v>
      </c>
      <c r="D612" s="93"/>
      <c r="E612" s="8">
        <v>10</v>
      </c>
      <c r="F612" s="158">
        <v>14987</v>
      </c>
      <c r="G612" s="147">
        <f t="shared" ref="G612:G636" si="25">F612*2.04</f>
        <v>30573.48</v>
      </c>
      <c r="H612" s="106" t="s">
        <v>113</v>
      </c>
      <c r="I612" s="6"/>
      <c r="J612" s="53">
        <v>41198</v>
      </c>
      <c r="K612" s="93" t="s">
        <v>500</v>
      </c>
      <c r="L612" s="53">
        <v>41259</v>
      </c>
      <c r="N612" s="6"/>
    </row>
    <row r="613" spans="1:14" x14ac:dyDescent="0.2">
      <c r="A613" s="94">
        <v>41198</v>
      </c>
      <c r="B613" s="93">
        <v>549</v>
      </c>
      <c r="C613" s="193" t="s">
        <v>683</v>
      </c>
      <c r="D613" s="93"/>
      <c r="E613" s="8">
        <v>3</v>
      </c>
      <c r="F613" s="158">
        <v>7451.49</v>
      </c>
      <c r="G613" s="147">
        <f t="shared" si="25"/>
        <v>15201.0396</v>
      </c>
      <c r="H613" s="370" t="s">
        <v>113</v>
      </c>
      <c r="I613" s="6"/>
      <c r="J613" s="53">
        <v>41184</v>
      </c>
      <c r="K613" s="93" t="s">
        <v>698</v>
      </c>
      <c r="L613" s="53">
        <v>41276</v>
      </c>
      <c r="N613" s="6"/>
    </row>
    <row r="614" spans="1:14" x14ac:dyDescent="0.2">
      <c r="A614" s="94">
        <v>41206</v>
      </c>
      <c r="B614" s="93">
        <v>551</v>
      </c>
      <c r="C614" s="193" t="s">
        <v>181</v>
      </c>
      <c r="D614" s="93"/>
      <c r="E614" s="8">
        <v>5</v>
      </c>
      <c r="F614" s="158">
        <v>2471.9</v>
      </c>
      <c r="G614" s="147">
        <f t="shared" si="25"/>
        <v>5042.6760000000004</v>
      </c>
      <c r="H614" s="106" t="s">
        <v>113</v>
      </c>
      <c r="I614" s="6"/>
      <c r="J614" s="53">
        <v>41193</v>
      </c>
      <c r="K614" s="93" t="s">
        <v>700</v>
      </c>
      <c r="L614" s="53">
        <v>41285</v>
      </c>
      <c r="N614" s="6"/>
    </row>
    <row r="615" spans="1:14" x14ac:dyDescent="0.2">
      <c r="A615" s="94">
        <v>41213</v>
      </c>
      <c r="B615" s="93">
        <v>553</v>
      </c>
      <c r="C615" s="193" t="s">
        <v>192</v>
      </c>
      <c r="D615" s="93"/>
      <c r="E615" s="8">
        <v>18</v>
      </c>
      <c r="F615" s="158">
        <v>9779.6200000000008</v>
      </c>
      <c r="G615" s="147">
        <f t="shared" si="25"/>
        <v>19950.424800000001</v>
      </c>
      <c r="H615" s="106" t="s">
        <v>113</v>
      </c>
      <c r="I615" s="6"/>
      <c r="J615" s="53">
        <v>41195</v>
      </c>
      <c r="K615" s="93" t="s">
        <v>384</v>
      </c>
      <c r="L615" s="53">
        <v>41287</v>
      </c>
      <c r="N615" s="6"/>
    </row>
    <row r="616" spans="1:14" x14ac:dyDescent="0.2">
      <c r="A616" s="94">
        <v>41223</v>
      </c>
      <c r="B616" s="93">
        <v>556</v>
      </c>
      <c r="C616" s="193" t="s">
        <v>64</v>
      </c>
      <c r="D616" s="93"/>
      <c r="E616" s="8">
        <v>11</v>
      </c>
      <c r="F616" s="158">
        <v>3705.25</v>
      </c>
      <c r="G616" s="147">
        <f t="shared" si="25"/>
        <v>7558.71</v>
      </c>
      <c r="H616" s="106" t="s">
        <v>70</v>
      </c>
      <c r="I616" s="467" t="s">
        <v>708</v>
      </c>
      <c r="J616" s="53">
        <v>41212</v>
      </c>
      <c r="K616" s="93" t="s">
        <v>698</v>
      </c>
      <c r="L616" s="53">
        <v>41305</v>
      </c>
      <c r="N616" s="6"/>
    </row>
    <row r="617" spans="1:14" x14ac:dyDescent="0.2">
      <c r="A617" s="94">
        <v>41249</v>
      </c>
      <c r="B617" s="93">
        <v>563</v>
      </c>
      <c r="C617" s="193" t="s">
        <v>245</v>
      </c>
      <c r="D617" s="93"/>
      <c r="E617" s="8">
        <v>7</v>
      </c>
      <c r="F617" s="158">
        <v>5414</v>
      </c>
      <c r="G617" s="147">
        <f t="shared" si="25"/>
        <v>11044.56</v>
      </c>
      <c r="H617" s="370" t="s">
        <v>397</v>
      </c>
      <c r="I617" s="6"/>
      <c r="J617" s="53">
        <v>41595</v>
      </c>
      <c r="K617" s="93" t="s">
        <v>607</v>
      </c>
      <c r="L617" s="53">
        <v>41291</v>
      </c>
      <c r="N617" s="6"/>
    </row>
    <row r="618" spans="1:14" x14ac:dyDescent="0.2">
      <c r="A618" s="94">
        <v>41220</v>
      </c>
      <c r="B618" s="93">
        <v>554</v>
      </c>
      <c r="C618" s="193" t="s">
        <v>319</v>
      </c>
      <c r="D618" s="93"/>
      <c r="E618" s="8">
        <v>10</v>
      </c>
      <c r="F618" s="158">
        <v>12552.42</v>
      </c>
      <c r="G618" s="147">
        <f t="shared" si="25"/>
        <v>25606.936799999999</v>
      </c>
      <c r="H618" s="106" t="s">
        <v>72</v>
      </c>
      <c r="I618" s="6"/>
      <c r="J618" s="53">
        <v>41572</v>
      </c>
      <c r="K618" s="93" t="s">
        <v>698</v>
      </c>
      <c r="L618" s="53">
        <v>41299</v>
      </c>
      <c r="N618" s="6"/>
    </row>
    <row r="619" spans="1:14" x14ac:dyDescent="0.2">
      <c r="A619" s="94">
        <v>41250</v>
      </c>
      <c r="B619" s="93">
        <v>565</v>
      </c>
      <c r="C619" s="193" t="s">
        <v>478</v>
      </c>
      <c r="D619" s="93"/>
      <c r="E619" s="8">
        <v>3</v>
      </c>
      <c r="F619" s="158">
        <v>4813.4799999999996</v>
      </c>
      <c r="G619" s="147">
        <f t="shared" si="25"/>
        <v>9819.4991999999984</v>
      </c>
      <c r="H619" s="370" t="s">
        <v>72</v>
      </c>
      <c r="I619" s="6"/>
      <c r="J619" s="53">
        <v>41240</v>
      </c>
      <c r="K619" s="93" t="s">
        <v>500</v>
      </c>
      <c r="L619" s="53">
        <v>41301</v>
      </c>
      <c r="N619" s="6"/>
    </row>
    <row r="620" spans="1:14" x14ac:dyDescent="0.2">
      <c r="A620" s="94">
        <v>41261</v>
      </c>
      <c r="B620" s="93">
        <v>572</v>
      </c>
      <c r="C620" s="193" t="s">
        <v>193</v>
      </c>
      <c r="D620" s="93" t="s">
        <v>511</v>
      </c>
      <c r="E620" s="8">
        <v>12</v>
      </c>
      <c r="F620" s="158">
        <v>18000</v>
      </c>
      <c r="G620" s="147">
        <f t="shared" si="25"/>
        <v>36720</v>
      </c>
      <c r="H620" s="106" t="s">
        <v>72</v>
      </c>
      <c r="I620" s="6"/>
      <c r="J620" s="53">
        <v>41605</v>
      </c>
      <c r="K620" s="93" t="s">
        <v>250</v>
      </c>
      <c r="L620" s="468" t="s">
        <v>419</v>
      </c>
      <c r="N620" s="6"/>
    </row>
    <row r="621" spans="1:14" x14ac:dyDescent="0.2">
      <c r="A621" s="94">
        <v>41242</v>
      </c>
      <c r="B621" s="93">
        <v>560</v>
      </c>
      <c r="C621" s="193" t="s">
        <v>142</v>
      </c>
      <c r="D621" s="93"/>
      <c r="E621" s="8">
        <v>7</v>
      </c>
      <c r="F621" s="158">
        <v>23259.25</v>
      </c>
      <c r="G621" s="147">
        <f t="shared" si="25"/>
        <v>47448.87</v>
      </c>
      <c r="H621" s="106" t="s">
        <v>113</v>
      </c>
      <c r="I621" s="6"/>
      <c r="J621" s="53">
        <v>41587</v>
      </c>
      <c r="K621" s="93" t="s">
        <v>698</v>
      </c>
      <c r="L621" s="53">
        <v>41314</v>
      </c>
      <c r="N621" s="6"/>
    </row>
    <row r="622" spans="1:14" x14ac:dyDescent="0.2">
      <c r="A622" s="94">
        <v>41247</v>
      </c>
      <c r="B622" s="93">
        <v>562</v>
      </c>
      <c r="C622" s="193" t="s">
        <v>145</v>
      </c>
      <c r="D622" s="93"/>
      <c r="E622" s="8">
        <v>17</v>
      </c>
      <c r="F622" s="158">
        <v>12155.19</v>
      </c>
      <c r="G622" s="147">
        <f t="shared" si="25"/>
        <v>24796.587600000003</v>
      </c>
      <c r="H622" s="106" t="s">
        <v>113</v>
      </c>
      <c r="I622" s="6"/>
      <c r="J622" s="53">
        <v>41235</v>
      </c>
      <c r="K622" s="93" t="s">
        <v>384</v>
      </c>
      <c r="L622" s="53">
        <v>41327</v>
      </c>
      <c r="N622" s="6"/>
    </row>
    <row r="623" spans="1:14" x14ac:dyDescent="0.2">
      <c r="A623" s="94">
        <v>41258</v>
      </c>
      <c r="B623" s="93">
        <v>570</v>
      </c>
      <c r="C623" s="193" t="s">
        <v>248</v>
      </c>
      <c r="D623" s="93"/>
      <c r="E623" s="8">
        <v>6</v>
      </c>
      <c r="F623" s="158">
        <v>29576.9</v>
      </c>
      <c r="G623" s="147">
        <f t="shared" si="25"/>
        <v>60336.876000000004</v>
      </c>
      <c r="H623" s="106" t="s">
        <v>113</v>
      </c>
      <c r="I623" s="6"/>
      <c r="J623" s="53">
        <v>41232</v>
      </c>
      <c r="K623" s="93" t="s">
        <v>384</v>
      </c>
      <c r="L623" s="53">
        <v>41324</v>
      </c>
      <c r="N623" s="6"/>
    </row>
    <row r="624" spans="1:14" x14ac:dyDescent="0.2">
      <c r="A624" s="94">
        <v>41233</v>
      </c>
      <c r="B624" s="93">
        <v>558</v>
      </c>
      <c r="C624" s="193" t="s">
        <v>49</v>
      </c>
      <c r="D624" s="93"/>
      <c r="E624" s="8">
        <v>16</v>
      </c>
      <c r="F624" s="158">
        <v>12360.35</v>
      </c>
      <c r="G624" s="147">
        <f t="shared" si="25"/>
        <v>25215.114000000001</v>
      </c>
      <c r="H624" s="106" t="s">
        <v>113</v>
      </c>
      <c r="I624" s="6"/>
      <c r="J624" s="53">
        <v>41221</v>
      </c>
      <c r="K624" s="93" t="s">
        <v>698</v>
      </c>
      <c r="L624" s="53">
        <v>40947</v>
      </c>
      <c r="N624" s="6"/>
    </row>
    <row r="625" spans="1:14" x14ac:dyDescent="0.2">
      <c r="B625" s="93">
        <v>555</v>
      </c>
      <c r="C625" s="193" t="s">
        <v>615</v>
      </c>
      <c r="D625" s="93"/>
      <c r="E625" s="8">
        <v>1</v>
      </c>
      <c r="F625" s="158">
        <v>2643.5</v>
      </c>
      <c r="G625" s="147">
        <f t="shared" si="25"/>
        <v>5392.74</v>
      </c>
      <c r="H625" s="106" t="s">
        <v>113</v>
      </c>
      <c r="I625" s="6"/>
      <c r="J625" s="53"/>
      <c r="K625" s="93" t="s">
        <v>500</v>
      </c>
      <c r="L625" s="53">
        <v>41301</v>
      </c>
      <c r="N625" s="6"/>
    </row>
    <row r="626" spans="1:14" x14ac:dyDescent="0.2">
      <c r="A626" s="94">
        <v>41247</v>
      </c>
      <c r="B626" s="93">
        <v>561</v>
      </c>
      <c r="C626" s="193" t="s">
        <v>286</v>
      </c>
      <c r="D626" s="93"/>
      <c r="E626" s="8">
        <v>8</v>
      </c>
      <c r="F626" s="158">
        <v>14696.55</v>
      </c>
      <c r="G626" s="147">
        <f t="shared" si="25"/>
        <v>29980.962</v>
      </c>
      <c r="H626" s="370" t="s">
        <v>113</v>
      </c>
      <c r="I626" s="6"/>
      <c r="J626" s="53">
        <v>41209</v>
      </c>
      <c r="K626" s="93" t="s">
        <v>384</v>
      </c>
      <c r="L626" s="53">
        <v>41301</v>
      </c>
      <c r="N626" s="6"/>
    </row>
    <row r="627" spans="1:14" x14ac:dyDescent="0.2">
      <c r="A627" s="94">
        <v>41255</v>
      </c>
      <c r="B627" s="93">
        <v>569</v>
      </c>
      <c r="C627" s="193" t="s">
        <v>177</v>
      </c>
      <c r="D627" s="93"/>
      <c r="E627" s="8">
        <v>9</v>
      </c>
      <c r="F627" s="158">
        <v>8767.7800000000007</v>
      </c>
      <c r="G627" s="147">
        <f t="shared" si="25"/>
        <v>17886.271200000003</v>
      </c>
      <c r="H627" s="106" t="s">
        <v>70</v>
      </c>
      <c r="I627" s="6"/>
      <c r="J627" s="53">
        <v>41609</v>
      </c>
      <c r="K627" s="93" t="s">
        <v>607</v>
      </c>
      <c r="L627" s="53">
        <v>41306</v>
      </c>
      <c r="N627" s="6"/>
    </row>
    <row r="628" spans="1:14" x14ac:dyDescent="0.2">
      <c r="A628" s="94">
        <v>41270</v>
      </c>
      <c r="B628" s="93">
        <v>574</v>
      </c>
      <c r="C628" s="193" t="s">
        <v>335</v>
      </c>
      <c r="D628" s="93"/>
      <c r="E628" s="8">
        <v>7</v>
      </c>
      <c r="F628" s="158">
        <v>11905.25</v>
      </c>
      <c r="G628" s="147">
        <f t="shared" si="25"/>
        <v>24286.71</v>
      </c>
      <c r="H628" s="370" t="s">
        <v>397</v>
      </c>
      <c r="I628" s="6"/>
      <c r="J628" s="53">
        <v>41620</v>
      </c>
      <c r="K628" s="93" t="s">
        <v>698</v>
      </c>
      <c r="L628" s="53">
        <v>41317</v>
      </c>
      <c r="N628" s="6"/>
    </row>
    <row r="629" spans="1:14" x14ac:dyDescent="0.2">
      <c r="A629" s="94">
        <v>41251</v>
      </c>
      <c r="B629" s="93">
        <v>566</v>
      </c>
      <c r="C629" s="193" t="s">
        <v>172</v>
      </c>
      <c r="D629" s="93"/>
      <c r="E629" s="8">
        <v>13</v>
      </c>
      <c r="F629" s="158">
        <v>5237.83</v>
      </c>
      <c r="G629" s="147">
        <f t="shared" si="25"/>
        <v>10685.173199999999</v>
      </c>
      <c r="H629" s="106" t="s">
        <v>72</v>
      </c>
      <c r="I629" s="467" t="s">
        <v>708</v>
      </c>
      <c r="J629" s="53">
        <v>41223</v>
      </c>
      <c r="K629" s="93" t="s">
        <v>384</v>
      </c>
      <c r="L629" s="53">
        <v>41315</v>
      </c>
      <c r="N629" s="6"/>
    </row>
    <row r="630" spans="1:14" x14ac:dyDescent="0.2">
      <c r="A630" s="94">
        <v>41242</v>
      </c>
      <c r="B630" s="93">
        <v>559</v>
      </c>
      <c r="C630" s="193" t="s">
        <v>602</v>
      </c>
      <c r="D630" s="93" t="s">
        <v>87</v>
      </c>
      <c r="E630" s="8">
        <v>10</v>
      </c>
      <c r="F630" s="158">
        <v>10165.200000000001</v>
      </c>
      <c r="G630" s="147">
        <f t="shared" si="25"/>
        <v>20737.008000000002</v>
      </c>
      <c r="H630" s="82" t="s">
        <v>72</v>
      </c>
      <c r="I630" s="6"/>
      <c r="J630" s="53">
        <v>41230</v>
      </c>
      <c r="K630" s="93" t="s">
        <v>698</v>
      </c>
      <c r="L630" s="53">
        <v>41322</v>
      </c>
      <c r="N630" s="6"/>
    </row>
    <row r="631" spans="1:14" x14ac:dyDescent="0.2">
      <c r="A631" s="94">
        <v>41260</v>
      </c>
      <c r="B631" s="93">
        <v>571</v>
      </c>
      <c r="C631" s="193" t="s">
        <v>614</v>
      </c>
      <c r="D631" s="93" t="s">
        <v>88</v>
      </c>
      <c r="E631" s="8">
        <v>1</v>
      </c>
      <c r="F631" s="158">
        <v>20583.88</v>
      </c>
      <c r="G631" s="147">
        <f t="shared" si="25"/>
        <v>41991.1152</v>
      </c>
      <c r="H631" s="106" t="s">
        <v>397</v>
      </c>
      <c r="I631" s="6"/>
      <c r="J631" s="53">
        <v>41602</v>
      </c>
      <c r="K631" s="93" t="s">
        <v>698</v>
      </c>
      <c r="L631" s="53">
        <v>41329</v>
      </c>
      <c r="N631" s="6"/>
    </row>
    <row r="632" spans="1:14" x14ac:dyDescent="0.2">
      <c r="A632" s="94">
        <v>41233</v>
      </c>
      <c r="B632" s="93">
        <v>557</v>
      </c>
      <c r="C632" s="193" t="s">
        <v>212</v>
      </c>
      <c r="D632" s="93"/>
      <c r="E632" s="8">
        <v>15</v>
      </c>
      <c r="F632" s="158">
        <v>5450.7</v>
      </c>
      <c r="G632" s="147">
        <f t="shared" si="25"/>
        <v>11119.428</v>
      </c>
      <c r="H632" s="106" t="s">
        <v>113</v>
      </c>
      <c r="I632" s="6"/>
      <c r="J632" s="53">
        <v>41216</v>
      </c>
      <c r="K632" s="93" t="s">
        <v>698</v>
      </c>
      <c r="L632" s="53">
        <v>40942</v>
      </c>
      <c r="N632" s="6"/>
    </row>
    <row r="633" spans="1:14" x14ac:dyDescent="0.2">
      <c r="A633" s="94">
        <v>41250</v>
      </c>
      <c r="B633" s="93">
        <v>568</v>
      </c>
      <c r="C633" s="193" t="s">
        <v>173</v>
      </c>
      <c r="D633" s="93"/>
      <c r="E633" s="8">
        <v>9</v>
      </c>
      <c r="F633" s="158">
        <v>3847.53</v>
      </c>
      <c r="G633" s="147">
        <f t="shared" si="25"/>
        <v>7848.9612000000006</v>
      </c>
      <c r="H633" s="106" t="s">
        <v>113</v>
      </c>
      <c r="I633" s="467" t="s">
        <v>708</v>
      </c>
      <c r="J633" s="53">
        <v>41600</v>
      </c>
      <c r="K633" s="93" t="s">
        <v>384</v>
      </c>
      <c r="L633" s="53">
        <v>41327</v>
      </c>
      <c r="N633" s="6"/>
    </row>
    <row r="634" spans="1:14" x14ac:dyDescent="0.2">
      <c r="A634" s="94">
        <v>41250</v>
      </c>
      <c r="B634" s="93">
        <v>564</v>
      </c>
      <c r="C634" s="193" t="s">
        <v>187</v>
      </c>
      <c r="D634" s="93"/>
      <c r="E634" s="8">
        <v>9</v>
      </c>
      <c r="F634" s="158">
        <v>7097.94</v>
      </c>
      <c r="G634" s="147">
        <f t="shared" si="25"/>
        <v>14479.7976</v>
      </c>
      <c r="H634" s="106" t="s">
        <v>113</v>
      </c>
      <c r="I634" s="6"/>
      <c r="J634" s="53">
        <v>41600</v>
      </c>
      <c r="K634" s="93" t="s">
        <v>698</v>
      </c>
      <c r="L634" s="53">
        <v>41327</v>
      </c>
      <c r="N634" s="6"/>
    </row>
    <row r="635" spans="1:14" x14ac:dyDescent="0.2">
      <c r="A635" s="94">
        <v>41270</v>
      </c>
      <c r="B635" s="93">
        <v>573</v>
      </c>
      <c r="C635" s="193" t="s">
        <v>69</v>
      </c>
      <c r="D635" s="93"/>
      <c r="E635" s="8">
        <v>12</v>
      </c>
      <c r="F635" s="158">
        <v>23807</v>
      </c>
      <c r="G635" s="147">
        <f t="shared" si="25"/>
        <v>48566.28</v>
      </c>
      <c r="H635" s="106" t="s">
        <v>113</v>
      </c>
      <c r="I635" s="6"/>
      <c r="J635" s="53"/>
      <c r="K635" s="93"/>
      <c r="L635" s="53">
        <v>41330</v>
      </c>
      <c r="N635" s="6"/>
    </row>
    <row r="636" spans="1:14" x14ac:dyDescent="0.2">
      <c r="A636" s="94">
        <v>41251</v>
      </c>
      <c r="B636" s="93">
        <v>567</v>
      </c>
      <c r="C636" s="193" t="s">
        <v>603</v>
      </c>
      <c r="D636" s="93"/>
      <c r="E636" s="8">
        <v>3</v>
      </c>
      <c r="F636" s="158">
        <v>4495.7</v>
      </c>
      <c r="G636" s="147">
        <f t="shared" si="25"/>
        <v>9171.2279999999992</v>
      </c>
      <c r="H636" s="370" t="s">
        <v>113</v>
      </c>
      <c r="I636" s="6"/>
      <c r="J636" s="53">
        <v>41605</v>
      </c>
      <c r="K636" s="93" t="s">
        <v>384</v>
      </c>
      <c r="L636" s="53">
        <v>41332</v>
      </c>
      <c r="N636" s="6"/>
    </row>
    <row r="637" spans="1:14" x14ac:dyDescent="0.2">
      <c r="A637" s="94">
        <v>41271</v>
      </c>
      <c r="B637" s="93">
        <v>575</v>
      </c>
      <c r="C637" s="193" t="s">
        <v>192</v>
      </c>
      <c r="D637" s="93"/>
      <c r="E637" s="8">
        <v>19</v>
      </c>
      <c r="F637" s="158">
        <v>8832.92</v>
      </c>
      <c r="G637" s="147">
        <f>F637*2.04</f>
        <v>18019.156800000001</v>
      </c>
      <c r="H637" s="370" t="s">
        <v>70</v>
      </c>
      <c r="I637" s="6"/>
      <c r="J637" s="53">
        <v>41614</v>
      </c>
      <c r="K637" s="93" t="s">
        <v>384</v>
      </c>
      <c r="L637" s="53">
        <v>41339</v>
      </c>
      <c r="N637" s="6"/>
    </row>
    <row r="638" spans="1:14" x14ac:dyDescent="0.2">
      <c r="A638" s="94">
        <v>41272</v>
      </c>
      <c r="B638" s="93">
        <v>576</v>
      </c>
      <c r="C638" s="193" t="s">
        <v>688</v>
      </c>
      <c r="D638" s="93"/>
      <c r="E638" s="8">
        <v>1</v>
      </c>
      <c r="F638" s="158">
        <v>24073.63</v>
      </c>
      <c r="G638" s="147">
        <f>F638*2.04</f>
        <v>49110.205200000004</v>
      </c>
      <c r="H638" s="477" t="s">
        <v>113</v>
      </c>
      <c r="I638" s="6"/>
      <c r="J638" s="53">
        <v>41623</v>
      </c>
      <c r="K638" s="93" t="s">
        <v>384</v>
      </c>
      <c r="L638" s="53">
        <v>41348</v>
      </c>
      <c r="N638" s="6"/>
    </row>
    <row r="639" spans="1:14" x14ac:dyDescent="0.2">
      <c r="A639" s="94">
        <v>41256</v>
      </c>
      <c r="B639" s="93">
        <v>673</v>
      </c>
      <c r="C639" s="193" t="s">
        <v>714</v>
      </c>
      <c r="D639" s="93"/>
      <c r="E639" s="8">
        <v>4</v>
      </c>
      <c r="F639" s="174">
        <v>39192.800000000003</v>
      </c>
      <c r="G639" s="214">
        <f>F639*2.17</f>
        <v>85048.376000000004</v>
      </c>
      <c r="H639" s="476" t="s">
        <v>397</v>
      </c>
      <c r="I639" s="6"/>
      <c r="J639" s="53"/>
      <c r="K639" s="93" t="s">
        <v>250</v>
      </c>
      <c r="L639" s="177" t="s">
        <v>719</v>
      </c>
      <c r="N639" s="6"/>
    </row>
    <row r="640" spans="1:14" x14ac:dyDescent="0.2">
      <c r="A640" s="94"/>
      <c r="B640" s="93"/>
      <c r="C640" s="193"/>
      <c r="D640" s="93"/>
      <c r="E640" s="8"/>
      <c r="F640" s="158"/>
      <c r="G640" s="147"/>
      <c r="H640" s="477"/>
      <c r="I640" s="6"/>
      <c r="J640" s="53"/>
      <c r="K640" s="93"/>
      <c r="L640" s="53"/>
      <c r="N640" s="6"/>
    </row>
    <row r="641" spans="1:15" x14ac:dyDescent="0.2">
      <c r="B641" s="8"/>
      <c r="C641" s="96"/>
      <c r="D641" s="93"/>
      <c r="E641" s="8"/>
      <c r="F641" s="158"/>
      <c r="G641" s="147"/>
      <c r="H641" s="106"/>
      <c r="I641" s="6"/>
      <c r="J641" s="53"/>
      <c r="K641" s="193"/>
      <c r="L641" s="53"/>
      <c r="N641" s="6"/>
    </row>
    <row r="642" spans="1:15" x14ac:dyDescent="0.2">
      <c r="A642" s="94"/>
      <c r="B642" s="93"/>
      <c r="C642" s="96" t="s">
        <v>622</v>
      </c>
      <c r="D642" s="93"/>
      <c r="E642" s="8"/>
      <c r="F642" s="174"/>
      <c r="G642" s="147">
        <f>SUM(G490:G641)</f>
        <v>4451238.8597999997</v>
      </c>
      <c r="H642" s="6"/>
      <c r="I642" s="6"/>
      <c r="J642" s="53"/>
      <c r="K642" s="6"/>
      <c r="L642" s="164"/>
      <c r="N642" s="6"/>
      <c r="O642" s="49">
        <f>O463+O464</f>
        <v>33367.1</v>
      </c>
    </row>
    <row r="643" spans="1:15" x14ac:dyDescent="0.2">
      <c r="A643" s="94"/>
      <c r="B643" s="93"/>
      <c r="C643" s="93"/>
      <c r="D643" s="93"/>
      <c r="E643" s="93"/>
      <c r="F643" s="147"/>
      <c r="G643" s="147"/>
      <c r="H643" s="6"/>
      <c r="I643" s="86"/>
      <c r="J643" s="159"/>
      <c r="K643" s="93"/>
      <c r="L643" s="24"/>
      <c r="N643" s="6"/>
    </row>
    <row r="644" spans="1:15" x14ac:dyDescent="0.2">
      <c r="B644" s="62"/>
      <c r="C644" s="170" t="s">
        <v>621</v>
      </c>
      <c r="D644" s="170"/>
      <c r="G644" s="160">
        <f>G145+G69+G23+G12+G234+G357+G642</f>
        <v>11856742.209595</v>
      </c>
    </row>
    <row r="645" spans="1:15" x14ac:dyDescent="0.2">
      <c r="B645" s="62"/>
      <c r="C645" s="199"/>
      <c r="D645" s="199"/>
      <c r="G645" s="160"/>
    </row>
    <row r="646" spans="1:15" x14ac:dyDescent="0.2">
      <c r="B646" s="62"/>
      <c r="C646" s="199"/>
      <c r="D646" s="199"/>
      <c r="G646" s="160"/>
    </row>
    <row r="647" spans="1:15" x14ac:dyDescent="0.2">
      <c r="B647" s="62"/>
      <c r="C647" s="199"/>
      <c r="D647" s="199"/>
      <c r="G647" s="160"/>
    </row>
    <row r="648" spans="1:15" x14ac:dyDescent="0.2">
      <c r="A648" s="94">
        <v>41283</v>
      </c>
      <c r="B648" s="93">
        <v>581</v>
      </c>
      <c r="C648" s="193" t="s">
        <v>354</v>
      </c>
      <c r="D648" s="93"/>
      <c r="E648" s="8">
        <v>4</v>
      </c>
      <c r="F648" s="158">
        <v>11136</v>
      </c>
      <c r="G648" s="147">
        <f>F648*2.04</f>
        <v>22717.439999999999</v>
      </c>
      <c r="H648" s="106" t="s">
        <v>397</v>
      </c>
      <c r="I648" s="6"/>
      <c r="J648" s="53"/>
      <c r="K648" s="93"/>
      <c r="L648" s="53">
        <v>41311</v>
      </c>
      <c r="N648" s="6"/>
    </row>
    <row r="649" spans="1:15" x14ac:dyDescent="0.2">
      <c r="A649" s="196">
        <v>41287</v>
      </c>
      <c r="B649" s="93">
        <v>578</v>
      </c>
      <c r="C649" s="193" t="s">
        <v>709</v>
      </c>
      <c r="D649" s="93"/>
      <c r="E649" s="8">
        <v>3</v>
      </c>
      <c r="F649" s="158">
        <v>5819.7</v>
      </c>
      <c r="G649" s="147">
        <f>F649*2.05</f>
        <v>11930.384999999998</v>
      </c>
      <c r="H649" s="370" t="s">
        <v>397</v>
      </c>
      <c r="I649" s="467" t="s">
        <v>708</v>
      </c>
      <c r="J649" s="53">
        <v>41628</v>
      </c>
      <c r="K649" s="93" t="s">
        <v>607</v>
      </c>
      <c r="L649" s="53">
        <v>41325</v>
      </c>
      <c r="N649" s="6"/>
    </row>
    <row r="650" spans="1:15" x14ac:dyDescent="0.2">
      <c r="A650" s="469">
        <v>41277</v>
      </c>
      <c r="B650" s="93">
        <v>579</v>
      </c>
      <c r="C650" s="193" t="s">
        <v>171</v>
      </c>
      <c r="D650" s="93"/>
      <c r="E650" s="8">
        <v>10</v>
      </c>
      <c r="F650" s="158">
        <v>23999</v>
      </c>
      <c r="G650" s="147">
        <f>F650*2.04</f>
        <v>48957.96</v>
      </c>
      <c r="H650" s="106" t="s">
        <v>113</v>
      </c>
      <c r="I650" s="6"/>
      <c r="J650" s="53">
        <v>41618</v>
      </c>
      <c r="K650" s="93" t="s">
        <v>607</v>
      </c>
      <c r="L650" s="53">
        <v>41315</v>
      </c>
      <c r="N650" s="6"/>
    </row>
    <row r="651" spans="1:15" x14ac:dyDescent="0.2">
      <c r="A651" s="469">
        <v>41276</v>
      </c>
      <c r="B651" s="93">
        <v>577</v>
      </c>
      <c r="C651" s="193" t="s">
        <v>183</v>
      </c>
      <c r="D651" s="93"/>
      <c r="E651" s="8">
        <v>14</v>
      </c>
      <c r="F651" s="158">
        <v>33791.86</v>
      </c>
      <c r="G651" s="147">
        <f>F651*2.04</f>
        <v>68935.394400000005</v>
      </c>
      <c r="H651" s="370" t="s">
        <v>397</v>
      </c>
      <c r="I651" s="6"/>
      <c r="J651" s="53">
        <v>41605</v>
      </c>
      <c r="K651" s="93" t="s">
        <v>698</v>
      </c>
      <c r="L651" s="53">
        <v>41332</v>
      </c>
      <c r="N651" s="6"/>
    </row>
    <row r="652" spans="1:15" x14ac:dyDescent="0.2">
      <c r="A652" s="94">
        <v>41311</v>
      </c>
      <c r="B652" s="93">
        <v>589</v>
      </c>
      <c r="C652" s="193" t="s">
        <v>707</v>
      </c>
      <c r="D652" s="93" t="s">
        <v>717</v>
      </c>
      <c r="E652" s="8">
        <v>1</v>
      </c>
      <c r="F652" s="158">
        <v>6715.5</v>
      </c>
      <c r="G652" s="147">
        <f>F652*2.08</f>
        <v>13968.24</v>
      </c>
      <c r="H652" s="106" t="s">
        <v>70</v>
      </c>
      <c r="I652" s="6"/>
      <c r="J652" s="53"/>
      <c r="K652" s="93" t="s">
        <v>250</v>
      </c>
      <c r="L652" s="53"/>
      <c r="N652" s="6"/>
    </row>
    <row r="653" spans="1:15" x14ac:dyDescent="0.2">
      <c r="A653" s="94">
        <v>41347</v>
      </c>
      <c r="B653" s="93">
        <v>603</v>
      </c>
      <c r="C653" s="193" t="s">
        <v>271</v>
      </c>
      <c r="D653" s="93" t="s">
        <v>273</v>
      </c>
      <c r="E653" s="8">
        <v>6</v>
      </c>
      <c r="F653" s="158">
        <v>32390.639999999999</v>
      </c>
      <c r="G653" s="147">
        <f>F653*1.58</f>
        <v>51177.211199999998</v>
      </c>
      <c r="H653" s="106" t="s">
        <v>70</v>
      </c>
      <c r="I653" s="6"/>
      <c r="J653" s="53"/>
      <c r="K653" s="93" t="s">
        <v>487</v>
      </c>
      <c r="L653" s="411" t="s">
        <v>419</v>
      </c>
      <c r="N653" s="6"/>
    </row>
    <row r="654" spans="1:15" x14ac:dyDescent="0.2">
      <c r="A654" s="94">
        <v>41290</v>
      </c>
      <c r="B654" s="93">
        <v>583</v>
      </c>
      <c r="C654" s="193" t="s">
        <v>681</v>
      </c>
      <c r="D654" s="93" t="s">
        <v>682</v>
      </c>
      <c r="E654" s="8"/>
      <c r="F654" s="158">
        <v>27316</v>
      </c>
      <c r="G654" s="147">
        <f>F654*1.58</f>
        <v>43159.28</v>
      </c>
      <c r="H654" s="106" t="s">
        <v>397</v>
      </c>
      <c r="I654" s="6"/>
      <c r="J654" s="53"/>
      <c r="K654" s="93" t="s">
        <v>487</v>
      </c>
      <c r="L654" s="53" t="s">
        <v>706</v>
      </c>
      <c r="N654" s="6"/>
    </row>
    <row r="655" spans="1:15" x14ac:dyDescent="0.2">
      <c r="A655" s="94">
        <v>41281</v>
      </c>
      <c r="B655" s="93">
        <v>580</v>
      </c>
      <c r="C655" s="193" t="s">
        <v>687</v>
      </c>
      <c r="D655" s="93"/>
      <c r="E655" s="8">
        <v>5</v>
      </c>
      <c r="F655" s="158">
        <v>33680</v>
      </c>
      <c r="G655" s="147">
        <f>F655*2.05</f>
        <v>69044</v>
      </c>
      <c r="H655" s="106" t="s">
        <v>397</v>
      </c>
      <c r="I655" s="6"/>
      <c r="J655" s="53"/>
      <c r="K655" s="93" t="s">
        <v>250</v>
      </c>
      <c r="L655" s="472" t="s">
        <v>719</v>
      </c>
      <c r="N655" s="6"/>
    </row>
    <row r="656" spans="1:15" x14ac:dyDescent="0.2">
      <c r="A656" s="94">
        <v>41303</v>
      </c>
      <c r="B656" s="93">
        <v>587</v>
      </c>
      <c r="C656" s="193" t="s">
        <v>606</v>
      </c>
      <c r="D656" s="93" t="s">
        <v>695</v>
      </c>
      <c r="E656" s="8">
        <v>1</v>
      </c>
      <c r="F656" s="158">
        <v>41780</v>
      </c>
      <c r="G656" s="147">
        <f>F656*2.05</f>
        <v>85648.999999999985</v>
      </c>
      <c r="H656" s="106" t="s">
        <v>72</v>
      </c>
      <c r="I656" s="6"/>
      <c r="J656" s="53"/>
      <c r="K656" s="93" t="s">
        <v>487</v>
      </c>
      <c r="L656" s="53" t="s">
        <v>706</v>
      </c>
      <c r="N656" s="6"/>
    </row>
    <row r="657" spans="1:29" x14ac:dyDescent="0.2">
      <c r="A657" s="94">
        <v>41290</v>
      </c>
      <c r="B657" s="93">
        <v>584</v>
      </c>
      <c r="C657" s="193" t="s">
        <v>352</v>
      </c>
      <c r="D657" s="93"/>
      <c r="E657" s="8"/>
      <c r="F657" s="158">
        <v>12820</v>
      </c>
      <c r="G657" s="147">
        <f>F657*2.08</f>
        <v>26665.600000000002</v>
      </c>
      <c r="H657" s="370" t="s">
        <v>720</v>
      </c>
      <c r="I657" s="6"/>
      <c r="J657" s="53"/>
      <c r="K657" s="93" t="s">
        <v>607</v>
      </c>
      <c r="L657" s="53" t="s">
        <v>706</v>
      </c>
      <c r="N657" s="6"/>
    </row>
    <row r="658" spans="1:29" x14ac:dyDescent="0.2">
      <c r="A658" s="94">
        <v>41304</v>
      </c>
      <c r="B658" s="93">
        <v>588</v>
      </c>
      <c r="C658" s="193" t="s">
        <v>482</v>
      </c>
      <c r="D658" s="93" t="s">
        <v>86</v>
      </c>
      <c r="E658" s="364">
        <v>7</v>
      </c>
      <c r="F658" s="158">
        <v>7635.33</v>
      </c>
      <c r="G658" s="147">
        <f>F658*2.08</f>
        <v>15881.4864</v>
      </c>
      <c r="H658" s="106" t="s">
        <v>113</v>
      </c>
      <c r="I658" s="6"/>
      <c r="J658" s="53"/>
      <c r="K658" s="93" t="s">
        <v>250</v>
      </c>
      <c r="L658" s="53" t="s">
        <v>706</v>
      </c>
      <c r="N658" s="6"/>
    </row>
    <row r="659" spans="1:29" x14ac:dyDescent="0.2">
      <c r="A659" s="94">
        <v>41326</v>
      </c>
      <c r="B659" s="93">
        <v>596</v>
      </c>
      <c r="C659" s="193" t="s">
        <v>409</v>
      </c>
      <c r="D659" s="93"/>
      <c r="E659" s="8">
        <v>4</v>
      </c>
      <c r="F659" s="158">
        <v>54230.400000000001</v>
      </c>
      <c r="G659" s="147">
        <f>F659*2.08</f>
        <v>112799.232</v>
      </c>
      <c r="H659" s="106" t="s">
        <v>70</v>
      </c>
      <c r="I659" s="6"/>
      <c r="J659" s="53"/>
      <c r="K659" s="93" t="s">
        <v>343</v>
      </c>
      <c r="L659" s="53">
        <v>41341</v>
      </c>
      <c r="M659" s="17">
        <v>41433</v>
      </c>
      <c r="N659" s="6"/>
    </row>
    <row r="660" spans="1:29" ht="13.5" customHeight="1" x14ac:dyDescent="0.2">
      <c r="A660" s="94">
        <v>41333</v>
      </c>
      <c r="B660" s="93">
        <v>598</v>
      </c>
      <c r="C660" s="193" t="s">
        <v>293</v>
      </c>
      <c r="D660" s="93"/>
      <c r="E660" s="8">
        <v>6</v>
      </c>
      <c r="F660" s="158">
        <v>6408</v>
      </c>
      <c r="G660" s="147">
        <f>F660*2.08</f>
        <v>13328.640000000001</v>
      </c>
      <c r="H660" s="370" t="s">
        <v>720</v>
      </c>
      <c r="I660" s="6"/>
      <c r="J660" s="53"/>
      <c r="K660" s="93"/>
      <c r="L660" s="53"/>
      <c r="N660" s="6"/>
    </row>
    <row r="661" spans="1:29" x14ac:dyDescent="0.2">
      <c r="A661" s="94">
        <v>41285</v>
      </c>
      <c r="B661" s="93">
        <v>582</v>
      </c>
      <c r="C661" s="193" t="s">
        <v>235</v>
      </c>
      <c r="D661" s="93"/>
      <c r="E661" s="8">
        <v>4</v>
      </c>
      <c r="F661" s="158">
        <v>21437.16</v>
      </c>
      <c r="G661" s="147">
        <f>F661*1.6</f>
        <v>34299.455999999998</v>
      </c>
      <c r="H661" s="106" t="s">
        <v>397</v>
      </c>
      <c r="I661" s="6"/>
      <c r="J661" s="53"/>
      <c r="K661" s="93" t="s">
        <v>487</v>
      </c>
      <c r="L661" s="53">
        <v>41298</v>
      </c>
      <c r="N661" s="6"/>
    </row>
    <row r="662" spans="1:29" x14ac:dyDescent="0.2">
      <c r="A662" s="94">
        <v>41290</v>
      </c>
      <c r="B662" s="93">
        <v>585</v>
      </c>
      <c r="C662" s="193" t="s">
        <v>208</v>
      </c>
      <c r="D662" s="93" t="s">
        <v>451</v>
      </c>
      <c r="E662" s="8"/>
      <c r="F662" s="158">
        <v>1259.21</v>
      </c>
      <c r="G662" s="147"/>
      <c r="H662" s="106"/>
      <c r="I662" s="6"/>
      <c r="J662" s="53"/>
      <c r="K662" s="93" t="s">
        <v>721</v>
      </c>
      <c r="L662" s="53"/>
      <c r="N662" s="6"/>
    </row>
    <row r="663" spans="1:29" x14ac:dyDescent="0.2">
      <c r="A663" s="94">
        <v>41359</v>
      </c>
      <c r="B663" s="93">
        <v>609</v>
      </c>
      <c r="C663" s="193" t="s">
        <v>243</v>
      </c>
      <c r="D663" s="93"/>
      <c r="E663" s="8">
        <v>7</v>
      </c>
      <c r="F663" s="158">
        <v>11520.98</v>
      </c>
      <c r="G663" s="214">
        <f>F663*2.08</f>
        <v>23963.6384</v>
      </c>
      <c r="H663" s="370" t="s">
        <v>70</v>
      </c>
      <c r="I663" s="6"/>
      <c r="J663" s="53"/>
      <c r="K663" s="93" t="s">
        <v>250</v>
      </c>
      <c r="L663" s="53" t="s">
        <v>706</v>
      </c>
      <c r="N663" s="6"/>
    </row>
    <row r="664" spans="1:29" x14ac:dyDescent="0.2">
      <c r="A664" s="94">
        <v>41356</v>
      </c>
      <c r="B664" s="93">
        <v>607</v>
      </c>
      <c r="C664" s="93" t="s">
        <v>739</v>
      </c>
      <c r="D664" s="86"/>
      <c r="E664" s="55">
        <v>8</v>
      </c>
      <c r="F664" s="63">
        <v>6426.31</v>
      </c>
      <c r="G664" s="91">
        <f>F664*2.08</f>
        <v>13366.724800000002</v>
      </c>
      <c r="H664" t="s">
        <v>113</v>
      </c>
      <c r="K664" s="96" t="s">
        <v>250</v>
      </c>
      <c r="L664" s="53" t="s">
        <v>706</v>
      </c>
      <c r="N664" s="91"/>
      <c r="O664" s="63"/>
      <c r="P664" s="63"/>
      <c r="Q664" s="63"/>
      <c r="S664" s="63"/>
      <c r="T664" s="63"/>
      <c r="U664" s="63"/>
      <c r="W664" s="63"/>
      <c r="X664" s="63"/>
      <c r="Y664" s="63"/>
      <c r="AA664" s="63"/>
      <c r="AB664" s="63"/>
      <c r="AC664" s="63"/>
    </row>
    <row r="665" spans="1:29" x14ac:dyDescent="0.2">
      <c r="A665" s="94">
        <v>41366</v>
      </c>
      <c r="B665" s="93">
        <v>614</v>
      </c>
      <c r="C665" s="193" t="s">
        <v>612</v>
      </c>
      <c r="D665" s="214"/>
      <c r="E665" s="8">
        <v>2</v>
      </c>
      <c r="F665" s="158">
        <v>24268</v>
      </c>
      <c r="G665" s="214">
        <f>F665*1.58</f>
        <v>38343.440000000002</v>
      </c>
      <c r="H665" s="370" t="s">
        <v>72</v>
      </c>
      <c r="I665" s="177">
        <v>41343</v>
      </c>
      <c r="J665" s="177">
        <v>41364</v>
      </c>
      <c r="K665" s="93" t="s">
        <v>167</v>
      </c>
      <c r="L665" s="53" t="s">
        <v>706</v>
      </c>
      <c r="N665" s="6"/>
    </row>
    <row r="666" spans="1:29" x14ac:dyDescent="0.2">
      <c r="A666" s="94">
        <v>41368</v>
      </c>
      <c r="B666" s="93">
        <v>615</v>
      </c>
      <c r="C666" s="193" t="s">
        <v>718</v>
      </c>
      <c r="D666" s="214">
        <v>58773</v>
      </c>
      <c r="E666" s="8">
        <v>29</v>
      </c>
      <c r="F666" s="158">
        <v>116614.1</v>
      </c>
      <c r="G666" s="147">
        <f>F666*2.05</f>
        <v>239058.905</v>
      </c>
      <c r="H666" s="370" t="s">
        <v>113</v>
      </c>
      <c r="I666" s="6"/>
      <c r="J666" s="53"/>
      <c r="K666" s="93" t="s">
        <v>167</v>
      </c>
      <c r="L666" s="472" t="s">
        <v>719</v>
      </c>
      <c r="N666" s="6"/>
    </row>
    <row r="667" spans="1:29" x14ac:dyDescent="0.2">
      <c r="A667" s="94">
        <v>41337</v>
      </c>
      <c r="B667" s="93">
        <v>608</v>
      </c>
      <c r="C667" s="193" t="s">
        <v>749</v>
      </c>
      <c r="D667" s="93"/>
      <c r="E667" s="8">
        <v>1</v>
      </c>
      <c r="F667" s="158">
        <v>5999.94</v>
      </c>
      <c r="G667" s="147">
        <f>F667*2.08</f>
        <v>12479.8752</v>
      </c>
      <c r="H667" s="370" t="s">
        <v>397</v>
      </c>
      <c r="I667" s="6"/>
      <c r="J667" s="53"/>
      <c r="K667" s="93"/>
      <c r="L667" s="53"/>
      <c r="N667" s="6"/>
    </row>
    <row r="668" spans="1:29" x14ac:dyDescent="0.2">
      <c r="A668" s="94">
        <v>41325</v>
      </c>
      <c r="B668" s="93">
        <v>594</v>
      </c>
      <c r="C668" s="193" t="s">
        <v>618</v>
      </c>
      <c r="D668" s="93"/>
      <c r="E668" s="8">
        <v>12</v>
      </c>
      <c r="F668" s="158">
        <v>8594.4</v>
      </c>
      <c r="G668" s="147">
        <f>F668*2.05</f>
        <v>17618.519999999997</v>
      </c>
      <c r="H668" s="370" t="s">
        <v>72</v>
      </c>
      <c r="I668" s="6"/>
      <c r="J668" s="53"/>
      <c r="K668" s="93" t="s">
        <v>500</v>
      </c>
      <c r="L668" s="53">
        <v>41364</v>
      </c>
      <c r="N668" s="6"/>
    </row>
    <row r="669" spans="1:29" x14ac:dyDescent="0.2">
      <c r="A669" s="94">
        <v>41325</v>
      </c>
      <c r="B669" s="93">
        <v>595</v>
      </c>
      <c r="C669" s="193" t="s">
        <v>185</v>
      </c>
      <c r="D669" s="93"/>
      <c r="E669" s="8">
        <v>9</v>
      </c>
      <c r="F669" s="158">
        <v>5355.4</v>
      </c>
      <c r="G669" s="147">
        <f>F669*2.05</f>
        <v>10978.569999999998</v>
      </c>
      <c r="H669" s="370" t="s">
        <v>72</v>
      </c>
      <c r="I669" s="471"/>
      <c r="J669" s="53"/>
      <c r="K669" s="93" t="s">
        <v>500</v>
      </c>
      <c r="L669" s="53">
        <v>41364</v>
      </c>
      <c r="N669" s="6"/>
    </row>
    <row r="670" spans="1:29" x14ac:dyDescent="0.2">
      <c r="A670" s="94">
        <v>41299</v>
      </c>
      <c r="B670" s="93">
        <v>586</v>
      </c>
      <c r="C670" s="193" t="s">
        <v>139</v>
      </c>
      <c r="D670" s="93"/>
      <c r="E670" s="8"/>
      <c r="F670" s="158">
        <v>26171.69</v>
      </c>
      <c r="G670" s="147">
        <f>F670*2.08</f>
        <v>54437.1152</v>
      </c>
      <c r="H670" s="370" t="s">
        <v>397</v>
      </c>
      <c r="I670" s="6"/>
      <c r="J670" s="53"/>
      <c r="K670" s="93" t="s">
        <v>698</v>
      </c>
      <c r="L670" s="53" t="s">
        <v>750</v>
      </c>
      <c r="N670" s="6"/>
    </row>
    <row r="671" spans="1:29" x14ac:dyDescent="0.2">
      <c r="A671" s="94">
        <v>41337</v>
      </c>
      <c r="B671" s="93">
        <v>599</v>
      </c>
      <c r="C671" s="193" t="s">
        <v>66</v>
      </c>
      <c r="D671" s="93"/>
      <c r="E671" s="8">
        <v>11</v>
      </c>
      <c r="F671" s="158">
        <v>21640</v>
      </c>
      <c r="G671" s="214">
        <f>F671*2.08</f>
        <v>45011.200000000004</v>
      </c>
      <c r="H671" s="370" t="s">
        <v>397</v>
      </c>
      <c r="I671" s="471"/>
      <c r="J671" s="53">
        <v>41319</v>
      </c>
      <c r="K671" s="93" t="s">
        <v>726</v>
      </c>
      <c r="L671" s="53">
        <v>41378</v>
      </c>
      <c r="N671" s="6"/>
    </row>
    <row r="672" spans="1:29" x14ac:dyDescent="0.2">
      <c r="A672" s="94">
        <v>41340</v>
      </c>
      <c r="B672" s="93">
        <v>601</v>
      </c>
      <c r="C672" s="93" t="s">
        <v>723</v>
      </c>
      <c r="D672" s="93"/>
      <c r="E672" s="93">
        <v>4</v>
      </c>
      <c r="F672" s="93">
        <v>7285.4</v>
      </c>
      <c r="G672" s="214">
        <f>F672*2.08</f>
        <v>15153.632</v>
      </c>
      <c r="H672" s="370" t="s">
        <v>397</v>
      </c>
      <c r="I672" s="86"/>
      <c r="J672" s="86"/>
      <c r="K672" s="93" t="s">
        <v>500</v>
      </c>
      <c r="L672" s="177">
        <v>41380</v>
      </c>
      <c r="N672" s="6"/>
    </row>
    <row r="673" spans="1:29" x14ac:dyDescent="0.2">
      <c r="A673" s="94">
        <v>41316</v>
      </c>
      <c r="B673" s="193">
        <v>590</v>
      </c>
      <c r="C673" s="193" t="s">
        <v>604</v>
      </c>
      <c r="D673" s="93"/>
      <c r="E673" s="8">
        <v>2</v>
      </c>
      <c r="F673" s="158">
        <v>20703.560000000001</v>
      </c>
      <c r="G673" s="147">
        <f>F673*2.05</f>
        <v>42442.298000000003</v>
      </c>
      <c r="H673" s="370" t="s">
        <v>397</v>
      </c>
      <c r="I673" s="6"/>
      <c r="J673" s="53"/>
      <c r="K673" s="93" t="s">
        <v>384</v>
      </c>
      <c r="L673" s="53">
        <v>41381</v>
      </c>
      <c r="N673" s="6"/>
    </row>
    <row r="674" spans="1:29" x14ac:dyDescent="0.2">
      <c r="A674" s="94">
        <v>41319</v>
      </c>
      <c r="B674" s="93">
        <v>592</v>
      </c>
      <c r="C674" s="193" t="s">
        <v>172</v>
      </c>
      <c r="D674" s="93"/>
      <c r="E674" s="8">
        <v>14</v>
      </c>
      <c r="F674" s="158">
        <v>9404.2199999999993</v>
      </c>
      <c r="G674" s="147">
        <f>F674*2.05</f>
        <v>19278.650999999998</v>
      </c>
      <c r="H674" s="134" t="s">
        <v>113</v>
      </c>
      <c r="I674" s="471"/>
      <c r="J674" s="53"/>
      <c r="K674" s="93" t="s">
        <v>384</v>
      </c>
      <c r="L674" s="53">
        <v>41390</v>
      </c>
      <c r="N674" s="6"/>
    </row>
    <row r="675" spans="1:29" x14ac:dyDescent="0.2">
      <c r="A675" s="94">
        <v>41359</v>
      </c>
      <c r="B675" s="93">
        <v>610</v>
      </c>
      <c r="C675" s="193" t="s">
        <v>223</v>
      </c>
      <c r="D675" s="93"/>
      <c r="E675" s="8">
        <v>11</v>
      </c>
      <c r="F675" s="158">
        <v>15600.9</v>
      </c>
      <c r="G675" s="214">
        <f>F675*2.08</f>
        <v>32449.871999999999</v>
      </c>
      <c r="H675" s="134" t="s">
        <v>113</v>
      </c>
      <c r="I675" s="6"/>
      <c r="J675" s="53">
        <v>41331</v>
      </c>
      <c r="K675" s="93" t="s">
        <v>500</v>
      </c>
      <c r="L675" s="53">
        <v>41390</v>
      </c>
      <c r="N675" s="6"/>
    </row>
    <row r="676" spans="1:29" x14ac:dyDescent="0.2">
      <c r="A676" s="94">
        <v>41316</v>
      </c>
      <c r="B676" s="93">
        <v>591</v>
      </c>
      <c r="C676" s="193" t="s">
        <v>716</v>
      </c>
      <c r="D676" s="93"/>
      <c r="E676" s="8">
        <v>1</v>
      </c>
      <c r="F676" s="158">
        <v>13886.6</v>
      </c>
      <c r="G676" s="147">
        <f>F676*2.05</f>
        <v>28467.53</v>
      </c>
      <c r="H676" s="134" t="s">
        <v>113</v>
      </c>
      <c r="I676" s="6"/>
      <c r="J676" s="53"/>
      <c r="K676" s="93" t="s">
        <v>384</v>
      </c>
      <c r="L676" s="53">
        <v>41378</v>
      </c>
      <c r="N676" s="6"/>
    </row>
    <row r="677" spans="1:29" x14ac:dyDescent="0.2">
      <c r="A677" s="94">
        <v>41346</v>
      </c>
      <c r="B677" s="93">
        <v>602</v>
      </c>
      <c r="C677" s="193" t="s">
        <v>711</v>
      </c>
      <c r="D677" s="93"/>
      <c r="E677" s="8">
        <v>11</v>
      </c>
      <c r="F677" s="158">
        <v>27800.14</v>
      </c>
      <c r="G677" s="147">
        <f>F677*2.08</f>
        <v>57824.2912</v>
      </c>
      <c r="H677" s="134" t="s">
        <v>113</v>
      </c>
      <c r="I677" s="471"/>
      <c r="J677" s="53">
        <v>41312</v>
      </c>
      <c r="K677" s="93" t="s">
        <v>384</v>
      </c>
      <c r="L677" s="53">
        <v>41401</v>
      </c>
      <c r="N677" s="6"/>
    </row>
    <row r="678" spans="1:29" x14ac:dyDescent="0.2">
      <c r="A678" s="94">
        <v>41325</v>
      </c>
      <c r="B678" s="93">
        <v>593</v>
      </c>
      <c r="C678" s="193" t="s">
        <v>285</v>
      </c>
      <c r="D678" s="93"/>
      <c r="E678" s="8">
        <v>7</v>
      </c>
      <c r="F678" s="158">
        <v>3697.33</v>
      </c>
      <c r="G678" s="147">
        <f>F678*2.05</f>
        <v>7579.526499999999</v>
      </c>
      <c r="H678" s="370" t="s">
        <v>70</v>
      </c>
      <c r="I678" s="471"/>
      <c r="J678" s="53"/>
      <c r="K678" s="93" t="s">
        <v>384</v>
      </c>
      <c r="L678" s="53">
        <v>41392</v>
      </c>
      <c r="N678" s="6"/>
    </row>
    <row r="679" spans="1:29" x14ac:dyDescent="0.2">
      <c r="A679" s="94">
        <v>41337</v>
      </c>
      <c r="B679" s="93">
        <v>600</v>
      </c>
      <c r="C679" s="193" t="s">
        <v>64</v>
      </c>
      <c r="D679" s="93"/>
      <c r="E679" s="8">
        <v>12</v>
      </c>
      <c r="F679" s="158">
        <v>4229.3999999999996</v>
      </c>
      <c r="G679" s="214">
        <f>F679*2.08</f>
        <v>8797.152</v>
      </c>
      <c r="H679" s="106" t="s">
        <v>70</v>
      </c>
      <c r="I679" s="471"/>
      <c r="J679" s="53">
        <v>41314</v>
      </c>
      <c r="K679" s="93" t="s">
        <v>698</v>
      </c>
      <c r="L679" s="53">
        <v>41403</v>
      </c>
      <c r="N679" s="6"/>
    </row>
    <row r="680" spans="1:29" x14ac:dyDescent="0.2">
      <c r="A680" s="94"/>
      <c r="B680" s="193">
        <v>626</v>
      </c>
      <c r="C680" s="193" t="s">
        <v>477</v>
      </c>
      <c r="D680" s="214"/>
      <c r="E680" s="8">
        <v>3</v>
      </c>
      <c r="F680" s="158">
        <v>7987.15</v>
      </c>
      <c r="G680" s="214">
        <f>F680*2.08</f>
        <v>16613.272000000001</v>
      </c>
      <c r="H680" s="370" t="s">
        <v>72</v>
      </c>
      <c r="I680" s="6"/>
      <c r="J680" s="53"/>
      <c r="K680" s="93" t="s">
        <v>250</v>
      </c>
      <c r="L680" s="53"/>
      <c r="N680" s="6"/>
    </row>
    <row r="681" spans="1:29" x14ac:dyDescent="0.2">
      <c r="A681" s="94"/>
      <c r="B681" s="93">
        <v>627</v>
      </c>
      <c r="C681" s="193" t="s">
        <v>751</v>
      </c>
      <c r="D681" s="93" t="s">
        <v>752</v>
      </c>
      <c r="E681" s="8"/>
      <c r="F681" s="158"/>
      <c r="G681" s="147"/>
      <c r="H681" s="370"/>
      <c r="I681" s="471"/>
      <c r="J681" s="53"/>
      <c r="K681" s="93"/>
      <c r="L681" s="53"/>
      <c r="N681" s="6"/>
    </row>
    <row r="682" spans="1:29" x14ac:dyDescent="0.2">
      <c r="A682" s="94"/>
      <c r="B682" s="93">
        <v>628</v>
      </c>
      <c r="C682" s="193" t="s">
        <v>180</v>
      </c>
      <c r="D682" s="93" t="s">
        <v>451</v>
      </c>
      <c r="E682" s="8"/>
      <c r="F682" s="158"/>
      <c r="G682" s="147"/>
      <c r="H682" s="370"/>
      <c r="I682" s="471"/>
      <c r="J682" s="53"/>
      <c r="K682" s="93"/>
      <c r="L682" s="53"/>
      <c r="N682" s="6"/>
    </row>
    <row r="683" spans="1:29" x14ac:dyDescent="0.2">
      <c r="A683" s="94">
        <v>41327</v>
      </c>
      <c r="B683" s="93">
        <v>597</v>
      </c>
      <c r="C683" s="193" t="s">
        <v>180</v>
      </c>
      <c r="D683" s="93"/>
      <c r="E683" s="8">
        <v>9</v>
      </c>
      <c r="F683" s="158">
        <v>17893.830000000002</v>
      </c>
      <c r="G683" s="147">
        <f>F683*2.14</f>
        <v>38292.796200000004</v>
      </c>
      <c r="H683" s="134" t="s">
        <v>113</v>
      </c>
      <c r="I683" s="6"/>
      <c r="J683" s="53"/>
      <c r="K683" s="93" t="s">
        <v>500</v>
      </c>
      <c r="L683" s="53">
        <v>41360</v>
      </c>
      <c r="N683" s="6"/>
    </row>
    <row r="684" spans="1:29" x14ac:dyDescent="0.2">
      <c r="A684" s="202">
        <v>41375</v>
      </c>
      <c r="B684" s="93">
        <v>617</v>
      </c>
      <c r="C684" s="193" t="s">
        <v>722</v>
      </c>
      <c r="D684" s="214"/>
      <c r="E684" s="8">
        <v>15</v>
      </c>
      <c r="F684" s="158">
        <v>8114.4</v>
      </c>
      <c r="G684" s="147">
        <f t="shared" ref="G684:G700" si="26">F684*2.14</f>
        <v>17364.815999999999</v>
      </c>
      <c r="H684" s="134" t="s">
        <v>113</v>
      </c>
      <c r="I684" s="6"/>
      <c r="J684" s="53"/>
      <c r="K684" s="93"/>
      <c r="L684" s="53"/>
      <c r="N684" s="6"/>
    </row>
    <row r="685" spans="1:29" x14ac:dyDescent="0.2">
      <c r="A685" s="94">
        <v>41356</v>
      </c>
      <c r="B685" s="93">
        <v>604</v>
      </c>
      <c r="C685" s="93" t="s">
        <v>177</v>
      </c>
      <c r="D685" s="86"/>
      <c r="E685" s="55">
        <v>10</v>
      </c>
      <c r="F685" s="63">
        <v>6931.76</v>
      </c>
      <c r="G685" s="147">
        <f t="shared" si="26"/>
        <v>14833.966400000001</v>
      </c>
      <c r="H685" t="s">
        <v>113</v>
      </c>
      <c r="J685" s="17">
        <v>41342</v>
      </c>
      <c r="K685" s="96" t="s">
        <v>500</v>
      </c>
      <c r="L685" s="17">
        <v>41403</v>
      </c>
      <c r="N685" s="91"/>
      <c r="O685" s="63"/>
      <c r="P685" s="63"/>
      <c r="Q685" s="63"/>
      <c r="S685" s="63"/>
      <c r="T685" s="63"/>
      <c r="U685" s="63"/>
      <c r="W685" s="63"/>
      <c r="X685" s="63"/>
      <c r="Y685" s="63"/>
      <c r="AA685" s="63"/>
      <c r="AB685" s="63"/>
      <c r="AC685" s="63"/>
    </row>
    <row r="686" spans="1:29" x14ac:dyDescent="0.2">
      <c r="A686" s="94">
        <v>41366</v>
      </c>
      <c r="B686" s="93">
        <v>613</v>
      </c>
      <c r="C686" s="193" t="s">
        <v>301</v>
      </c>
      <c r="D686" s="214"/>
      <c r="E686" s="8">
        <v>5</v>
      </c>
      <c r="F686" s="158">
        <v>4759.1000000000004</v>
      </c>
      <c r="G686" s="147">
        <f t="shared" si="26"/>
        <v>10184.474000000002</v>
      </c>
      <c r="H686" s="134" t="s">
        <v>113</v>
      </c>
      <c r="I686" s="6"/>
      <c r="J686" s="53">
        <v>41347</v>
      </c>
      <c r="K686" s="93" t="s">
        <v>500</v>
      </c>
      <c r="L686" s="53">
        <v>41408</v>
      </c>
      <c r="N686" s="6"/>
    </row>
    <row r="687" spans="1:29" x14ac:dyDescent="0.2">
      <c r="A687" s="94">
        <v>41375</v>
      </c>
      <c r="B687" s="93">
        <v>618</v>
      </c>
      <c r="C687" s="93" t="s">
        <v>618</v>
      </c>
      <c r="D687" s="93"/>
      <c r="E687" s="93">
        <v>13</v>
      </c>
      <c r="F687" s="147">
        <v>9918</v>
      </c>
      <c r="G687" s="147">
        <f t="shared" si="26"/>
        <v>21224.52</v>
      </c>
      <c r="H687" s="134" t="s">
        <v>113</v>
      </c>
      <c r="I687" s="6"/>
      <c r="J687" s="177">
        <v>41360</v>
      </c>
      <c r="K687" s="93" t="s">
        <v>500</v>
      </c>
      <c r="L687" s="53">
        <v>41421</v>
      </c>
      <c r="M687" s="93"/>
      <c r="N687" s="6"/>
      <c r="O687" s="63"/>
      <c r="P687" s="63"/>
      <c r="Q687" s="63"/>
      <c r="S687" s="63"/>
      <c r="T687" s="63"/>
      <c r="U687" s="63"/>
      <c r="W687" s="63"/>
      <c r="X687" s="63"/>
      <c r="Y687" s="63"/>
      <c r="AA687" s="63"/>
      <c r="AB687" s="63"/>
      <c r="AC687" s="63"/>
    </row>
    <row r="688" spans="1:29" x14ac:dyDescent="0.2">
      <c r="A688" s="94">
        <v>41355</v>
      </c>
      <c r="B688" s="93">
        <v>606</v>
      </c>
      <c r="C688" s="193" t="s">
        <v>713</v>
      </c>
      <c r="D688" s="93"/>
      <c r="E688" s="8">
        <v>1</v>
      </c>
      <c r="F688" s="158">
        <v>7235.46</v>
      </c>
      <c r="G688" s="147">
        <f t="shared" si="26"/>
        <v>15483.884400000001</v>
      </c>
      <c r="H688" s="477" t="s">
        <v>113</v>
      </c>
      <c r="I688" s="6"/>
      <c r="J688" s="53">
        <v>41335</v>
      </c>
      <c r="K688" s="93" t="s">
        <v>384</v>
      </c>
      <c r="L688" s="53">
        <v>41427</v>
      </c>
      <c r="N688" s="6"/>
    </row>
    <row r="689" spans="1:29" x14ac:dyDescent="0.2">
      <c r="A689" s="94">
        <v>41388</v>
      </c>
      <c r="B689" s="93">
        <v>621</v>
      </c>
      <c r="C689" s="93" t="s">
        <v>741</v>
      </c>
      <c r="D689" s="93"/>
      <c r="E689" s="93">
        <v>11</v>
      </c>
      <c r="F689" s="147">
        <v>20899.37</v>
      </c>
      <c r="G689" s="147">
        <f t="shared" si="26"/>
        <v>44724.6518</v>
      </c>
      <c r="H689" s="134" t="s">
        <v>113</v>
      </c>
      <c r="I689" s="6"/>
      <c r="J689" s="177">
        <v>41369</v>
      </c>
      <c r="K689" s="93" t="s">
        <v>500</v>
      </c>
      <c r="L689" s="53">
        <v>41430</v>
      </c>
      <c r="M689" s="93"/>
      <c r="N689" s="6"/>
      <c r="O689" s="63"/>
      <c r="P689" s="63"/>
      <c r="Q689" s="63"/>
      <c r="S689" s="63"/>
      <c r="T689" s="63"/>
      <c r="U689" s="63"/>
      <c r="W689" s="63"/>
      <c r="X689" s="63"/>
      <c r="Y689" s="63"/>
      <c r="AA689" s="63"/>
      <c r="AB689" s="63"/>
      <c r="AC689" s="63"/>
    </row>
    <row r="690" spans="1:29" x14ac:dyDescent="0.2">
      <c r="A690" s="94">
        <v>41355</v>
      </c>
      <c r="B690" s="93">
        <v>605</v>
      </c>
      <c r="C690" s="193" t="s">
        <v>174</v>
      </c>
      <c r="D690" s="93"/>
      <c r="E690" s="8">
        <v>2</v>
      </c>
      <c r="F690" s="158">
        <v>2341.4</v>
      </c>
      <c r="G690" s="147">
        <f t="shared" si="26"/>
        <v>5010.5960000000005</v>
      </c>
      <c r="H690" t="s">
        <v>113</v>
      </c>
      <c r="I690" s="471"/>
      <c r="J690" s="53">
        <v>41342</v>
      </c>
      <c r="K690" s="93" t="s">
        <v>698</v>
      </c>
      <c r="L690" s="53">
        <v>41434</v>
      </c>
      <c r="N690" s="6"/>
    </row>
    <row r="691" spans="1:29" x14ac:dyDescent="0.2">
      <c r="A691" s="94">
        <v>41388</v>
      </c>
      <c r="B691" s="93">
        <v>622</v>
      </c>
      <c r="C691" s="193" t="s">
        <v>247</v>
      </c>
      <c r="D691" s="93"/>
      <c r="E691" s="8">
        <v>6</v>
      </c>
      <c r="F691" s="158">
        <v>10305</v>
      </c>
      <c r="G691" s="147">
        <f t="shared" si="26"/>
        <v>22052.7</v>
      </c>
      <c r="H691" s="134" t="s">
        <v>113</v>
      </c>
      <c r="I691" s="6"/>
      <c r="J691" s="53">
        <v>41348</v>
      </c>
      <c r="K691" s="93" t="s">
        <v>384</v>
      </c>
      <c r="L691" s="53">
        <v>41440</v>
      </c>
      <c r="N691" s="6"/>
    </row>
    <row r="692" spans="1:29" x14ac:dyDescent="0.2">
      <c r="A692" s="94">
        <v>41363</v>
      </c>
      <c r="B692" s="93">
        <v>611</v>
      </c>
      <c r="C692" s="193" t="s">
        <v>684</v>
      </c>
      <c r="D692" s="214"/>
      <c r="E692" s="8">
        <v>1</v>
      </c>
      <c r="F692" s="158">
        <v>18732.7</v>
      </c>
      <c r="G692" s="147">
        <f t="shared" si="26"/>
        <v>40087.978000000003</v>
      </c>
      <c r="H692" s="134" t="s">
        <v>113</v>
      </c>
      <c r="I692" s="6"/>
      <c r="J692" s="53">
        <v>41347</v>
      </c>
      <c r="K692" s="93" t="s">
        <v>384</v>
      </c>
      <c r="L692" s="53">
        <v>41439</v>
      </c>
      <c r="N692" s="6"/>
    </row>
    <row r="693" spans="1:29" x14ac:dyDescent="0.2">
      <c r="A693" s="94">
        <v>41366</v>
      </c>
      <c r="B693" s="93">
        <v>612</v>
      </c>
      <c r="C693" s="193" t="s">
        <v>145</v>
      </c>
      <c r="D693" s="214"/>
      <c r="E693" s="8">
        <v>18</v>
      </c>
      <c r="F693" s="158">
        <v>21810.25</v>
      </c>
      <c r="G693" s="147">
        <f t="shared" si="26"/>
        <v>46673.935000000005</v>
      </c>
      <c r="H693" s="134" t="s">
        <v>113</v>
      </c>
      <c r="I693" s="471"/>
      <c r="J693" s="53">
        <v>41349</v>
      </c>
      <c r="K693" s="93" t="s">
        <v>384</v>
      </c>
      <c r="L693" s="53">
        <v>41441</v>
      </c>
      <c r="N693" s="6"/>
    </row>
    <row r="694" spans="1:29" x14ac:dyDescent="0.2">
      <c r="A694" s="94">
        <v>41388</v>
      </c>
      <c r="B694" s="93">
        <v>623</v>
      </c>
      <c r="C694" s="193" t="s">
        <v>712</v>
      </c>
      <c r="D694" s="93"/>
      <c r="E694" s="8">
        <v>1</v>
      </c>
      <c r="F694" s="158">
        <v>53811.7</v>
      </c>
      <c r="G694" s="147">
        <f>F694*2.17</f>
        <v>116771.389</v>
      </c>
      <c r="H694" s="370" t="s">
        <v>397</v>
      </c>
      <c r="I694" s="86"/>
      <c r="J694" s="177">
        <v>41347</v>
      </c>
      <c r="K694" s="93" t="s">
        <v>416</v>
      </c>
      <c r="L694" s="53">
        <v>41439</v>
      </c>
      <c r="N694" s="6"/>
    </row>
    <row r="695" spans="1:29" x14ac:dyDescent="0.2">
      <c r="A695" s="94">
        <v>41389</v>
      </c>
      <c r="B695" s="93">
        <v>624</v>
      </c>
      <c r="C695" s="193" t="s">
        <v>192</v>
      </c>
      <c r="D695" s="93"/>
      <c r="E695" s="8">
        <v>20</v>
      </c>
      <c r="F695" s="174">
        <v>21745.360000000001</v>
      </c>
      <c r="G695" s="147">
        <f t="shared" si="26"/>
        <v>46535.070400000004</v>
      </c>
      <c r="H695" s="134" t="s">
        <v>113</v>
      </c>
      <c r="I695" s="6"/>
      <c r="J695" s="53">
        <v>41361</v>
      </c>
      <c r="K695" s="93" t="s">
        <v>384</v>
      </c>
      <c r="L695" s="53">
        <v>41453</v>
      </c>
      <c r="N695" s="6"/>
    </row>
    <row r="696" spans="1:29" x14ac:dyDescent="0.2">
      <c r="A696" s="94">
        <v>41375</v>
      </c>
      <c r="B696" s="93">
        <v>619</v>
      </c>
      <c r="C696" s="93" t="s">
        <v>172</v>
      </c>
      <c r="D696" s="93"/>
      <c r="E696" s="93">
        <v>14</v>
      </c>
      <c r="F696" s="147">
        <v>6609.41</v>
      </c>
      <c r="G696" s="147">
        <f t="shared" si="26"/>
        <v>14144.1374</v>
      </c>
      <c r="H696" s="134" t="s">
        <v>113</v>
      </c>
      <c r="I696" s="86"/>
      <c r="J696" s="177">
        <v>41363</v>
      </c>
      <c r="K696" s="93" t="s">
        <v>698</v>
      </c>
      <c r="L696" s="177">
        <v>41455</v>
      </c>
      <c r="N696" s="6"/>
    </row>
    <row r="697" spans="1:29" x14ac:dyDescent="0.2">
      <c r="A697" s="94">
        <v>41409</v>
      </c>
      <c r="B697" s="93">
        <v>633</v>
      </c>
      <c r="C697" s="93" t="s">
        <v>223</v>
      </c>
      <c r="D697" s="93"/>
      <c r="E697" s="93">
        <v>12</v>
      </c>
      <c r="F697" s="147">
        <v>18950</v>
      </c>
      <c r="G697" s="147">
        <f t="shared" si="26"/>
        <v>40553</v>
      </c>
      <c r="H697" s="134" t="s">
        <v>113</v>
      </c>
      <c r="I697" s="86"/>
      <c r="J697" s="177">
        <v>41394</v>
      </c>
      <c r="K697" s="93" t="s">
        <v>500</v>
      </c>
      <c r="L697" s="177">
        <v>41455</v>
      </c>
      <c r="N697" s="6"/>
    </row>
    <row r="698" spans="1:29" x14ac:dyDescent="0.2">
      <c r="A698" s="94">
        <v>41407</v>
      </c>
      <c r="B698" s="93">
        <v>632</v>
      </c>
      <c r="C698" s="193" t="s">
        <v>185</v>
      </c>
      <c r="D698" s="93"/>
      <c r="E698" s="8">
        <v>10</v>
      </c>
      <c r="F698" s="174">
        <v>4294.33</v>
      </c>
      <c r="G698" s="147">
        <f t="shared" si="26"/>
        <v>9189.8662000000004</v>
      </c>
      <c r="H698" s="478" t="s">
        <v>72</v>
      </c>
      <c r="I698" s="6"/>
      <c r="J698" s="53">
        <v>41394</v>
      </c>
      <c r="K698" s="93" t="s">
        <v>500</v>
      </c>
      <c r="L698" s="53">
        <v>41455</v>
      </c>
      <c r="N698" s="6"/>
    </row>
    <row r="699" spans="1:29" x14ac:dyDescent="0.2">
      <c r="A699" s="94">
        <v>41391</v>
      </c>
      <c r="B699" s="93">
        <v>625</v>
      </c>
      <c r="C699" s="193" t="s">
        <v>187</v>
      </c>
      <c r="D699" s="93"/>
      <c r="E699" s="8">
        <v>10</v>
      </c>
      <c r="F699" s="174">
        <v>4942.0600000000004</v>
      </c>
      <c r="G699" s="147">
        <f t="shared" si="26"/>
        <v>10576.008400000001</v>
      </c>
      <c r="H699" s="134" t="s">
        <v>113</v>
      </c>
      <c r="I699" s="6"/>
      <c r="J699" s="53">
        <v>41370</v>
      </c>
      <c r="K699" s="93" t="s">
        <v>384</v>
      </c>
      <c r="L699" s="53">
        <v>41461</v>
      </c>
      <c r="N699" s="6"/>
    </row>
    <row r="700" spans="1:29" x14ac:dyDescent="0.2">
      <c r="A700" s="94">
        <v>41384</v>
      </c>
      <c r="B700" s="93">
        <v>620</v>
      </c>
      <c r="C700" s="93" t="s">
        <v>173</v>
      </c>
      <c r="D700" s="93"/>
      <c r="E700" s="93">
        <v>10</v>
      </c>
      <c r="F700" s="147">
        <v>5090.91</v>
      </c>
      <c r="G700" s="147">
        <f t="shared" si="26"/>
        <v>10894.547399999999</v>
      </c>
      <c r="H700" s="134" t="s">
        <v>113</v>
      </c>
      <c r="I700" s="6"/>
      <c r="J700" s="177">
        <v>41370</v>
      </c>
      <c r="K700" s="93" t="s">
        <v>384</v>
      </c>
      <c r="L700" s="53">
        <v>41461</v>
      </c>
      <c r="M700" s="93"/>
      <c r="N700" s="6"/>
      <c r="O700" s="63"/>
      <c r="P700" s="63"/>
      <c r="Q700" s="63"/>
      <c r="S700" s="63"/>
      <c r="T700" s="63"/>
      <c r="U700" s="63"/>
      <c r="W700" s="63"/>
      <c r="X700" s="63"/>
      <c r="Y700" s="63"/>
      <c r="AA700" s="63"/>
      <c r="AB700" s="63"/>
      <c r="AC700" s="63"/>
    </row>
    <row r="701" spans="1:29" x14ac:dyDescent="0.2">
      <c r="A701" s="94">
        <v>41425</v>
      </c>
      <c r="B701" s="93">
        <v>635</v>
      </c>
      <c r="C701" s="193" t="s">
        <v>725</v>
      </c>
      <c r="D701" s="93"/>
      <c r="E701" s="8">
        <v>1</v>
      </c>
      <c r="F701" s="174">
        <v>10426.25</v>
      </c>
      <c r="G701" s="214">
        <f>F701*2.14</f>
        <v>22312.175000000003</v>
      </c>
      <c r="H701" s="370" t="s">
        <v>113</v>
      </c>
      <c r="I701" s="6"/>
      <c r="J701" s="53"/>
      <c r="K701" s="93" t="s">
        <v>250</v>
      </c>
      <c r="L701" s="53"/>
      <c r="N701" s="6"/>
    </row>
    <row r="702" spans="1:29" x14ac:dyDescent="0.2">
      <c r="A702" s="94">
        <v>41423</v>
      </c>
      <c r="B702" s="93">
        <v>637</v>
      </c>
      <c r="C702" s="93" t="s">
        <v>742</v>
      </c>
      <c r="D702" s="93"/>
      <c r="E702" s="93">
        <v>2</v>
      </c>
      <c r="F702" s="147">
        <v>13336</v>
      </c>
      <c r="G702" s="214">
        <f>F702*1.62</f>
        <v>21604.32</v>
      </c>
      <c r="H702" s="6" t="s">
        <v>72</v>
      </c>
      <c r="I702" s="177">
        <v>41404</v>
      </c>
      <c r="J702" s="177">
        <v>41425</v>
      </c>
      <c r="K702" s="93" t="s">
        <v>167</v>
      </c>
      <c r="L702" s="6"/>
      <c r="M702" s="93"/>
      <c r="N702" s="6"/>
      <c r="O702" s="63"/>
      <c r="P702" s="63"/>
      <c r="Q702" s="63"/>
      <c r="S702" s="63"/>
      <c r="T702" s="63"/>
      <c r="U702" s="63"/>
      <c r="W702" s="63"/>
      <c r="X702" s="63"/>
      <c r="Y702" s="63"/>
      <c r="AA702" s="63"/>
      <c r="AB702" s="63"/>
      <c r="AC702" s="63"/>
    </row>
    <row r="703" spans="1:29" ht="16.5" customHeight="1" x14ac:dyDescent="0.2">
      <c r="A703" s="94">
        <v>41432</v>
      </c>
      <c r="B703" s="93">
        <v>638</v>
      </c>
      <c r="C703" s="93" t="s">
        <v>243</v>
      </c>
      <c r="D703" s="93"/>
      <c r="E703" s="93">
        <v>8</v>
      </c>
      <c r="F703" s="93">
        <v>6304.48</v>
      </c>
      <c r="G703" s="214">
        <f t="shared" ref="G703:G708" si="27">F703*2.14</f>
        <v>13491.5872</v>
      </c>
      <c r="H703" s="6" t="s">
        <v>330</v>
      </c>
      <c r="I703" s="6"/>
      <c r="J703" s="86"/>
      <c r="K703" s="93" t="s">
        <v>250</v>
      </c>
      <c r="L703" s="6"/>
      <c r="M703" s="93"/>
      <c r="N703" s="6"/>
      <c r="O703" s="63"/>
      <c r="P703" s="63"/>
      <c r="Q703" s="63"/>
      <c r="S703" s="63"/>
      <c r="T703" s="63"/>
      <c r="U703" s="63"/>
      <c r="W703" s="63"/>
      <c r="X703" s="63"/>
      <c r="Y703" s="63"/>
      <c r="AA703" s="63"/>
      <c r="AB703" s="63"/>
      <c r="AC703" s="63"/>
    </row>
    <row r="704" spans="1:29" x14ac:dyDescent="0.2">
      <c r="A704" s="94">
        <v>41435</v>
      </c>
      <c r="B704" s="93">
        <v>639</v>
      </c>
      <c r="C704" s="93" t="s">
        <v>176</v>
      </c>
      <c r="D704" s="93"/>
      <c r="E704" s="93"/>
      <c r="F704" s="147">
        <v>3118</v>
      </c>
      <c r="G704" s="214">
        <f t="shared" si="27"/>
        <v>6672.52</v>
      </c>
      <c r="H704" s="6" t="s">
        <v>70</v>
      </c>
      <c r="I704" s="177"/>
      <c r="J704" s="177"/>
      <c r="K704" s="93" t="s">
        <v>250</v>
      </c>
      <c r="L704" s="6"/>
      <c r="M704" s="93"/>
      <c r="N704" s="6"/>
      <c r="O704" s="63"/>
      <c r="P704" s="63"/>
      <c r="Q704" s="63"/>
      <c r="S704" s="63"/>
      <c r="T704" s="63"/>
      <c r="U704" s="63"/>
      <c r="W704" s="63"/>
      <c r="X704" s="63"/>
      <c r="Y704" s="63"/>
      <c r="AA704" s="63"/>
      <c r="AB704" s="63"/>
      <c r="AC704" s="63"/>
    </row>
    <row r="705" spans="1:14" x14ac:dyDescent="0.2">
      <c r="A705" s="94">
        <v>41287</v>
      </c>
      <c r="B705" s="93">
        <v>646</v>
      </c>
      <c r="C705" s="193" t="s">
        <v>710</v>
      </c>
      <c r="D705" s="93"/>
      <c r="E705" s="8">
        <v>1</v>
      </c>
      <c r="F705" s="158">
        <v>33227.160000000003</v>
      </c>
      <c r="G705" s="214">
        <f>F705*1.58</f>
        <v>52498.912800000006</v>
      </c>
      <c r="H705" s="106" t="s">
        <v>70</v>
      </c>
      <c r="I705" s="177">
        <v>41389</v>
      </c>
      <c r="J705" s="177">
        <v>41404</v>
      </c>
      <c r="K705" s="93" t="s">
        <v>167</v>
      </c>
      <c r="L705" s="481" t="s">
        <v>719</v>
      </c>
      <c r="N705" s="6"/>
    </row>
    <row r="706" spans="1:14" x14ac:dyDescent="0.2">
      <c r="A706" s="94"/>
      <c r="B706" s="93">
        <v>641</v>
      </c>
      <c r="C706" s="193" t="s">
        <v>49</v>
      </c>
      <c r="D706" s="93" t="s">
        <v>765</v>
      </c>
      <c r="E706" s="8"/>
      <c r="F706" s="158"/>
      <c r="G706" s="214"/>
      <c r="H706" s="106"/>
      <c r="I706" s="177"/>
      <c r="J706" s="177"/>
      <c r="K706" s="93"/>
      <c r="L706" s="481"/>
      <c r="N706" s="6"/>
    </row>
    <row r="707" spans="1:14" x14ac:dyDescent="0.2">
      <c r="A707" s="94"/>
      <c r="B707" s="93">
        <v>642</v>
      </c>
      <c r="C707" s="193" t="s">
        <v>764</v>
      </c>
      <c r="D707" s="93" t="s">
        <v>765</v>
      </c>
      <c r="E707" s="8"/>
      <c r="F707" s="158"/>
      <c r="G707" s="214"/>
      <c r="H707" s="106"/>
      <c r="I707" s="177"/>
      <c r="J707" s="177"/>
      <c r="K707" s="93"/>
      <c r="L707" s="481"/>
      <c r="N707" s="6"/>
    </row>
    <row r="708" spans="1:14" x14ac:dyDescent="0.2">
      <c r="A708" s="94">
        <v>41457</v>
      </c>
      <c r="B708" s="93">
        <v>654</v>
      </c>
      <c r="C708" s="193" t="s">
        <v>766</v>
      </c>
      <c r="D708" s="93"/>
      <c r="E708" s="8"/>
      <c r="F708" s="158">
        <v>44955.64</v>
      </c>
      <c r="G708" s="214">
        <f t="shared" si="27"/>
        <v>96205.069600000003</v>
      </c>
      <c r="H708" s="476" t="s">
        <v>397</v>
      </c>
      <c r="I708" s="177"/>
      <c r="J708" s="177"/>
      <c r="K708" s="93" t="s">
        <v>167</v>
      </c>
      <c r="L708" s="481"/>
      <c r="N708" s="6"/>
    </row>
    <row r="709" spans="1:14" x14ac:dyDescent="0.2">
      <c r="A709" s="94">
        <v>41436</v>
      </c>
      <c r="B709" s="93">
        <v>643</v>
      </c>
      <c r="C709" s="93" t="s">
        <v>298</v>
      </c>
      <c r="D709" s="93"/>
      <c r="E709" s="93">
        <v>4</v>
      </c>
      <c r="F709" s="147">
        <v>5004.2</v>
      </c>
      <c r="G709" s="147">
        <f t="shared" ref="G709:G718" si="28">F709*2.17</f>
        <v>10859.114</v>
      </c>
      <c r="H709" s="482" t="s">
        <v>72</v>
      </c>
      <c r="I709" s="86"/>
      <c r="J709" s="177">
        <v>41408</v>
      </c>
      <c r="K709" s="93" t="s">
        <v>500</v>
      </c>
      <c r="L709" s="177">
        <v>41469</v>
      </c>
      <c r="N709" s="6"/>
    </row>
    <row r="710" spans="1:14" x14ac:dyDescent="0.2">
      <c r="A710" s="94">
        <v>41425</v>
      </c>
      <c r="B710" s="93">
        <v>636</v>
      </c>
      <c r="C710" s="93" t="s">
        <v>280</v>
      </c>
      <c r="D710" s="93"/>
      <c r="E710" s="93">
        <v>7</v>
      </c>
      <c r="F710" s="147">
        <v>8741.48</v>
      </c>
      <c r="G710" s="147">
        <f t="shared" si="28"/>
        <v>18969.011599999998</v>
      </c>
      <c r="H710" s="6" t="s">
        <v>70</v>
      </c>
      <c r="I710" s="177"/>
      <c r="J710" s="177">
        <v>41412</v>
      </c>
      <c r="K710" s="93" t="s">
        <v>500</v>
      </c>
      <c r="L710" s="177">
        <v>41473</v>
      </c>
      <c r="N710" s="6"/>
    </row>
    <row r="711" spans="1:14" x14ac:dyDescent="0.2">
      <c r="A711" s="94">
        <v>41402</v>
      </c>
      <c r="B711" s="93">
        <v>630</v>
      </c>
      <c r="C711" s="193" t="s">
        <v>715</v>
      </c>
      <c r="D711" s="93"/>
      <c r="E711" s="8">
        <v>4</v>
      </c>
      <c r="F711" s="174">
        <v>5214.4799999999996</v>
      </c>
      <c r="G711" s="147">
        <f t="shared" si="28"/>
        <v>11315.421599999998</v>
      </c>
      <c r="H711" s="134" t="s">
        <v>113</v>
      </c>
      <c r="I711" s="6"/>
      <c r="J711" s="53">
        <v>41390</v>
      </c>
      <c r="K711" s="93" t="s">
        <v>384</v>
      </c>
      <c r="L711" s="53">
        <v>41481</v>
      </c>
      <c r="N711" s="6"/>
    </row>
    <row r="712" spans="1:14" x14ac:dyDescent="0.2">
      <c r="A712" s="94">
        <v>41402</v>
      </c>
      <c r="B712" s="93">
        <v>631</v>
      </c>
      <c r="C712" s="93" t="s">
        <v>746</v>
      </c>
      <c r="D712" s="93"/>
      <c r="E712" s="93">
        <v>4</v>
      </c>
      <c r="F712" s="147">
        <v>11299.04</v>
      </c>
      <c r="G712" s="147">
        <f t="shared" si="28"/>
        <v>24518.916800000003</v>
      </c>
      <c r="H712" s="370" t="s">
        <v>397</v>
      </c>
      <c r="I712" s="86"/>
      <c r="J712" s="177">
        <v>41387</v>
      </c>
      <c r="K712" s="93" t="s">
        <v>384</v>
      </c>
      <c r="L712" s="177">
        <v>41478</v>
      </c>
      <c r="N712" s="6"/>
    </row>
    <row r="713" spans="1:14" x14ac:dyDescent="0.2">
      <c r="A713" s="94"/>
      <c r="B713" s="93">
        <v>616</v>
      </c>
      <c r="C713" s="193" t="s">
        <v>139</v>
      </c>
      <c r="D713" s="214"/>
      <c r="E713" s="8">
        <v>25</v>
      </c>
      <c r="F713" s="158">
        <f>47551/3</f>
        <v>15850.333333333334</v>
      </c>
      <c r="G713" s="147">
        <f t="shared" si="28"/>
        <v>34395.223333333335</v>
      </c>
      <c r="H713" s="106" t="s">
        <v>397</v>
      </c>
      <c r="I713" s="6"/>
      <c r="J713" s="53"/>
      <c r="K713" s="93"/>
      <c r="L713" s="53">
        <v>41480</v>
      </c>
      <c r="N713" s="6"/>
    </row>
    <row r="714" spans="1:14" x14ac:dyDescent="0.2">
      <c r="A714" s="94">
        <v>41451</v>
      </c>
      <c r="B714" s="93">
        <v>649</v>
      </c>
      <c r="C714" s="93" t="s">
        <v>688</v>
      </c>
      <c r="D714" s="93"/>
      <c r="E714" s="93"/>
      <c r="F714" s="147">
        <v>19760.060000000001</v>
      </c>
      <c r="G714" s="147">
        <f t="shared" si="28"/>
        <v>42879.330200000004</v>
      </c>
      <c r="H714" s="484" t="s">
        <v>70</v>
      </c>
      <c r="I714" s="86"/>
      <c r="J714" s="177">
        <v>41389</v>
      </c>
      <c r="K714" s="93" t="s">
        <v>384</v>
      </c>
      <c r="L714" s="177">
        <v>41480</v>
      </c>
      <c r="N714" s="6"/>
    </row>
    <row r="715" spans="1:14" x14ac:dyDescent="0.2">
      <c r="A715" s="94">
        <v>41474</v>
      </c>
      <c r="B715" s="93">
        <v>658</v>
      </c>
      <c r="C715" s="93" t="s">
        <v>766</v>
      </c>
      <c r="D715" s="93"/>
      <c r="E715" s="93">
        <v>32</v>
      </c>
      <c r="F715" s="147">
        <v>109080.86</v>
      </c>
      <c r="G715" s="147">
        <f t="shared" si="28"/>
        <v>236705.4662</v>
      </c>
      <c r="H715" s="484" t="s">
        <v>113</v>
      </c>
      <c r="I715" s="86"/>
      <c r="J715" s="177" t="s">
        <v>250</v>
      </c>
      <c r="K715" s="93"/>
      <c r="L715" s="177" t="s">
        <v>719</v>
      </c>
      <c r="N715" s="6"/>
    </row>
    <row r="716" spans="1:14" x14ac:dyDescent="0.2">
      <c r="B716" s="93">
        <v>668</v>
      </c>
      <c r="C716" s="93" t="s">
        <v>766</v>
      </c>
      <c r="D716" s="93"/>
      <c r="E716" s="93">
        <v>30</v>
      </c>
      <c r="F716" s="147">
        <v>117532.48</v>
      </c>
      <c r="G716" s="214">
        <f t="shared" si="28"/>
        <v>255045.48159999997</v>
      </c>
      <c r="H716" s="485" t="s">
        <v>72</v>
      </c>
      <c r="I716" s="86"/>
      <c r="J716" s="86" t="s">
        <v>250</v>
      </c>
      <c r="K716" s="93" t="s">
        <v>250</v>
      </c>
      <c r="L716" s="86" t="s">
        <v>719</v>
      </c>
      <c r="N716" s="6"/>
    </row>
    <row r="717" spans="1:14" x14ac:dyDescent="0.2">
      <c r="A717" s="94">
        <v>41424</v>
      </c>
      <c r="B717" s="93">
        <v>634</v>
      </c>
      <c r="C717" s="93" t="s">
        <v>604</v>
      </c>
      <c r="D717" s="93"/>
      <c r="E717" s="93">
        <v>3</v>
      </c>
      <c r="F717" s="147">
        <v>22910.23</v>
      </c>
      <c r="G717" s="147">
        <f t="shared" si="28"/>
        <v>49715.199099999998</v>
      </c>
      <c r="H717" s="370" t="s">
        <v>113</v>
      </c>
      <c r="I717" s="86"/>
      <c r="J717" s="177">
        <v>41408</v>
      </c>
      <c r="K717" s="93" t="s">
        <v>698</v>
      </c>
      <c r="L717" s="177" t="s">
        <v>719</v>
      </c>
      <c r="N717" s="6"/>
    </row>
    <row r="718" spans="1:14" x14ac:dyDescent="0.2">
      <c r="A718" s="94">
        <v>41438</v>
      </c>
      <c r="B718" s="93">
        <v>645</v>
      </c>
      <c r="C718" s="193" t="s">
        <v>212</v>
      </c>
      <c r="D718" s="214"/>
      <c r="E718" s="8"/>
      <c r="F718" s="158">
        <v>15438.94</v>
      </c>
      <c r="G718" s="147">
        <f t="shared" si="28"/>
        <v>33502.499799999998</v>
      </c>
      <c r="H718" s="476" t="s">
        <v>113</v>
      </c>
      <c r="I718" s="6"/>
      <c r="J718" s="53">
        <v>41412</v>
      </c>
      <c r="K718" s="93" t="s">
        <v>384</v>
      </c>
      <c r="L718" s="53">
        <v>41504</v>
      </c>
      <c r="N718" s="6"/>
    </row>
    <row r="719" spans="1:14" x14ac:dyDescent="0.2">
      <c r="A719" s="94">
        <v>41450</v>
      </c>
      <c r="B719" s="93">
        <v>650</v>
      </c>
      <c r="C719" s="93" t="s">
        <v>748</v>
      </c>
      <c r="D719" s="93"/>
      <c r="E719" s="93"/>
      <c r="F719" s="147">
        <v>14630.72</v>
      </c>
      <c r="G719" s="147">
        <f>F719*2.2</f>
        <v>32187.584000000003</v>
      </c>
      <c r="H719" s="476" t="s">
        <v>397</v>
      </c>
      <c r="I719" s="86"/>
      <c r="J719" s="177">
        <v>41417</v>
      </c>
      <c r="K719" s="93" t="s">
        <v>607</v>
      </c>
      <c r="L719" s="177">
        <v>41478</v>
      </c>
      <c r="N719" s="6"/>
    </row>
    <row r="720" spans="1:14" x14ac:dyDescent="0.2">
      <c r="A720" s="94">
        <v>41463</v>
      </c>
      <c r="B720" s="93">
        <v>655</v>
      </c>
      <c r="C720" s="93" t="s">
        <v>180</v>
      </c>
      <c r="D720" s="93"/>
      <c r="E720" s="93">
        <v>12</v>
      </c>
      <c r="F720" s="147">
        <v>18238.939999999999</v>
      </c>
      <c r="G720" s="147">
        <f t="shared" ref="G720:G727" si="29">F720*2.2</f>
        <v>40125.667999999998</v>
      </c>
      <c r="H720" s="486" t="s">
        <v>113</v>
      </c>
      <c r="I720" s="86"/>
      <c r="J720" s="177">
        <v>41450</v>
      </c>
      <c r="K720" s="93" t="s">
        <v>500</v>
      </c>
      <c r="L720" s="177" t="s">
        <v>719</v>
      </c>
      <c r="N720" s="6"/>
    </row>
    <row r="721" spans="1:29" x14ac:dyDescent="0.2">
      <c r="A721" s="94">
        <v>41437</v>
      </c>
      <c r="B721" s="93">
        <v>644</v>
      </c>
      <c r="C721" s="193" t="s">
        <v>478</v>
      </c>
      <c r="D721" s="214"/>
      <c r="E721" s="8"/>
      <c r="F721" s="158">
        <v>8586.17</v>
      </c>
      <c r="G721" s="147">
        <f t="shared" si="29"/>
        <v>18889.574000000001</v>
      </c>
      <c r="H721" s="476" t="s">
        <v>113</v>
      </c>
      <c r="I721" s="6"/>
      <c r="J721" s="53">
        <v>41422</v>
      </c>
      <c r="K721" s="93" t="s">
        <v>384</v>
      </c>
      <c r="L721" s="177" t="s">
        <v>719</v>
      </c>
      <c r="N721" s="6"/>
    </row>
    <row r="722" spans="1:29" x14ac:dyDescent="0.2">
      <c r="A722" s="94">
        <v>41464</v>
      </c>
      <c r="B722" s="93">
        <v>656</v>
      </c>
      <c r="C722" s="193" t="s">
        <v>319</v>
      </c>
      <c r="D722" s="214"/>
      <c r="E722" s="8">
        <v>11</v>
      </c>
      <c r="F722" s="158">
        <v>10350.48</v>
      </c>
      <c r="G722" s="147">
        <f t="shared" si="29"/>
        <v>22771.056</v>
      </c>
      <c r="H722" s="106" t="s">
        <v>72</v>
      </c>
      <c r="I722" s="6"/>
      <c r="J722" s="53">
        <v>41422</v>
      </c>
      <c r="K722" s="93" t="s">
        <v>384</v>
      </c>
      <c r="L722" s="53">
        <v>41514</v>
      </c>
      <c r="N722" s="6"/>
    </row>
    <row r="723" spans="1:29" x14ac:dyDescent="0.2">
      <c r="A723" s="94">
        <v>41442</v>
      </c>
      <c r="B723" s="93">
        <v>647</v>
      </c>
      <c r="C723" s="93" t="s">
        <v>172</v>
      </c>
      <c r="D723" s="86"/>
      <c r="E723" s="55"/>
      <c r="F723" s="63">
        <v>10703.04</v>
      </c>
      <c r="G723" s="147">
        <f t="shared" si="29"/>
        <v>23546.688000000006</v>
      </c>
      <c r="H723" s="483" t="s">
        <v>113</v>
      </c>
      <c r="J723" s="17">
        <v>41431</v>
      </c>
      <c r="K723" s="96" t="s">
        <v>384</v>
      </c>
      <c r="L723" s="17">
        <v>41523</v>
      </c>
      <c r="N723" s="91"/>
      <c r="O723" s="63"/>
      <c r="P723" s="63"/>
      <c r="Q723" s="63"/>
      <c r="S723" s="63"/>
      <c r="T723" s="63"/>
      <c r="U723" s="63"/>
      <c r="W723" s="63"/>
      <c r="X723" s="63"/>
      <c r="Y723" s="63"/>
      <c r="AA723" s="63"/>
      <c r="AB723" s="63"/>
      <c r="AC723" s="63"/>
    </row>
    <row r="724" spans="1:29" x14ac:dyDescent="0.2">
      <c r="A724" s="94">
        <v>41450</v>
      </c>
      <c r="B724" s="93">
        <v>648</v>
      </c>
      <c r="C724" s="193" t="s">
        <v>64</v>
      </c>
      <c r="D724" s="214"/>
      <c r="E724" s="8"/>
      <c r="F724" s="158">
        <v>6119.45</v>
      </c>
      <c r="G724" s="147">
        <f t="shared" si="29"/>
        <v>13462.79</v>
      </c>
      <c r="H724" s="483" t="s">
        <v>397</v>
      </c>
      <c r="I724" s="471"/>
      <c r="J724" s="53">
        <v>41438</v>
      </c>
      <c r="K724" s="93" t="s">
        <v>698</v>
      </c>
      <c r="L724" s="53">
        <v>41530</v>
      </c>
      <c r="N724" s="6"/>
    </row>
    <row r="725" spans="1:29" x14ac:dyDescent="0.2">
      <c r="A725" s="94">
        <v>41493</v>
      </c>
      <c r="B725" s="93">
        <v>664</v>
      </c>
      <c r="C725" s="193" t="s">
        <v>709</v>
      </c>
      <c r="D725" s="214"/>
      <c r="E725" s="8">
        <v>5</v>
      </c>
      <c r="F725" s="158">
        <v>5315.6</v>
      </c>
      <c r="G725" s="147">
        <f t="shared" si="29"/>
        <v>11694.320000000002</v>
      </c>
      <c r="H725" s="483" t="s">
        <v>397</v>
      </c>
      <c r="I725" s="471"/>
      <c r="J725" s="53">
        <v>41473</v>
      </c>
      <c r="K725" s="93" t="s">
        <v>500</v>
      </c>
      <c r="L725" s="53">
        <v>41535</v>
      </c>
      <c r="N725" s="6"/>
    </row>
    <row r="726" spans="1:29" x14ac:dyDescent="0.2">
      <c r="A726" s="94">
        <v>41463</v>
      </c>
      <c r="B726" s="93">
        <v>657</v>
      </c>
      <c r="C726" s="193" t="s">
        <v>183</v>
      </c>
      <c r="D726" s="214"/>
      <c r="E726" s="8">
        <v>15</v>
      </c>
      <c r="F726" s="158">
        <v>23395.88</v>
      </c>
      <c r="G726" s="147">
        <f t="shared" si="29"/>
        <v>51470.936000000009</v>
      </c>
      <c r="H726" s="483" t="s">
        <v>70</v>
      </c>
      <c r="I726" s="471"/>
      <c r="J726" s="53">
        <v>41445</v>
      </c>
      <c r="K726" s="93" t="s">
        <v>384</v>
      </c>
      <c r="L726" s="53">
        <v>41537</v>
      </c>
      <c r="N726" s="6"/>
    </row>
    <row r="727" spans="1:29" x14ac:dyDescent="0.2">
      <c r="A727" s="94">
        <v>41477</v>
      </c>
      <c r="B727" s="93">
        <v>659</v>
      </c>
      <c r="C727" s="193" t="s">
        <v>425</v>
      </c>
      <c r="D727" s="214"/>
      <c r="E727" s="8">
        <v>3</v>
      </c>
      <c r="F727" s="158">
        <v>19000</v>
      </c>
      <c r="G727" s="147">
        <f t="shared" si="29"/>
        <v>41800</v>
      </c>
      <c r="H727" s="483" t="s">
        <v>113</v>
      </c>
      <c r="I727" s="471"/>
      <c r="J727" s="53"/>
      <c r="K727" s="93" t="s">
        <v>250</v>
      </c>
      <c r="L727" s="177" t="s">
        <v>719</v>
      </c>
      <c r="N727" s="6"/>
    </row>
    <row r="728" spans="1:29" x14ac:dyDescent="0.2">
      <c r="A728" s="94">
        <v>41520</v>
      </c>
      <c r="B728" s="93">
        <v>669</v>
      </c>
      <c r="C728" s="93" t="s">
        <v>612</v>
      </c>
      <c r="D728" s="93"/>
      <c r="E728" s="93">
        <v>3</v>
      </c>
      <c r="F728" s="147">
        <v>9756</v>
      </c>
      <c r="G728" s="214">
        <f>F728*1.65</f>
        <v>16097.4</v>
      </c>
      <c r="H728" s="482" t="s">
        <v>70</v>
      </c>
      <c r="I728" s="86"/>
      <c r="J728" s="86"/>
      <c r="K728" s="93" t="s">
        <v>167</v>
      </c>
      <c r="L728" s="86"/>
      <c r="N728" s="6"/>
    </row>
    <row r="729" spans="1:29" x14ac:dyDescent="0.2">
      <c r="A729" s="94"/>
      <c r="B729" s="93">
        <v>671</v>
      </c>
      <c r="C729" s="193" t="s">
        <v>770</v>
      </c>
      <c r="D729" s="214" t="s">
        <v>451</v>
      </c>
      <c r="E729" s="8">
        <v>1</v>
      </c>
      <c r="F729" s="158"/>
      <c r="G729" s="147"/>
      <c r="H729" s="483"/>
      <c r="I729" s="471"/>
      <c r="J729" s="53"/>
      <c r="K729" s="93"/>
      <c r="L729" s="53"/>
      <c r="N729" s="6"/>
    </row>
    <row r="730" spans="1:29" x14ac:dyDescent="0.2">
      <c r="A730" s="94">
        <v>41535</v>
      </c>
      <c r="B730" s="93">
        <v>675</v>
      </c>
      <c r="C730" s="193" t="s">
        <v>764</v>
      </c>
      <c r="D730" s="214" t="s">
        <v>451</v>
      </c>
      <c r="E730" s="8"/>
      <c r="F730" s="158"/>
      <c r="G730" s="147"/>
      <c r="H730" s="483"/>
      <c r="I730" s="471"/>
      <c r="J730" s="53"/>
      <c r="K730" s="93"/>
      <c r="L730" s="53"/>
      <c r="N730" s="6"/>
    </row>
    <row r="731" spans="1:29" x14ac:dyDescent="0.2">
      <c r="A731" s="94">
        <v>41435</v>
      </c>
      <c r="B731" s="93">
        <v>640</v>
      </c>
      <c r="C731" s="93" t="s">
        <v>49</v>
      </c>
      <c r="D731" s="93"/>
      <c r="E731" s="93"/>
      <c r="F731" s="147">
        <v>29696.04</v>
      </c>
      <c r="G731" s="147">
        <f>F731*2.238</f>
        <v>66459.737519999995</v>
      </c>
      <c r="H731" s="482" t="s">
        <v>70</v>
      </c>
      <c r="I731" s="86"/>
      <c r="J731" s="177">
        <v>41419</v>
      </c>
      <c r="K731" s="93" t="s">
        <v>384</v>
      </c>
      <c r="L731" s="177">
        <v>41511</v>
      </c>
      <c r="N731" s="6"/>
    </row>
    <row r="732" spans="1:29" x14ac:dyDescent="0.2">
      <c r="A732" s="94">
        <v>41457</v>
      </c>
      <c r="B732" s="93">
        <v>653</v>
      </c>
      <c r="C732" s="193" t="s">
        <v>69</v>
      </c>
      <c r="D732" s="214"/>
      <c r="E732" s="8"/>
      <c r="F732" s="487">
        <v>36396.22</v>
      </c>
      <c r="G732" s="182">
        <f>F732*2.2</f>
        <v>80071.684000000008</v>
      </c>
      <c r="H732" s="488" t="s">
        <v>113</v>
      </c>
      <c r="I732" s="489"/>
      <c r="J732" s="53">
        <v>41436</v>
      </c>
      <c r="K732" s="93" t="s">
        <v>384</v>
      </c>
      <c r="L732" s="53">
        <v>41528</v>
      </c>
      <c r="N732" s="6"/>
    </row>
    <row r="733" spans="1:29" x14ac:dyDescent="0.2">
      <c r="A733" s="94">
        <v>41505</v>
      </c>
      <c r="B733" s="93">
        <v>665</v>
      </c>
      <c r="C733" s="193" t="s">
        <v>769</v>
      </c>
      <c r="D733" s="214"/>
      <c r="E733" s="8">
        <v>6</v>
      </c>
      <c r="F733" s="158">
        <v>8221.57</v>
      </c>
      <c r="G733" s="147">
        <f>F733*2.2</f>
        <v>18087.454000000002</v>
      </c>
      <c r="H733" s="483" t="s">
        <v>113</v>
      </c>
      <c r="I733" s="471"/>
      <c r="J733" s="53">
        <v>41477</v>
      </c>
      <c r="K733" s="93" t="s">
        <v>500</v>
      </c>
      <c r="L733" s="53">
        <v>41539</v>
      </c>
      <c r="N733" s="6"/>
    </row>
    <row r="734" spans="1:29" x14ac:dyDescent="0.2">
      <c r="A734" s="94">
        <v>41477</v>
      </c>
      <c r="B734" s="93">
        <v>660</v>
      </c>
      <c r="C734" s="193" t="s">
        <v>713</v>
      </c>
      <c r="D734" s="214"/>
      <c r="E734" s="8">
        <v>2</v>
      </c>
      <c r="F734" s="158">
        <v>6535.04</v>
      </c>
      <c r="G734" s="147">
        <f>F734*2.2</f>
        <v>14377.088000000002</v>
      </c>
      <c r="H734" t="s">
        <v>70</v>
      </c>
      <c r="I734" s="471"/>
      <c r="J734" s="53">
        <v>41461</v>
      </c>
      <c r="K734" s="93" t="s">
        <v>384</v>
      </c>
      <c r="L734" s="53">
        <v>41553</v>
      </c>
      <c r="N734" s="6"/>
    </row>
    <row r="735" spans="1:29" x14ac:dyDescent="0.2">
      <c r="A735" s="94">
        <v>41479</v>
      </c>
      <c r="B735" s="93">
        <v>661</v>
      </c>
      <c r="C735" s="193" t="s">
        <v>173</v>
      </c>
      <c r="D735" s="214"/>
      <c r="E735" s="8">
        <v>12</v>
      </c>
      <c r="F735" s="158">
        <v>5599.41</v>
      </c>
      <c r="G735" s="147">
        <f>F735*2.2</f>
        <v>12318.702000000001</v>
      </c>
      <c r="H735" t="s">
        <v>72</v>
      </c>
      <c r="I735" s="471"/>
      <c r="J735" s="53">
        <v>41461</v>
      </c>
      <c r="K735" s="93" t="s">
        <v>384</v>
      </c>
      <c r="L735" s="53">
        <v>41553</v>
      </c>
      <c r="N735" s="6"/>
    </row>
    <row r="736" spans="1:29" x14ac:dyDescent="0.2">
      <c r="A736" s="94">
        <v>41520</v>
      </c>
      <c r="B736" s="93">
        <v>670</v>
      </c>
      <c r="C736" s="93" t="s">
        <v>208</v>
      </c>
      <c r="D736" s="93"/>
      <c r="E736" s="93">
        <v>10</v>
      </c>
      <c r="F736" s="147">
        <v>14402.79</v>
      </c>
      <c r="G736" s="214">
        <f>F736*2.17</f>
        <v>31254.0543</v>
      </c>
      <c r="H736" s="485" t="s">
        <v>70</v>
      </c>
      <c r="I736" s="86"/>
      <c r="J736" s="177">
        <v>41493</v>
      </c>
      <c r="K736" s="93" t="s">
        <v>500</v>
      </c>
      <c r="L736" s="177">
        <v>41554</v>
      </c>
      <c r="N736" s="6"/>
    </row>
    <row r="737" spans="1:29" x14ac:dyDescent="0.2">
      <c r="A737" s="94">
        <v>41506</v>
      </c>
      <c r="B737" s="93">
        <v>667</v>
      </c>
      <c r="C737" s="93" t="s">
        <v>248</v>
      </c>
      <c r="D737" s="93"/>
      <c r="E737" s="93">
        <v>7</v>
      </c>
      <c r="F737" s="147">
        <v>14477.8</v>
      </c>
      <c r="G737" s="214">
        <f>F737*2.17</f>
        <v>31416.825999999997</v>
      </c>
      <c r="H737" s="163" t="s">
        <v>330</v>
      </c>
      <c r="I737" s="86"/>
      <c r="J737" s="177">
        <v>41463</v>
      </c>
      <c r="K737" s="93" t="s">
        <v>384</v>
      </c>
      <c r="L737" s="177">
        <v>41555</v>
      </c>
      <c r="N737" s="6"/>
    </row>
    <row r="738" spans="1:29" x14ac:dyDescent="0.2">
      <c r="A738" s="94">
        <v>41491</v>
      </c>
      <c r="B738" s="93">
        <v>663</v>
      </c>
      <c r="C738" s="193" t="s">
        <v>285</v>
      </c>
      <c r="D738" s="214"/>
      <c r="E738" s="8">
        <v>8</v>
      </c>
      <c r="F738" s="158">
        <v>3969.15</v>
      </c>
      <c r="G738" s="147">
        <f>F738*2.2</f>
        <v>8732.130000000001</v>
      </c>
      <c r="H738" t="s">
        <v>330</v>
      </c>
      <c r="I738" s="471"/>
      <c r="J738" s="53">
        <v>41466</v>
      </c>
      <c r="K738" s="93" t="s">
        <v>384</v>
      </c>
      <c r="L738" s="53">
        <v>41558</v>
      </c>
      <c r="N738" s="6"/>
    </row>
    <row r="739" spans="1:29" x14ac:dyDescent="0.2">
      <c r="A739" s="94"/>
      <c r="B739" s="93">
        <v>677</v>
      </c>
      <c r="C739" s="193" t="s">
        <v>681</v>
      </c>
      <c r="D739" s="93"/>
      <c r="E739" s="93">
        <v>7</v>
      </c>
      <c r="F739" s="174">
        <v>27528</v>
      </c>
      <c r="G739" s="214">
        <f>F739*1.58</f>
        <v>43494.240000000005</v>
      </c>
      <c r="H739" s="476" t="s">
        <v>72</v>
      </c>
      <c r="I739" s="6"/>
      <c r="J739" s="53"/>
      <c r="K739" s="93" t="s">
        <v>167</v>
      </c>
      <c r="L739" s="481" t="s">
        <v>706</v>
      </c>
      <c r="N739" s="6"/>
    </row>
    <row r="740" spans="1:29" x14ac:dyDescent="0.2">
      <c r="A740" s="94"/>
      <c r="B740" s="93">
        <v>679</v>
      </c>
      <c r="C740" s="193" t="s">
        <v>473</v>
      </c>
      <c r="D740" s="93"/>
      <c r="E740" s="8">
        <v>2</v>
      </c>
      <c r="F740" s="174">
        <v>6717</v>
      </c>
      <c r="G740" s="214">
        <f>F740*2.25</f>
        <v>15113.25</v>
      </c>
      <c r="H740" s="476" t="s">
        <v>397</v>
      </c>
      <c r="I740" s="6"/>
      <c r="J740" s="53">
        <v>41529</v>
      </c>
      <c r="K740" s="93" t="s">
        <v>250</v>
      </c>
      <c r="L740" s="481" t="s">
        <v>706</v>
      </c>
      <c r="N740" s="6"/>
    </row>
    <row r="741" spans="1:29" x14ac:dyDescent="0.2">
      <c r="A741" s="94"/>
      <c r="B741" s="93">
        <v>678</v>
      </c>
      <c r="C741" s="193" t="s">
        <v>712</v>
      </c>
      <c r="D741" s="93"/>
      <c r="E741" s="8">
        <v>2</v>
      </c>
      <c r="F741" s="174">
        <v>37567.5</v>
      </c>
      <c r="G741" s="214">
        <f>F741*2.25</f>
        <v>84526.875</v>
      </c>
      <c r="H741" s="476" t="s">
        <v>70</v>
      </c>
      <c r="I741" s="6"/>
      <c r="J741" s="53">
        <v>41501</v>
      </c>
      <c r="K741" s="93" t="s">
        <v>719</v>
      </c>
      <c r="L741" s="53">
        <v>41685</v>
      </c>
      <c r="N741" s="6"/>
    </row>
    <row r="742" spans="1:29" x14ac:dyDescent="0.2">
      <c r="A742" s="94"/>
      <c r="B742" s="93">
        <v>678</v>
      </c>
      <c r="C742" s="193" t="s">
        <v>712</v>
      </c>
      <c r="D742" s="214"/>
      <c r="E742" s="8"/>
      <c r="F742" s="158">
        <v>7120</v>
      </c>
      <c r="G742" s="147">
        <f>F742*2.25</f>
        <v>16020</v>
      </c>
      <c r="H742" s="499" t="s">
        <v>70</v>
      </c>
      <c r="I742" s="471"/>
      <c r="J742" s="53">
        <v>41501</v>
      </c>
      <c r="K742" s="93" t="s">
        <v>384</v>
      </c>
      <c r="L742" s="53">
        <v>41593</v>
      </c>
      <c r="N742" s="6"/>
    </row>
    <row r="743" spans="1:29" x14ac:dyDescent="0.2">
      <c r="B743" s="93">
        <v>676</v>
      </c>
      <c r="C743" s="93" t="s">
        <v>338</v>
      </c>
      <c r="D743" s="93"/>
      <c r="E743" s="93">
        <v>7</v>
      </c>
      <c r="F743" s="147">
        <v>22098.33</v>
      </c>
      <c r="G743" s="214">
        <f>F743*2.25</f>
        <v>49721.242500000008</v>
      </c>
      <c r="H743" s="482" t="s">
        <v>70</v>
      </c>
      <c r="I743" s="86"/>
      <c r="J743" s="24">
        <v>41491</v>
      </c>
      <c r="K743" s="93" t="s">
        <v>719</v>
      </c>
      <c r="L743" s="177">
        <v>41279</v>
      </c>
      <c r="N743" s="6"/>
    </row>
    <row r="744" spans="1:29" x14ac:dyDescent="0.2">
      <c r="A744" s="94">
        <v>41506</v>
      </c>
      <c r="B744" s="93">
        <v>662</v>
      </c>
      <c r="C744" s="193" t="s">
        <v>683</v>
      </c>
      <c r="D744" s="214"/>
      <c r="E744" s="8">
        <v>4</v>
      </c>
      <c r="F744" s="158">
        <v>8659.7999999999993</v>
      </c>
      <c r="G744" s="147">
        <f>F744*2.2</f>
        <v>19051.560000000001</v>
      </c>
      <c r="H744" t="s">
        <v>113</v>
      </c>
      <c r="I744" s="471"/>
      <c r="J744" s="53">
        <v>41479</v>
      </c>
      <c r="K744" s="93" t="s">
        <v>384</v>
      </c>
      <c r="L744" s="53">
        <v>41571</v>
      </c>
      <c r="N744" s="6"/>
    </row>
    <row r="745" spans="1:29" x14ac:dyDescent="0.2">
      <c r="A745" s="94">
        <v>41528</v>
      </c>
      <c r="B745" s="93">
        <v>672</v>
      </c>
      <c r="C745" s="93" t="s">
        <v>223</v>
      </c>
      <c r="D745" s="93"/>
      <c r="E745" s="93">
        <v>14</v>
      </c>
      <c r="F745" s="147">
        <v>14262.2</v>
      </c>
      <c r="G745" s="147">
        <f>F745*2.17</f>
        <v>30948.974000000002</v>
      </c>
      <c r="H745" s="6" t="s">
        <v>113</v>
      </c>
      <c r="I745" s="86"/>
      <c r="J745" s="177">
        <v>41508</v>
      </c>
      <c r="K745" s="93" t="s">
        <v>500</v>
      </c>
      <c r="L745" s="177">
        <v>41569</v>
      </c>
      <c r="N745" s="6"/>
    </row>
    <row r="746" spans="1:29" x14ac:dyDescent="0.2">
      <c r="A746" s="94">
        <v>41572</v>
      </c>
      <c r="B746" s="93">
        <v>681</v>
      </c>
      <c r="C746" s="93" t="s">
        <v>293</v>
      </c>
      <c r="D746" s="93"/>
      <c r="E746" s="93">
        <v>7</v>
      </c>
      <c r="F746" s="147">
        <v>8904</v>
      </c>
      <c r="G746" s="147">
        <f>F746*2.25</f>
        <v>20034</v>
      </c>
      <c r="H746" s="6" t="s">
        <v>113</v>
      </c>
      <c r="I746" s="6"/>
      <c r="J746" s="24">
        <v>41536</v>
      </c>
      <c r="K746" s="93" t="s">
        <v>250</v>
      </c>
      <c r="L746" s="6"/>
      <c r="M746" s="93"/>
      <c r="N746" s="6"/>
      <c r="O746" s="63"/>
      <c r="P746" s="63"/>
      <c r="Q746" s="63"/>
      <c r="S746" s="63"/>
      <c r="T746" s="63"/>
      <c r="U746" s="63"/>
      <c r="W746" s="63"/>
      <c r="X746" s="63"/>
      <c r="Y746" s="63"/>
      <c r="AA746" s="63"/>
      <c r="AB746" s="63"/>
      <c r="AC746" s="63"/>
    </row>
    <row r="747" spans="1:29" x14ac:dyDescent="0.2">
      <c r="A747" s="94">
        <v>41528</v>
      </c>
      <c r="B747" s="93">
        <v>674</v>
      </c>
      <c r="C747" s="193" t="s">
        <v>493</v>
      </c>
      <c r="D747" s="214"/>
      <c r="E747" s="8">
        <v>2</v>
      </c>
      <c r="F747" s="158">
        <v>4865.46</v>
      </c>
      <c r="G747" s="147">
        <f>F747*2.2</f>
        <v>10704.012000000001</v>
      </c>
      <c r="H747" s="6" t="s">
        <v>113</v>
      </c>
      <c r="I747" s="471"/>
      <c r="J747" s="53">
        <v>41519</v>
      </c>
      <c r="K747" s="93" t="s">
        <v>500</v>
      </c>
      <c r="L747" s="53">
        <v>41580</v>
      </c>
      <c r="N747" s="6"/>
    </row>
    <row r="748" spans="1:29" x14ac:dyDescent="0.2">
      <c r="A748" s="94">
        <v>41584</v>
      </c>
      <c r="B748" s="93">
        <v>686</v>
      </c>
      <c r="C748" s="93" t="s">
        <v>352</v>
      </c>
      <c r="D748" s="93"/>
      <c r="E748" s="93">
        <v>9</v>
      </c>
      <c r="F748" s="147">
        <v>17940</v>
      </c>
      <c r="G748" s="147">
        <f>F748*2.25</f>
        <v>40365</v>
      </c>
      <c r="H748" s="6" t="s">
        <v>397</v>
      </c>
      <c r="I748" s="6"/>
      <c r="J748" s="24">
        <v>41551</v>
      </c>
      <c r="K748" s="93" t="s">
        <v>776</v>
      </c>
      <c r="L748" s="60">
        <v>41612</v>
      </c>
      <c r="M748" s="93"/>
      <c r="N748" s="6"/>
      <c r="O748" s="63"/>
      <c r="P748" s="63"/>
      <c r="Q748" s="63"/>
      <c r="S748" s="63"/>
      <c r="T748" s="63"/>
      <c r="U748" s="63"/>
      <c r="W748" s="63"/>
      <c r="X748" s="63"/>
      <c r="Y748" s="63"/>
      <c r="AA748" s="63"/>
      <c r="AB748" s="63"/>
      <c r="AC748" s="63"/>
    </row>
    <row r="749" spans="1:29" x14ac:dyDescent="0.2">
      <c r="A749" s="94">
        <v>41572</v>
      </c>
      <c r="B749" s="93">
        <v>680</v>
      </c>
      <c r="C749" s="93" t="s">
        <v>177</v>
      </c>
      <c r="D749" s="93"/>
      <c r="E749" s="93">
        <v>11</v>
      </c>
      <c r="F749" s="147">
        <v>6428.46</v>
      </c>
      <c r="G749" s="147">
        <f>F749*2.25</f>
        <v>14464.035</v>
      </c>
      <c r="H749" s="482" t="s">
        <v>113</v>
      </c>
      <c r="I749" s="86"/>
      <c r="J749" s="177">
        <v>41557</v>
      </c>
      <c r="K749" s="93" t="s">
        <v>500</v>
      </c>
      <c r="L749" s="177">
        <v>41618</v>
      </c>
      <c r="N749" s="6"/>
    </row>
    <row r="750" spans="1:29" x14ac:dyDescent="0.2">
      <c r="A750" s="94">
        <v>41578</v>
      </c>
      <c r="B750" s="93">
        <v>683</v>
      </c>
      <c r="C750" s="193" t="s">
        <v>431</v>
      </c>
      <c r="D750" s="93"/>
      <c r="E750" s="8">
        <v>8</v>
      </c>
      <c r="F750" s="174">
        <v>11780.5</v>
      </c>
      <c r="G750" s="147">
        <f>F750*2.25</f>
        <v>26506.125</v>
      </c>
      <c r="H750" s="482" t="s">
        <v>113</v>
      </c>
      <c r="I750" s="6"/>
      <c r="J750" s="53">
        <v>41550</v>
      </c>
      <c r="K750" s="93" t="s">
        <v>500</v>
      </c>
      <c r="L750" s="53">
        <v>41611</v>
      </c>
      <c r="N750" s="6"/>
    </row>
    <row r="751" spans="1:29" x14ac:dyDescent="0.2">
      <c r="A751" s="94">
        <v>41506</v>
      </c>
      <c r="B751" s="93">
        <v>666</v>
      </c>
      <c r="C751" s="93" t="s">
        <v>192</v>
      </c>
      <c r="D751" s="93"/>
      <c r="E751" s="93">
        <v>21</v>
      </c>
      <c r="F751" s="147">
        <v>34830.99</v>
      </c>
      <c r="G751" s="147">
        <f>F751*2.2</f>
        <v>76628.178</v>
      </c>
      <c r="H751" s="6" t="s">
        <v>113</v>
      </c>
      <c r="I751" s="86"/>
      <c r="J751" s="177">
        <v>41480</v>
      </c>
      <c r="K751" s="93" t="s">
        <v>384</v>
      </c>
      <c r="L751" s="24">
        <v>41608</v>
      </c>
      <c r="N751" s="6"/>
    </row>
    <row r="752" spans="1:29" x14ac:dyDescent="0.2">
      <c r="A752" s="94">
        <v>41453</v>
      </c>
      <c r="B752" s="93">
        <v>651</v>
      </c>
      <c r="C752" s="193" t="s">
        <v>145</v>
      </c>
      <c r="D752" s="214"/>
      <c r="E752" s="8"/>
      <c r="F752" s="487">
        <v>28719.4</v>
      </c>
      <c r="G752" s="182">
        <f>F752*2.2</f>
        <v>63182.680000000008</v>
      </c>
      <c r="H752" s="488" t="s">
        <v>113</v>
      </c>
      <c r="I752" s="498"/>
      <c r="J752" s="53">
        <v>41433</v>
      </c>
      <c r="K752" s="93" t="s">
        <v>384</v>
      </c>
      <c r="L752" s="53">
        <v>41608</v>
      </c>
      <c r="N752" s="6"/>
    </row>
    <row r="753" spans="1:14" x14ac:dyDescent="0.2">
      <c r="A753" s="94">
        <v>41582</v>
      </c>
      <c r="B753" s="93">
        <v>684</v>
      </c>
      <c r="C753" s="96" t="s">
        <v>280</v>
      </c>
      <c r="D753" s="93"/>
      <c r="E753" s="93">
        <v>8</v>
      </c>
      <c r="F753" s="147">
        <v>7606.09</v>
      </c>
      <c r="G753" s="147">
        <f>+F753*2.25</f>
        <v>17113.702499999999</v>
      </c>
      <c r="H753" s="485" t="s">
        <v>72</v>
      </c>
      <c r="I753" s="86"/>
      <c r="J753" s="24">
        <v>41562</v>
      </c>
      <c r="K753" s="93" t="s">
        <v>500</v>
      </c>
      <c r="L753" s="24">
        <v>41622</v>
      </c>
      <c r="N753" s="6"/>
    </row>
    <row r="754" spans="1:14" x14ac:dyDescent="0.2">
      <c r="A754" s="94">
        <v>41597</v>
      </c>
      <c r="B754" s="93">
        <v>687</v>
      </c>
      <c r="C754" s="96" t="s">
        <v>243</v>
      </c>
      <c r="D754" s="93"/>
      <c r="E754" s="93">
        <v>9</v>
      </c>
      <c r="F754" s="147">
        <v>7248.3</v>
      </c>
      <c r="G754" s="147">
        <f>F754*2.25</f>
        <v>16308.675000000001</v>
      </c>
      <c r="H754" s="6" t="s">
        <v>397</v>
      </c>
      <c r="I754" s="86"/>
      <c r="J754" s="24">
        <v>41528</v>
      </c>
      <c r="K754" s="93" t="s">
        <v>250</v>
      </c>
      <c r="L754" s="86"/>
      <c r="N754" s="6"/>
    </row>
    <row r="755" spans="1:14" x14ac:dyDescent="0.2">
      <c r="A755" s="94">
        <v>41452</v>
      </c>
      <c r="B755" s="93">
        <v>652</v>
      </c>
      <c r="C755" s="193" t="s">
        <v>139</v>
      </c>
      <c r="D755" s="214"/>
      <c r="E755" s="8"/>
      <c r="F755" s="487">
        <v>43762.75</v>
      </c>
      <c r="G755" s="182">
        <f>F755*2.2</f>
        <v>96278.05</v>
      </c>
      <c r="H755" s="488" t="s">
        <v>113</v>
      </c>
      <c r="I755" s="497"/>
      <c r="J755" s="53">
        <v>41436</v>
      </c>
      <c r="K755" s="93" t="s">
        <v>384</v>
      </c>
      <c r="L755" s="53">
        <v>41608</v>
      </c>
      <c r="N755" s="6"/>
    </row>
    <row r="756" spans="1:14" x14ac:dyDescent="0.2">
      <c r="A756" s="94">
        <v>41615</v>
      </c>
      <c r="B756" s="93">
        <v>691</v>
      </c>
      <c r="C756" s="96" t="s">
        <v>176</v>
      </c>
      <c r="D756" s="93"/>
      <c r="E756" s="93">
        <v>10</v>
      </c>
      <c r="F756" s="147">
        <v>5899</v>
      </c>
      <c r="G756" s="198">
        <f t="shared" ref="G756:G761" si="30">F756*2.3</f>
        <v>13567.699999999999</v>
      </c>
      <c r="H756" s="502" t="s">
        <v>70</v>
      </c>
      <c r="I756" s="86"/>
      <c r="J756" s="24"/>
      <c r="K756" s="93" t="s">
        <v>250</v>
      </c>
      <c r="L756" s="24"/>
      <c r="N756" s="6"/>
    </row>
    <row r="757" spans="1:14" x14ac:dyDescent="0.2">
      <c r="A757" s="94">
        <v>41401</v>
      </c>
      <c r="B757" s="93">
        <v>629</v>
      </c>
      <c r="C757" s="193" t="s">
        <v>602</v>
      </c>
      <c r="D757" s="214"/>
      <c r="E757" s="8">
        <v>12</v>
      </c>
      <c r="F757" s="503">
        <v>43343.8</v>
      </c>
      <c r="G757" s="198">
        <f t="shared" si="30"/>
        <v>99690.74</v>
      </c>
      <c r="H757" s="195" t="s">
        <v>113</v>
      </c>
      <c r="I757" s="496"/>
      <c r="J757" s="53">
        <v>41340</v>
      </c>
      <c r="K757" s="93" t="s">
        <v>724</v>
      </c>
      <c r="L757" s="53">
        <v>41608</v>
      </c>
      <c r="N757" s="6"/>
    </row>
    <row r="758" spans="1:14" x14ac:dyDescent="0.2">
      <c r="A758" s="94">
        <v>41608</v>
      </c>
      <c r="B758" s="93">
        <v>690</v>
      </c>
      <c r="C758" s="96" t="s">
        <v>446</v>
      </c>
      <c r="D758" s="93"/>
      <c r="E758" s="93">
        <v>4</v>
      </c>
      <c r="F758" s="147">
        <v>9833.5</v>
      </c>
      <c r="G758" s="198">
        <f t="shared" si="30"/>
        <v>22617.05</v>
      </c>
      <c r="H758" s="6" t="s">
        <v>72</v>
      </c>
      <c r="I758" s="86"/>
      <c r="J758" s="24">
        <v>41575</v>
      </c>
      <c r="K758" s="93" t="s">
        <v>777</v>
      </c>
      <c r="L758" s="24">
        <v>41636</v>
      </c>
      <c r="N758" s="6"/>
    </row>
    <row r="759" spans="1:14" x14ac:dyDescent="0.2">
      <c r="A759" s="94">
        <v>41582</v>
      </c>
      <c r="B759" s="93">
        <v>685</v>
      </c>
      <c r="C759" s="193" t="s">
        <v>493</v>
      </c>
      <c r="D759" s="93"/>
      <c r="E759" s="8">
        <v>3</v>
      </c>
      <c r="F759" s="174">
        <v>241.4</v>
      </c>
      <c r="G759" s="198">
        <f t="shared" si="30"/>
        <v>555.21999999999991</v>
      </c>
      <c r="H759" s="482" t="s">
        <v>113</v>
      </c>
      <c r="I759" s="6"/>
      <c r="J759" s="53">
        <v>41568</v>
      </c>
      <c r="K759" s="93" t="s">
        <v>500</v>
      </c>
      <c r="L759" s="53">
        <v>41628</v>
      </c>
      <c r="N759" s="6"/>
    </row>
    <row r="760" spans="1:14" x14ac:dyDescent="0.2">
      <c r="A760" s="94">
        <v>41572</v>
      </c>
      <c r="B760" s="93">
        <v>682</v>
      </c>
      <c r="C760" s="96" t="s">
        <v>172</v>
      </c>
      <c r="D760" s="93"/>
      <c r="E760" s="93">
        <v>17</v>
      </c>
      <c r="F760" s="147">
        <v>9861.15</v>
      </c>
      <c r="G760" s="198">
        <f t="shared" si="30"/>
        <v>22680.644999999997</v>
      </c>
      <c r="H760" s="482" t="s">
        <v>113</v>
      </c>
      <c r="I760" s="86"/>
      <c r="J760" s="24">
        <v>41557</v>
      </c>
      <c r="K760" s="93" t="s">
        <v>384</v>
      </c>
      <c r="L760" s="24">
        <v>41649</v>
      </c>
      <c r="N760" s="6"/>
    </row>
    <row r="761" spans="1:14" x14ac:dyDescent="0.2">
      <c r="A761" s="94">
        <v>41612</v>
      </c>
      <c r="B761" s="93">
        <v>697</v>
      </c>
      <c r="C761" s="193" t="s">
        <v>767</v>
      </c>
      <c r="D761" s="93"/>
      <c r="E761" s="8">
        <v>7</v>
      </c>
      <c r="F761" s="174">
        <v>5529</v>
      </c>
      <c r="G761" s="198">
        <f t="shared" si="30"/>
        <v>12716.699999999999</v>
      </c>
      <c r="H761" s="485" t="s">
        <v>72</v>
      </c>
      <c r="I761" s="6"/>
      <c r="J761" s="53">
        <v>41604</v>
      </c>
      <c r="K761" s="93" t="s">
        <v>779</v>
      </c>
      <c r="L761" s="24">
        <v>41670</v>
      </c>
      <c r="N761" s="6"/>
    </row>
    <row r="762" spans="1:14" x14ac:dyDescent="0.2">
      <c r="A762" s="94">
        <v>41603</v>
      </c>
      <c r="B762" s="93">
        <v>688</v>
      </c>
      <c r="C762" s="96" t="s">
        <v>121</v>
      </c>
      <c r="D762" s="93"/>
      <c r="E762" s="93">
        <v>9</v>
      </c>
      <c r="F762" s="147">
        <v>20392.3</v>
      </c>
      <c r="G762" s="198">
        <f>F762*2.3</f>
        <v>46902.289999999994</v>
      </c>
      <c r="H762" s="6" t="s">
        <v>330</v>
      </c>
      <c r="I762" s="86"/>
      <c r="J762" s="24">
        <v>41594</v>
      </c>
      <c r="K762" s="93" t="s">
        <v>384</v>
      </c>
      <c r="L762" s="24">
        <v>41686</v>
      </c>
      <c r="N762" s="6"/>
    </row>
    <row r="763" spans="1:14" x14ac:dyDescent="0.2">
      <c r="A763" s="94">
        <v>41608</v>
      </c>
      <c r="B763" s="93">
        <v>689</v>
      </c>
      <c r="C763" s="96" t="s">
        <v>139</v>
      </c>
      <c r="D763" s="93"/>
      <c r="E763" s="93">
        <v>27</v>
      </c>
      <c r="F763" s="147">
        <v>18578.41</v>
      </c>
      <c r="G763" s="198">
        <f>F763*2.3</f>
        <v>42730.342999999993</v>
      </c>
      <c r="H763" s="6" t="s">
        <v>72</v>
      </c>
      <c r="I763" s="86"/>
      <c r="J763" s="24">
        <v>41597</v>
      </c>
      <c r="K763" s="93" t="s">
        <v>384</v>
      </c>
      <c r="L763" s="24">
        <v>41689</v>
      </c>
      <c r="N763" s="6"/>
    </row>
    <row r="764" spans="1:14" x14ac:dyDescent="0.2">
      <c r="A764" s="94">
        <v>41618</v>
      </c>
      <c r="B764" s="93">
        <v>694</v>
      </c>
      <c r="C764" s="96" t="s">
        <v>478</v>
      </c>
      <c r="D764" s="93"/>
      <c r="E764" s="93">
        <v>5</v>
      </c>
      <c r="F764" s="147">
        <v>3989.77</v>
      </c>
      <c r="G764" s="198">
        <f>F764*2.3</f>
        <v>9176.4709999999995</v>
      </c>
      <c r="H764" s="163" t="s">
        <v>70</v>
      </c>
      <c r="I764" s="86"/>
      <c r="J764" s="24">
        <v>41605</v>
      </c>
      <c r="K764" s="93" t="s">
        <v>384</v>
      </c>
      <c r="L764" s="24">
        <v>41697</v>
      </c>
      <c r="N764" s="6"/>
    </row>
    <row r="765" spans="1:14" x14ac:dyDescent="0.2">
      <c r="A765" s="94">
        <v>41618</v>
      </c>
      <c r="B765" s="93">
        <v>693</v>
      </c>
      <c r="C765" s="96" t="s">
        <v>49</v>
      </c>
      <c r="D765" s="93"/>
      <c r="E765" s="93">
        <v>18</v>
      </c>
      <c r="F765" s="147">
        <v>7154.22</v>
      </c>
      <c r="G765" s="198">
        <f>F765*2.3</f>
        <v>16454.705999999998</v>
      </c>
      <c r="H765" s="6" t="s">
        <v>72</v>
      </c>
      <c r="I765" s="86"/>
      <c r="J765" s="24">
        <v>41603</v>
      </c>
      <c r="K765" s="93" t="s">
        <v>384</v>
      </c>
      <c r="L765" s="24">
        <v>41695</v>
      </c>
      <c r="N765" s="6"/>
    </row>
    <row r="766" spans="1:14" x14ac:dyDescent="0.2">
      <c r="A766" s="94">
        <v>41625</v>
      </c>
      <c r="B766" s="93">
        <v>695</v>
      </c>
      <c r="C766" s="96" t="s">
        <v>187</v>
      </c>
      <c r="D766" s="93"/>
      <c r="E766" s="93">
        <v>11</v>
      </c>
      <c r="F766" s="147">
        <v>15055.98</v>
      </c>
      <c r="G766" s="198">
        <f>F766*2.3</f>
        <v>34628.753999999994</v>
      </c>
      <c r="H766" s="163" t="s">
        <v>72</v>
      </c>
      <c r="I766" s="86"/>
      <c r="J766" s="24">
        <v>41599</v>
      </c>
      <c r="K766" s="93" t="s">
        <v>778</v>
      </c>
      <c r="L766" s="24">
        <v>41698</v>
      </c>
      <c r="N766" s="6"/>
    </row>
    <row r="767" spans="1:14" x14ac:dyDescent="0.2">
      <c r="A767" s="94">
        <v>41631</v>
      </c>
      <c r="B767" s="93">
        <v>698</v>
      </c>
      <c r="C767" s="96" t="s">
        <v>604</v>
      </c>
      <c r="D767" s="93"/>
      <c r="E767" s="93">
        <v>4</v>
      </c>
      <c r="F767" s="147">
        <v>22930.98</v>
      </c>
      <c r="G767" s="147">
        <f>+F767*2.25</f>
        <v>51594.705000000002</v>
      </c>
      <c r="H767" s="163" t="s">
        <v>330</v>
      </c>
      <c r="I767" s="86"/>
      <c r="J767" s="24">
        <v>41611</v>
      </c>
      <c r="K767" s="93" t="s">
        <v>384</v>
      </c>
      <c r="L767" s="24">
        <v>41700</v>
      </c>
      <c r="N767" s="6"/>
    </row>
    <row r="768" spans="1:14" x14ac:dyDescent="0.2">
      <c r="A768" s="94">
        <v>41627</v>
      </c>
      <c r="B768" s="93">
        <v>696</v>
      </c>
      <c r="C768" s="96" t="s">
        <v>212</v>
      </c>
      <c r="D768" s="93"/>
      <c r="E768" s="93">
        <v>20</v>
      </c>
      <c r="F768" s="147">
        <v>12486.53</v>
      </c>
      <c r="G768" s="198">
        <f>F768*2.3</f>
        <v>28719.019</v>
      </c>
      <c r="H768" s="163" t="s">
        <v>72</v>
      </c>
      <c r="I768" s="86"/>
      <c r="J768" s="24">
        <v>41613</v>
      </c>
      <c r="K768" s="93" t="s">
        <v>384</v>
      </c>
      <c r="L768" s="24">
        <v>41703</v>
      </c>
      <c r="N768" s="6"/>
    </row>
    <row r="769" spans="1:15" x14ac:dyDescent="0.2">
      <c r="A769" s="94">
        <v>41636</v>
      </c>
      <c r="B769" s="93">
        <v>699</v>
      </c>
      <c r="C769" s="93" t="s">
        <v>353</v>
      </c>
      <c r="D769" s="93"/>
      <c r="E769" s="93">
        <v>4</v>
      </c>
      <c r="F769" s="147">
        <v>25174.69</v>
      </c>
      <c r="G769" s="147">
        <f>F769*2.26</f>
        <v>56894.799399999989</v>
      </c>
      <c r="H769" s="6" t="s">
        <v>781</v>
      </c>
      <c r="I769" s="86"/>
      <c r="J769" s="24">
        <v>41613</v>
      </c>
      <c r="K769" s="93" t="s">
        <v>810</v>
      </c>
      <c r="L769" s="24">
        <v>41729</v>
      </c>
      <c r="N769" s="6"/>
    </row>
    <row r="770" spans="1:15" s="652" customFormat="1" x14ac:dyDescent="0.2">
      <c r="A770" s="649">
        <v>41615</v>
      </c>
      <c r="B770" s="646">
        <v>692</v>
      </c>
      <c r="C770" s="646" t="s">
        <v>69</v>
      </c>
      <c r="D770" s="646"/>
      <c r="E770" s="646">
        <v>15</v>
      </c>
      <c r="F770" s="650">
        <v>27741.83</v>
      </c>
      <c r="G770" s="650">
        <f>F770*2.25</f>
        <v>62419.117500000008</v>
      </c>
      <c r="H770" s="573" t="s">
        <v>330</v>
      </c>
      <c r="I770" s="573"/>
      <c r="J770" s="651">
        <v>41603</v>
      </c>
      <c r="K770" s="646" t="s">
        <v>384</v>
      </c>
      <c r="L770" s="649">
        <v>41946</v>
      </c>
      <c r="M770" s="658" t="s">
        <v>890</v>
      </c>
      <c r="N770" s="573"/>
      <c r="O770" s="649">
        <v>41988</v>
      </c>
    </row>
    <row r="771" spans="1:15" s="652" customFormat="1" x14ac:dyDescent="0.2">
      <c r="A771" s="649">
        <v>41620</v>
      </c>
      <c r="B771" s="646">
        <v>706</v>
      </c>
      <c r="C771" s="646" t="s">
        <v>684</v>
      </c>
      <c r="D771" s="646"/>
      <c r="E771" s="646">
        <v>1</v>
      </c>
      <c r="F771" s="658">
        <v>8049</v>
      </c>
      <c r="G771" s="789">
        <f>F771*2.3</f>
        <v>18512.699999999997</v>
      </c>
      <c r="H771" s="573" t="s">
        <v>330</v>
      </c>
      <c r="I771" s="573"/>
      <c r="J771" s="651">
        <v>41608</v>
      </c>
      <c r="K771" s="684" t="s">
        <v>384</v>
      </c>
      <c r="L771" s="651">
        <v>41913</v>
      </c>
      <c r="M771" s="684" t="s">
        <v>719</v>
      </c>
      <c r="N771" s="573"/>
      <c r="O771" s="649">
        <v>42034</v>
      </c>
    </row>
    <row r="772" spans="1:15" x14ac:dyDescent="0.2">
      <c r="A772" s="94"/>
      <c r="B772" s="93"/>
      <c r="C772" s="93"/>
      <c r="D772" s="93"/>
      <c r="E772" s="93"/>
      <c r="F772" s="147"/>
      <c r="G772" s="147"/>
      <c r="H772" s="6"/>
      <c r="I772" s="86"/>
      <c r="J772" s="24"/>
      <c r="K772" s="93"/>
      <c r="L772" s="24"/>
      <c r="N772" s="6"/>
    </row>
    <row r="773" spans="1:15" x14ac:dyDescent="0.2">
      <c r="A773" s="94"/>
      <c r="B773" s="93"/>
      <c r="C773" s="93"/>
      <c r="D773" s="93"/>
      <c r="E773" s="93"/>
      <c r="F773" s="147"/>
      <c r="G773" s="147"/>
      <c r="H773" s="6"/>
      <c r="I773" s="86"/>
      <c r="J773" s="24"/>
      <c r="K773" s="93"/>
      <c r="L773" s="24"/>
      <c r="N773" s="6"/>
    </row>
    <row r="774" spans="1:15" x14ac:dyDescent="0.2">
      <c r="A774" s="94"/>
      <c r="B774" s="93"/>
      <c r="C774" s="93"/>
      <c r="D774" s="93"/>
      <c r="E774" s="93"/>
      <c r="F774" s="147"/>
      <c r="G774" s="147"/>
      <c r="H774" s="6"/>
      <c r="I774" s="86"/>
      <c r="J774" s="24"/>
      <c r="K774" s="93"/>
      <c r="L774" s="24"/>
      <c r="N774" s="6"/>
    </row>
    <row r="775" spans="1:15" x14ac:dyDescent="0.2">
      <c r="A775" s="94"/>
      <c r="B775" s="93"/>
      <c r="C775" s="93"/>
      <c r="D775" s="93"/>
      <c r="E775" s="93"/>
      <c r="F775" s="147"/>
      <c r="G775" s="147"/>
      <c r="H775" s="6"/>
      <c r="I775" s="86"/>
      <c r="J775" s="24"/>
      <c r="K775" s="93"/>
      <c r="L775" s="24"/>
      <c r="N775" s="6"/>
    </row>
    <row r="776" spans="1:15" x14ac:dyDescent="0.2">
      <c r="A776" s="94"/>
      <c r="B776" s="93"/>
      <c r="C776" s="93"/>
      <c r="D776" s="93"/>
      <c r="E776" s="93"/>
      <c r="F776" s="147"/>
      <c r="G776" s="147"/>
      <c r="H776" s="6"/>
      <c r="I776" s="86"/>
      <c r="J776" s="24"/>
      <c r="K776" s="93"/>
      <c r="L776" s="24"/>
      <c r="N776" s="6"/>
    </row>
    <row r="777" spans="1:15" x14ac:dyDescent="0.2">
      <c r="A777" s="94"/>
      <c r="B777" s="93"/>
      <c r="C777" s="93"/>
      <c r="D777" s="93"/>
      <c r="E777" s="93"/>
      <c r="F777" s="147"/>
      <c r="G777" s="147"/>
      <c r="H777" s="6"/>
      <c r="I777" s="86"/>
      <c r="J777" s="24"/>
      <c r="K777" s="93"/>
      <c r="L777" s="24"/>
      <c r="N777" s="6"/>
    </row>
    <row r="778" spans="1:15" x14ac:dyDescent="0.2">
      <c r="A778" s="94"/>
      <c r="B778" s="93"/>
      <c r="C778" s="93"/>
      <c r="D778" s="93"/>
      <c r="E778" s="93"/>
      <c r="F778" s="147"/>
      <c r="G778" s="147">
        <f>SUM(G648:G777)</f>
        <v>4472751.3744533341</v>
      </c>
      <c r="H778" s="6"/>
      <c r="I778" s="86"/>
      <c r="J778" s="24"/>
      <c r="K778" s="93"/>
      <c r="L778" s="24"/>
      <c r="N778" s="6"/>
    </row>
    <row r="779" spans="1:15" x14ac:dyDescent="0.2">
      <c r="A779" s="94"/>
      <c r="B779" s="93"/>
      <c r="C779" s="93"/>
      <c r="D779" s="93"/>
      <c r="E779" s="93"/>
      <c r="F779" s="147"/>
      <c r="G779" s="147"/>
      <c r="H779" s="6"/>
      <c r="I779" s="86"/>
      <c r="J779" s="24"/>
      <c r="K779" s="93"/>
      <c r="L779" s="24"/>
      <c r="N779" s="6"/>
    </row>
    <row r="780" spans="1:15" x14ac:dyDescent="0.2">
      <c r="A780" s="94"/>
      <c r="B780" s="93"/>
      <c r="C780" s="93"/>
      <c r="D780" s="93"/>
      <c r="E780" s="93"/>
      <c r="F780" s="147"/>
      <c r="G780" s="147"/>
      <c r="H780" s="6"/>
      <c r="I780" s="86"/>
      <c r="J780" s="24"/>
      <c r="K780" s="93"/>
      <c r="L780" s="24"/>
      <c r="N780" s="6"/>
    </row>
    <row r="781" spans="1:15" x14ac:dyDescent="0.2">
      <c r="A781" s="94"/>
      <c r="B781" s="93"/>
      <c r="C781" s="93"/>
      <c r="D781" s="93"/>
      <c r="E781" s="93"/>
      <c r="F781" s="147"/>
      <c r="G781" s="147"/>
      <c r="H781" s="6"/>
      <c r="I781" s="86"/>
      <c r="J781" s="24"/>
      <c r="K781" s="93"/>
      <c r="L781" s="24"/>
      <c r="N781" s="6"/>
    </row>
    <row r="782" spans="1:15" x14ac:dyDescent="0.2">
      <c r="A782" s="94"/>
      <c r="B782" s="93"/>
      <c r="C782" s="93"/>
      <c r="D782" s="93"/>
      <c r="E782" s="93"/>
      <c r="F782" s="147"/>
      <c r="G782" s="147"/>
      <c r="H782" s="6"/>
      <c r="I782" s="86"/>
      <c r="J782" s="24"/>
      <c r="K782" s="93"/>
      <c r="L782" s="24"/>
      <c r="N782" s="6"/>
    </row>
    <row r="783" spans="1:15" x14ac:dyDescent="0.2">
      <c r="A783" s="94">
        <v>41644</v>
      </c>
      <c r="B783" s="93">
        <v>700</v>
      </c>
      <c r="C783" s="96" t="s">
        <v>780</v>
      </c>
      <c r="D783" s="93"/>
      <c r="E783" s="93">
        <v>9</v>
      </c>
      <c r="F783" s="147">
        <v>3736.38</v>
      </c>
      <c r="G783" s="147">
        <f>F783*2.26</f>
        <v>8444.2187999999987</v>
      </c>
      <c r="H783" s="6" t="s">
        <v>113</v>
      </c>
      <c r="I783" s="86"/>
      <c r="J783" s="24"/>
      <c r="K783" s="93"/>
      <c r="L783" s="24"/>
      <c r="N783" s="6"/>
    </row>
    <row r="784" spans="1:15" x14ac:dyDescent="0.2">
      <c r="A784" s="94">
        <v>41645</v>
      </c>
      <c r="B784" s="93">
        <v>702</v>
      </c>
      <c r="C784" s="96" t="s">
        <v>193</v>
      </c>
      <c r="D784" s="93"/>
      <c r="E784" s="93">
        <v>13</v>
      </c>
      <c r="F784" s="147">
        <v>17800</v>
      </c>
      <c r="G784" s="147">
        <f>F784*2.26</f>
        <v>40227.999999999993</v>
      </c>
      <c r="H784" s="163" t="s">
        <v>72</v>
      </c>
      <c r="I784" s="86"/>
      <c r="J784" s="24"/>
      <c r="K784" s="93" t="s">
        <v>250</v>
      </c>
      <c r="L784" s="24">
        <v>41632</v>
      </c>
      <c r="N784" s="6"/>
    </row>
    <row r="785" spans="1:29" x14ac:dyDescent="0.2">
      <c r="A785" s="94">
        <v>41647</v>
      </c>
      <c r="B785" s="93">
        <v>704</v>
      </c>
      <c r="C785" s="96" t="s">
        <v>185</v>
      </c>
      <c r="D785" s="93"/>
      <c r="E785" s="93">
        <v>11</v>
      </c>
      <c r="F785" s="147">
        <v>4450.95</v>
      </c>
      <c r="G785" s="147">
        <f>F785*2.26</f>
        <v>10059.146999999999</v>
      </c>
      <c r="H785" s="6" t="s">
        <v>70</v>
      </c>
      <c r="I785" s="86"/>
      <c r="J785" s="24">
        <v>41632</v>
      </c>
      <c r="K785" s="93" t="s">
        <v>500</v>
      </c>
      <c r="L785" s="24">
        <v>41694</v>
      </c>
      <c r="N785" s="6"/>
    </row>
    <row r="786" spans="1:29" x14ac:dyDescent="0.2">
      <c r="A786" s="94">
        <v>41644</v>
      </c>
      <c r="B786" s="93">
        <v>701</v>
      </c>
      <c r="C786" s="96" t="s">
        <v>145</v>
      </c>
      <c r="D786" s="93"/>
      <c r="E786" s="93">
        <v>21</v>
      </c>
      <c r="F786" s="147">
        <v>26405.200000000001</v>
      </c>
      <c r="G786" s="147">
        <f>F786*2.26</f>
        <v>59675.751999999993</v>
      </c>
      <c r="H786" s="6" t="s">
        <v>330</v>
      </c>
      <c r="I786" s="86"/>
      <c r="J786" s="24">
        <v>41631</v>
      </c>
      <c r="K786" s="93" t="s">
        <v>384</v>
      </c>
      <c r="L786" s="24">
        <v>41721</v>
      </c>
      <c r="N786" s="6"/>
    </row>
    <row r="787" spans="1:29" x14ac:dyDescent="0.2">
      <c r="A787" s="94">
        <v>41680</v>
      </c>
      <c r="B787" s="96">
        <v>707</v>
      </c>
      <c r="C787" s="96" t="s">
        <v>354</v>
      </c>
      <c r="D787" s="1"/>
      <c r="E787" s="93">
        <v>5</v>
      </c>
      <c r="F787" s="147">
        <v>4452</v>
      </c>
      <c r="G787" s="147">
        <f>+F787*2.26</f>
        <v>10061.519999999999</v>
      </c>
      <c r="H787" s="1" t="s">
        <v>72</v>
      </c>
      <c r="I787" s="1"/>
      <c r="J787" s="162">
        <v>41664</v>
      </c>
      <c r="K787" s="93" t="s">
        <v>500</v>
      </c>
      <c r="L787" s="162">
        <v>41723</v>
      </c>
    </row>
    <row r="788" spans="1:29" x14ac:dyDescent="0.2">
      <c r="A788" s="94">
        <v>41660</v>
      </c>
      <c r="B788" s="93">
        <v>705</v>
      </c>
      <c r="C788" s="96" t="s">
        <v>768</v>
      </c>
      <c r="D788" s="93"/>
      <c r="E788" s="93">
        <v>12</v>
      </c>
      <c r="F788" s="147">
        <v>22453.9</v>
      </c>
      <c r="G788" s="147">
        <f>F788*2.26</f>
        <v>50745.813999999998</v>
      </c>
      <c r="H788" s="482" t="s">
        <v>72</v>
      </c>
      <c r="I788" s="86"/>
      <c r="J788" s="24">
        <v>41625</v>
      </c>
      <c r="K788" s="93" t="s">
        <v>500</v>
      </c>
      <c r="L788" s="24">
        <v>41715</v>
      </c>
      <c r="N788" s="6"/>
    </row>
    <row r="789" spans="1:29" s="587" customFormat="1" x14ac:dyDescent="0.2">
      <c r="A789" s="582">
        <v>41684</v>
      </c>
      <c r="B789" s="589">
        <v>709</v>
      </c>
      <c r="C789" s="590" t="s">
        <v>809</v>
      </c>
      <c r="D789" s="583"/>
      <c r="E789" s="584">
        <v>11</v>
      </c>
      <c r="F789" s="585">
        <v>3046.3</v>
      </c>
      <c r="G789" s="586">
        <f>+F789*2.26</f>
        <v>6884.6379999999999</v>
      </c>
      <c r="H789" s="587" t="s">
        <v>70</v>
      </c>
      <c r="J789" s="582">
        <v>41666</v>
      </c>
      <c r="K789" s="584" t="s">
        <v>250</v>
      </c>
      <c r="N789" s="588"/>
      <c r="O789" s="585"/>
      <c r="P789" s="585"/>
      <c r="Q789" s="585"/>
      <c r="S789" s="585"/>
      <c r="T789" s="585"/>
      <c r="U789" s="585"/>
      <c r="W789" s="585"/>
      <c r="X789" s="585"/>
      <c r="Y789" s="585"/>
      <c r="AA789" s="585"/>
      <c r="AB789" s="585"/>
      <c r="AC789" s="585"/>
    </row>
    <row r="790" spans="1:29" s="575" customFormat="1" x14ac:dyDescent="0.2">
      <c r="A790" s="578">
        <v>41719</v>
      </c>
      <c r="B790" s="96">
        <v>726</v>
      </c>
      <c r="C790" s="96" t="s">
        <v>829</v>
      </c>
      <c r="D790" s="96" t="s">
        <v>830</v>
      </c>
      <c r="E790" s="96"/>
      <c r="F790" s="178"/>
      <c r="G790" s="178"/>
      <c r="H790" s="485"/>
      <c r="I790" s="577"/>
      <c r="J790" s="579"/>
      <c r="K790" s="96"/>
      <c r="L790" s="577"/>
      <c r="N790" s="485"/>
    </row>
    <row r="791" spans="1:29" s="575" customFormat="1" x14ac:dyDescent="0.2">
      <c r="A791" s="578">
        <v>41737</v>
      </c>
      <c r="B791" s="96">
        <v>727</v>
      </c>
      <c r="C791" s="96" t="s">
        <v>243</v>
      </c>
      <c r="D791" s="96"/>
      <c r="E791" s="96">
        <v>10</v>
      </c>
      <c r="F791" s="178">
        <v>6433.97</v>
      </c>
      <c r="G791" s="576">
        <f>F791*2.26</f>
        <v>14540.772199999999</v>
      </c>
      <c r="H791" s="485" t="s">
        <v>330</v>
      </c>
      <c r="I791" s="577"/>
      <c r="J791" s="577"/>
      <c r="K791" s="96" t="s">
        <v>250</v>
      </c>
      <c r="L791" s="577" t="s">
        <v>825</v>
      </c>
      <c r="N791" s="485"/>
    </row>
    <row r="792" spans="1:29" s="575" customFormat="1" x14ac:dyDescent="0.2">
      <c r="A792" s="578">
        <v>41737</v>
      </c>
      <c r="B792" s="96">
        <v>729</v>
      </c>
      <c r="C792" s="96" t="s">
        <v>235</v>
      </c>
      <c r="D792" s="96"/>
      <c r="E792" s="96">
        <v>5</v>
      </c>
      <c r="F792" s="178">
        <v>35852.400000000001</v>
      </c>
      <c r="G792" s="178">
        <f>+F792*1.6</f>
        <v>57363.840000000004</v>
      </c>
      <c r="H792" s="485" t="s">
        <v>330</v>
      </c>
      <c r="I792" s="577"/>
      <c r="J792" s="577"/>
      <c r="K792" s="96" t="s">
        <v>808</v>
      </c>
      <c r="L792" s="577" t="s">
        <v>822</v>
      </c>
      <c r="N792" s="485"/>
    </row>
    <row r="793" spans="1:29" x14ac:dyDescent="0.2">
      <c r="A793" s="94">
        <v>41695</v>
      </c>
      <c r="B793" s="8">
        <v>710</v>
      </c>
      <c r="C793" s="93" t="s">
        <v>177</v>
      </c>
      <c r="D793" s="86"/>
      <c r="E793" s="55">
        <v>11</v>
      </c>
      <c r="F793" s="63">
        <v>2347</v>
      </c>
      <c r="G793" s="574">
        <f>+F793*2.26</f>
        <v>5304.2199999999993</v>
      </c>
      <c r="H793" s="483" t="s">
        <v>720</v>
      </c>
      <c r="J793" s="94">
        <v>41683</v>
      </c>
      <c r="K793" s="568" t="s">
        <v>500</v>
      </c>
      <c r="L793" s="94">
        <v>41742</v>
      </c>
      <c r="N793" s="91"/>
      <c r="O793" s="63"/>
      <c r="P793" s="63"/>
      <c r="Q793" s="63"/>
      <c r="S793" s="63"/>
      <c r="T793" s="63"/>
      <c r="U793" s="63"/>
      <c r="W793" s="63"/>
      <c r="X793" s="63"/>
      <c r="Y793" s="63"/>
      <c r="AA793" s="63"/>
      <c r="AB793" s="63"/>
      <c r="AC793" s="63"/>
    </row>
    <row r="794" spans="1:29" s="483" customFormat="1" x14ac:dyDescent="0.2">
      <c r="A794" s="569">
        <v>41712</v>
      </c>
      <c r="B794" s="93">
        <v>717</v>
      </c>
      <c r="C794" s="96" t="s">
        <v>180</v>
      </c>
      <c r="D794" s="93"/>
      <c r="E794" s="93">
        <v>12</v>
      </c>
      <c r="F794" s="147">
        <v>6512.34</v>
      </c>
      <c r="G794" s="147">
        <f>+F794*2.25</f>
        <v>14652.764999999999</v>
      </c>
      <c r="H794" s="485" t="s">
        <v>72</v>
      </c>
      <c r="I794" s="86"/>
      <c r="J794" s="24">
        <v>41702</v>
      </c>
      <c r="K794" s="93" t="s">
        <v>500</v>
      </c>
      <c r="L794" s="24">
        <v>41763</v>
      </c>
      <c r="N794" s="482"/>
    </row>
    <row r="795" spans="1:29" s="611" customFormat="1" x14ac:dyDescent="0.2">
      <c r="A795" s="607">
        <v>41654</v>
      </c>
      <c r="B795" s="609">
        <v>750</v>
      </c>
      <c r="C795" s="609" t="s">
        <v>473</v>
      </c>
      <c r="D795" s="609"/>
      <c r="E795" s="609">
        <v>3</v>
      </c>
      <c r="F795" s="625">
        <v>7172.6</v>
      </c>
      <c r="G795" s="625">
        <f>+F795*2.26</f>
        <v>16210.075999999999</v>
      </c>
      <c r="H795" s="610" t="s">
        <v>330</v>
      </c>
      <c r="I795" s="626"/>
      <c r="J795" s="627"/>
      <c r="K795" s="609" t="s">
        <v>250</v>
      </c>
      <c r="L795" s="627">
        <v>41767</v>
      </c>
      <c r="N795" s="610"/>
    </row>
    <row r="796" spans="1:29" s="575" customFormat="1" x14ac:dyDescent="0.2">
      <c r="A796" s="578">
        <v>41753</v>
      </c>
      <c r="B796" s="621" t="s">
        <v>841</v>
      </c>
      <c r="C796" s="96" t="s">
        <v>725</v>
      </c>
      <c r="D796" s="96"/>
      <c r="E796" s="96">
        <v>2</v>
      </c>
      <c r="F796" s="178">
        <v>6588.4</v>
      </c>
      <c r="G796" s="576">
        <f>+F796*2.26</f>
        <v>14889.783999999998</v>
      </c>
      <c r="H796" s="485" t="s">
        <v>113</v>
      </c>
      <c r="I796" s="577"/>
      <c r="J796" s="577"/>
      <c r="K796" s="96" t="s">
        <v>250</v>
      </c>
      <c r="L796" s="577" t="s">
        <v>825</v>
      </c>
      <c r="N796" s="485"/>
    </row>
    <row r="797" spans="1:29" s="587" customFormat="1" x14ac:dyDescent="0.2">
      <c r="A797" s="630">
        <v>41681</v>
      </c>
      <c r="B797" s="609">
        <v>708</v>
      </c>
      <c r="C797" s="589" t="s">
        <v>200</v>
      </c>
      <c r="D797" s="631"/>
      <c r="E797" s="609">
        <v>15</v>
      </c>
      <c r="F797" s="589">
        <v>18619.88</v>
      </c>
      <c r="G797" s="574">
        <f>F797*2.26</f>
        <v>42080.928800000002</v>
      </c>
      <c r="H797" s="626" t="s">
        <v>330</v>
      </c>
      <c r="I797" s="631"/>
      <c r="J797" s="630">
        <v>41585</v>
      </c>
      <c r="K797" s="609" t="s">
        <v>500</v>
      </c>
      <c r="L797" s="630">
        <v>41770</v>
      </c>
    </row>
    <row r="798" spans="1:29" s="587" customFormat="1" x14ac:dyDescent="0.2">
      <c r="A798" s="582">
        <v>41710</v>
      </c>
      <c r="B798" s="622">
        <v>715</v>
      </c>
      <c r="C798" s="590" t="s">
        <v>223</v>
      </c>
      <c r="D798" s="583"/>
      <c r="E798" s="584">
        <v>15</v>
      </c>
      <c r="F798" s="585">
        <v>16710.8</v>
      </c>
      <c r="G798" s="574">
        <f t="shared" ref="G798:G803" si="31">+F798*2.26</f>
        <v>37766.407999999996</v>
      </c>
      <c r="H798" s="587" t="s">
        <v>72</v>
      </c>
      <c r="J798" s="582">
        <v>41690</v>
      </c>
      <c r="K798" s="584" t="s">
        <v>500</v>
      </c>
      <c r="L798" s="582">
        <v>41749</v>
      </c>
      <c r="M798" s="623"/>
      <c r="N798" s="588"/>
      <c r="O798" s="624"/>
      <c r="P798" s="585"/>
      <c r="Q798" s="585"/>
      <c r="S798" s="585"/>
      <c r="T798" s="585"/>
      <c r="U798" s="585"/>
      <c r="W798" s="585"/>
      <c r="X798" s="585"/>
      <c r="Y798" s="585"/>
      <c r="AA798" s="585"/>
      <c r="AB798" s="585"/>
      <c r="AC798" s="585"/>
    </row>
    <row r="799" spans="1:29" s="575" customFormat="1" x14ac:dyDescent="0.2">
      <c r="A799" s="578">
        <v>41737</v>
      </c>
      <c r="B799" s="597">
        <v>728</v>
      </c>
      <c r="C799" s="96" t="s">
        <v>208</v>
      </c>
      <c r="D799" s="597"/>
      <c r="E799" s="597">
        <v>11</v>
      </c>
      <c r="F799" s="600">
        <v>16002.41</v>
      </c>
      <c r="G799" s="600">
        <f>+F799*2.3</f>
        <v>36805.542999999998</v>
      </c>
      <c r="H799" s="485" t="s">
        <v>72</v>
      </c>
      <c r="I799" s="485"/>
      <c r="J799" s="602">
        <v>41717</v>
      </c>
      <c r="K799" s="597" t="s">
        <v>500</v>
      </c>
      <c r="L799" s="602">
        <v>41778</v>
      </c>
      <c r="N799" s="485"/>
    </row>
    <row r="800" spans="1:29" s="483" customFormat="1" x14ac:dyDescent="0.2">
      <c r="A800" s="569">
        <v>41703</v>
      </c>
      <c r="B800" s="478">
        <v>713</v>
      </c>
      <c r="C800" s="96" t="s">
        <v>173</v>
      </c>
      <c r="D800" s="478"/>
      <c r="E800" s="478">
        <v>13</v>
      </c>
      <c r="F800" s="641">
        <v>5650.17</v>
      </c>
      <c r="G800" s="641">
        <f t="shared" si="31"/>
        <v>12769.384199999999</v>
      </c>
      <c r="H800" s="482" t="s">
        <v>113</v>
      </c>
      <c r="I800" s="482"/>
      <c r="J800" s="642">
        <v>41690</v>
      </c>
      <c r="K800" s="478" t="s">
        <v>384</v>
      </c>
      <c r="L800" s="642">
        <v>41779</v>
      </c>
      <c r="N800" s="482"/>
    </row>
    <row r="801" spans="1:14" s="483" customFormat="1" x14ac:dyDescent="0.2">
      <c r="A801" s="569">
        <v>41709</v>
      </c>
      <c r="B801" s="478">
        <v>716</v>
      </c>
      <c r="C801" s="93" t="s">
        <v>174</v>
      </c>
      <c r="D801" s="478"/>
      <c r="E801" s="478">
        <v>3</v>
      </c>
      <c r="F801" s="641">
        <v>2350.8000000000002</v>
      </c>
      <c r="G801" s="641">
        <f t="shared" si="31"/>
        <v>5312.808</v>
      </c>
      <c r="H801" s="485" t="s">
        <v>113</v>
      </c>
      <c r="I801" s="482"/>
      <c r="J801" s="642">
        <v>41697</v>
      </c>
      <c r="K801" s="478" t="s">
        <v>384</v>
      </c>
      <c r="L801" s="642">
        <v>41786</v>
      </c>
      <c r="N801" s="482"/>
    </row>
    <row r="802" spans="1:14" s="575" customFormat="1" x14ac:dyDescent="0.2">
      <c r="A802" s="578">
        <v>41745</v>
      </c>
      <c r="B802" s="597">
        <v>732</v>
      </c>
      <c r="C802" s="96" t="s">
        <v>447</v>
      </c>
      <c r="D802" s="597"/>
      <c r="E802" s="597">
        <v>20</v>
      </c>
      <c r="F802" s="600">
        <v>14856.96</v>
      </c>
      <c r="G802" s="600">
        <f t="shared" si="31"/>
        <v>33576.729599999991</v>
      </c>
      <c r="H802" s="485" t="s">
        <v>113</v>
      </c>
      <c r="I802" s="485"/>
      <c r="J802" s="602">
        <v>41731</v>
      </c>
      <c r="K802" s="597" t="s">
        <v>500</v>
      </c>
      <c r="L802" s="602">
        <v>41792</v>
      </c>
      <c r="N802" s="485"/>
    </row>
    <row r="803" spans="1:14" s="575" customFormat="1" x14ac:dyDescent="0.2">
      <c r="A803" s="578">
        <v>41745</v>
      </c>
      <c r="B803" s="478">
        <v>731</v>
      </c>
      <c r="C803" s="96" t="s">
        <v>280</v>
      </c>
      <c r="D803" s="597"/>
      <c r="E803" s="597">
        <v>9</v>
      </c>
      <c r="F803" s="600">
        <v>6068.02</v>
      </c>
      <c r="G803" s="601">
        <f t="shared" si="31"/>
        <v>13713.725199999999</v>
      </c>
      <c r="H803" s="485" t="s">
        <v>72</v>
      </c>
      <c r="I803" s="485"/>
      <c r="J803" s="602">
        <v>41732</v>
      </c>
      <c r="K803" s="597" t="s">
        <v>500</v>
      </c>
      <c r="L803" s="602">
        <v>41793</v>
      </c>
      <c r="N803" s="485"/>
    </row>
    <row r="804" spans="1:14" s="575" customFormat="1" x14ac:dyDescent="0.2">
      <c r="A804" s="578">
        <v>41750</v>
      </c>
      <c r="B804" s="640">
        <v>736</v>
      </c>
      <c r="C804" s="96" t="s">
        <v>748</v>
      </c>
      <c r="D804" s="597"/>
      <c r="E804" s="597"/>
      <c r="F804" s="600">
        <v>27346.48</v>
      </c>
      <c r="G804" s="601">
        <f>+F804*2.26</f>
        <v>61803.044799999996</v>
      </c>
      <c r="H804" s="485" t="s">
        <v>113</v>
      </c>
      <c r="I804" s="485"/>
      <c r="J804" s="602">
        <v>41731</v>
      </c>
      <c r="K804" s="597" t="s">
        <v>500</v>
      </c>
      <c r="L804" s="602">
        <v>41792</v>
      </c>
      <c r="N804" s="485"/>
    </row>
    <row r="805" spans="1:14" s="575" customFormat="1" x14ac:dyDescent="0.2">
      <c r="A805" s="578">
        <v>41794</v>
      </c>
      <c r="B805" s="478">
        <v>753</v>
      </c>
      <c r="C805" s="96" t="s">
        <v>296</v>
      </c>
      <c r="D805" s="597"/>
      <c r="E805" s="597">
        <v>10</v>
      </c>
      <c r="F805" s="600">
        <v>3967.29</v>
      </c>
      <c r="G805" s="600">
        <f>F805*2.23</f>
        <v>8847.0566999999992</v>
      </c>
      <c r="H805" s="485" t="s">
        <v>113</v>
      </c>
      <c r="I805" s="485"/>
      <c r="J805" s="602"/>
      <c r="K805" s="597" t="s">
        <v>250</v>
      </c>
      <c r="L805" s="485"/>
      <c r="M805" s="575" t="s">
        <v>845</v>
      </c>
      <c r="N805" s="485"/>
    </row>
    <row r="806" spans="1:14" s="575" customFormat="1" x14ac:dyDescent="0.2">
      <c r="A806" s="578">
        <v>41789</v>
      </c>
      <c r="B806" s="478">
        <v>752</v>
      </c>
      <c r="C806" s="96" t="s">
        <v>243</v>
      </c>
      <c r="D806" s="597"/>
      <c r="E806" s="597">
        <v>11</v>
      </c>
      <c r="F806" s="600">
        <v>4585.3900000000003</v>
      </c>
      <c r="G806" s="600">
        <f>+F806*2.25</f>
        <v>10317.127500000001</v>
      </c>
      <c r="H806" s="485" t="s">
        <v>70</v>
      </c>
      <c r="I806" s="485"/>
      <c r="J806" s="602">
        <v>41776</v>
      </c>
      <c r="K806" s="597" t="s">
        <v>250</v>
      </c>
      <c r="L806" s="485"/>
      <c r="M806" s="575" t="s">
        <v>845</v>
      </c>
      <c r="N806" s="485"/>
    </row>
    <row r="807" spans="1:14" s="483" customFormat="1" x14ac:dyDescent="0.2">
      <c r="A807" s="569">
        <v>41723</v>
      </c>
      <c r="B807" s="478">
        <v>721</v>
      </c>
      <c r="C807" s="96" t="s">
        <v>192</v>
      </c>
      <c r="D807" s="478"/>
      <c r="E807" s="478">
        <v>22</v>
      </c>
      <c r="F807" s="641">
        <v>18425.87</v>
      </c>
      <c r="G807" s="641">
        <f>+F807*2.34</f>
        <v>43116.535799999998</v>
      </c>
      <c r="H807" s="485" t="s">
        <v>72</v>
      </c>
      <c r="I807" s="482"/>
      <c r="J807" s="642">
        <v>41701</v>
      </c>
      <c r="K807" s="478" t="s">
        <v>384</v>
      </c>
      <c r="L807" s="642">
        <v>41793</v>
      </c>
      <c r="N807" s="482"/>
    </row>
    <row r="808" spans="1:14" s="575" customFormat="1" x14ac:dyDescent="0.2">
      <c r="A808" s="578">
        <v>41750</v>
      </c>
      <c r="B808" s="640">
        <v>735</v>
      </c>
      <c r="C808" s="96" t="s">
        <v>66</v>
      </c>
      <c r="D808" s="597"/>
      <c r="E808" s="597">
        <v>12</v>
      </c>
      <c r="F808" s="600">
        <v>16665</v>
      </c>
      <c r="G808" s="600">
        <f>+F808*2.25</f>
        <v>37496.25</v>
      </c>
      <c r="H808" s="485" t="s">
        <v>70</v>
      </c>
      <c r="I808" s="485"/>
      <c r="J808" s="602">
        <v>41739</v>
      </c>
      <c r="K808" s="597" t="s">
        <v>500</v>
      </c>
      <c r="L808" s="602">
        <v>41800</v>
      </c>
      <c r="N808" s="485"/>
    </row>
    <row r="809" spans="1:14" s="575" customFormat="1" x14ac:dyDescent="0.2">
      <c r="A809" s="578">
        <v>41717</v>
      </c>
      <c r="B809" s="597">
        <v>718</v>
      </c>
      <c r="C809" s="96" t="s">
        <v>713</v>
      </c>
      <c r="D809" s="597"/>
      <c r="E809" s="597">
        <v>3</v>
      </c>
      <c r="F809" s="600">
        <v>6533.4</v>
      </c>
      <c r="G809" s="600">
        <f>+F809*2.25</f>
        <v>14700.15</v>
      </c>
      <c r="H809" s="485" t="s">
        <v>72</v>
      </c>
      <c r="I809" s="485"/>
      <c r="J809" s="602">
        <v>41706</v>
      </c>
      <c r="K809" s="597" t="s">
        <v>384</v>
      </c>
      <c r="L809" s="602">
        <v>41798</v>
      </c>
      <c r="N809" s="485"/>
    </row>
    <row r="810" spans="1:14" s="483" customFormat="1" x14ac:dyDescent="0.2">
      <c r="A810" s="569">
        <v>41717</v>
      </c>
      <c r="B810" s="478">
        <v>720</v>
      </c>
      <c r="C810" s="93" t="s">
        <v>64</v>
      </c>
      <c r="D810" s="478"/>
      <c r="E810" s="478">
        <v>13</v>
      </c>
      <c r="F810" s="641">
        <v>4053.69</v>
      </c>
      <c r="G810" s="641">
        <f>+F810*2.26</f>
        <v>9161.3393999999989</v>
      </c>
      <c r="H810" s="482" t="s">
        <v>72</v>
      </c>
      <c r="I810" s="482"/>
      <c r="J810" s="642">
        <v>41706</v>
      </c>
      <c r="K810" s="478" t="s">
        <v>384</v>
      </c>
      <c r="L810" s="642">
        <v>41798</v>
      </c>
      <c r="N810" s="482"/>
    </row>
    <row r="811" spans="1:14" s="575" customFormat="1" x14ac:dyDescent="0.2">
      <c r="A811" s="578">
        <v>41727</v>
      </c>
      <c r="B811" s="597">
        <v>722</v>
      </c>
      <c r="C811" s="96" t="s">
        <v>212</v>
      </c>
      <c r="D811" s="597"/>
      <c r="E811" s="597">
        <v>21</v>
      </c>
      <c r="F811" s="600">
        <v>15661.8</v>
      </c>
      <c r="G811" s="600">
        <f>F811*2.25</f>
        <v>35239.049999999996</v>
      </c>
      <c r="H811" s="485" t="s">
        <v>72</v>
      </c>
      <c r="I811" s="485"/>
      <c r="J811" s="602">
        <v>41706</v>
      </c>
      <c r="K811" s="597" t="s">
        <v>384</v>
      </c>
      <c r="L811" s="602">
        <v>41798</v>
      </c>
      <c r="N811" s="485"/>
    </row>
    <row r="812" spans="1:14" s="575" customFormat="1" x14ac:dyDescent="0.2">
      <c r="A812" s="578">
        <v>41731</v>
      </c>
      <c r="B812" s="597">
        <v>723</v>
      </c>
      <c r="C812" s="96" t="s">
        <v>172</v>
      </c>
      <c r="D812" s="597"/>
      <c r="E812" s="597">
        <v>18</v>
      </c>
      <c r="F812" s="600">
        <v>10709.94</v>
      </c>
      <c r="G812" s="601">
        <f>+F812*2.26</f>
        <v>24204.464399999997</v>
      </c>
      <c r="H812" s="485" t="s">
        <v>72</v>
      </c>
      <c r="I812" s="485"/>
      <c r="J812" s="602">
        <v>41713</v>
      </c>
      <c r="K812" s="597" t="s">
        <v>384</v>
      </c>
      <c r="L812" s="602">
        <v>41805</v>
      </c>
      <c r="N812" s="485"/>
    </row>
    <row r="813" spans="1:14" s="575" customFormat="1" x14ac:dyDescent="0.2">
      <c r="A813" s="578">
        <v>41733</v>
      </c>
      <c r="B813" s="597">
        <v>725</v>
      </c>
      <c r="C813" s="96" t="s">
        <v>181</v>
      </c>
      <c r="D813" s="597"/>
      <c r="E813" s="597">
        <v>6</v>
      </c>
      <c r="F813" s="600">
        <v>4877.8</v>
      </c>
      <c r="G813" s="601">
        <f>+F813*2.26</f>
        <v>11023.828</v>
      </c>
      <c r="H813" s="485" t="s">
        <v>72</v>
      </c>
      <c r="I813" s="485"/>
      <c r="J813" s="602">
        <v>41723</v>
      </c>
      <c r="K813" s="597" t="s">
        <v>384</v>
      </c>
      <c r="L813" s="602">
        <v>41815</v>
      </c>
      <c r="N813" s="485"/>
    </row>
    <row r="814" spans="1:14" s="575" customFormat="1" x14ac:dyDescent="0.2">
      <c r="A814" s="578">
        <v>41795</v>
      </c>
      <c r="B814" s="640" t="s">
        <v>850</v>
      </c>
      <c r="C814" s="96" t="s">
        <v>285</v>
      </c>
      <c r="D814" s="597" t="s">
        <v>830</v>
      </c>
      <c r="E814" s="597"/>
      <c r="F814" s="600"/>
      <c r="G814" s="600"/>
      <c r="H814" s="485"/>
      <c r="I814" s="485"/>
      <c r="J814" s="602"/>
      <c r="K814" s="597"/>
      <c r="L814" s="602"/>
      <c r="N814" s="485"/>
    </row>
    <row r="815" spans="1:14" s="575" customFormat="1" x14ac:dyDescent="0.2">
      <c r="A815" s="578">
        <v>41768</v>
      </c>
      <c r="B815" s="637">
        <v>740</v>
      </c>
      <c r="C815" s="766" t="s">
        <v>341</v>
      </c>
      <c r="E815" s="637">
        <v>4</v>
      </c>
      <c r="F815" s="637">
        <v>13276.38</v>
      </c>
      <c r="G815" s="637">
        <f>F815*2.19</f>
        <v>29075.272199999996</v>
      </c>
      <c r="H815" s="575" t="s">
        <v>113</v>
      </c>
      <c r="J815" s="578">
        <v>41753</v>
      </c>
      <c r="K815" s="597" t="s">
        <v>500</v>
      </c>
      <c r="L815" s="578">
        <v>41814</v>
      </c>
    </row>
    <row r="816" spans="1:14" s="575" customFormat="1" x14ac:dyDescent="0.2">
      <c r="A816" s="578">
        <v>41732</v>
      </c>
      <c r="B816" s="597">
        <v>724</v>
      </c>
      <c r="C816" s="96" t="s">
        <v>478</v>
      </c>
      <c r="D816" s="597"/>
      <c r="E816" s="597">
        <v>6</v>
      </c>
      <c r="F816" s="600">
        <v>3692.91</v>
      </c>
      <c r="G816" s="601">
        <f>F816*2.26</f>
        <v>8345.9765999999981</v>
      </c>
      <c r="H816" s="485" t="s">
        <v>330</v>
      </c>
      <c r="I816" s="485"/>
      <c r="J816" s="602">
        <v>41723</v>
      </c>
      <c r="K816" s="597" t="s">
        <v>384</v>
      </c>
      <c r="L816" s="602">
        <v>41815</v>
      </c>
      <c r="N816" s="485"/>
    </row>
    <row r="817" spans="1:14" s="575" customFormat="1" x14ac:dyDescent="0.2">
      <c r="A817" s="578">
        <v>41747</v>
      </c>
      <c r="B817" s="640">
        <v>733</v>
      </c>
      <c r="C817" s="96" t="s">
        <v>145</v>
      </c>
      <c r="D817" s="597"/>
      <c r="E817" s="597">
        <v>22</v>
      </c>
      <c r="F817" s="600">
        <v>20024.04</v>
      </c>
      <c r="G817" s="601">
        <f>F817*2.25</f>
        <v>45054.090000000004</v>
      </c>
      <c r="H817" s="485" t="s">
        <v>330</v>
      </c>
      <c r="I817" s="485"/>
      <c r="J817" s="602">
        <v>41732</v>
      </c>
      <c r="K817" s="597" t="s">
        <v>384</v>
      </c>
      <c r="L817" s="602">
        <v>41823</v>
      </c>
      <c r="N817" s="485"/>
    </row>
    <row r="818" spans="1:14" s="575" customFormat="1" x14ac:dyDescent="0.2">
      <c r="A818" s="578">
        <v>41750</v>
      </c>
      <c r="B818" s="637">
        <v>734</v>
      </c>
      <c r="C818" s="766" t="s">
        <v>605</v>
      </c>
      <c r="E818" s="637">
        <v>6</v>
      </c>
      <c r="F818" s="600">
        <v>6103.11</v>
      </c>
      <c r="G818" s="638">
        <f>+F818*2.26</f>
        <v>13793.028599999998</v>
      </c>
      <c r="H818" s="575" t="s">
        <v>72</v>
      </c>
      <c r="J818" s="578">
        <v>41662</v>
      </c>
      <c r="K818" s="597" t="s">
        <v>500</v>
      </c>
      <c r="L818" s="578">
        <v>41821</v>
      </c>
    </row>
    <row r="819" spans="1:14" s="575" customFormat="1" x14ac:dyDescent="0.2">
      <c r="A819" s="578">
        <v>41808</v>
      </c>
      <c r="B819" s="637">
        <v>762</v>
      </c>
      <c r="C819" s="96" t="s">
        <v>223</v>
      </c>
      <c r="E819" s="637">
        <v>16</v>
      </c>
      <c r="F819" s="637">
        <v>16232.25</v>
      </c>
      <c r="G819" s="637">
        <f>F819*2.26</f>
        <v>36684.884999999995</v>
      </c>
      <c r="H819" s="575" t="s">
        <v>113</v>
      </c>
      <c r="J819" s="578">
        <v>41793</v>
      </c>
      <c r="K819" s="597" t="s">
        <v>500</v>
      </c>
      <c r="L819" s="578">
        <v>41854</v>
      </c>
    </row>
    <row r="820" spans="1:14" s="611" customFormat="1" x14ac:dyDescent="0.2">
      <c r="A820" s="607">
        <v>41775</v>
      </c>
      <c r="B820" s="628">
        <v>742</v>
      </c>
      <c r="C820" s="609" t="s">
        <v>478</v>
      </c>
      <c r="E820" s="628">
        <v>7</v>
      </c>
      <c r="F820" s="628">
        <v>4530.62</v>
      </c>
      <c r="G820" s="628">
        <f>F820*2.19</f>
        <v>9922.0577999999987</v>
      </c>
      <c r="H820" s="611" t="s">
        <v>70</v>
      </c>
      <c r="J820" s="607">
        <v>41765</v>
      </c>
      <c r="K820" s="628" t="s">
        <v>384</v>
      </c>
      <c r="L820" s="607">
        <v>41857</v>
      </c>
    </row>
    <row r="821" spans="1:14" s="575" customFormat="1" x14ac:dyDescent="0.2">
      <c r="A821" s="578">
        <v>41842</v>
      </c>
      <c r="B821" s="640" t="s">
        <v>877</v>
      </c>
      <c r="C821" s="96" t="s">
        <v>818</v>
      </c>
      <c r="E821" s="637">
        <v>1</v>
      </c>
      <c r="F821" s="600">
        <v>3621.39</v>
      </c>
      <c r="G821" s="600">
        <f>F821*2.23</f>
        <v>8075.6996999999992</v>
      </c>
      <c r="H821" s="575" t="s">
        <v>72</v>
      </c>
      <c r="K821" s="637" t="s">
        <v>250</v>
      </c>
      <c r="L821" s="687" t="s">
        <v>825</v>
      </c>
    </row>
    <row r="822" spans="1:14" s="575" customFormat="1" x14ac:dyDescent="0.2">
      <c r="A822" s="578">
        <v>41765</v>
      </c>
      <c r="B822" s="640" t="s">
        <v>842</v>
      </c>
      <c r="C822" s="96" t="s">
        <v>814</v>
      </c>
      <c r="D822" s="597"/>
      <c r="E822" s="597">
        <v>5</v>
      </c>
      <c r="F822" s="600">
        <v>7932.91</v>
      </c>
      <c r="G822" s="601">
        <f>F822*2.26</f>
        <v>17928.3766</v>
      </c>
      <c r="H822" s="485" t="s">
        <v>330</v>
      </c>
      <c r="I822" s="485"/>
      <c r="J822" s="602">
        <v>41755</v>
      </c>
      <c r="K822" s="597" t="s">
        <v>698</v>
      </c>
      <c r="L822" s="602">
        <v>41846</v>
      </c>
      <c r="N822" s="485"/>
    </row>
    <row r="823" spans="1:14" s="575" customFormat="1" x14ac:dyDescent="0.2">
      <c r="A823" s="578">
        <v>41856</v>
      </c>
      <c r="B823" s="640" t="s">
        <v>882</v>
      </c>
      <c r="C823" s="96" t="s">
        <v>849</v>
      </c>
      <c r="D823" s="96"/>
      <c r="E823" s="96">
        <v>8</v>
      </c>
      <c r="F823" s="178">
        <v>8364</v>
      </c>
      <c r="G823" s="576">
        <f>F823*2.24</f>
        <v>18735.36</v>
      </c>
      <c r="H823" s="485" t="s">
        <v>113</v>
      </c>
      <c r="I823" s="577"/>
      <c r="J823" s="577"/>
      <c r="K823" s="96" t="s">
        <v>250</v>
      </c>
      <c r="L823" s="577"/>
      <c r="N823" s="485"/>
    </row>
    <row r="824" spans="1:14" s="575" customFormat="1" x14ac:dyDescent="0.2">
      <c r="A824" s="578">
        <v>41866</v>
      </c>
      <c r="B824" s="640">
        <v>788</v>
      </c>
      <c r="C824" s="96" t="s">
        <v>324</v>
      </c>
      <c r="D824" s="597"/>
      <c r="E824" s="597">
        <v>5</v>
      </c>
      <c r="F824" s="600">
        <v>10299</v>
      </c>
      <c r="G824" s="601">
        <f>+F824*1.6</f>
        <v>16478.400000000001</v>
      </c>
      <c r="H824" s="485" t="s">
        <v>72</v>
      </c>
      <c r="I824" s="485"/>
      <c r="J824" s="485"/>
      <c r="K824" s="597" t="s">
        <v>250</v>
      </c>
      <c r="L824" s="485" t="s">
        <v>825</v>
      </c>
      <c r="N824" s="485"/>
    </row>
    <row r="825" spans="1:14" s="575" customFormat="1" x14ac:dyDescent="0.2">
      <c r="A825" s="578">
        <v>41797</v>
      </c>
      <c r="B825" s="628">
        <v>754</v>
      </c>
      <c r="C825" s="96" t="s">
        <v>69</v>
      </c>
      <c r="D825" s="597"/>
      <c r="E825" s="597">
        <v>16</v>
      </c>
      <c r="F825" s="600">
        <v>25454.53</v>
      </c>
      <c r="G825" s="601">
        <f>F825*2.26</f>
        <v>57527.237799999995</v>
      </c>
      <c r="H825" s="485" t="s">
        <v>113</v>
      </c>
      <c r="I825" s="485"/>
      <c r="J825" s="602">
        <v>41773</v>
      </c>
      <c r="K825" s="597" t="s">
        <v>384</v>
      </c>
      <c r="L825" s="602">
        <v>41865</v>
      </c>
      <c r="N825" s="485"/>
    </row>
    <row r="826" spans="1:14" s="575" customFormat="1" x14ac:dyDescent="0.2">
      <c r="A826" s="578">
        <v>41790</v>
      </c>
      <c r="B826" s="628">
        <v>751</v>
      </c>
      <c r="C826" s="96" t="s">
        <v>192</v>
      </c>
      <c r="D826" s="597"/>
      <c r="E826" s="597">
        <v>23</v>
      </c>
      <c r="F826" s="600">
        <v>22224.61</v>
      </c>
      <c r="G826" s="601">
        <f>F826*2.19</f>
        <v>48671.895900000003</v>
      </c>
      <c r="H826" s="485" t="s">
        <v>70</v>
      </c>
      <c r="I826" s="485"/>
      <c r="J826" s="602">
        <v>41776</v>
      </c>
      <c r="K826" s="597" t="s">
        <v>384</v>
      </c>
      <c r="L826" s="602">
        <v>41868</v>
      </c>
      <c r="N826" s="485"/>
    </row>
    <row r="827" spans="1:14" s="575" customFormat="1" x14ac:dyDescent="0.2">
      <c r="A827" s="578">
        <v>41856</v>
      </c>
      <c r="B827" s="640" t="s">
        <v>892</v>
      </c>
      <c r="C827" s="96" t="s">
        <v>304</v>
      </c>
      <c r="E827" s="637">
        <v>5</v>
      </c>
      <c r="F827" s="600">
        <v>11184.5</v>
      </c>
      <c r="G827" s="601">
        <f>F827*2.19</f>
        <v>24494.055</v>
      </c>
      <c r="H827" s="575" t="s">
        <v>70</v>
      </c>
      <c r="J827" s="578">
        <v>41772</v>
      </c>
      <c r="K827" s="597" t="s">
        <v>500</v>
      </c>
      <c r="L827" s="578">
        <v>41833</v>
      </c>
    </row>
    <row r="828" spans="1:14" s="575" customFormat="1" x14ac:dyDescent="0.2">
      <c r="A828" s="578">
        <v>41893</v>
      </c>
      <c r="B828" s="640" t="s">
        <v>908</v>
      </c>
      <c r="C828" s="96" t="s">
        <v>193</v>
      </c>
      <c r="D828" s="597"/>
      <c r="E828" s="597">
        <v>14</v>
      </c>
      <c r="F828" s="600">
        <v>8800</v>
      </c>
      <c r="G828" s="601">
        <f>F828*2.23</f>
        <v>19624</v>
      </c>
      <c r="H828" s="485" t="s">
        <v>330</v>
      </c>
      <c r="I828" s="485"/>
      <c r="J828" s="485"/>
      <c r="K828" s="597" t="s">
        <v>250</v>
      </c>
      <c r="L828" s="485"/>
      <c r="M828" s="575" t="s">
        <v>825</v>
      </c>
      <c r="N828" s="485"/>
    </row>
    <row r="829" spans="1:14" s="575" customFormat="1" x14ac:dyDescent="0.2">
      <c r="A829" s="578">
        <v>41928</v>
      </c>
      <c r="B829" s="621">
        <v>808</v>
      </c>
      <c r="C829" s="96" t="s">
        <v>870</v>
      </c>
      <c r="D829" s="96"/>
      <c r="E829" s="96">
        <v>1</v>
      </c>
      <c r="F829" s="178">
        <v>4189.5</v>
      </c>
      <c r="G829" s="576">
        <f>+F829*2.24</f>
        <v>9384.4800000000014</v>
      </c>
      <c r="H829" s="485" t="s">
        <v>70</v>
      </c>
      <c r="I829" s="577"/>
      <c r="J829" s="577"/>
      <c r="K829" s="96" t="s">
        <v>250</v>
      </c>
      <c r="L829" s="577"/>
      <c r="N829" s="485"/>
    </row>
    <row r="830" spans="1:14" s="575" customFormat="1" x14ac:dyDescent="0.2">
      <c r="A830" s="578">
        <v>41789</v>
      </c>
      <c r="B830" s="637">
        <v>749</v>
      </c>
      <c r="C830" s="96" t="s">
        <v>448</v>
      </c>
      <c r="D830" s="597"/>
      <c r="E830" s="597">
        <v>8</v>
      </c>
      <c r="F830" s="600">
        <v>6714.43</v>
      </c>
      <c r="G830" s="601">
        <f>+F830*2.26</f>
        <v>15174.611799999999</v>
      </c>
      <c r="H830" s="485" t="s">
        <v>72</v>
      </c>
      <c r="I830" s="485"/>
      <c r="J830" s="602">
        <v>41776</v>
      </c>
      <c r="K830" s="597" t="s">
        <v>500</v>
      </c>
      <c r="L830" s="602">
        <v>41837</v>
      </c>
      <c r="M830" s="684"/>
      <c r="N830" s="485"/>
    </row>
    <row r="831" spans="1:14" s="575" customFormat="1" x14ac:dyDescent="0.2">
      <c r="A831" s="578">
        <v>41874</v>
      </c>
      <c r="B831" s="637">
        <v>793</v>
      </c>
      <c r="C831" s="96" t="s">
        <v>66</v>
      </c>
      <c r="D831" s="96"/>
      <c r="E831" s="637">
        <v>13</v>
      </c>
      <c r="F831" s="600">
        <v>6025</v>
      </c>
      <c r="G831" s="601">
        <f>F831*2.3</f>
        <v>13857.499999999998</v>
      </c>
      <c r="H831" s="575" t="s">
        <v>330</v>
      </c>
      <c r="K831" s="637" t="s">
        <v>250</v>
      </c>
      <c r="M831" s="575" t="s">
        <v>902</v>
      </c>
    </row>
    <row r="832" spans="1:14" s="575" customFormat="1" x14ac:dyDescent="0.2">
      <c r="A832" s="578">
        <v>41856</v>
      </c>
      <c r="B832" s="640" t="s">
        <v>885</v>
      </c>
      <c r="C832" s="96" t="s">
        <v>493</v>
      </c>
      <c r="E832" s="637">
        <v>4</v>
      </c>
      <c r="F832" s="600">
        <v>10960.47</v>
      </c>
      <c r="G832" s="601">
        <f>F832*2.23</f>
        <v>24441.848099999999</v>
      </c>
      <c r="H832" s="575" t="s">
        <v>330</v>
      </c>
      <c r="J832" s="578">
        <v>41824</v>
      </c>
      <c r="K832" s="637" t="s">
        <v>500</v>
      </c>
      <c r="L832" s="578">
        <v>41886</v>
      </c>
    </row>
    <row r="833" spans="1:15" s="575" customFormat="1" x14ac:dyDescent="0.2">
      <c r="A833" s="578">
        <v>41838</v>
      </c>
      <c r="B833" s="640" t="s">
        <v>876</v>
      </c>
      <c r="C833" s="96" t="s">
        <v>177</v>
      </c>
      <c r="D833" s="597"/>
      <c r="E833" s="597">
        <v>12</v>
      </c>
      <c r="F833" s="600">
        <v>8326.4</v>
      </c>
      <c r="G833" s="601">
        <f>+F833*2.26</f>
        <v>18817.663999999997</v>
      </c>
      <c r="H833" s="485" t="s">
        <v>330</v>
      </c>
      <c r="I833" s="485"/>
      <c r="J833" s="602">
        <v>41825</v>
      </c>
      <c r="K833" s="597" t="s">
        <v>500</v>
      </c>
      <c r="L833" s="602">
        <v>41887</v>
      </c>
      <c r="N833" s="485"/>
    </row>
    <row r="834" spans="1:15" s="575" customFormat="1" x14ac:dyDescent="0.2">
      <c r="A834" s="578">
        <v>41801</v>
      </c>
      <c r="B834" s="637">
        <v>758</v>
      </c>
      <c r="C834" s="96" t="s">
        <v>767</v>
      </c>
      <c r="F834" s="600">
        <v>6043.8</v>
      </c>
      <c r="G834" s="601">
        <f>F834*2.19</f>
        <v>13235.922</v>
      </c>
      <c r="H834" s="575" t="s">
        <v>113</v>
      </c>
      <c r="J834" s="578">
        <v>41797</v>
      </c>
      <c r="K834" s="637" t="s">
        <v>500</v>
      </c>
      <c r="L834" s="578">
        <v>41858</v>
      </c>
      <c r="M834" s="713">
        <v>41909</v>
      </c>
    </row>
    <row r="835" spans="1:15" s="575" customFormat="1" x14ac:dyDescent="0.2">
      <c r="A835" s="578">
        <v>41836</v>
      </c>
      <c r="B835" s="640" t="s">
        <v>875</v>
      </c>
      <c r="C835" s="96" t="s">
        <v>298</v>
      </c>
      <c r="D835" s="597"/>
      <c r="E835" s="597">
        <v>2</v>
      </c>
      <c r="F835" s="600">
        <v>6122.1</v>
      </c>
      <c r="G835" s="600">
        <f>F835*2.23</f>
        <v>13652.283000000001</v>
      </c>
      <c r="H835" s="485" t="s">
        <v>330</v>
      </c>
      <c r="I835" s="485"/>
      <c r="J835" s="602">
        <v>41822</v>
      </c>
      <c r="K835" s="597" t="s">
        <v>607</v>
      </c>
      <c r="L835" s="602">
        <v>41884</v>
      </c>
      <c r="N835" s="485"/>
    </row>
    <row r="836" spans="1:15" s="575" customFormat="1" x14ac:dyDescent="0.2">
      <c r="A836" s="578">
        <v>41852</v>
      </c>
      <c r="B836" s="640" t="s">
        <v>879</v>
      </c>
      <c r="C836" s="96" t="s">
        <v>280</v>
      </c>
      <c r="D836" s="597"/>
      <c r="E836" s="597">
        <v>10</v>
      </c>
      <c r="F836" s="600">
        <v>6536.96</v>
      </c>
      <c r="G836" s="601">
        <f>F836*2.23</f>
        <v>14577.4208</v>
      </c>
      <c r="H836" s="485" t="s">
        <v>330</v>
      </c>
      <c r="I836" s="485"/>
      <c r="J836" s="602">
        <v>41823</v>
      </c>
      <c r="K836" s="597" t="s">
        <v>500</v>
      </c>
      <c r="L836" s="602">
        <v>41885</v>
      </c>
      <c r="N836" s="485"/>
    </row>
    <row r="837" spans="1:15" s="58" customFormat="1" x14ac:dyDescent="0.2">
      <c r="A837" s="596">
        <v>41856</v>
      </c>
      <c r="B837" s="640" t="s">
        <v>884</v>
      </c>
      <c r="C837" s="96" t="s">
        <v>185</v>
      </c>
      <c r="D837" s="96"/>
      <c r="E837" s="96">
        <v>12</v>
      </c>
      <c r="F837" s="178">
        <v>4765.8599999999997</v>
      </c>
      <c r="G837" s="576">
        <f>F837*2.25</f>
        <v>10723.184999999999</v>
      </c>
      <c r="H837" s="163" t="s">
        <v>330</v>
      </c>
      <c r="I837" s="577"/>
      <c r="J837" s="579">
        <v>41828</v>
      </c>
      <c r="K837" s="96" t="s">
        <v>500</v>
      </c>
      <c r="L837" s="579">
        <v>41890</v>
      </c>
      <c r="N837" s="163"/>
    </row>
    <row r="838" spans="1:15" s="58" customFormat="1" x14ac:dyDescent="0.2">
      <c r="A838" s="596">
        <v>41832</v>
      </c>
      <c r="B838" s="661">
        <v>770</v>
      </c>
      <c r="C838" s="96" t="s">
        <v>319</v>
      </c>
      <c r="E838" s="661">
        <v>12</v>
      </c>
      <c r="F838" s="600">
        <v>3850</v>
      </c>
      <c r="G838" s="600">
        <f>+F838*2.24</f>
        <v>8624</v>
      </c>
      <c r="H838" s="575" t="s">
        <v>72</v>
      </c>
      <c r="J838" s="596">
        <v>41793</v>
      </c>
      <c r="K838" s="637" t="s">
        <v>384</v>
      </c>
      <c r="L838" s="596">
        <v>41885</v>
      </c>
      <c r="M838" s="575" t="s">
        <v>840</v>
      </c>
    </row>
    <row r="839" spans="1:15" s="611" customFormat="1" x14ac:dyDescent="0.2">
      <c r="A839" s="607">
        <v>41776</v>
      </c>
      <c r="B839" s="628">
        <v>743</v>
      </c>
      <c r="C839" s="96" t="s">
        <v>49</v>
      </c>
      <c r="E839" s="628">
        <v>20</v>
      </c>
      <c r="F839" s="628">
        <v>6684.13</v>
      </c>
      <c r="G839" s="628">
        <f>F839*2.19</f>
        <v>14638.244699999999</v>
      </c>
      <c r="H839" s="611" t="s">
        <v>70</v>
      </c>
      <c r="J839" s="607">
        <v>41769</v>
      </c>
      <c r="K839" s="628" t="s">
        <v>384</v>
      </c>
      <c r="L839" s="607">
        <v>41861</v>
      </c>
      <c r="M839" s="713">
        <v>41892</v>
      </c>
    </row>
    <row r="840" spans="1:15" s="575" customFormat="1" x14ac:dyDescent="0.2">
      <c r="A840" s="578">
        <v>41800</v>
      </c>
      <c r="B840" s="640" t="s">
        <v>847</v>
      </c>
      <c r="C840" s="96" t="s">
        <v>180</v>
      </c>
      <c r="D840" s="597"/>
      <c r="E840" s="597">
        <v>13</v>
      </c>
      <c r="F840" s="600">
        <v>7492.58</v>
      </c>
      <c r="G840" s="601">
        <f>F840*2.236</f>
        <v>16753.408880000003</v>
      </c>
      <c r="H840" s="485" t="s">
        <v>72</v>
      </c>
      <c r="I840" s="485"/>
      <c r="J840" s="602">
        <v>41786</v>
      </c>
      <c r="K840" s="597" t="s">
        <v>500</v>
      </c>
      <c r="L840" s="602">
        <v>41873</v>
      </c>
      <c r="M840" s="713">
        <v>41904</v>
      </c>
      <c r="N840" s="485"/>
    </row>
    <row r="841" spans="1:15" s="575" customFormat="1" x14ac:dyDescent="0.2">
      <c r="A841" s="578">
        <v>41801</v>
      </c>
      <c r="B841" s="640">
        <v>756</v>
      </c>
      <c r="C841" s="96" t="s">
        <v>142</v>
      </c>
      <c r="E841" s="575">
        <v>10</v>
      </c>
      <c r="F841" s="600">
        <v>19873.5</v>
      </c>
      <c r="G841" s="601">
        <v>21761</v>
      </c>
      <c r="H841" s="575" t="s">
        <v>72</v>
      </c>
      <c r="J841" s="578">
        <v>41787</v>
      </c>
      <c r="K841" s="597" t="s">
        <v>384</v>
      </c>
      <c r="L841" s="578">
        <v>41879</v>
      </c>
      <c r="M841" s="575" t="s">
        <v>893</v>
      </c>
    </row>
    <row r="842" spans="1:15" s="575" customFormat="1" x14ac:dyDescent="0.2">
      <c r="A842" s="578">
        <v>41793</v>
      </c>
      <c r="B842" s="640">
        <v>755</v>
      </c>
      <c r="C842" s="96" t="s">
        <v>139</v>
      </c>
      <c r="D842" s="597"/>
      <c r="E842" s="597">
        <v>28</v>
      </c>
      <c r="F842" s="600">
        <v>28499.24</v>
      </c>
      <c r="G842" s="601">
        <v>32204</v>
      </c>
      <c r="H842" s="485" t="s">
        <v>70</v>
      </c>
      <c r="I842" s="485"/>
      <c r="J842" s="602">
        <v>41773</v>
      </c>
      <c r="K842" s="597" t="s">
        <v>384</v>
      </c>
      <c r="L842" s="602">
        <v>41865</v>
      </c>
      <c r="M842" s="712" t="s">
        <v>894</v>
      </c>
    </row>
    <row r="843" spans="1:15" s="575" customFormat="1" x14ac:dyDescent="0.2">
      <c r="A843" s="578">
        <v>41892</v>
      </c>
      <c r="B843" s="640">
        <v>799</v>
      </c>
      <c r="C843" s="96" t="s">
        <v>815</v>
      </c>
      <c r="D843" s="637"/>
      <c r="E843" s="597">
        <v>2</v>
      </c>
      <c r="F843" s="600">
        <v>19554.099999999999</v>
      </c>
      <c r="G843" s="601">
        <f>+F843*1.6</f>
        <v>31286.559999999998</v>
      </c>
      <c r="H843" s="575" t="s">
        <v>113</v>
      </c>
      <c r="J843" s="578"/>
      <c r="K843" s="597" t="s">
        <v>167</v>
      </c>
      <c r="L843" s="578">
        <v>41820</v>
      </c>
      <c r="M843" s="686" t="s">
        <v>825</v>
      </c>
    </row>
    <row r="844" spans="1:15" s="611" customFormat="1" x14ac:dyDescent="0.2">
      <c r="A844" s="607">
        <v>41705</v>
      </c>
      <c r="B844" s="612">
        <v>714</v>
      </c>
      <c r="C844" s="609" t="s">
        <v>301</v>
      </c>
      <c r="D844" s="612"/>
      <c r="E844" s="612">
        <v>6</v>
      </c>
      <c r="F844" s="688">
        <v>3740.9</v>
      </c>
      <c r="G844" s="688">
        <f>+F844*2.25</f>
        <v>8417.0249999999996</v>
      </c>
      <c r="H844" s="610" t="s">
        <v>113</v>
      </c>
      <c r="I844" s="610"/>
      <c r="J844" s="689">
        <v>41694</v>
      </c>
      <c r="K844" s="612" t="s">
        <v>500</v>
      </c>
      <c r="L844" s="607">
        <v>41925</v>
      </c>
      <c r="M844" s="767"/>
      <c r="N844" s="610"/>
      <c r="O844" s="607"/>
    </row>
    <row r="845" spans="1:15" s="575" customFormat="1" x14ac:dyDescent="0.2">
      <c r="A845" s="578">
        <v>41757</v>
      </c>
      <c r="B845" s="637">
        <v>747</v>
      </c>
      <c r="C845" s="96" t="s">
        <v>603</v>
      </c>
      <c r="E845" s="637">
        <v>6</v>
      </c>
      <c r="F845" s="637">
        <v>9804.16</v>
      </c>
      <c r="G845" s="637">
        <f>F845*2.19</f>
        <v>21471.110399999998</v>
      </c>
      <c r="H845" s="575" t="s">
        <v>330</v>
      </c>
      <c r="J845" s="578">
        <v>41772</v>
      </c>
      <c r="K845" s="637" t="s">
        <v>384</v>
      </c>
      <c r="L845" s="578">
        <v>41864</v>
      </c>
      <c r="M845" s="578">
        <v>41905</v>
      </c>
    </row>
    <row r="846" spans="1:15" s="575" customFormat="1" x14ac:dyDescent="0.2">
      <c r="A846" s="578">
        <v>41807</v>
      </c>
      <c r="B846" s="640">
        <v>763</v>
      </c>
      <c r="C846" s="612" t="s">
        <v>826</v>
      </c>
      <c r="D846" s="597"/>
      <c r="E846" s="597">
        <v>4</v>
      </c>
      <c r="F846" s="600">
        <v>19000</v>
      </c>
      <c r="G846" s="644">
        <f>F846*2.19</f>
        <v>41610</v>
      </c>
      <c r="H846" s="485" t="s">
        <v>113</v>
      </c>
      <c r="I846" s="485"/>
      <c r="J846" s="485"/>
      <c r="K846" s="597" t="s">
        <v>821</v>
      </c>
      <c r="L846" s="602">
        <v>41876</v>
      </c>
      <c r="N846" s="485"/>
    </row>
    <row r="847" spans="1:15" s="575" customFormat="1" x14ac:dyDescent="0.2">
      <c r="A847" s="578">
        <v>41781</v>
      </c>
      <c r="B847" s="637">
        <v>745</v>
      </c>
      <c r="C847" s="612" t="s">
        <v>173</v>
      </c>
      <c r="E847" s="637">
        <v>14</v>
      </c>
      <c r="F847" s="600">
        <v>3544.56</v>
      </c>
      <c r="G847" s="644">
        <f>F847*2.19</f>
        <v>7762.5864000000001</v>
      </c>
      <c r="H847" s="575" t="s">
        <v>113</v>
      </c>
      <c r="J847" s="578">
        <v>41769</v>
      </c>
      <c r="K847" s="637" t="s">
        <v>384</v>
      </c>
      <c r="L847" s="578">
        <v>41861</v>
      </c>
      <c r="M847" s="578">
        <v>41892</v>
      </c>
    </row>
    <row r="848" spans="1:15" s="575" customFormat="1" x14ac:dyDescent="0.2">
      <c r="A848" s="578">
        <v>41830</v>
      </c>
      <c r="B848" s="597">
        <v>769</v>
      </c>
      <c r="C848" s="628" t="s">
        <v>248</v>
      </c>
      <c r="E848" s="637">
        <v>8</v>
      </c>
      <c r="F848" s="600">
        <v>9466.98</v>
      </c>
      <c r="G848" s="644">
        <f>F848*2.26</f>
        <v>21395.374799999998</v>
      </c>
      <c r="H848" s="575" t="s">
        <v>113</v>
      </c>
      <c r="J848" s="578">
        <v>41815</v>
      </c>
      <c r="K848" s="597" t="s">
        <v>384</v>
      </c>
      <c r="L848" s="578">
        <v>41907</v>
      </c>
    </row>
    <row r="849" spans="1:29" s="575" customFormat="1" x14ac:dyDescent="0.2">
      <c r="A849" s="578">
        <v>41865</v>
      </c>
      <c r="B849" s="637">
        <v>790</v>
      </c>
      <c r="C849" s="612" t="s">
        <v>247</v>
      </c>
      <c r="E849" s="637">
        <v>7</v>
      </c>
      <c r="F849" s="600">
        <v>4249.2</v>
      </c>
      <c r="G849" s="600">
        <f>F849*2.3</f>
        <v>9773.159999999998</v>
      </c>
      <c r="H849" s="575" t="s">
        <v>113</v>
      </c>
      <c r="J849" s="578">
        <v>41789</v>
      </c>
      <c r="K849" s="637" t="s">
        <v>384</v>
      </c>
      <c r="L849" s="578">
        <v>41927</v>
      </c>
    </row>
    <row r="850" spans="1:29" s="575" customFormat="1" x14ac:dyDescent="0.2">
      <c r="A850" s="578">
        <v>41801</v>
      </c>
      <c r="B850" s="640">
        <v>756</v>
      </c>
      <c r="C850" s="612" t="s">
        <v>142</v>
      </c>
      <c r="E850" s="575">
        <v>10</v>
      </c>
      <c r="F850" s="600">
        <v>19873.5</v>
      </c>
      <c r="G850" s="601">
        <v>21761</v>
      </c>
      <c r="H850" s="575" t="s">
        <v>72</v>
      </c>
      <c r="J850" s="578">
        <v>41787</v>
      </c>
      <c r="K850" s="597" t="s">
        <v>384</v>
      </c>
      <c r="L850" s="578">
        <v>41879</v>
      </c>
      <c r="M850" s="575" t="s">
        <v>893</v>
      </c>
    </row>
    <row r="851" spans="1:29" s="575" customFormat="1" x14ac:dyDescent="0.2">
      <c r="A851" s="578">
        <v>41858</v>
      </c>
      <c r="B851" s="640">
        <v>783</v>
      </c>
      <c r="C851" s="612" t="s">
        <v>64</v>
      </c>
      <c r="D851" s="96"/>
      <c r="E851" s="96">
        <v>15</v>
      </c>
      <c r="F851" s="178">
        <v>5063.95</v>
      </c>
      <c r="G851" s="576">
        <f>F851*2.24</f>
        <v>11343.248000000001</v>
      </c>
      <c r="H851" s="485" t="s">
        <v>72</v>
      </c>
      <c r="I851" s="577"/>
      <c r="J851" s="579">
        <v>41837</v>
      </c>
      <c r="K851" s="96" t="s">
        <v>384</v>
      </c>
      <c r="L851" s="579">
        <v>41929</v>
      </c>
      <c r="N851" s="485"/>
    </row>
    <row r="852" spans="1:29" s="58" customFormat="1" x14ac:dyDescent="0.2">
      <c r="A852" s="596">
        <v>41865</v>
      </c>
      <c r="B852" s="96">
        <v>789</v>
      </c>
      <c r="C852" s="612" t="s">
        <v>173</v>
      </c>
      <c r="D852" s="575"/>
      <c r="E852" s="96">
        <v>15</v>
      </c>
      <c r="F852" s="178">
        <v>4431.4399999999996</v>
      </c>
      <c r="G852" s="576">
        <f>F852*2.3</f>
        <v>10192.311999999998</v>
      </c>
      <c r="H852" s="485" t="s">
        <v>330</v>
      </c>
      <c r="I852" s="577"/>
      <c r="J852" s="579">
        <v>41844</v>
      </c>
      <c r="K852" s="96" t="s">
        <v>384</v>
      </c>
      <c r="L852" s="579">
        <v>41936</v>
      </c>
      <c r="N852" s="163"/>
    </row>
    <row r="853" spans="1:29" s="575" customFormat="1" x14ac:dyDescent="0.2">
      <c r="A853" s="578">
        <v>41947</v>
      </c>
      <c r="B853" s="621">
        <v>813</v>
      </c>
      <c r="C853" s="612" t="s">
        <v>192</v>
      </c>
      <c r="D853" s="96"/>
      <c r="E853" s="96">
        <v>24</v>
      </c>
      <c r="F853" s="178">
        <v>15149.63</v>
      </c>
      <c r="G853" s="576">
        <f>F853*2.3</f>
        <v>34844.148999999998</v>
      </c>
      <c r="H853" s="485" t="s">
        <v>72</v>
      </c>
      <c r="I853" s="577"/>
      <c r="J853" s="577"/>
      <c r="K853" s="96" t="s">
        <v>250</v>
      </c>
      <c r="L853" s="577"/>
      <c r="N853" s="485"/>
    </row>
    <row r="854" spans="1:29" s="575" customFormat="1" x14ac:dyDescent="0.2">
      <c r="A854" s="578">
        <v>41831</v>
      </c>
      <c r="B854" s="640" t="s">
        <v>873</v>
      </c>
      <c r="C854" s="597" t="s">
        <v>212</v>
      </c>
      <c r="D854" s="597"/>
      <c r="E854" s="597">
        <v>22</v>
      </c>
      <c r="F854" s="600">
        <v>9900.15</v>
      </c>
      <c r="G854" s="601">
        <f>F854*2.3</f>
        <v>22770.344999999998</v>
      </c>
      <c r="H854" s="485" t="s">
        <v>72</v>
      </c>
      <c r="I854" s="485"/>
      <c r="J854" s="602">
        <v>41813</v>
      </c>
      <c r="K854" s="597" t="s">
        <v>384</v>
      </c>
      <c r="L854" s="602">
        <v>41905</v>
      </c>
      <c r="M854" s="597" t="s">
        <v>719</v>
      </c>
      <c r="N854" s="485"/>
      <c r="O854" s="578">
        <v>41998</v>
      </c>
    </row>
    <row r="855" spans="1:29" s="575" customFormat="1" ht="14.25" customHeight="1" x14ac:dyDescent="0.2">
      <c r="A855" s="578">
        <v>41645</v>
      </c>
      <c r="B855" s="597">
        <v>703</v>
      </c>
      <c r="C855" s="597" t="s">
        <v>766</v>
      </c>
      <c r="D855" s="597"/>
      <c r="E855" s="597">
        <v>33</v>
      </c>
      <c r="F855" s="597">
        <v>55117.82</v>
      </c>
      <c r="G855" s="600">
        <f>F855*2.29</f>
        <v>126219.8078</v>
      </c>
      <c r="H855" s="485" t="s">
        <v>330</v>
      </c>
      <c r="I855" s="485"/>
      <c r="J855" s="602">
        <v>41615</v>
      </c>
      <c r="K855" s="597" t="s">
        <v>250</v>
      </c>
      <c r="L855" s="602">
        <v>41907</v>
      </c>
      <c r="M855" s="637" t="s">
        <v>890</v>
      </c>
      <c r="N855" s="485"/>
      <c r="O855" s="578">
        <v>41939</v>
      </c>
      <c r="P855" s="787"/>
      <c r="Q855" s="787"/>
      <c r="S855" s="787"/>
      <c r="T855" s="787"/>
      <c r="U855" s="787"/>
      <c r="W855" s="787"/>
      <c r="X855" s="787"/>
      <c r="Y855" s="787"/>
      <c r="AA855" s="787"/>
      <c r="AB855" s="787"/>
      <c r="AC855" s="787"/>
    </row>
    <row r="856" spans="1:29" s="575" customFormat="1" x14ac:dyDescent="0.2">
      <c r="A856" s="578">
        <v>41856</v>
      </c>
      <c r="B856" s="640">
        <v>781</v>
      </c>
      <c r="C856" s="597" t="s">
        <v>715</v>
      </c>
      <c r="D856" s="597"/>
      <c r="E856" s="597">
        <v>5</v>
      </c>
      <c r="F856" s="600">
        <v>3751.5</v>
      </c>
      <c r="G856" s="601">
        <f>+F856*2.24</f>
        <v>8403.36</v>
      </c>
      <c r="H856" s="485" t="s">
        <v>330</v>
      </c>
      <c r="I856" s="485"/>
      <c r="J856" s="602">
        <v>41832</v>
      </c>
      <c r="K856" s="597" t="s">
        <v>384</v>
      </c>
      <c r="L856" s="602">
        <v>41924</v>
      </c>
      <c r="N856" s="485"/>
    </row>
    <row r="857" spans="1:29" s="575" customFormat="1" x14ac:dyDescent="0.2">
      <c r="A857" s="578">
        <v>41793</v>
      </c>
      <c r="B857" s="640">
        <v>755</v>
      </c>
      <c r="C857" s="597" t="s">
        <v>139</v>
      </c>
      <c r="D857" s="597"/>
      <c r="E857" s="597">
        <v>28</v>
      </c>
      <c r="F857" s="600">
        <v>28499.24</v>
      </c>
      <c r="G857" s="601">
        <v>32408</v>
      </c>
      <c r="H857" s="485" t="s">
        <v>70</v>
      </c>
      <c r="I857" s="485"/>
      <c r="J857" s="602">
        <v>41773</v>
      </c>
      <c r="K857" s="597" t="s">
        <v>384</v>
      </c>
      <c r="L857" s="602">
        <v>41865</v>
      </c>
      <c r="M857" s="712" t="s">
        <v>894</v>
      </c>
    </row>
    <row r="858" spans="1:29" s="575" customFormat="1" x14ac:dyDescent="0.2">
      <c r="A858" s="578">
        <v>41824</v>
      </c>
      <c r="B858" s="597">
        <v>768</v>
      </c>
      <c r="C858" s="597" t="s">
        <v>338</v>
      </c>
      <c r="D858" s="597"/>
      <c r="E858" s="597">
        <v>8</v>
      </c>
      <c r="F858" s="600">
        <v>26842.83</v>
      </c>
      <c r="G858" s="600">
        <f>F858*2.3</f>
        <v>61738.508999999998</v>
      </c>
      <c r="H858" s="485" t="s">
        <v>330</v>
      </c>
      <c r="I858" s="485"/>
      <c r="K858" s="597" t="s">
        <v>811</v>
      </c>
      <c r="L858" s="602">
        <v>41947</v>
      </c>
      <c r="M858" s="597" t="s">
        <v>890</v>
      </c>
      <c r="N858" s="485"/>
    </row>
    <row r="859" spans="1:29" s="575" customFormat="1" x14ac:dyDescent="0.2">
      <c r="A859" s="578">
        <v>41928</v>
      </c>
      <c r="B859" s="640">
        <v>807</v>
      </c>
      <c r="C859" s="597" t="s">
        <v>843</v>
      </c>
      <c r="D859" s="597"/>
      <c r="E859" s="597">
        <v>1</v>
      </c>
      <c r="F859" s="600">
        <v>7143</v>
      </c>
      <c r="G859" s="601">
        <f>+F859*2.3</f>
        <v>16428.899999999998</v>
      </c>
      <c r="H859" s="485" t="s">
        <v>330</v>
      </c>
      <c r="I859" s="485"/>
      <c r="J859" s="485"/>
      <c r="K859" s="597" t="s">
        <v>250</v>
      </c>
      <c r="L859" s="485"/>
      <c r="N859" s="485"/>
    </row>
    <row r="860" spans="1:29" s="575" customFormat="1" x14ac:dyDescent="0.2">
      <c r="A860" s="578">
        <v>41928</v>
      </c>
      <c r="B860" s="621" t="s">
        <v>919</v>
      </c>
      <c r="C860" s="597" t="s">
        <v>208</v>
      </c>
      <c r="D860" s="96"/>
      <c r="E860" s="96">
        <v>13</v>
      </c>
      <c r="F860" s="178">
        <v>3760.64</v>
      </c>
      <c r="G860" s="644">
        <f>+F860*2.24</f>
        <v>8423.8335999999999</v>
      </c>
      <c r="H860" s="485" t="s">
        <v>113</v>
      </c>
      <c r="I860" s="577"/>
      <c r="J860" s="602">
        <v>41885</v>
      </c>
      <c r="K860" s="597" t="s">
        <v>500</v>
      </c>
      <c r="L860" s="602">
        <v>41946</v>
      </c>
      <c r="M860" s="578"/>
      <c r="N860" s="485"/>
    </row>
    <row r="861" spans="1:29" s="575" customFormat="1" x14ac:dyDescent="0.2">
      <c r="A861" s="578">
        <v>41865</v>
      </c>
      <c r="B861" s="637">
        <v>791</v>
      </c>
      <c r="C861" s="597" t="s">
        <v>742</v>
      </c>
      <c r="E861" s="637">
        <v>3</v>
      </c>
      <c r="F861" s="600">
        <v>11606.8</v>
      </c>
      <c r="G861" s="601">
        <f>F861*1.87</f>
        <v>21704.716</v>
      </c>
      <c r="H861" s="575" t="s">
        <v>72</v>
      </c>
      <c r="K861" s="637" t="s">
        <v>167</v>
      </c>
      <c r="L861" s="578">
        <v>41960</v>
      </c>
      <c r="M861" s="575" t="s">
        <v>719</v>
      </c>
    </row>
    <row r="862" spans="1:29" s="575" customFormat="1" x14ac:dyDescent="0.2">
      <c r="A862" s="578">
        <v>41695</v>
      </c>
      <c r="B862" s="597">
        <v>711</v>
      </c>
      <c r="C862" s="597" t="s">
        <v>603</v>
      </c>
      <c r="D862" s="597"/>
      <c r="E862" s="597">
        <v>5</v>
      </c>
      <c r="F862" s="600">
        <v>9668.5300000000007</v>
      </c>
      <c r="G862" s="600">
        <f>F862*2.3</f>
        <v>22237.618999999999</v>
      </c>
      <c r="H862" s="485" t="s">
        <v>72</v>
      </c>
      <c r="I862" s="485"/>
      <c r="J862" s="602">
        <v>41682</v>
      </c>
      <c r="K862" s="597" t="s">
        <v>384</v>
      </c>
      <c r="L862" s="602">
        <v>41962</v>
      </c>
      <c r="M862" s="637" t="s">
        <v>890</v>
      </c>
      <c r="N862" s="485"/>
      <c r="O862" s="578"/>
    </row>
    <row r="863" spans="1:29" s="575" customFormat="1" x14ac:dyDescent="0.2">
      <c r="A863" s="578">
        <v>41856</v>
      </c>
      <c r="B863" s="640" t="s">
        <v>883</v>
      </c>
      <c r="C863" s="597" t="s">
        <v>713</v>
      </c>
      <c r="D863" s="597"/>
      <c r="E863" s="597">
        <v>4</v>
      </c>
      <c r="F863" s="600">
        <v>6747.46</v>
      </c>
      <c r="G863" s="601">
        <f>F863*2.23</f>
        <v>15046.835800000001</v>
      </c>
      <c r="H863" s="485" t="s">
        <v>330</v>
      </c>
      <c r="I863" s="485"/>
      <c r="J863" s="602">
        <v>41830</v>
      </c>
      <c r="K863" s="597" t="s">
        <v>384</v>
      </c>
      <c r="L863" s="602">
        <v>41922</v>
      </c>
      <c r="N863" s="485"/>
    </row>
    <row r="864" spans="1:29" s="611" customFormat="1" x14ac:dyDescent="0.2">
      <c r="A864" s="607">
        <v>41920</v>
      </c>
      <c r="B864" s="773">
        <v>802</v>
      </c>
      <c r="C864" s="612" t="s">
        <v>341</v>
      </c>
      <c r="D864" s="609"/>
      <c r="E864" s="612">
        <v>2</v>
      </c>
      <c r="F864" s="688">
        <v>5748.3</v>
      </c>
      <c r="G864" s="774">
        <f>F864*2.24</f>
        <v>12876.192000000001</v>
      </c>
      <c r="H864" s="610" t="s">
        <v>330</v>
      </c>
      <c r="I864" s="626"/>
      <c r="J864" s="627">
        <v>41893</v>
      </c>
      <c r="K864" s="609" t="s">
        <v>889</v>
      </c>
      <c r="L864" s="627">
        <v>41954</v>
      </c>
      <c r="N864" s="610"/>
    </row>
    <row r="865" spans="1:17" s="652" customFormat="1" x14ac:dyDescent="0.2">
      <c r="A865" s="649">
        <v>41695</v>
      </c>
      <c r="B865" s="646">
        <v>712</v>
      </c>
      <c r="C865" s="805" t="s">
        <v>49</v>
      </c>
      <c r="D865" s="646"/>
      <c r="E865" s="646">
        <v>19</v>
      </c>
      <c r="F865" s="650">
        <v>16087.56</v>
      </c>
      <c r="G865" s="650">
        <f>F865*2.3</f>
        <v>37001.387999999999</v>
      </c>
      <c r="H865" s="573" t="s">
        <v>70</v>
      </c>
      <c r="I865" s="573"/>
      <c r="J865" s="651">
        <v>41683</v>
      </c>
      <c r="K865" s="646" t="s">
        <v>384</v>
      </c>
      <c r="L865" s="651">
        <v>41960</v>
      </c>
      <c r="M865" s="658" t="s">
        <v>890</v>
      </c>
      <c r="N865" s="573"/>
      <c r="O865" s="649"/>
    </row>
    <row r="866" spans="1:17" s="652" customFormat="1" x14ac:dyDescent="0.2">
      <c r="A866" s="649">
        <v>41743</v>
      </c>
      <c r="B866" s="646">
        <v>730</v>
      </c>
      <c r="C866" s="646" t="s">
        <v>166</v>
      </c>
      <c r="D866" s="646"/>
      <c r="E866" s="646">
        <v>34</v>
      </c>
      <c r="F866" s="650">
        <v>54032.08</v>
      </c>
      <c r="G866" s="650">
        <f>+F866*2.3</f>
        <v>124273.784</v>
      </c>
      <c r="H866" s="573" t="s">
        <v>330</v>
      </c>
      <c r="I866" s="573"/>
      <c r="J866" s="651"/>
      <c r="K866" s="646" t="s">
        <v>250</v>
      </c>
      <c r="L866" s="649">
        <v>41941</v>
      </c>
      <c r="M866" s="684" t="s">
        <v>890</v>
      </c>
      <c r="N866" s="573"/>
      <c r="O866" s="649">
        <v>41972</v>
      </c>
    </row>
    <row r="867" spans="1:17" s="611" customFormat="1" x14ac:dyDescent="0.2">
      <c r="A867" s="607">
        <v>41920</v>
      </c>
      <c r="B867" s="612">
        <v>801</v>
      </c>
      <c r="C867" s="612" t="s">
        <v>198</v>
      </c>
      <c r="D867" s="609"/>
      <c r="E867" s="612">
        <v>15</v>
      </c>
      <c r="F867" s="688">
        <v>6960</v>
      </c>
      <c r="G867" s="774">
        <f>F867*2.24</f>
        <v>15590.400000000001</v>
      </c>
      <c r="H867" s="610" t="s">
        <v>72</v>
      </c>
      <c r="I867" s="626"/>
      <c r="J867" s="627">
        <v>41905</v>
      </c>
      <c r="K867" s="609" t="s">
        <v>500</v>
      </c>
      <c r="L867" s="627">
        <v>41966</v>
      </c>
      <c r="N867" s="610"/>
    </row>
    <row r="868" spans="1:17" s="652" customFormat="1" x14ac:dyDescent="0.2">
      <c r="A868" s="649">
        <v>41807</v>
      </c>
      <c r="B868" s="646">
        <v>761</v>
      </c>
      <c r="C868" s="646" t="s">
        <v>681</v>
      </c>
      <c r="D868" s="646"/>
      <c r="E868" s="646">
        <v>5</v>
      </c>
      <c r="F868" s="650">
        <v>25771.200000000001</v>
      </c>
      <c r="G868" s="650">
        <f>+F868*1.8</f>
        <v>46388.160000000003</v>
      </c>
      <c r="H868" s="573" t="s">
        <v>72</v>
      </c>
      <c r="I868" s="573"/>
      <c r="J868" s="573"/>
      <c r="K868" s="646" t="s">
        <v>167</v>
      </c>
      <c r="L868" s="649">
        <v>41891</v>
      </c>
      <c r="M868" s="646" t="s">
        <v>719</v>
      </c>
      <c r="O868" s="652" t="s">
        <v>890</v>
      </c>
      <c r="P868" s="651">
        <v>41974</v>
      </c>
      <c r="Q868" s="573"/>
    </row>
    <row r="869" spans="1:17" s="483" customFormat="1" x14ac:dyDescent="0.2">
      <c r="A869" s="569">
        <v>41970</v>
      </c>
      <c r="B869" s="93">
        <v>817</v>
      </c>
      <c r="C869" s="478" t="s">
        <v>243</v>
      </c>
      <c r="D869" s="478"/>
      <c r="E869" s="478">
        <v>12</v>
      </c>
      <c r="F869" s="641">
        <v>4370</v>
      </c>
      <c r="G869" s="792">
        <f>+F869*2.29</f>
        <v>10007.299999999999</v>
      </c>
      <c r="H869" s="482" t="s">
        <v>72</v>
      </c>
      <c r="I869" s="86"/>
      <c r="J869" s="86"/>
      <c r="K869" s="93" t="s">
        <v>250</v>
      </c>
      <c r="L869" s="86"/>
      <c r="N869" s="482"/>
    </row>
    <row r="870" spans="1:17" s="575" customFormat="1" x14ac:dyDescent="0.2">
      <c r="A870" s="578">
        <v>41879</v>
      </c>
      <c r="B870" s="621">
        <v>795</v>
      </c>
      <c r="C870" s="597" t="s">
        <v>49</v>
      </c>
      <c r="D870" s="96"/>
      <c r="E870" s="96">
        <v>21</v>
      </c>
      <c r="F870" s="178">
        <v>12497.6</v>
      </c>
      <c r="G870" s="804">
        <f>+F870*2.24</f>
        <v>27994.624000000003</v>
      </c>
      <c r="H870" s="485" t="s">
        <v>113</v>
      </c>
      <c r="I870" s="577"/>
      <c r="J870" s="579">
        <v>41853</v>
      </c>
      <c r="K870" s="96" t="s">
        <v>384</v>
      </c>
      <c r="L870" s="579">
        <v>41945</v>
      </c>
      <c r="M870" s="578">
        <v>41975</v>
      </c>
      <c r="N870" s="485"/>
    </row>
    <row r="871" spans="1:17" s="575" customFormat="1" x14ac:dyDescent="0.2">
      <c r="A871" s="578">
        <v>41935</v>
      </c>
      <c r="B871" s="637">
        <v>811</v>
      </c>
      <c r="C871" s="597" t="s">
        <v>748</v>
      </c>
      <c r="E871" s="96">
        <v>19</v>
      </c>
      <c r="F871" s="178">
        <v>8920.4699999999993</v>
      </c>
      <c r="G871" s="804">
        <f>+F871*2.3</f>
        <v>20517.080999999998</v>
      </c>
      <c r="H871" s="575" t="s">
        <v>330</v>
      </c>
      <c r="J871" s="578">
        <v>41916</v>
      </c>
      <c r="K871" s="637" t="s">
        <v>500</v>
      </c>
      <c r="L871" s="578">
        <v>41977</v>
      </c>
    </row>
    <row r="872" spans="1:17" s="611" customFormat="1" x14ac:dyDescent="0.2">
      <c r="A872" s="607">
        <v>41908</v>
      </c>
      <c r="B872" s="628">
        <v>804</v>
      </c>
      <c r="C872" s="612" t="s">
        <v>814</v>
      </c>
      <c r="E872" s="609">
        <v>6</v>
      </c>
      <c r="F872" s="625">
        <v>5875</v>
      </c>
      <c r="G872" s="804">
        <f>F872*2.24</f>
        <v>13160.000000000002</v>
      </c>
      <c r="H872" s="611" t="s">
        <v>330</v>
      </c>
      <c r="J872" s="607">
        <v>41891</v>
      </c>
      <c r="K872" s="609" t="s">
        <v>384</v>
      </c>
      <c r="L872" s="607">
        <v>41982</v>
      </c>
    </row>
    <row r="873" spans="1:17" s="652" customFormat="1" x14ac:dyDescent="0.2">
      <c r="A873" s="649">
        <v>41806</v>
      </c>
      <c r="B873" s="657">
        <v>760</v>
      </c>
      <c r="C873" s="658" t="s">
        <v>612</v>
      </c>
      <c r="E873" s="658">
        <v>4</v>
      </c>
      <c r="F873" s="650">
        <v>15390</v>
      </c>
      <c r="G873" s="659">
        <f>+F873*1.6</f>
        <v>24624</v>
      </c>
      <c r="H873" s="652" t="s">
        <v>113</v>
      </c>
      <c r="J873" s="649"/>
      <c r="K873" s="658" t="s">
        <v>167</v>
      </c>
      <c r="L873" s="649">
        <v>41899</v>
      </c>
      <c r="M873" s="660" t="s">
        <v>719</v>
      </c>
      <c r="O873" s="649" t="s">
        <v>890</v>
      </c>
      <c r="P873" s="649">
        <v>41989</v>
      </c>
    </row>
    <row r="874" spans="1:17" s="652" customFormat="1" x14ac:dyDescent="0.2">
      <c r="A874" s="649">
        <v>41878</v>
      </c>
      <c r="B874" s="752" t="s">
        <v>906</v>
      </c>
      <c r="C874" s="646" t="s">
        <v>836</v>
      </c>
      <c r="D874" s="646"/>
      <c r="E874" s="646">
        <v>1</v>
      </c>
      <c r="F874" s="650">
        <v>109640.86</v>
      </c>
      <c r="G874" s="659">
        <v>81666</v>
      </c>
      <c r="H874" s="573" t="s">
        <v>113</v>
      </c>
      <c r="I874" s="573"/>
      <c r="J874" s="573"/>
      <c r="K874" s="646" t="s">
        <v>839</v>
      </c>
      <c r="L874" s="573" t="s">
        <v>719</v>
      </c>
      <c r="M874" s="649">
        <v>41981</v>
      </c>
      <c r="N874" s="573"/>
      <c r="O874" s="649">
        <v>42071</v>
      </c>
    </row>
    <row r="875" spans="1:17" s="575" customFormat="1" x14ac:dyDescent="0.2">
      <c r="A875" s="578">
        <v>41928</v>
      </c>
      <c r="B875" s="637">
        <v>809</v>
      </c>
      <c r="C875" s="597" t="s">
        <v>172</v>
      </c>
      <c r="E875" s="597">
        <v>20</v>
      </c>
      <c r="F875" s="600">
        <v>6178.05</v>
      </c>
      <c r="G875" s="672">
        <f>+F875*2.3</f>
        <v>14209.514999999999</v>
      </c>
      <c r="H875" s="575" t="s">
        <v>330</v>
      </c>
      <c r="J875" s="578">
        <v>41909</v>
      </c>
      <c r="K875" s="637" t="s">
        <v>384</v>
      </c>
      <c r="L875" s="578">
        <v>42000</v>
      </c>
    </row>
    <row r="876" spans="1:17" s="575" customFormat="1" x14ac:dyDescent="0.2">
      <c r="A876" s="578">
        <v>41951</v>
      </c>
      <c r="B876" s="637">
        <v>816</v>
      </c>
      <c r="C876" s="597" t="s">
        <v>180</v>
      </c>
      <c r="E876" s="597">
        <v>14</v>
      </c>
      <c r="F876" s="600">
        <v>9612.85</v>
      </c>
      <c r="G876" s="804">
        <f>F876*2.3</f>
        <v>22109.555</v>
      </c>
      <c r="H876" s="575" t="s">
        <v>330</v>
      </c>
      <c r="J876" s="578">
        <v>41912</v>
      </c>
      <c r="K876" s="637" t="s">
        <v>500</v>
      </c>
      <c r="L876" s="578">
        <v>41973</v>
      </c>
      <c r="O876" s="578">
        <v>42003</v>
      </c>
    </row>
    <row r="877" spans="1:17" s="58" customFormat="1" x14ac:dyDescent="0.2">
      <c r="A877" s="596">
        <v>41925</v>
      </c>
      <c r="B877" s="661">
        <v>806</v>
      </c>
      <c r="C877" s="597" t="s">
        <v>478</v>
      </c>
      <c r="E877" s="96">
        <v>8</v>
      </c>
      <c r="F877" s="178">
        <v>3572.99</v>
      </c>
      <c r="G877" s="661">
        <f>+F877*2.3</f>
        <v>8217.8769999999986</v>
      </c>
      <c r="H877" s="575" t="s">
        <v>72</v>
      </c>
      <c r="J877" s="596">
        <v>41912</v>
      </c>
      <c r="K877" s="597" t="s">
        <v>384</v>
      </c>
      <c r="L877" s="596">
        <v>42004</v>
      </c>
      <c r="O877" s="596">
        <v>42004</v>
      </c>
    </row>
    <row r="878" spans="1:17" s="652" customFormat="1" x14ac:dyDescent="0.2">
      <c r="A878" s="649">
        <v>41878</v>
      </c>
      <c r="B878" s="752" t="s">
        <v>906</v>
      </c>
      <c r="C878" s="646" t="s">
        <v>836</v>
      </c>
      <c r="D878" s="646"/>
      <c r="E878" s="646">
        <v>1</v>
      </c>
      <c r="F878" s="650">
        <v>109640.86</v>
      </c>
      <c r="G878" s="659">
        <v>81666</v>
      </c>
      <c r="H878" s="573" t="s">
        <v>113</v>
      </c>
      <c r="I878" s="573"/>
      <c r="J878" s="573"/>
      <c r="K878" s="646" t="s">
        <v>839</v>
      </c>
      <c r="L878" s="573" t="s">
        <v>719</v>
      </c>
      <c r="M878" s="649" t="s">
        <v>904</v>
      </c>
      <c r="N878" s="573"/>
      <c r="O878" s="649">
        <v>42005</v>
      </c>
    </row>
    <row r="879" spans="1:17" s="652" customFormat="1" x14ac:dyDescent="0.2">
      <c r="A879" s="649">
        <v>41769</v>
      </c>
      <c r="B879" s="658">
        <v>741</v>
      </c>
      <c r="C879" s="646" t="s">
        <v>187</v>
      </c>
      <c r="E879" s="658">
        <v>12</v>
      </c>
      <c r="F879" s="658">
        <v>7922.03</v>
      </c>
      <c r="G879" s="658">
        <f>F879*2.19</f>
        <v>17349.245699999999</v>
      </c>
      <c r="H879" s="652" t="s">
        <v>113</v>
      </c>
      <c r="J879" s="649">
        <v>41753</v>
      </c>
      <c r="K879" s="646" t="s">
        <v>384</v>
      </c>
      <c r="L879" s="649">
        <v>41915</v>
      </c>
      <c r="M879" s="684" t="s">
        <v>719</v>
      </c>
      <c r="O879" s="649">
        <v>42006</v>
      </c>
      <c r="P879" s="652" t="s">
        <v>909</v>
      </c>
    </row>
    <row r="880" spans="1:17" s="652" customFormat="1" x14ac:dyDescent="0.2">
      <c r="A880" s="649">
        <v>41814</v>
      </c>
      <c r="B880" s="657" t="s">
        <v>871</v>
      </c>
      <c r="C880" s="646" t="s">
        <v>172</v>
      </c>
      <c r="D880" s="646"/>
      <c r="E880" s="646">
        <v>19</v>
      </c>
      <c r="F880" s="658">
        <v>8137.3</v>
      </c>
      <c r="G880" s="658">
        <f>F880*2.23</f>
        <v>18146.179</v>
      </c>
      <c r="H880" s="573" t="s">
        <v>330</v>
      </c>
      <c r="I880" s="573"/>
      <c r="J880" s="651">
        <v>41799</v>
      </c>
      <c r="K880" s="646" t="s">
        <v>384</v>
      </c>
      <c r="L880" s="651">
        <v>41891</v>
      </c>
      <c r="M880" s="684" t="s">
        <v>719</v>
      </c>
      <c r="N880" s="573"/>
      <c r="O880" s="649">
        <v>42009</v>
      </c>
    </row>
    <row r="881" spans="1:16" s="652" customFormat="1" x14ac:dyDescent="0.2">
      <c r="A881" s="649">
        <v>41842</v>
      </c>
      <c r="B881" s="657" t="s">
        <v>878</v>
      </c>
      <c r="C881" s="646" t="s">
        <v>285</v>
      </c>
      <c r="D881" s="646"/>
      <c r="E881" s="646">
        <v>9</v>
      </c>
      <c r="F881" s="658">
        <v>8419.85</v>
      </c>
      <c r="G881" s="658">
        <f>+F881*2.25</f>
        <v>18944.662500000002</v>
      </c>
      <c r="H881" s="573" t="s">
        <v>330</v>
      </c>
      <c r="I881" s="573"/>
      <c r="J881" s="651">
        <v>41823</v>
      </c>
      <c r="K881" s="646" t="s">
        <v>384</v>
      </c>
      <c r="L881" s="651">
        <v>41915</v>
      </c>
      <c r="M881" s="684" t="s">
        <v>719</v>
      </c>
      <c r="N881" s="573"/>
      <c r="O881" s="649">
        <v>42011</v>
      </c>
    </row>
    <row r="882" spans="1:16" s="652" customFormat="1" x14ac:dyDescent="0.2">
      <c r="A882" s="649">
        <v>41817</v>
      </c>
      <c r="B882" s="657" t="s">
        <v>872</v>
      </c>
      <c r="C882" s="646" t="s">
        <v>145</v>
      </c>
      <c r="D882" s="646"/>
      <c r="E882" s="646">
        <v>23</v>
      </c>
      <c r="F882" s="658">
        <v>20084.53</v>
      </c>
      <c r="G882" s="658">
        <f>F882*2.23</f>
        <v>44788.501899999996</v>
      </c>
      <c r="H882" s="573" t="s">
        <v>330</v>
      </c>
      <c r="I882" s="573"/>
      <c r="J882" s="651">
        <v>41804</v>
      </c>
      <c r="K882" s="646" t="s">
        <v>384</v>
      </c>
      <c r="L882" s="651">
        <v>41896</v>
      </c>
      <c r="M882" s="684" t="s">
        <v>719</v>
      </c>
      <c r="N882" s="573"/>
      <c r="O882" s="649">
        <v>42016</v>
      </c>
    </row>
    <row r="883" spans="1:16" s="652" customFormat="1" x14ac:dyDescent="0.2">
      <c r="A883" s="649">
        <v>41748</v>
      </c>
      <c r="B883" s="658">
        <v>737</v>
      </c>
      <c r="C883" s="646" t="s">
        <v>604</v>
      </c>
      <c r="E883" s="658">
        <v>5</v>
      </c>
      <c r="F883" s="658">
        <v>19563.16</v>
      </c>
      <c r="G883" s="658">
        <f>F883*2.23</f>
        <v>43625.846799999999</v>
      </c>
      <c r="H883" s="652" t="s">
        <v>113</v>
      </c>
      <c r="J883" s="649">
        <v>41737</v>
      </c>
      <c r="K883" s="646" t="s">
        <v>698</v>
      </c>
      <c r="L883" s="649">
        <v>41925</v>
      </c>
      <c r="M883" s="684" t="s">
        <v>719</v>
      </c>
      <c r="O883" s="649">
        <v>42016</v>
      </c>
    </row>
    <row r="884" spans="1:16" s="575" customFormat="1" x14ac:dyDescent="0.2">
      <c r="A884" s="578">
        <v>41951</v>
      </c>
      <c r="B884" s="96">
        <v>814</v>
      </c>
      <c r="C884" s="597" t="s">
        <v>603</v>
      </c>
      <c r="D884" s="597"/>
      <c r="E884" s="597">
        <v>7</v>
      </c>
      <c r="F884" s="600">
        <v>8340.0499999999993</v>
      </c>
      <c r="G884" s="601">
        <f>+F884*2.3</f>
        <v>19182.114999999998</v>
      </c>
      <c r="H884" s="485" t="s">
        <v>113</v>
      </c>
      <c r="I884" s="577"/>
      <c r="J884" s="579">
        <v>41926</v>
      </c>
      <c r="K884" s="96" t="s">
        <v>384</v>
      </c>
      <c r="L884" s="579">
        <v>42018</v>
      </c>
      <c r="N884" s="485"/>
      <c r="O884" s="578">
        <v>42018</v>
      </c>
    </row>
    <row r="885" spans="1:16" s="575" customFormat="1" x14ac:dyDescent="0.2">
      <c r="A885" s="578">
        <v>41947</v>
      </c>
      <c r="B885" s="621">
        <v>812</v>
      </c>
      <c r="C885" s="597" t="s">
        <v>69</v>
      </c>
      <c r="D885" s="597"/>
      <c r="E885" s="597">
        <v>17</v>
      </c>
      <c r="F885" s="600">
        <v>18884.52</v>
      </c>
      <c r="G885" s="601">
        <f>+F885*2.3</f>
        <v>43434.396000000001</v>
      </c>
      <c r="H885" s="485" t="s">
        <v>330</v>
      </c>
      <c r="I885" s="577"/>
      <c r="J885" s="579">
        <v>41918</v>
      </c>
      <c r="K885" s="96" t="s">
        <v>384</v>
      </c>
      <c r="L885" s="579">
        <v>42010</v>
      </c>
      <c r="N885" s="485"/>
      <c r="O885" s="578">
        <v>42010</v>
      </c>
    </row>
    <row r="886" spans="1:16" s="652" customFormat="1" x14ac:dyDescent="0.2">
      <c r="A886" s="649">
        <v>41859</v>
      </c>
      <c r="B886" s="658">
        <v>785</v>
      </c>
      <c r="C886" s="646" t="s">
        <v>881</v>
      </c>
      <c r="E886" s="658">
        <v>9</v>
      </c>
      <c r="F886" s="658">
        <v>7744.68</v>
      </c>
      <c r="G886" s="658">
        <f>+F886*2.24</f>
        <v>17348.083200000001</v>
      </c>
      <c r="H886" s="652" t="s">
        <v>330</v>
      </c>
      <c r="J886" s="649">
        <v>41836</v>
      </c>
      <c r="K886" s="564" t="s">
        <v>500</v>
      </c>
      <c r="L886" s="649">
        <v>41898</v>
      </c>
      <c r="M886" s="684" t="s">
        <v>719</v>
      </c>
      <c r="O886" s="649">
        <v>42026</v>
      </c>
    </row>
    <row r="887" spans="1:16" s="652" customFormat="1" x14ac:dyDescent="0.2">
      <c r="A887" s="649">
        <v>41870</v>
      </c>
      <c r="B887" s="564">
        <v>792</v>
      </c>
      <c r="C887" s="646" t="s">
        <v>208</v>
      </c>
      <c r="D887" s="646"/>
      <c r="E887" s="564">
        <v>12</v>
      </c>
      <c r="F887" s="785">
        <v>5720.64</v>
      </c>
      <c r="G887" s="658">
        <f>F887*2.3</f>
        <v>13157.472</v>
      </c>
      <c r="H887" s="573" t="s">
        <v>330</v>
      </c>
      <c r="I887" s="720"/>
      <c r="J887" s="721">
        <v>41836</v>
      </c>
      <c r="K887" s="564" t="s">
        <v>500</v>
      </c>
      <c r="L887" s="721">
        <v>41898</v>
      </c>
      <c r="M887" s="684" t="s">
        <v>719</v>
      </c>
      <c r="N887" s="573"/>
      <c r="O887" s="649">
        <v>42030</v>
      </c>
    </row>
    <row r="888" spans="1:16" s="652" customFormat="1" x14ac:dyDescent="0.2">
      <c r="A888" s="649">
        <v>41877</v>
      </c>
      <c r="B888" s="657" t="s">
        <v>903</v>
      </c>
      <c r="C888" s="646" t="s">
        <v>50</v>
      </c>
      <c r="D888" s="646"/>
      <c r="E888" s="646">
        <v>17</v>
      </c>
      <c r="F888" s="658">
        <v>9422.94</v>
      </c>
      <c r="G888" s="658">
        <f>+F888*2.3</f>
        <v>21672.761999999999</v>
      </c>
      <c r="H888" s="573" t="s">
        <v>330</v>
      </c>
      <c r="I888" s="573"/>
      <c r="J888" s="651">
        <v>41851</v>
      </c>
      <c r="K888" s="646" t="s">
        <v>500</v>
      </c>
      <c r="L888" s="651">
        <v>41913</v>
      </c>
      <c r="M888" s="684" t="s">
        <v>719</v>
      </c>
      <c r="N888" s="573"/>
      <c r="O888" s="649">
        <v>42031</v>
      </c>
    </row>
    <row r="889" spans="1:16" s="652" customFormat="1" x14ac:dyDescent="0.2">
      <c r="A889" s="649">
        <v>41858</v>
      </c>
      <c r="B889" s="657" t="s">
        <v>886</v>
      </c>
      <c r="C889" s="646" t="s">
        <v>748</v>
      </c>
      <c r="D889" s="646"/>
      <c r="E889" s="646">
        <v>18</v>
      </c>
      <c r="F889" s="658">
        <v>9232.99</v>
      </c>
      <c r="G889" s="658">
        <f>+F889*2.23</f>
        <v>20589.5677</v>
      </c>
      <c r="H889" s="573" t="s">
        <v>330</v>
      </c>
      <c r="I889" s="573"/>
      <c r="J889" s="651">
        <v>41818</v>
      </c>
      <c r="K889" s="646" t="s">
        <v>500</v>
      </c>
      <c r="L889" s="651">
        <v>41879</v>
      </c>
      <c r="M889" s="684" t="s">
        <v>719</v>
      </c>
      <c r="N889" s="573"/>
      <c r="O889" s="649">
        <v>42033</v>
      </c>
    </row>
    <row r="890" spans="1:16" s="575" customFormat="1" x14ac:dyDescent="0.2">
      <c r="A890" s="578">
        <v>41977</v>
      </c>
      <c r="B890" s="96">
        <v>818</v>
      </c>
      <c r="C890" s="597" t="s">
        <v>280</v>
      </c>
      <c r="D890" s="96"/>
      <c r="E890" s="597">
        <v>11</v>
      </c>
      <c r="F890" s="600">
        <v>6533.88</v>
      </c>
      <c r="G890" s="601">
        <f>F890*2.25</f>
        <v>14701.23</v>
      </c>
      <c r="H890" s="485" t="s">
        <v>72</v>
      </c>
      <c r="I890" s="577"/>
      <c r="J890" s="579">
        <v>41965</v>
      </c>
      <c r="K890" s="96" t="s">
        <v>500</v>
      </c>
      <c r="L890" s="579">
        <v>42026</v>
      </c>
      <c r="N890" s="485"/>
    </row>
    <row r="891" spans="1:16" s="652" customFormat="1" x14ac:dyDescent="0.2">
      <c r="A891" s="649">
        <v>41920</v>
      </c>
      <c r="B891" s="657">
        <v>803</v>
      </c>
      <c r="C891" s="646" t="s">
        <v>223</v>
      </c>
      <c r="D891" s="646"/>
      <c r="E891" s="646">
        <v>17</v>
      </c>
      <c r="F891" s="650">
        <v>13740.72</v>
      </c>
      <c r="G891" s="659">
        <f>+F891*2.24</f>
        <v>30779.212800000001</v>
      </c>
      <c r="H891" s="573" t="s">
        <v>330</v>
      </c>
      <c r="I891" s="573"/>
      <c r="J891" s="651">
        <v>41905</v>
      </c>
      <c r="K891" s="646" t="s">
        <v>500</v>
      </c>
      <c r="L891" s="651">
        <v>41966</v>
      </c>
      <c r="N891" s="573"/>
      <c r="O891" s="649">
        <v>42060</v>
      </c>
    </row>
    <row r="892" spans="1:16" s="575" customFormat="1" x14ac:dyDescent="0.2">
      <c r="A892" s="578">
        <v>41995</v>
      </c>
      <c r="B892" s="96">
        <v>822</v>
      </c>
      <c r="C892" s="597" t="s">
        <v>767</v>
      </c>
      <c r="D892" s="96"/>
      <c r="E892" s="597">
        <v>3</v>
      </c>
      <c r="F892" s="600">
        <v>3614.76</v>
      </c>
      <c r="G892" s="601">
        <f>F892*2.3</f>
        <v>8313.9480000000003</v>
      </c>
      <c r="H892" s="485" t="s">
        <v>330</v>
      </c>
      <c r="I892" s="577"/>
      <c r="J892" s="579">
        <v>41963</v>
      </c>
      <c r="K892" s="96" t="s">
        <v>500</v>
      </c>
      <c r="L892" s="579">
        <v>42024</v>
      </c>
      <c r="N892" s="485"/>
    </row>
    <row r="893" spans="1:16" s="575" customFormat="1" x14ac:dyDescent="0.2">
      <c r="A893" s="578">
        <v>41983</v>
      </c>
      <c r="B893" s="637">
        <v>819</v>
      </c>
      <c r="C893" s="597" t="s">
        <v>145</v>
      </c>
      <c r="D893" s="597"/>
      <c r="E893" s="597">
        <v>27</v>
      </c>
      <c r="F893" s="637">
        <v>635.54999999999995</v>
      </c>
      <c r="G893" s="601">
        <f>+F893*2.308</f>
        <v>1466.8493999999998</v>
      </c>
      <c r="H893" s="575" t="s">
        <v>920</v>
      </c>
      <c r="J893" s="578">
        <v>41970</v>
      </c>
      <c r="K893" s="96" t="s">
        <v>384</v>
      </c>
      <c r="L893" s="578">
        <v>42062</v>
      </c>
    </row>
    <row r="894" spans="1:16" s="575" customFormat="1" x14ac:dyDescent="0.2">
      <c r="A894" s="578">
        <v>42004</v>
      </c>
      <c r="B894" s="96">
        <v>823</v>
      </c>
      <c r="C894" s="597" t="s">
        <v>173</v>
      </c>
      <c r="D894" s="96"/>
      <c r="E894" s="597">
        <v>16</v>
      </c>
      <c r="F894" s="600">
        <v>3961.4</v>
      </c>
      <c r="G894" s="601">
        <f>F894*2.3</f>
        <v>9111.2199999999993</v>
      </c>
      <c r="H894" s="485" t="s">
        <v>330</v>
      </c>
      <c r="I894" s="577"/>
      <c r="J894" s="579">
        <v>41972</v>
      </c>
      <c r="K894" s="96" t="s">
        <v>384</v>
      </c>
      <c r="L894" s="579">
        <v>42063</v>
      </c>
      <c r="N894" s="485"/>
    </row>
    <row r="895" spans="1:16" s="652" customFormat="1" x14ac:dyDescent="0.2">
      <c r="A895" s="649">
        <v>41814</v>
      </c>
      <c r="B895" s="646">
        <v>765</v>
      </c>
      <c r="C895" s="646" t="s">
        <v>319</v>
      </c>
      <c r="D895" s="646"/>
      <c r="E895" s="646">
        <v>11</v>
      </c>
      <c r="F895" s="650">
        <v>15477.84</v>
      </c>
      <c r="G895" s="658">
        <f>+F895*2.3</f>
        <v>35599.031999999999</v>
      </c>
      <c r="H895" s="573" t="s">
        <v>72</v>
      </c>
      <c r="I895" s="573"/>
      <c r="J895" s="651">
        <v>41739</v>
      </c>
      <c r="K895" s="646" t="s">
        <v>384</v>
      </c>
      <c r="L895" s="651">
        <v>41897</v>
      </c>
      <c r="M895" s="684" t="s">
        <v>719</v>
      </c>
      <c r="N895" s="573"/>
      <c r="O895" s="649">
        <v>42027</v>
      </c>
      <c r="P895" s="649">
        <v>42093</v>
      </c>
    </row>
    <row r="896" spans="1:16" s="652" customFormat="1" x14ac:dyDescent="0.2">
      <c r="A896" s="649">
        <v>41878</v>
      </c>
      <c r="B896" s="752" t="s">
        <v>906</v>
      </c>
      <c r="C896" s="646" t="s">
        <v>836</v>
      </c>
      <c r="D896" s="646"/>
      <c r="E896" s="646">
        <v>1</v>
      </c>
      <c r="F896" s="650">
        <v>109640.86</v>
      </c>
      <c r="G896" s="659">
        <v>81666</v>
      </c>
      <c r="H896" s="573" t="s">
        <v>113</v>
      </c>
      <c r="I896" s="573"/>
      <c r="J896" s="573"/>
      <c r="K896" s="646" t="s">
        <v>839</v>
      </c>
      <c r="L896" s="573" t="s">
        <v>719</v>
      </c>
      <c r="M896" s="649" t="s">
        <v>904</v>
      </c>
      <c r="N896" s="573"/>
      <c r="P896" s="649">
        <v>42128</v>
      </c>
    </row>
    <row r="897" spans="1:18" s="652" customFormat="1" x14ac:dyDescent="0.2">
      <c r="A897" s="649">
        <v>41983</v>
      </c>
      <c r="B897" s="752">
        <v>820</v>
      </c>
      <c r="C897" s="646" t="s">
        <v>827</v>
      </c>
      <c r="D897" s="564"/>
      <c r="E897" s="646">
        <v>8</v>
      </c>
      <c r="F897" s="650">
        <v>8272.2800000000007</v>
      </c>
      <c r="G897" s="659">
        <f>F897*2.3</f>
        <v>19026.243999999999</v>
      </c>
      <c r="H897" s="573" t="s">
        <v>330</v>
      </c>
      <c r="I897" s="720"/>
      <c r="J897" s="721">
        <v>41965</v>
      </c>
      <c r="K897" s="564" t="s">
        <v>500</v>
      </c>
      <c r="L897" s="721">
        <v>42026</v>
      </c>
      <c r="N897" s="573"/>
      <c r="P897" s="649">
        <v>42135</v>
      </c>
    </row>
    <row r="898" spans="1:18" s="652" customFormat="1" x14ac:dyDescent="0.2">
      <c r="A898" s="649">
        <v>41814</v>
      </c>
      <c r="B898" s="646">
        <v>765</v>
      </c>
      <c r="C898" s="646" t="s">
        <v>319</v>
      </c>
      <c r="D898" s="646"/>
      <c r="E898" s="646">
        <v>11</v>
      </c>
      <c r="F898" s="650">
        <v>7738.92</v>
      </c>
      <c r="G898" s="650">
        <f>+F898*2.3</f>
        <v>17799.516</v>
      </c>
      <c r="H898" s="573" t="s">
        <v>72</v>
      </c>
      <c r="I898" s="573"/>
      <c r="J898" s="651">
        <v>41739</v>
      </c>
      <c r="K898" s="646" t="s">
        <v>384</v>
      </c>
      <c r="L898" s="651">
        <v>41897</v>
      </c>
      <c r="M898" s="684" t="s">
        <v>719</v>
      </c>
      <c r="N898" s="573"/>
      <c r="O898" s="649">
        <v>42027</v>
      </c>
      <c r="P898" s="649">
        <v>42122</v>
      </c>
    </row>
    <row r="899" spans="1:18" s="652" customFormat="1" x14ac:dyDescent="0.2">
      <c r="A899" s="649">
        <v>41788</v>
      </c>
      <c r="B899" s="658">
        <v>746</v>
      </c>
      <c r="C899" s="646" t="s">
        <v>827</v>
      </c>
      <c r="E899" s="658">
        <v>7</v>
      </c>
      <c r="F899" s="650">
        <v>5470</v>
      </c>
      <c r="G899" s="650">
        <f>F899*2.19</f>
        <v>11979.3</v>
      </c>
      <c r="H899" s="652" t="s">
        <v>70</v>
      </c>
      <c r="J899" s="649">
        <v>41774</v>
      </c>
      <c r="K899" s="658" t="s">
        <v>500</v>
      </c>
      <c r="L899" s="649">
        <v>41920</v>
      </c>
      <c r="M899" s="684" t="s">
        <v>719</v>
      </c>
      <c r="O899" s="649">
        <v>42124</v>
      </c>
      <c r="P899" s="649">
        <v>42124</v>
      </c>
    </row>
    <row r="900" spans="1:18" s="652" customFormat="1" x14ac:dyDescent="0.2">
      <c r="A900" s="649">
        <v>41790</v>
      </c>
      <c r="B900" s="646">
        <v>748</v>
      </c>
      <c r="C900" s="646" t="s">
        <v>198</v>
      </c>
      <c r="D900" s="646"/>
      <c r="E900" s="646">
        <v>10</v>
      </c>
      <c r="F900" s="650">
        <v>9990.7199999999993</v>
      </c>
      <c r="G900" s="650">
        <f>+F900*2.26</f>
        <v>22579.027199999997</v>
      </c>
      <c r="H900" s="573" t="s">
        <v>70</v>
      </c>
      <c r="I900" s="573"/>
      <c r="J900" s="651">
        <v>41779</v>
      </c>
      <c r="K900" s="646" t="s">
        <v>500</v>
      </c>
      <c r="L900" s="651">
        <v>41921</v>
      </c>
      <c r="M900" s="684" t="s">
        <v>719</v>
      </c>
      <c r="N900" s="573"/>
      <c r="O900" s="649">
        <v>42124</v>
      </c>
      <c r="P900" s="649">
        <v>42124</v>
      </c>
    </row>
    <row r="901" spans="1:18" s="652" customFormat="1" x14ac:dyDescent="0.2">
      <c r="A901" s="649">
        <v>41951</v>
      </c>
      <c r="B901" s="658">
        <v>815</v>
      </c>
      <c r="C901" s="646" t="s">
        <v>604</v>
      </c>
      <c r="E901" s="646">
        <v>6</v>
      </c>
      <c r="F901" s="650">
        <v>12337.95</v>
      </c>
      <c r="G901" s="789">
        <f>F901*2.2</f>
        <v>27143.490000000005</v>
      </c>
      <c r="H901" s="652" t="s">
        <v>113</v>
      </c>
      <c r="J901" s="649">
        <v>41912</v>
      </c>
      <c r="K901" s="646" t="s">
        <v>698</v>
      </c>
      <c r="L901" s="649">
        <v>42003</v>
      </c>
      <c r="M901" s="684" t="s">
        <v>719</v>
      </c>
      <c r="P901" s="649">
        <v>42137</v>
      </c>
      <c r="Q901" s="649">
        <v>42222</v>
      </c>
    </row>
    <row r="902" spans="1:18" s="652" customFormat="1" x14ac:dyDescent="0.2">
      <c r="A902" s="649">
        <v>41816</v>
      </c>
      <c r="B902" s="646">
        <v>767</v>
      </c>
      <c r="C902" s="646" t="s">
        <v>802</v>
      </c>
      <c r="D902" s="646"/>
      <c r="E902" s="646">
        <v>4</v>
      </c>
      <c r="F902" s="650">
        <v>35402.839999999997</v>
      </c>
      <c r="G902" s="650">
        <f>F902*1.7</f>
        <v>60184.827999999994</v>
      </c>
      <c r="H902" s="573" t="s">
        <v>330</v>
      </c>
      <c r="I902" s="573"/>
      <c r="J902" s="573"/>
      <c r="K902" s="646" t="s">
        <v>807</v>
      </c>
      <c r="L902" s="651">
        <v>41906</v>
      </c>
      <c r="M902" s="646" t="s">
        <v>719</v>
      </c>
      <c r="N902" s="573"/>
      <c r="O902" s="649">
        <v>41996</v>
      </c>
      <c r="P902" s="649">
        <v>42086</v>
      </c>
      <c r="Q902" s="649">
        <v>42177</v>
      </c>
    </row>
    <row r="903" spans="1:18" s="652" customFormat="1" x14ac:dyDescent="0.2">
      <c r="A903" s="649">
        <v>41920</v>
      </c>
      <c r="B903" s="752">
        <v>800</v>
      </c>
      <c r="C903" s="717" t="s">
        <v>848</v>
      </c>
      <c r="D903" s="564"/>
      <c r="E903" s="564">
        <v>35</v>
      </c>
      <c r="F903" s="719">
        <v>67830.289999999994</v>
      </c>
      <c r="G903" s="650">
        <f>F903*2.3</f>
        <v>156009.66699999999</v>
      </c>
      <c r="H903" s="573" t="s">
        <v>113</v>
      </c>
      <c r="I903" s="720"/>
      <c r="J903" s="720"/>
      <c r="K903" s="564" t="s">
        <v>250</v>
      </c>
      <c r="L903" s="651">
        <v>42002</v>
      </c>
      <c r="M903" s="649" t="s">
        <v>719</v>
      </c>
      <c r="N903" s="573"/>
      <c r="O903" s="649">
        <v>42002</v>
      </c>
      <c r="P903" s="649">
        <v>42095</v>
      </c>
      <c r="Q903" s="649">
        <v>42186</v>
      </c>
    </row>
    <row r="904" spans="1:18" s="652" customFormat="1" x14ac:dyDescent="0.2">
      <c r="A904" s="649">
        <v>41851</v>
      </c>
      <c r="B904" s="657" t="s">
        <v>880</v>
      </c>
      <c r="C904" s="646" t="s">
        <v>688</v>
      </c>
      <c r="D904" s="564"/>
      <c r="E904" s="564">
        <v>3</v>
      </c>
      <c r="F904" s="719">
        <v>38231.919999999998</v>
      </c>
      <c r="G904" s="716">
        <f>F904*2.24</f>
        <v>85639.500800000009</v>
      </c>
      <c r="H904" s="573" t="s">
        <v>330</v>
      </c>
      <c r="I904" s="720"/>
      <c r="J904" s="721">
        <v>41829</v>
      </c>
      <c r="K904" s="564" t="s">
        <v>384</v>
      </c>
      <c r="L904" s="721">
        <v>41921</v>
      </c>
      <c r="M904" s="649">
        <v>41982</v>
      </c>
      <c r="N904" s="573"/>
      <c r="O904" s="649">
        <v>42087</v>
      </c>
      <c r="P904" s="649">
        <v>42177</v>
      </c>
      <c r="Q904" s="649">
        <v>42268</v>
      </c>
    </row>
    <row r="905" spans="1:18" s="652" customFormat="1" x14ac:dyDescent="0.2">
      <c r="A905" s="649">
        <v>41921</v>
      </c>
      <c r="B905" s="775">
        <v>805</v>
      </c>
      <c r="C905" s="646" t="s">
        <v>712</v>
      </c>
      <c r="E905" s="658">
        <v>3</v>
      </c>
      <c r="F905" s="650">
        <v>57942.46</v>
      </c>
      <c r="G905" s="659">
        <f>+F905*2.206</f>
        <v>127821.06676</v>
      </c>
      <c r="H905" s="652" t="s">
        <v>70</v>
      </c>
      <c r="K905" s="658" t="s">
        <v>250</v>
      </c>
      <c r="L905" s="855">
        <v>42009</v>
      </c>
      <c r="M905" s="652" t="s">
        <v>719</v>
      </c>
      <c r="O905" s="649">
        <v>42009</v>
      </c>
      <c r="P905" s="649">
        <v>42100</v>
      </c>
      <c r="Q905" s="649">
        <v>42191</v>
      </c>
      <c r="R905" s="649">
        <v>42282</v>
      </c>
    </row>
    <row r="906" spans="1:18" s="652" customFormat="1" x14ac:dyDescent="0.2">
      <c r="A906" s="649"/>
      <c r="B906" s="646"/>
      <c r="C906" s="646"/>
      <c r="D906" s="646"/>
      <c r="E906" s="646"/>
      <c r="F906" s="650"/>
      <c r="G906" s="650"/>
      <c r="H906" s="573"/>
      <c r="I906" s="573"/>
      <c r="J906" s="651"/>
      <c r="K906" s="646"/>
      <c r="L906" s="651"/>
      <c r="M906" s="684"/>
      <c r="N906" s="573"/>
      <c r="O906" s="649"/>
      <c r="P906" s="649"/>
    </row>
    <row r="907" spans="1:18" s="575" customFormat="1" x14ac:dyDescent="0.2">
      <c r="A907" s="578"/>
      <c r="B907" s="96"/>
      <c r="C907" s="597"/>
      <c r="D907" s="96"/>
      <c r="E907" s="597"/>
      <c r="F907" s="600"/>
      <c r="G907" s="601"/>
      <c r="H907" s="485"/>
      <c r="I907" s="577"/>
      <c r="J907" s="579"/>
      <c r="K907" s="96"/>
      <c r="L907" s="579"/>
      <c r="N907" s="485"/>
    </row>
    <row r="908" spans="1:18" s="575" customFormat="1" x14ac:dyDescent="0.2">
      <c r="A908" s="578"/>
      <c r="B908" s="96"/>
      <c r="C908" s="597"/>
      <c r="D908" s="96"/>
      <c r="E908" s="597"/>
      <c r="F908" s="600"/>
      <c r="G908" s="601"/>
      <c r="H908" s="485"/>
      <c r="I908" s="577"/>
      <c r="J908" s="579"/>
      <c r="K908" s="96"/>
      <c r="L908" s="579"/>
      <c r="N908" s="485"/>
    </row>
    <row r="909" spans="1:18" s="575" customFormat="1" x14ac:dyDescent="0.2">
      <c r="A909" s="578"/>
      <c r="B909" s="96"/>
      <c r="C909" s="597"/>
      <c r="D909" s="96"/>
      <c r="E909" s="597"/>
      <c r="F909" s="600"/>
      <c r="G909" s="601"/>
      <c r="H909" s="485"/>
      <c r="I909" s="577"/>
      <c r="J909" s="579"/>
      <c r="K909" s="96"/>
      <c r="L909" s="579"/>
      <c r="N909" s="485"/>
    </row>
    <row r="910" spans="1:18" s="483" customFormat="1" ht="11.25" customHeight="1" x14ac:dyDescent="0.2">
      <c r="A910" s="569">
        <v>42021</v>
      </c>
      <c r="B910" s="568">
        <v>830</v>
      </c>
      <c r="C910" s="806" t="s">
        <v>424</v>
      </c>
      <c r="E910" s="597">
        <v>2</v>
      </c>
      <c r="F910" s="600">
        <v>3409.28</v>
      </c>
      <c r="G910" s="809">
        <f>+F910*2.3</f>
        <v>7841.3440000000001</v>
      </c>
      <c r="H910" s="575" t="s">
        <v>72</v>
      </c>
      <c r="J910" s="569">
        <v>41988</v>
      </c>
      <c r="K910" s="483" t="s">
        <v>821</v>
      </c>
    </row>
    <row r="911" spans="1:18" s="779" customFormat="1" x14ac:dyDescent="0.2">
      <c r="A911" s="578">
        <v>42016</v>
      </c>
      <c r="B911" s="96">
        <v>825</v>
      </c>
      <c r="C911" s="597" t="s">
        <v>192</v>
      </c>
      <c r="D911" s="776"/>
      <c r="E911" s="597">
        <v>25</v>
      </c>
      <c r="F911" s="600">
        <v>19960.68</v>
      </c>
      <c r="G911" s="601">
        <f>F911*2.308</f>
        <v>46069.24944</v>
      </c>
      <c r="H911" s="777" t="s">
        <v>72</v>
      </c>
      <c r="I911" s="778"/>
      <c r="J911" s="778"/>
      <c r="K911" s="776" t="s">
        <v>250</v>
      </c>
      <c r="L911" s="778"/>
      <c r="N911" s="777"/>
    </row>
    <row r="912" spans="1:18" s="575" customFormat="1" x14ac:dyDescent="0.2">
      <c r="A912" s="578">
        <v>42019</v>
      </c>
      <c r="B912" s="637">
        <v>827</v>
      </c>
      <c r="C912" s="806" t="s">
        <v>296</v>
      </c>
      <c r="D912" s="597"/>
      <c r="E912" s="597">
        <v>11</v>
      </c>
      <c r="F912" s="600">
        <v>4481.33</v>
      </c>
      <c r="G912" s="601">
        <f>+F912*2.3</f>
        <v>10307.058999999999</v>
      </c>
      <c r="H912" s="485" t="s">
        <v>70</v>
      </c>
      <c r="I912" s="577"/>
      <c r="J912" s="577"/>
      <c r="K912" s="96" t="s">
        <v>250</v>
      </c>
      <c r="L912" s="577"/>
      <c r="N912" s="485"/>
    </row>
    <row r="913" spans="1:18" s="575" customFormat="1" x14ac:dyDescent="0.2">
      <c r="A913" s="578">
        <v>42021</v>
      </c>
      <c r="B913" s="637">
        <v>829</v>
      </c>
      <c r="C913" s="806" t="s">
        <v>212</v>
      </c>
      <c r="D913" s="672"/>
      <c r="E913" s="96">
        <v>23</v>
      </c>
      <c r="F913" s="637">
        <v>14144.16</v>
      </c>
      <c r="G913" s="637">
        <f>+F913*2.3</f>
        <v>32531.567999999996</v>
      </c>
      <c r="H913" s="575" t="s">
        <v>330</v>
      </c>
      <c r="J913" s="696">
        <v>41979</v>
      </c>
      <c r="K913" s="637" t="s">
        <v>384</v>
      </c>
      <c r="L913" s="578">
        <v>42069</v>
      </c>
    </row>
    <row r="914" spans="1:18" s="58" customFormat="1" x14ac:dyDescent="0.2">
      <c r="A914" s="596">
        <v>42030</v>
      </c>
      <c r="B914" s="661">
        <v>832</v>
      </c>
      <c r="C914" s="597" t="s">
        <v>478</v>
      </c>
      <c r="E914" s="597">
        <v>9</v>
      </c>
      <c r="F914" s="600">
        <v>5033.6400000000003</v>
      </c>
      <c r="G914" s="600">
        <f>+F914*2.3</f>
        <v>11577.371999999999</v>
      </c>
      <c r="H914" s="58" t="s">
        <v>330</v>
      </c>
      <c r="J914" s="838">
        <v>42019</v>
      </c>
      <c r="K914" s="661" t="s">
        <v>500</v>
      </c>
      <c r="L914" s="596">
        <v>42078</v>
      </c>
      <c r="P914" s="596">
        <v>42078</v>
      </c>
    </row>
    <row r="915" spans="1:18" s="575" customFormat="1" x14ac:dyDescent="0.2">
      <c r="A915" s="578">
        <v>42075</v>
      </c>
      <c r="B915" s="661">
        <v>841</v>
      </c>
      <c r="C915" s="597" t="s">
        <v>200</v>
      </c>
      <c r="D915" s="96" t="s">
        <v>830</v>
      </c>
      <c r="E915" s="597"/>
      <c r="F915" s="600">
        <v>5</v>
      </c>
      <c r="G915" s="601">
        <f>+F915*2.15</f>
        <v>10.75</v>
      </c>
      <c r="H915" s="485"/>
      <c r="I915" s="577"/>
      <c r="J915" s="579"/>
      <c r="K915" s="96"/>
      <c r="L915" s="579"/>
      <c r="N915" s="485"/>
    </row>
    <row r="916" spans="1:18" s="483" customFormat="1" x14ac:dyDescent="0.2">
      <c r="A916" s="569">
        <v>42021</v>
      </c>
      <c r="B916" s="568">
        <v>826</v>
      </c>
      <c r="C916" s="806" t="s">
        <v>285</v>
      </c>
      <c r="D916" s="597"/>
      <c r="E916" s="568">
        <v>10</v>
      </c>
      <c r="F916" s="600">
        <v>5734.9</v>
      </c>
      <c r="G916" s="600">
        <f>+F916*2.3</f>
        <v>13190.269999999999</v>
      </c>
      <c r="H916" s="483" t="s">
        <v>72</v>
      </c>
      <c r="I916" s="575"/>
      <c r="J916" s="857">
        <v>41991</v>
      </c>
      <c r="K916" s="568" t="s">
        <v>384</v>
      </c>
      <c r="L916" s="596">
        <v>42081</v>
      </c>
    </row>
    <row r="917" spans="1:18" s="575" customFormat="1" x14ac:dyDescent="0.2">
      <c r="A917" s="578">
        <v>42021</v>
      </c>
      <c r="B917" s="661">
        <v>828</v>
      </c>
      <c r="C917" s="597" t="s">
        <v>174</v>
      </c>
      <c r="E917" s="597">
        <v>4</v>
      </c>
      <c r="F917" s="600">
        <v>2677.1</v>
      </c>
      <c r="G917" s="809">
        <f>+F917*2.3</f>
        <v>6157.329999999999</v>
      </c>
      <c r="H917" s="575" t="s">
        <v>72</v>
      </c>
      <c r="J917" s="838">
        <v>41993</v>
      </c>
      <c r="K917" s="661" t="s">
        <v>384</v>
      </c>
      <c r="L917" s="578">
        <v>42083</v>
      </c>
    </row>
    <row r="918" spans="1:18" s="611" customFormat="1" x14ac:dyDescent="0.2">
      <c r="A918" s="569">
        <v>42066</v>
      </c>
      <c r="B918" s="628">
        <v>839</v>
      </c>
      <c r="C918" s="612" t="s">
        <v>171</v>
      </c>
      <c r="E918" s="612">
        <v>14</v>
      </c>
      <c r="F918" s="688">
        <v>23025.85</v>
      </c>
      <c r="G918" s="774">
        <f>F918*2.15</f>
        <v>49505.577499999992</v>
      </c>
      <c r="H918" s="611" t="s">
        <v>72</v>
      </c>
      <c r="J918" s="879">
        <v>42019</v>
      </c>
      <c r="K918" s="628" t="s">
        <v>500</v>
      </c>
      <c r="L918" s="890">
        <v>42078</v>
      </c>
    </row>
    <row r="919" spans="1:18" s="611" customFormat="1" x14ac:dyDescent="0.2">
      <c r="A919" s="607">
        <v>42072</v>
      </c>
      <c r="B919" s="773" t="s">
        <v>957</v>
      </c>
      <c r="C919" s="612" t="s">
        <v>748</v>
      </c>
      <c r="D919" s="612"/>
      <c r="E919" s="612">
        <v>20</v>
      </c>
      <c r="F919" s="688">
        <v>7888</v>
      </c>
      <c r="G919" s="774">
        <f>F919*2.16</f>
        <v>17038.080000000002</v>
      </c>
      <c r="H919" s="610" t="s">
        <v>330</v>
      </c>
      <c r="I919" s="626"/>
      <c r="J919" s="838">
        <v>42028</v>
      </c>
      <c r="K919" s="612" t="s">
        <v>500</v>
      </c>
      <c r="L919" s="689">
        <v>42087</v>
      </c>
      <c r="N919" s="610"/>
    </row>
    <row r="920" spans="1:18" s="575" customFormat="1" x14ac:dyDescent="0.2">
      <c r="A920" s="578">
        <v>42030</v>
      </c>
      <c r="B920" s="637">
        <v>833</v>
      </c>
      <c r="C920" s="597" t="s">
        <v>248</v>
      </c>
      <c r="D920" s="597"/>
      <c r="E920" s="597">
        <v>9</v>
      </c>
      <c r="F920" s="600">
        <v>13681.4</v>
      </c>
      <c r="G920" s="601">
        <f>+F920*2.3</f>
        <v>31467.219999999998</v>
      </c>
      <c r="H920" s="575" t="s">
        <v>330</v>
      </c>
      <c r="J920" s="649">
        <v>41999</v>
      </c>
      <c r="K920" s="637" t="s">
        <v>384</v>
      </c>
      <c r="L920" s="856">
        <v>42089</v>
      </c>
      <c r="P920" s="578">
        <v>42089</v>
      </c>
    </row>
    <row r="921" spans="1:18" s="575" customFormat="1" x14ac:dyDescent="0.2">
      <c r="A921" s="578">
        <v>42042</v>
      </c>
      <c r="B921" s="637">
        <v>834</v>
      </c>
      <c r="C921" s="597" t="s">
        <v>187</v>
      </c>
      <c r="E921" s="597">
        <v>13</v>
      </c>
      <c r="F921" s="597">
        <v>5644.12</v>
      </c>
      <c r="G921" s="661">
        <f>+F921*2.3</f>
        <v>12981.475999999999</v>
      </c>
      <c r="H921" s="485" t="s">
        <v>72</v>
      </c>
      <c r="J921" s="696">
        <v>42002</v>
      </c>
      <c r="K921" s="696" t="s">
        <v>384</v>
      </c>
      <c r="L921" s="856">
        <v>42092</v>
      </c>
    </row>
    <row r="922" spans="1:18" s="611" customFormat="1" x14ac:dyDescent="0.2">
      <c r="A922" s="607">
        <v>42101</v>
      </c>
      <c r="B922" s="628">
        <v>848</v>
      </c>
      <c r="C922" s="612" t="s">
        <v>447</v>
      </c>
      <c r="E922" s="612">
        <v>19</v>
      </c>
      <c r="F922" s="688">
        <v>7012.11</v>
      </c>
      <c r="G922" s="774">
        <f>F922*2.12</f>
        <v>14865.673199999999</v>
      </c>
      <c r="H922" s="611" t="s">
        <v>330</v>
      </c>
      <c r="J922" s="607">
        <v>42054</v>
      </c>
      <c r="K922" s="910" t="s">
        <v>500</v>
      </c>
      <c r="L922" s="607">
        <v>42113</v>
      </c>
      <c r="P922" s="607">
        <v>42113</v>
      </c>
    </row>
    <row r="923" spans="1:18" x14ac:dyDescent="0.2">
      <c r="A923" s="607">
        <v>42101</v>
      </c>
      <c r="B923" s="909">
        <v>849</v>
      </c>
      <c r="C923" s="597" t="s">
        <v>809</v>
      </c>
      <c r="D923" s="597" t="s">
        <v>87</v>
      </c>
      <c r="E923" s="612">
        <v>12</v>
      </c>
      <c r="F923" s="600">
        <v>1891</v>
      </c>
      <c r="G923" s="600">
        <f>+F923*2.2</f>
        <v>4160.2000000000007</v>
      </c>
      <c r="H923" t="s">
        <v>330</v>
      </c>
      <c r="K923" s="181" t="s">
        <v>250</v>
      </c>
    </row>
    <row r="924" spans="1:18" s="611" customFormat="1" x14ac:dyDescent="0.2">
      <c r="A924" s="578">
        <v>42133</v>
      </c>
      <c r="B924" s="637">
        <v>862</v>
      </c>
      <c r="C924" s="597" t="s">
        <v>473</v>
      </c>
      <c r="D924" s="597"/>
      <c r="E924" s="597">
        <v>4</v>
      </c>
      <c r="F924" s="600">
        <v>6515</v>
      </c>
      <c r="G924" s="601">
        <f>F924*2.2</f>
        <v>14333.000000000002</v>
      </c>
      <c r="H924" s="485" t="s">
        <v>72</v>
      </c>
      <c r="I924" s="577"/>
      <c r="J924" s="577"/>
      <c r="K924" s="96" t="s">
        <v>250</v>
      </c>
      <c r="L924" s="577" t="s">
        <v>825</v>
      </c>
      <c r="M924" s="575"/>
      <c r="N924" s="485"/>
      <c r="O924" s="575"/>
      <c r="P924" s="575"/>
      <c r="Q924" s="575"/>
      <c r="R924" s="575"/>
    </row>
    <row r="925" spans="1:18" s="652" customFormat="1" x14ac:dyDescent="0.2">
      <c r="A925" s="578">
        <v>42130</v>
      </c>
      <c r="B925" s="597">
        <v>867</v>
      </c>
      <c r="C925" s="597" t="s">
        <v>1016</v>
      </c>
      <c r="D925" s="597" t="s">
        <v>1017</v>
      </c>
      <c r="E925" s="597">
        <v>1</v>
      </c>
      <c r="F925" s="600"/>
      <c r="G925" s="600"/>
      <c r="H925" s="485"/>
      <c r="I925" s="485"/>
      <c r="J925" s="602"/>
      <c r="K925" s="597"/>
      <c r="L925" s="602"/>
      <c r="M925" s="639"/>
      <c r="N925" s="485"/>
      <c r="O925" s="578"/>
      <c r="P925" s="578"/>
      <c r="Q925" s="575"/>
      <c r="R925" s="575"/>
    </row>
    <row r="926" spans="1:18" s="58" customFormat="1" x14ac:dyDescent="0.2">
      <c r="A926" s="578">
        <v>42065</v>
      </c>
      <c r="B926" s="661">
        <v>836</v>
      </c>
      <c r="C926" s="597" t="s">
        <v>923</v>
      </c>
      <c r="E926" s="661">
        <v>7</v>
      </c>
      <c r="F926" s="600">
        <v>14428.99</v>
      </c>
      <c r="G926" s="601">
        <f>F926*2.18</f>
        <v>31455.198200000003</v>
      </c>
      <c r="H926" s="575" t="s">
        <v>330</v>
      </c>
      <c r="J926" s="838">
        <v>42031</v>
      </c>
      <c r="K926" s="637" t="s">
        <v>384</v>
      </c>
      <c r="P926" s="578">
        <v>42121</v>
      </c>
    </row>
    <row r="927" spans="1:18" s="58" customFormat="1" x14ac:dyDescent="0.2">
      <c r="A927" s="596">
        <v>42045</v>
      </c>
      <c r="B927" s="637">
        <v>835</v>
      </c>
      <c r="C927" s="597" t="s">
        <v>172</v>
      </c>
      <c r="E927" s="597">
        <v>21</v>
      </c>
      <c r="F927" s="600">
        <v>6820.68</v>
      </c>
      <c r="G927" s="601">
        <f>F927*2.18</f>
        <v>14869.082400000001</v>
      </c>
      <c r="H927" s="58" t="s">
        <v>330</v>
      </c>
      <c r="J927" s="696">
        <v>42033</v>
      </c>
      <c r="K927" s="696" t="s">
        <v>384</v>
      </c>
      <c r="L927" s="696">
        <v>42123</v>
      </c>
      <c r="P927" s="596">
        <v>42123</v>
      </c>
    </row>
    <row r="928" spans="1:18" s="611" customFormat="1" x14ac:dyDescent="0.2">
      <c r="A928" s="607">
        <v>42063</v>
      </c>
      <c r="B928" s="628">
        <v>838</v>
      </c>
      <c r="C928" s="612" t="s">
        <v>353</v>
      </c>
      <c r="E928" s="612">
        <v>6</v>
      </c>
      <c r="F928" s="688">
        <v>11157.78</v>
      </c>
      <c r="G928" s="774">
        <f>+F928*2.15</f>
        <v>23989.226999999999</v>
      </c>
      <c r="H928" s="611" t="s">
        <v>113</v>
      </c>
      <c r="J928" s="607">
        <v>42040</v>
      </c>
      <c r="K928" s="628" t="s">
        <v>384</v>
      </c>
      <c r="L928" s="607"/>
      <c r="P928" s="607">
        <v>42129</v>
      </c>
    </row>
    <row r="929" spans="1:18" s="611" customFormat="1" x14ac:dyDescent="0.2">
      <c r="A929" s="607">
        <v>42063</v>
      </c>
      <c r="B929" s="628">
        <v>837</v>
      </c>
      <c r="C929" s="612" t="s">
        <v>49</v>
      </c>
      <c r="E929" s="612">
        <v>22</v>
      </c>
      <c r="F929" s="688">
        <v>13201.85</v>
      </c>
      <c r="G929" s="774">
        <f>+F929*2.18</f>
        <v>28780.033000000003</v>
      </c>
      <c r="H929" s="611" t="s">
        <v>330</v>
      </c>
      <c r="J929" s="607">
        <v>42042</v>
      </c>
      <c r="K929" s="584" t="s">
        <v>384</v>
      </c>
      <c r="P929" s="607">
        <v>42131</v>
      </c>
    </row>
    <row r="930" spans="1:18" s="611" customFormat="1" x14ac:dyDescent="0.2">
      <c r="A930" s="607">
        <v>42112</v>
      </c>
      <c r="B930" s="628">
        <v>853</v>
      </c>
      <c r="C930" s="612" t="s">
        <v>935</v>
      </c>
      <c r="E930" s="612">
        <v>5</v>
      </c>
      <c r="F930" s="688">
        <v>3606.8</v>
      </c>
      <c r="G930" s="774">
        <f>F930*2.15</f>
        <v>7754.62</v>
      </c>
      <c r="H930" s="611" t="s">
        <v>70</v>
      </c>
      <c r="J930" s="879">
        <v>42073</v>
      </c>
      <c r="K930" s="612" t="s">
        <v>500</v>
      </c>
      <c r="L930" s="879">
        <v>42134</v>
      </c>
      <c r="P930" s="607">
        <v>42134</v>
      </c>
    </row>
    <row r="931" spans="1:18" s="611" customFormat="1" x14ac:dyDescent="0.2">
      <c r="A931" s="607">
        <v>42094</v>
      </c>
      <c r="B931" s="628">
        <v>847</v>
      </c>
      <c r="C931" s="612" t="s">
        <v>208</v>
      </c>
      <c r="E931" s="612">
        <v>13</v>
      </c>
      <c r="F931" s="688">
        <v>5998.74</v>
      </c>
      <c r="G931" s="774">
        <f>F931*2.18</f>
        <v>13077.253200000001</v>
      </c>
      <c r="H931" s="611" t="s">
        <v>330</v>
      </c>
      <c r="J931" s="607">
        <v>42074</v>
      </c>
      <c r="K931" s="612" t="s">
        <v>500</v>
      </c>
      <c r="L931" s="607">
        <v>42135</v>
      </c>
    </row>
    <row r="932" spans="1:18" s="603" customFormat="1" x14ac:dyDescent="0.2">
      <c r="A932" s="602">
        <v>42089</v>
      </c>
      <c r="B932" s="637">
        <v>846</v>
      </c>
      <c r="C932" s="597" t="s">
        <v>827</v>
      </c>
      <c r="D932" s="597" t="s">
        <v>87</v>
      </c>
      <c r="E932" s="612">
        <v>9</v>
      </c>
      <c r="F932" s="688">
        <v>6277.5</v>
      </c>
      <c r="G932" s="688">
        <f>+F932*2.3</f>
        <v>14438.249999999998</v>
      </c>
      <c r="H932" s="610" t="s">
        <v>113</v>
      </c>
      <c r="I932" s="599"/>
      <c r="J932" s="602">
        <v>42075</v>
      </c>
      <c r="K932" s="597" t="s">
        <v>500</v>
      </c>
      <c r="L932" s="602">
        <v>42136</v>
      </c>
      <c r="N932" s="606"/>
      <c r="P932" s="578">
        <v>42136</v>
      </c>
    </row>
    <row r="933" spans="1:18" s="611" customFormat="1" x14ac:dyDescent="0.2">
      <c r="A933" s="607">
        <v>42070</v>
      </c>
      <c r="B933" s="628">
        <v>840</v>
      </c>
      <c r="C933" s="612" t="s">
        <v>319</v>
      </c>
      <c r="E933" s="612">
        <v>14</v>
      </c>
      <c r="F933" s="688">
        <v>5525.52</v>
      </c>
      <c r="G933" s="774">
        <f>F933*2.15</f>
        <v>11879.868</v>
      </c>
      <c r="H933" s="611" t="s">
        <v>72</v>
      </c>
      <c r="J933" s="879">
        <v>42054</v>
      </c>
      <c r="K933" s="612" t="s">
        <v>384</v>
      </c>
      <c r="L933" s="607">
        <v>42143</v>
      </c>
      <c r="P933" s="607">
        <v>42143</v>
      </c>
    </row>
    <row r="934" spans="1:18" s="611" customFormat="1" x14ac:dyDescent="0.2">
      <c r="A934" s="607">
        <v>42072</v>
      </c>
      <c r="B934" s="628">
        <v>843</v>
      </c>
      <c r="C934" s="628" t="s">
        <v>69</v>
      </c>
      <c r="E934" s="612">
        <v>18</v>
      </c>
      <c r="F934" s="688">
        <v>24766.85</v>
      </c>
      <c r="G934" s="774">
        <f>F934*2.3</f>
        <v>56963.75499999999</v>
      </c>
      <c r="H934" s="611" t="s">
        <v>330</v>
      </c>
      <c r="J934" s="607">
        <v>42059</v>
      </c>
      <c r="K934" s="612" t="s">
        <v>384</v>
      </c>
      <c r="L934" s="607">
        <v>42148</v>
      </c>
      <c r="P934" s="607">
        <v>42148</v>
      </c>
    </row>
    <row r="935" spans="1:18" s="611" customFormat="1" x14ac:dyDescent="0.2">
      <c r="A935" s="607">
        <v>42076</v>
      </c>
      <c r="B935" s="773" t="s">
        <v>958</v>
      </c>
      <c r="C935" s="612" t="s">
        <v>603</v>
      </c>
      <c r="D935" s="609"/>
      <c r="E935" s="612">
        <v>8</v>
      </c>
      <c r="F935" s="688">
        <v>6357.21</v>
      </c>
      <c r="G935" s="774">
        <f>F935*2.15</f>
        <v>13668.0015</v>
      </c>
      <c r="H935" s="610" t="s">
        <v>330</v>
      </c>
      <c r="I935" s="626"/>
      <c r="J935" s="627">
        <v>42061</v>
      </c>
      <c r="K935" s="612" t="s">
        <v>384</v>
      </c>
      <c r="L935" s="627">
        <v>42150</v>
      </c>
      <c r="N935" s="610"/>
      <c r="P935" s="607">
        <v>42150</v>
      </c>
    </row>
    <row r="936" spans="1:18" s="652" customFormat="1" x14ac:dyDescent="0.2">
      <c r="A936" s="649">
        <v>42117</v>
      </c>
      <c r="B936" s="658">
        <v>856</v>
      </c>
      <c r="C936" s="646" t="s">
        <v>836</v>
      </c>
      <c r="E936" s="646">
        <v>2</v>
      </c>
      <c r="F936" s="650">
        <v>29601.15</v>
      </c>
      <c r="G936" s="659">
        <v>22000</v>
      </c>
      <c r="H936" s="652" t="s">
        <v>72</v>
      </c>
      <c r="K936" s="901" t="s">
        <v>938</v>
      </c>
      <c r="L936" s="649"/>
      <c r="M936" s="652" t="s">
        <v>719</v>
      </c>
      <c r="P936" s="649">
        <v>42155</v>
      </c>
    </row>
    <row r="937" spans="1:18" s="58" customFormat="1" x14ac:dyDescent="0.2">
      <c r="A937" s="602">
        <v>42110</v>
      </c>
      <c r="B937" s="640" t="s">
        <v>1010</v>
      </c>
      <c r="C937" s="597" t="s">
        <v>280</v>
      </c>
      <c r="D937" s="597" t="s">
        <v>86</v>
      </c>
      <c r="E937" s="612">
        <v>12</v>
      </c>
      <c r="F937" s="688">
        <v>6072.8</v>
      </c>
      <c r="G937" s="774">
        <f>+F937*2.15</f>
        <v>13056.52</v>
      </c>
      <c r="H937" s="610" t="s">
        <v>72</v>
      </c>
      <c r="I937" s="940"/>
      <c r="J937" s="596">
        <v>42093</v>
      </c>
      <c r="K937" s="612" t="s">
        <v>500</v>
      </c>
      <c r="L937" s="596">
        <v>42154</v>
      </c>
      <c r="P937" s="596">
        <v>42154</v>
      </c>
    </row>
    <row r="938" spans="1:18" s="603" customFormat="1" x14ac:dyDescent="0.2">
      <c r="A938" s="607">
        <v>42130</v>
      </c>
      <c r="B938" s="637">
        <v>861</v>
      </c>
      <c r="C938" s="597" t="s">
        <v>296</v>
      </c>
      <c r="D938" s="612" t="s">
        <v>86</v>
      </c>
      <c r="E938" s="612">
        <v>12</v>
      </c>
      <c r="F938" s="600">
        <v>3624.34</v>
      </c>
      <c r="G938" s="600">
        <f>F938*2.2</f>
        <v>7973.5480000000007</v>
      </c>
      <c r="H938" s="611" t="s">
        <v>70</v>
      </c>
      <c r="I938" s="599"/>
      <c r="J938" s="599"/>
      <c r="K938" s="96" t="s">
        <v>250</v>
      </c>
      <c r="L938" s="599"/>
      <c r="N938" s="606"/>
    </row>
    <row r="939" spans="1:18" s="575" customFormat="1" x14ac:dyDescent="0.2">
      <c r="A939" s="1018">
        <v>42161</v>
      </c>
      <c r="B939" s="637">
        <v>873</v>
      </c>
      <c r="C939" s="597" t="s">
        <v>192</v>
      </c>
      <c r="D939" s="597" t="s">
        <v>86</v>
      </c>
      <c r="E939" s="597">
        <v>26</v>
      </c>
      <c r="F939" s="600">
        <v>15215.76</v>
      </c>
      <c r="G939" s="600">
        <f>F939*2.2</f>
        <v>33474.672000000006</v>
      </c>
      <c r="H939" s="575" t="s">
        <v>72</v>
      </c>
      <c r="I939" s="577"/>
      <c r="J939" s="577"/>
      <c r="K939" s="96" t="s">
        <v>250</v>
      </c>
      <c r="L939" s="577"/>
      <c r="N939" s="485"/>
      <c r="P939" s="578">
        <v>42243</v>
      </c>
      <c r="Q939" s="578"/>
      <c r="R939" s="578"/>
    </row>
    <row r="940" spans="1:18" s="842" customFormat="1" x14ac:dyDescent="0.2">
      <c r="A940" s="602">
        <v>42084</v>
      </c>
      <c r="B940" s="628">
        <v>845</v>
      </c>
      <c r="C940" s="597" t="s">
        <v>64</v>
      </c>
      <c r="D940" s="597" t="s">
        <v>87</v>
      </c>
      <c r="E940" s="612">
        <v>16</v>
      </c>
      <c r="F940" s="688">
        <v>2649</v>
      </c>
      <c r="G940" s="774">
        <f>+F940*2.3</f>
        <v>6092.7</v>
      </c>
      <c r="H940" s="610" t="s">
        <v>72</v>
      </c>
      <c r="J940" s="578">
        <v>42068</v>
      </c>
      <c r="K940" s="612" t="s">
        <v>384</v>
      </c>
      <c r="L940" s="578">
        <v>42160</v>
      </c>
      <c r="P940" s="578">
        <v>42160</v>
      </c>
    </row>
    <row r="941" spans="1:18" s="611" customFormat="1" x14ac:dyDescent="0.2">
      <c r="A941" s="607">
        <v>42131</v>
      </c>
      <c r="B941" s="628">
        <v>860</v>
      </c>
      <c r="C941" s="612" t="s">
        <v>177</v>
      </c>
      <c r="E941" s="612">
        <v>13</v>
      </c>
      <c r="F941" s="688">
        <v>3484.52</v>
      </c>
      <c r="G941" s="774">
        <f>+F941*2.18</f>
        <v>7596.2536000000009</v>
      </c>
      <c r="H941" s="611" t="s">
        <v>70</v>
      </c>
      <c r="J941" s="607">
        <v>42110</v>
      </c>
      <c r="K941" s="612" t="s">
        <v>500</v>
      </c>
      <c r="L941" s="607">
        <v>42171</v>
      </c>
      <c r="P941" s="607">
        <v>42171</v>
      </c>
    </row>
    <row r="942" spans="1:18" s="611" customFormat="1" x14ac:dyDescent="0.2">
      <c r="A942" s="607">
        <v>42116</v>
      </c>
      <c r="B942" s="628">
        <v>854</v>
      </c>
      <c r="C942" s="612" t="s">
        <v>145</v>
      </c>
      <c r="D942" s="597" t="s">
        <v>87</v>
      </c>
      <c r="E942" s="612">
        <v>26</v>
      </c>
      <c r="F942" s="688">
        <v>26670.35</v>
      </c>
      <c r="G942" s="774">
        <f>F942*2.15</f>
        <v>57341.252499999995</v>
      </c>
      <c r="H942" s="611" t="s">
        <v>70</v>
      </c>
      <c r="J942" s="607">
        <v>42079</v>
      </c>
      <c r="K942" s="612" t="s">
        <v>384</v>
      </c>
      <c r="L942" s="879">
        <v>42171</v>
      </c>
      <c r="P942" s="607">
        <v>42171</v>
      </c>
    </row>
    <row r="943" spans="1:18" s="575" customFormat="1" x14ac:dyDescent="0.2">
      <c r="A943" s="578">
        <v>42166</v>
      </c>
      <c r="B943" s="612">
        <v>875</v>
      </c>
      <c r="C943" s="597" t="s">
        <v>846</v>
      </c>
      <c r="D943" s="597" t="s">
        <v>86</v>
      </c>
      <c r="E943" s="597">
        <v>1</v>
      </c>
      <c r="F943" s="600">
        <v>11288.85</v>
      </c>
      <c r="G943" s="601">
        <f>+F943*2.2</f>
        <v>24835.47</v>
      </c>
      <c r="H943" s="575" t="s">
        <v>113</v>
      </c>
      <c r="I943" s="577"/>
      <c r="J943" s="577"/>
      <c r="K943" s="96" t="s">
        <v>250</v>
      </c>
      <c r="L943" s="577"/>
      <c r="N943" s="485"/>
    </row>
    <row r="944" spans="1:18" s="575" customFormat="1" x14ac:dyDescent="0.2">
      <c r="A944" s="578">
        <v>42165</v>
      </c>
      <c r="B944" s="612">
        <v>874</v>
      </c>
      <c r="C944" s="597" t="s">
        <v>66</v>
      </c>
      <c r="D944" s="96"/>
      <c r="E944" s="597">
        <v>14</v>
      </c>
      <c r="F944" s="600">
        <v>8085</v>
      </c>
      <c r="G944" s="601">
        <f>F944*2.3</f>
        <v>18595.5</v>
      </c>
      <c r="H944" s="575" t="s">
        <v>70</v>
      </c>
      <c r="I944" s="1025"/>
      <c r="J944" s="577"/>
      <c r="K944" s="96" t="s">
        <v>250</v>
      </c>
      <c r="L944" s="577"/>
      <c r="N944" s="485"/>
    </row>
    <row r="945" spans="1:17" s="652" customFormat="1" x14ac:dyDescent="0.2">
      <c r="A945" s="649">
        <v>42117</v>
      </c>
      <c r="B945" s="658">
        <v>856</v>
      </c>
      <c r="C945" s="646" t="s">
        <v>836</v>
      </c>
      <c r="E945" s="646">
        <v>2</v>
      </c>
      <c r="F945" s="650">
        <v>29601.15</v>
      </c>
      <c r="G945" s="659">
        <v>22000</v>
      </c>
      <c r="H945" s="652" t="s">
        <v>72</v>
      </c>
      <c r="K945" s="901" t="s">
        <v>938</v>
      </c>
      <c r="L945" s="649"/>
      <c r="M945" s="652" t="s">
        <v>719</v>
      </c>
      <c r="P945" s="649">
        <v>42185</v>
      </c>
      <c r="Q945" s="649">
        <v>42191</v>
      </c>
    </row>
    <row r="946" spans="1:17" s="603" customFormat="1" x14ac:dyDescent="0.2">
      <c r="A946" s="964">
        <v>42136</v>
      </c>
      <c r="B946" s="637">
        <v>864</v>
      </c>
      <c r="C946" s="612" t="s">
        <v>223</v>
      </c>
      <c r="D946" s="612"/>
      <c r="E946" s="612">
        <v>19</v>
      </c>
      <c r="F946" s="600">
        <v>14556.9</v>
      </c>
      <c r="G946" s="600">
        <f>F946*2.2</f>
        <v>32025.18</v>
      </c>
      <c r="H946" s="611" t="s">
        <v>113</v>
      </c>
      <c r="I946" s="599"/>
      <c r="J946" s="984">
        <v>42115</v>
      </c>
      <c r="K946" s="612" t="s">
        <v>500</v>
      </c>
      <c r="L946" s="639">
        <v>42176</v>
      </c>
      <c r="N946" s="606"/>
      <c r="P946" s="578">
        <v>42176</v>
      </c>
    </row>
    <row r="947" spans="1:17" s="603" customFormat="1" x14ac:dyDescent="0.2">
      <c r="A947" s="607">
        <v>42101</v>
      </c>
      <c r="B947" s="637">
        <v>850</v>
      </c>
      <c r="C947" s="612" t="s">
        <v>172</v>
      </c>
      <c r="D947" s="612" t="s">
        <v>87</v>
      </c>
      <c r="E947" s="612">
        <v>22</v>
      </c>
      <c r="F947" s="600">
        <v>5521.33</v>
      </c>
      <c r="G947" s="600">
        <f>+F947*2.15</f>
        <v>11870.859499999999</v>
      </c>
      <c r="H947" s="610" t="s">
        <v>72</v>
      </c>
      <c r="I947" s="599"/>
      <c r="J947" s="602">
        <v>42089</v>
      </c>
      <c r="K947" s="597" t="s">
        <v>698</v>
      </c>
      <c r="L947" s="602">
        <v>42181</v>
      </c>
      <c r="N947" s="606"/>
      <c r="P947" s="578">
        <v>42181</v>
      </c>
    </row>
    <row r="948" spans="1:17" s="575" customFormat="1" x14ac:dyDescent="0.2">
      <c r="A948" s="602">
        <v>42179</v>
      </c>
      <c r="B948" s="597">
        <v>879</v>
      </c>
      <c r="C948" s="597" t="s">
        <v>818</v>
      </c>
      <c r="D948" s="597" t="s">
        <v>86</v>
      </c>
      <c r="E948" s="597">
        <v>2</v>
      </c>
      <c r="F948" s="600">
        <v>2423.83</v>
      </c>
      <c r="G948" s="601">
        <f>+F948*2.2</f>
        <v>5332.4260000000004</v>
      </c>
      <c r="H948" s="575" t="s">
        <v>113</v>
      </c>
      <c r="I948" s="577"/>
      <c r="K948" s="96" t="s">
        <v>250</v>
      </c>
      <c r="L948" s="577"/>
      <c r="N948" s="485"/>
    </row>
    <row r="949" spans="1:17" s="575" customFormat="1" x14ac:dyDescent="0.2">
      <c r="A949" s="578">
        <v>42181</v>
      </c>
      <c r="B949" s="640">
        <v>880</v>
      </c>
      <c r="C949" s="597" t="s">
        <v>946</v>
      </c>
      <c r="D949" s="597" t="s">
        <v>943</v>
      </c>
      <c r="E949" s="597">
        <v>1</v>
      </c>
      <c r="F949" s="600">
        <v>11272.02</v>
      </c>
      <c r="G949" s="600">
        <f>+F949*2.2</f>
        <v>24798.444000000003</v>
      </c>
      <c r="H949" s="575" t="s">
        <v>72</v>
      </c>
      <c r="I949" s="577"/>
      <c r="J949" s="577"/>
      <c r="K949" s="96" t="s">
        <v>250</v>
      </c>
      <c r="L949" s="577"/>
      <c r="N949" s="485"/>
    </row>
    <row r="950" spans="1:17" s="611" customFormat="1" x14ac:dyDescent="0.2">
      <c r="A950" s="607">
        <v>42149</v>
      </c>
      <c r="B950" s="628">
        <v>871</v>
      </c>
      <c r="C950" s="612" t="s">
        <v>139</v>
      </c>
      <c r="E950" s="612">
        <v>30</v>
      </c>
      <c r="F950" s="688">
        <v>14961.78</v>
      </c>
      <c r="G950" s="774">
        <f>F950*2.2</f>
        <v>32915.916000000005</v>
      </c>
      <c r="H950" s="611" t="s">
        <v>72</v>
      </c>
      <c r="I950" s="888"/>
      <c r="J950" s="607">
        <v>42097</v>
      </c>
      <c r="K950" s="612" t="s">
        <v>384</v>
      </c>
      <c r="L950" s="607">
        <v>42188</v>
      </c>
      <c r="Q950" s="607">
        <v>42188</v>
      </c>
    </row>
    <row r="951" spans="1:17" s="603" customFormat="1" ht="14.25" customHeight="1" x14ac:dyDescent="0.2">
      <c r="A951" s="578">
        <v>42124</v>
      </c>
      <c r="B951" s="637">
        <v>858</v>
      </c>
      <c r="C951" s="597" t="s">
        <v>285</v>
      </c>
      <c r="D951" s="597" t="s">
        <v>87</v>
      </c>
      <c r="E951" s="597">
        <v>11</v>
      </c>
      <c r="F951" s="600">
        <v>4331.43</v>
      </c>
      <c r="G951" s="600">
        <f>F951*2.18</f>
        <v>9442.5174000000006</v>
      </c>
      <c r="H951" s="610" t="s">
        <v>113</v>
      </c>
      <c r="I951" s="599"/>
      <c r="J951" s="639">
        <v>42091</v>
      </c>
      <c r="K951" s="612" t="s">
        <v>384</v>
      </c>
      <c r="L951" s="639">
        <v>42183</v>
      </c>
      <c r="N951" s="606"/>
      <c r="P951" s="578">
        <v>42183</v>
      </c>
    </row>
    <row r="952" spans="1:17" s="603" customFormat="1" x14ac:dyDescent="0.2">
      <c r="A952" s="578">
        <v>42140</v>
      </c>
      <c r="B952" s="637">
        <v>866</v>
      </c>
      <c r="C952" s="597" t="s">
        <v>844</v>
      </c>
      <c r="D952" s="597" t="s">
        <v>86</v>
      </c>
      <c r="E952" s="597"/>
      <c r="F952" s="600">
        <v>7428.6</v>
      </c>
      <c r="G952" s="600">
        <f>+F952*2.2</f>
        <v>16342.920000000002</v>
      </c>
      <c r="H952" s="611" t="s">
        <v>70</v>
      </c>
      <c r="I952" s="599"/>
      <c r="J952" s="602">
        <v>42129</v>
      </c>
      <c r="K952" s="597" t="s">
        <v>500</v>
      </c>
      <c r="L952" s="602"/>
      <c r="N952" s="606"/>
      <c r="Q952" s="578">
        <v>42190</v>
      </c>
    </row>
    <row r="953" spans="1:17" s="603" customFormat="1" x14ac:dyDescent="0.2">
      <c r="A953" s="607">
        <v>42130</v>
      </c>
      <c r="B953" s="637">
        <v>859</v>
      </c>
      <c r="C953" s="612" t="s">
        <v>187</v>
      </c>
      <c r="D953" s="612" t="s">
        <v>86</v>
      </c>
      <c r="E953" s="612">
        <v>14</v>
      </c>
      <c r="F953" s="600">
        <v>4728.82</v>
      </c>
      <c r="G953" s="600">
        <f>F953*2.15</f>
        <v>10166.963</v>
      </c>
      <c r="H953" s="611" t="s">
        <v>70</v>
      </c>
      <c r="I953" s="599"/>
      <c r="J953" s="639">
        <v>42112</v>
      </c>
      <c r="K953" s="597" t="s">
        <v>384</v>
      </c>
      <c r="L953" s="639"/>
      <c r="N953" s="606"/>
      <c r="Q953" s="578">
        <v>42203</v>
      </c>
    </row>
    <row r="954" spans="1:17" s="575" customFormat="1" x14ac:dyDescent="0.2">
      <c r="A954" s="578">
        <v>42200</v>
      </c>
      <c r="B954" s="640">
        <v>885</v>
      </c>
      <c r="C954" s="597" t="s">
        <v>1013</v>
      </c>
      <c r="D954" s="597"/>
      <c r="E954" s="597">
        <v>13</v>
      </c>
      <c r="F954" s="600">
        <v>6225.9</v>
      </c>
      <c r="G954" s="600">
        <f>+F954*2.2</f>
        <v>13696.98</v>
      </c>
      <c r="H954" s="485" t="s">
        <v>330</v>
      </c>
      <c r="I954" s="577"/>
      <c r="J954" s="577"/>
      <c r="K954" s="96" t="s">
        <v>250</v>
      </c>
      <c r="L954" s="577"/>
      <c r="N954" s="485"/>
    </row>
    <row r="955" spans="1:17" s="652" customFormat="1" x14ac:dyDescent="0.2">
      <c r="A955" s="649">
        <v>42117</v>
      </c>
      <c r="B955" s="658">
        <v>856</v>
      </c>
      <c r="C955" s="646" t="s">
        <v>836</v>
      </c>
      <c r="E955" s="646">
        <v>2</v>
      </c>
      <c r="F955" s="650">
        <v>29601.15</v>
      </c>
      <c r="G955" s="659">
        <v>22000</v>
      </c>
      <c r="H955" s="652" t="s">
        <v>72</v>
      </c>
      <c r="K955" s="901" t="s">
        <v>938</v>
      </c>
      <c r="L955" s="649"/>
      <c r="M955" s="652" t="s">
        <v>719</v>
      </c>
      <c r="P955" s="649">
        <v>42216</v>
      </c>
      <c r="Q955" s="649">
        <v>42222</v>
      </c>
    </row>
    <row r="956" spans="1:17" s="575" customFormat="1" x14ac:dyDescent="0.2">
      <c r="A956" s="578">
        <v>42179</v>
      </c>
      <c r="B956" s="597">
        <v>876</v>
      </c>
      <c r="C956" s="597" t="s">
        <v>605</v>
      </c>
      <c r="D956" s="597"/>
      <c r="E956" s="597">
        <v>10</v>
      </c>
      <c r="F956" s="600">
        <v>8564</v>
      </c>
      <c r="G956" s="600">
        <f>+F956*2.2</f>
        <v>18840.800000000003</v>
      </c>
      <c r="H956" s="485" t="s">
        <v>330</v>
      </c>
      <c r="I956" s="577"/>
      <c r="J956" s="639">
        <v>42161</v>
      </c>
      <c r="K956" s="612" t="s">
        <v>500</v>
      </c>
      <c r="L956" s="639">
        <v>42222</v>
      </c>
      <c r="N956" s="485"/>
      <c r="Q956" s="578">
        <v>42222</v>
      </c>
    </row>
    <row r="957" spans="1:17" s="611" customFormat="1" x14ac:dyDescent="0.2">
      <c r="A957" s="607">
        <v>42147</v>
      </c>
      <c r="B957" s="773" t="s">
        <v>1024</v>
      </c>
      <c r="C957" s="612" t="s">
        <v>49</v>
      </c>
      <c r="D957" s="612" t="s">
        <v>87</v>
      </c>
      <c r="E957" s="612">
        <v>23</v>
      </c>
      <c r="F957" s="688">
        <v>8398.19</v>
      </c>
      <c r="G957" s="688">
        <f>+F957*2.15</f>
        <v>18056.108500000002</v>
      </c>
      <c r="H957" s="611" t="s">
        <v>330</v>
      </c>
      <c r="I957" s="626"/>
      <c r="J957" s="639">
        <v>42133</v>
      </c>
      <c r="K957" s="639" t="s">
        <v>384</v>
      </c>
      <c r="L957" s="639">
        <v>42225</v>
      </c>
      <c r="N957" s="610"/>
      <c r="Q957" s="607">
        <v>42225</v>
      </c>
    </row>
    <row r="958" spans="1:17" s="575" customFormat="1" x14ac:dyDescent="0.2">
      <c r="A958" s="578">
        <v>42196</v>
      </c>
      <c r="B958" s="1044">
        <v>883</v>
      </c>
      <c r="C958" s="597" t="s">
        <v>180</v>
      </c>
      <c r="F958" s="600">
        <v>8053.71</v>
      </c>
      <c r="G958" s="600">
        <f>+F958*2.2</f>
        <v>17718.162</v>
      </c>
      <c r="H958" s="575" t="s">
        <v>70</v>
      </c>
      <c r="J958" s="696">
        <v>42164</v>
      </c>
      <c r="K958" s="637" t="s">
        <v>500</v>
      </c>
      <c r="L958" s="696">
        <v>42225</v>
      </c>
      <c r="Q958" s="578">
        <v>42225</v>
      </c>
    </row>
    <row r="959" spans="1:17" s="575" customFormat="1" x14ac:dyDescent="0.2">
      <c r="A959" s="578">
        <v>42230</v>
      </c>
      <c r="B959" s="1044">
        <v>892</v>
      </c>
      <c r="C959" s="597" t="s">
        <v>293</v>
      </c>
      <c r="E959" s="575">
        <v>9</v>
      </c>
      <c r="F959" s="600">
        <v>8775.6</v>
      </c>
      <c r="G959" s="600">
        <f>+F959*2.2</f>
        <v>19306.320000000003</v>
      </c>
      <c r="H959" s="485" t="s">
        <v>113</v>
      </c>
      <c r="K959" s="96" t="s">
        <v>250</v>
      </c>
    </row>
    <row r="960" spans="1:17" s="575" customFormat="1" x14ac:dyDescent="0.2">
      <c r="A960" s="578">
        <v>42179</v>
      </c>
      <c r="B960" s="773">
        <v>877</v>
      </c>
      <c r="C960" s="597" t="s">
        <v>301</v>
      </c>
      <c r="D960" s="597" t="s">
        <v>943</v>
      </c>
      <c r="E960" s="597"/>
      <c r="F960" s="600">
        <v>3080.65</v>
      </c>
      <c r="G960" s="600">
        <f>+F960*2.15</f>
        <v>6623.3975</v>
      </c>
      <c r="H960" s="575" t="s">
        <v>330</v>
      </c>
      <c r="I960" s="577"/>
      <c r="J960" s="639">
        <v>42166</v>
      </c>
      <c r="K960" s="597" t="s">
        <v>500</v>
      </c>
      <c r="L960" s="639">
        <v>42227</v>
      </c>
      <c r="N960" s="485"/>
      <c r="Q960" s="578">
        <v>42227</v>
      </c>
    </row>
    <row r="961" spans="1:18" s="575" customFormat="1" x14ac:dyDescent="0.2">
      <c r="A961" s="578">
        <v>42147</v>
      </c>
      <c r="B961" s="637">
        <v>878</v>
      </c>
      <c r="C961" s="597" t="s">
        <v>826</v>
      </c>
      <c r="D961" s="597" t="s">
        <v>943</v>
      </c>
      <c r="E961" s="597">
        <v>5</v>
      </c>
      <c r="F961" s="600">
        <v>19000</v>
      </c>
      <c r="G961" s="600">
        <f>F961*2.2</f>
        <v>41800</v>
      </c>
      <c r="H961" s="575" t="s">
        <v>113</v>
      </c>
      <c r="I961" s="577"/>
      <c r="J961" s="577"/>
      <c r="K961" s="96" t="s">
        <v>250</v>
      </c>
      <c r="L961" s="577"/>
      <c r="N961" s="485"/>
    </row>
    <row r="962" spans="1:18" s="603" customFormat="1" x14ac:dyDescent="0.2">
      <c r="A962" s="964">
        <v>42133</v>
      </c>
      <c r="B962" s="637">
        <v>863</v>
      </c>
      <c r="C962" s="612" t="s">
        <v>713</v>
      </c>
      <c r="D962" s="612" t="s">
        <v>88</v>
      </c>
      <c r="E962" s="612">
        <v>5</v>
      </c>
      <c r="F962" s="600">
        <v>7122.1</v>
      </c>
      <c r="G962" s="600">
        <f>F962*2.2</f>
        <v>15668.620000000003</v>
      </c>
      <c r="H962" s="611" t="s">
        <v>113</v>
      </c>
      <c r="I962" s="599"/>
      <c r="J962" s="639">
        <v>42121</v>
      </c>
      <c r="K962" s="612" t="s">
        <v>384</v>
      </c>
      <c r="L962" s="639"/>
      <c r="N962" s="606"/>
      <c r="Q962" s="578">
        <v>42212</v>
      </c>
    </row>
    <row r="963" spans="1:18" s="603" customFormat="1" x14ac:dyDescent="0.2">
      <c r="A963" s="607">
        <v>42140</v>
      </c>
      <c r="B963" s="637">
        <v>868</v>
      </c>
      <c r="C963" s="612" t="s">
        <v>212</v>
      </c>
      <c r="D963" s="612" t="s">
        <v>197</v>
      </c>
      <c r="E963" s="612">
        <v>24</v>
      </c>
      <c r="F963" s="600">
        <v>10235.67</v>
      </c>
      <c r="G963" s="600">
        <f>+F963*2.2</f>
        <v>22518.474000000002</v>
      </c>
      <c r="H963" s="611" t="s">
        <v>113</v>
      </c>
      <c r="I963" s="599"/>
      <c r="J963" s="639">
        <v>42128</v>
      </c>
      <c r="K963" s="612" t="s">
        <v>384</v>
      </c>
      <c r="L963" s="639">
        <v>42220</v>
      </c>
      <c r="N963" s="606"/>
      <c r="Q963" s="578">
        <v>42220</v>
      </c>
    </row>
    <row r="964" spans="1:18" s="611" customFormat="1" ht="12" customHeight="1" x14ac:dyDescent="0.2">
      <c r="A964" s="607">
        <v>42159</v>
      </c>
      <c r="B964" s="773">
        <v>872</v>
      </c>
      <c r="C964" s="612" t="s">
        <v>174</v>
      </c>
      <c r="D964" s="612"/>
      <c r="E964" s="612">
        <v>5</v>
      </c>
      <c r="F964" s="688">
        <v>5110</v>
      </c>
      <c r="G964" s="688">
        <f>+F964*2.16</f>
        <v>11037.6</v>
      </c>
      <c r="H964" s="610" t="s">
        <v>330</v>
      </c>
      <c r="I964" s="626"/>
      <c r="J964" s="1020">
        <v>42147</v>
      </c>
      <c r="K964" s="688" t="s">
        <v>384</v>
      </c>
      <c r="L964" s="1020">
        <v>42239</v>
      </c>
      <c r="N964" s="610"/>
      <c r="Q964" s="607">
        <v>42239</v>
      </c>
    </row>
    <row r="965" spans="1:18" s="652" customFormat="1" x14ac:dyDescent="0.2">
      <c r="A965" s="649">
        <v>42021</v>
      </c>
      <c r="B965" s="658">
        <v>831</v>
      </c>
      <c r="C965" s="646" t="s">
        <v>223</v>
      </c>
      <c r="D965" s="646"/>
      <c r="E965" s="646"/>
      <c r="F965" s="650">
        <v>10619.6</v>
      </c>
      <c r="G965" s="659">
        <f>+F965*2.2</f>
        <v>23363.120000000003</v>
      </c>
      <c r="H965" s="573" t="s">
        <v>330</v>
      </c>
      <c r="I965" s="720"/>
      <c r="J965" s="721">
        <v>41996</v>
      </c>
      <c r="K965" s="564" t="s">
        <v>500</v>
      </c>
      <c r="L965" s="721">
        <v>42058</v>
      </c>
      <c r="N965" s="573"/>
      <c r="P965" s="649">
        <v>42149</v>
      </c>
      <c r="Q965" s="649">
        <v>42240</v>
      </c>
    </row>
    <row r="966" spans="1:18" s="575" customFormat="1" x14ac:dyDescent="0.2">
      <c r="A966" s="578">
        <v>42214</v>
      </c>
      <c r="B966" s="1044">
        <v>888</v>
      </c>
      <c r="C966" s="597" t="s">
        <v>185</v>
      </c>
      <c r="E966" s="597">
        <v>13</v>
      </c>
      <c r="F966" s="600">
        <v>4409.46</v>
      </c>
      <c r="G966" s="672">
        <f>F966*2.2</f>
        <v>9700.8120000000017</v>
      </c>
      <c r="H966" s="485" t="s">
        <v>330</v>
      </c>
      <c r="J966" s="578">
        <v>42180</v>
      </c>
      <c r="K966" s="96" t="s">
        <v>500</v>
      </c>
      <c r="L966" s="578">
        <v>42241</v>
      </c>
      <c r="Q966" s="578">
        <v>42241</v>
      </c>
    </row>
    <row r="967" spans="1:18" s="575" customFormat="1" x14ac:dyDescent="0.2">
      <c r="A967" s="578">
        <v>42228</v>
      </c>
      <c r="B967" s="1044">
        <v>893</v>
      </c>
      <c r="C967" s="597" t="s">
        <v>177</v>
      </c>
      <c r="D967" s="597"/>
      <c r="E967" s="597"/>
      <c r="F967" s="600">
        <v>4303.72</v>
      </c>
      <c r="G967" s="600">
        <f>+F967*2.2</f>
        <v>9468.1840000000011</v>
      </c>
      <c r="H967" s="485" t="s">
        <v>72</v>
      </c>
      <c r="I967" s="577"/>
      <c r="J967" s="639">
        <v>42187</v>
      </c>
      <c r="K967" s="597" t="s">
        <v>500</v>
      </c>
      <c r="L967" s="639">
        <v>42249</v>
      </c>
      <c r="N967" s="485"/>
      <c r="Q967" s="578">
        <v>42249</v>
      </c>
    </row>
    <row r="968" spans="1:18" s="575" customFormat="1" x14ac:dyDescent="0.2">
      <c r="A968" s="578">
        <v>42217</v>
      </c>
      <c r="B968" s="640">
        <v>889</v>
      </c>
      <c r="C968" s="597" t="s">
        <v>341</v>
      </c>
      <c r="D968" s="597" t="s">
        <v>86</v>
      </c>
      <c r="E968" s="597">
        <v>6</v>
      </c>
      <c r="F968" s="600">
        <v>6431.2</v>
      </c>
      <c r="G968" s="600">
        <f>+F968*2.2</f>
        <v>14148.640000000001</v>
      </c>
      <c r="H968" s="485" t="s">
        <v>70</v>
      </c>
      <c r="I968" s="577"/>
      <c r="J968" s="639">
        <v>42189</v>
      </c>
      <c r="K968" s="96" t="s">
        <v>500</v>
      </c>
      <c r="L968" s="639">
        <v>42251</v>
      </c>
      <c r="N968" s="485"/>
      <c r="Q968" s="578">
        <v>42251</v>
      </c>
    </row>
    <row r="969" spans="1:18" s="575" customFormat="1" x14ac:dyDescent="0.2">
      <c r="A969" s="578">
        <v>42196</v>
      </c>
      <c r="B969" s="640">
        <v>882</v>
      </c>
      <c r="C969" s="597" t="s">
        <v>248</v>
      </c>
      <c r="D969" s="597"/>
      <c r="E969" s="597">
        <v>10</v>
      </c>
      <c r="F969" s="600">
        <v>16010.7</v>
      </c>
      <c r="G969" s="600">
        <f>F969*2.2</f>
        <v>35223.54</v>
      </c>
      <c r="H969" s="485" t="s">
        <v>330</v>
      </c>
      <c r="I969" s="577"/>
      <c r="J969" s="639">
        <v>42167</v>
      </c>
      <c r="K969" s="597" t="s">
        <v>384</v>
      </c>
      <c r="L969" s="639">
        <v>42259</v>
      </c>
      <c r="N969" s="485"/>
      <c r="Q969" s="578">
        <v>42259</v>
      </c>
    </row>
    <row r="970" spans="1:18" s="575" customFormat="1" x14ac:dyDescent="0.2">
      <c r="A970" s="578">
        <v>42235</v>
      </c>
      <c r="B970" s="637">
        <v>900</v>
      </c>
      <c r="C970" s="597" t="s">
        <v>280</v>
      </c>
      <c r="E970" s="597">
        <v>13</v>
      </c>
      <c r="F970" s="600">
        <v>6566.39</v>
      </c>
      <c r="G970" s="600">
        <f>+F970*2.2</f>
        <v>14446.058000000003</v>
      </c>
      <c r="H970" s="575" t="s">
        <v>72</v>
      </c>
      <c r="J970" s="578">
        <v>42203</v>
      </c>
      <c r="K970" s="96" t="s">
        <v>500</v>
      </c>
      <c r="L970" s="578">
        <v>42265</v>
      </c>
      <c r="Q970" s="578">
        <v>42265</v>
      </c>
    </row>
    <row r="971" spans="1:18" s="652" customFormat="1" x14ac:dyDescent="0.2">
      <c r="A971" s="649">
        <v>42200</v>
      </c>
      <c r="B971" s="657">
        <v>884</v>
      </c>
      <c r="C971" s="646" t="s">
        <v>166</v>
      </c>
      <c r="E971" s="646">
        <v>37</v>
      </c>
      <c r="F971" s="650">
        <v>74599.3</v>
      </c>
      <c r="G971" s="659">
        <f>F971*2.2</f>
        <v>164118.46000000002</v>
      </c>
      <c r="H971" s="652" t="s">
        <v>113</v>
      </c>
      <c r="K971" s="564" t="s">
        <v>250</v>
      </c>
      <c r="L971" s="649"/>
      <c r="Q971" s="649">
        <v>42275</v>
      </c>
    </row>
    <row r="972" spans="1:18" s="575" customFormat="1" x14ac:dyDescent="0.2">
      <c r="A972" s="578">
        <v>42263</v>
      </c>
      <c r="B972" s="640">
        <v>904</v>
      </c>
      <c r="C972" s="597" t="s">
        <v>193</v>
      </c>
      <c r="D972" s="597"/>
      <c r="E972" s="597">
        <v>15</v>
      </c>
      <c r="F972" s="600">
        <v>8800</v>
      </c>
      <c r="G972" s="600">
        <f>+F972*2.23</f>
        <v>19624</v>
      </c>
      <c r="H972" s="485" t="s">
        <v>72</v>
      </c>
      <c r="I972" s="577"/>
      <c r="J972" s="577"/>
      <c r="K972" s="96" t="s">
        <v>250</v>
      </c>
      <c r="L972" s="577" t="s">
        <v>825</v>
      </c>
      <c r="N972" s="485"/>
    </row>
    <row r="973" spans="1:18" s="603" customFormat="1" x14ac:dyDescent="0.2">
      <c r="A973" s="607">
        <v>42217</v>
      </c>
      <c r="B973" s="1026">
        <v>890</v>
      </c>
      <c r="C973" s="597" t="s">
        <v>174</v>
      </c>
      <c r="D973" s="612"/>
      <c r="E973" s="612">
        <v>6</v>
      </c>
      <c r="F973" s="600">
        <v>3673.7</v>
      </c>
      <c r="G973" s="600">
        <f>+F973*2.2</f>
        <v>8082.14</v>
      </c>
      <c r="H973" s="485" t="s">
        <v>72</v>
      </c>
      <c r="I973" s="599"/>
      <c r="J973" s="602">
        <v>42196</v>
      </c>
      <c r="K973" s="597" t="s">
        <v>384</v>
      </c>
      <c r="L973" s="602">
        <v>42288</v>
      </c>
      <c r="N973" s="606"/>
      <c r="R973" s="578">
        <v>42288</v>
      </c>
    </row>
    <row r="974" spans="1:18" s="575" customFormat="1" x14ac:dyDescent="0.2">
      <c r="A974" s="578">
        <v>42206</v>
      </c>
      <c r="B974" s="640">
        <v>887</v>
      </c>
      <c r="C974" s="597" t="s">
        <v>478</v>
      </c>
      <c r="D974" s="597"/>
      <c r="E974" s="597">
        <v>10</v>
      </c>
      <c r="F974" s="600">
        <v>5249.48</v>
      </c>
      <c r="G974" s="600">
        <f>+F974*2.15</f>
        <v>11286.381999999998</v>
      </c>
      <c r="H974" s="485" t="s">
        <v>330</v>
      </c>
      <c r="I974" s="577"/>
      <c r="J974" s="639">
        <v>42185</v>
      </c>
      <c r="K974" s="597" t="s">
        <v>384</v>
      </c>
      <c r="L974" s="639">
        <v>42277</v>
      </c>
      <c r="N974" s="485"/>
      <c r="R974" s="578">
        <v>42277</v>
      </c>
    </row>
    <row r="975" spans="1:18" s="575" customFormat="1" x14ac:dyDescent="0.2">
      <c r="A975" s="578">
        <v>42195</v>
      </c>
      <c r="B975" s="1044">
        <v>881</v>
      </c>
      <c r="C975" s="597" t="s">
        <v>748</v>
      </c>
      <c r="E975" s="597">
        <v>22</v>
      </c>
      <c r="F975" s="600">
        <v>13290.08</v>
      </c>
      <c r="G975" s="600">
        <f>+F975*2.2</f>
        <v>29238.176000000003</v>
      </c>
      <c r="H975" s="575" t="s">
        <v>330</v>
      </c>
      <c r="J975" s="696">
        <v>42182</v>
      </c>
      <c r="K975" s="597" t="s">
        <v>384</v>
      </c>
      <c r="L975" s="696">
        <v>42274</v>
      </c>
      <c r="R975" s="578">
        <v>42274</v>
      </c>
    </row>
    <row r="976" spans="1:18" s="652" customFormat="1" x14ac:dyDescent="0.2">
      <c r="A976" s="649">
        <v>42016</v>
      </c>
      <c r="B976" s="564">
        <v>824</v>
      </c>
      <c r="C976" s="646" t="s">
        <v>139</v>
      </c>
      <c r="D976" s="646"/>
      <c r="E976" s="646">
        <v>28</v>
      </c>
      <c r="F976" s="650">
        <v>16311.85</v>
      </c>
      <c r="G976" s="659">
        <f>F976*2.3</f>
        <v>37517.254999999997</v>
      </c>
      <c r="H976" s="573" t="s">
        <v>330</v>
      </c>
      <c r="I976" s="720"/>
      <c r="J976" s="720" t="s">
        <v>937</v>
      </c>
      <c r="K976" s="564" t="s">
        <v>384</v>
      </c>
      <c r="L976" s="718">
        <v>42049</v>
      </c>
      <c r="N976" s="573"/>
      <c r="P976" s="649">
        <v>42139</v>
      </c>
      <c r="Q976" s="649">
        <v>42230</v>
      </c>
      <c r="R976" s="649">
        <v>42320</v>
      </c>
    </row>
    <row r="977" spans="1:19" s="603" customFormat="1" x14ac:dyDescent="0.2">
      <c r="A977" s="578">
        <v>42252</v>
      </c>
      <c r="B977" s="637">
        <v>902</v>
      </c>
      <c r="C977" s="597" t="s">
        <v>172</v>
      </c>
      <c r="D977" s="612"/>
      <c r="E977" s="612">
        <v>23</v>
      </c>
      <c r="F977" s="600">
        <v>12597.37</v>
      </c>
      <c r="G977" s="600">
        <f>F977*2.2</f>
        <v>27714.214000000004</v>
      </c>
      <c r="H977" s="485" t="s">
        <v>113</v>
      </c>
      <c r="I977" s="599"/>
      <c r="J977" s="639">
        <v>42224</v>
      </c>
      <c r="K977" s="597" t="s">
        <v>384</v>
      </c>
      <c r="L977" s="639">
        <v>42316</v>
      </c>
      <c r="N977" s="606"/>
      <c r="R977" s="578">
        <v>42316</v>
      </c>
    </row>
    <row r="978" spans="1:19" s="575" customFormat="1" x14ac:dyDescent="0.2">
      <c r="A978" s="578">
        <v>42262</v>
      </c>
      <c r="B978" s="1044">
        <v>906</v>
      </c>
      <c r="C978" s="597" t="s">
        <v>139</v>
      </c>
      <c r="D978" s="597"/>
      <c r="E978" s="597"/>
      <c r="F978" s="600">
        <v>10196.49</v>
      </c>
      <c r="G978" s="601">
        <f>+F978*2.2</f>
        <v>22432.278000000002</v>
      </c>
      <c r="H978" s="485" t="s">
        <v>330</v>
      </c>
      <c r="I978" s="577"/>
      <c r="J978" s="639">
        <v>42225</v>
      </c>
      <c r="K978" s="597" t="s">
        <v>384</v>
      </c>
      <c r="L978" s="639">
        <v>42317</v>
      </c>
      <c r="N978" s="485"/>
      <c r="R978" s="578">
        <v>42317</v>
      </c>
    </row>
    <row r="979" spans="1:19" s="575" customFormat="1" x14ac:dyDescent="0.2">
      <c r="A979" s="578">
        <v>42314</v>
      </c>
      <c r="B979" s="1044" t="s">
        <v>1192</v>
      </c>
      <c r="C979" s="597" t="s">
        <v>836</v>
      </c>
      <c r="D979" s="597" t="s">
        <v>830</v>
      </c>
      <c r="E979" s="597"/>
      <c r="F979" s="600">
        <v>20.6</v>
      </c>
      <c r="G979" s="601">
        <f>+F979*2.2</f>
        <v>45.320000000000007</v>
      </c>
      <c r="H979" s="485"/>
      <c r="I979" s="577"/>
      <c r="J979" s="639"/>
      <c r="K979" s="597"/>
      <c r="L979" s="639"/>
      <c r="N979" s="485"/>
      <c r="R979" s="578"/>
    </row>
    <row r="980" spans="1:19" s="483" customFormat="1" x14ac:dyDescent="0.2">
      <c r="A980" s="569">
        <v>42221</v>
      </c>
      <c r="B980" s="568">
        <v>891</v>
      </c>
      <c r="C980" s="597" t="s">
        <v>142</v>
      </c>
      <c r="E980" s="597">
        <v>12</v>
      </c>
      <c r="F980" s="600">
        <v>19317.5</v>
      </c>
      <c r="G980" s="600">
        <f>+F980*2.2</f>
        <v>42498.5</v>
      </c>
      <c r="H980" s="575" t="s">
        <v>72</v>
      </c>
      <c r="J980" s="1051">
        <v>42200</v>
      </c>
      <c r="K980" s="597" t="s">
        <v>384</v>
      </c>
      <c r="L980" s="1051">
        <v>42292</v>
      </c>
      <c r="R980" s="569">
        <v>42292</v>
      </c>
    </row>
    <row r="981" spans="1:19" s="652" customFormat="1" x14ac:dyDescent="0.2">
      <c r="A981" s="649">
        <v>41984</v>
      </c>
      <c r="B981" s="658">
        <v>821</v>
      </c>
      <c r="C981" s="646" t="s">
        <v>145</v>
      </c>
      <c r="E981" s="646">
        <v>26</v>
      </c>
      <c r="F981" s="650">
        <v>12884.86</v>
      </c>
      <c r="G981" s="789">
        <f>F981*2.24</f>
        <v>28862.086400000004</v>
      </c>
      <c r="H981" s="652" t="s">
        <v>330</v>
      </c>
      <c r="J981" s="649">
        <v>41925</v>
      </c>
      <c r="K981" s="658" t="s">
        <v>384</v>
      </c>
      <c r="L981" s="649"/>
      <c r="O981" s="649">
        <v>42017</v>
      </c>
      <c r="P981" s="649">
        <v>42122</v>
      </c>
      <c r="Q981" s="649">
        <v>42241</v>
      </c>
      <c r="R981" s="649">
        <v>42331</v>
      </c>
    </row>
    <row r="982" spans="1:19" s="652" customFormat="1" ht="12" customHeight="1" x14ac:dyDescent="0.2">
      <c r="A982" s="649">
        <v>42117</v>
      </c>
      <c r="B982" s="657" t="s">
        <v>1006</v>
      </c>
      <c r="C982" s="646" t="s">
        <v>477</v>
      </c>
      <c r="D982" s="646" t="s">
        <v>943</v>
      </c>
      <c r="E982" s="646">
        <v>5</v>
      </c>
      <c r="F982" s="650">
        <v>6232.38</v>
      </c>
      <c r="G982" s="659">
        <f>+F982*2.15</f>
        <v>13399.617</v>
      </c>
      <c r="H982" s="717" t="s">
        <v>70</v>
      </c>
      <c r="K982" s="564" t="s">
        <v>250</v>
      </c>
      <c r="Q982" s="649">
        <v>42242</v>
      </c>
      <c r="R982" s="649">
        <v>42334</v>
      </c>
    </row>
    <row r="983" spans="1:19" s="652" customFormat="1" x14ac:dyDescent="0.2">
      <c r="A983" s="649">
        <v>41893</v>
      </c>
      <c r="B983" s="657" t="s">
        <v>907</v>
      </c>
      <c r="C983" s="646" t="s">
        <v>171</v>
      </c>
      <c r="E983" s="658">
        <v>13</v>
      </c>
      <c r="F983" s="650">
        <v>23396.5</v>
      </c>
      <c r="G983" s="789">
        <f>F983*2.2</f>
        <v>51472.3</v>
      </c>
      <c r="H983" s="652" t="s">
        <v>330</v>
      </c>
      <c r="J983" s="649">
        <v>41817</v>
      </c>
      <c r="K983" s="660" t="s">
        <v>500</v>
      </c>
      <c r="L983" s="649">
        <v>41878</v>
      </c>
      <c r="M983" s="649">
        <v>41943</v>
      </c>
      <c r="O983" s="649">
        <v>42066</v>
      </c>
      <c r="P983" s="649">
        <v>42156</v>
      </c>
      <c r="Q983" s="649">
        <v>42338</v>
      </c>
      <c r="R983" s="649">
        <v>42338</v>
      </c>
    </row>
    <row r="984" spans="1:19" s="575" customFormat="1" x14ac:dyDescent="0.2">
      <c r="A984" s="578">
        <v>42265</v>
      </c>
      <c r="B984" s="1044">
        <v>905</v>
      </c>
      <c r="C984" s="637" t="s">
        <v>49</v>
      </c>
      <c r="D984" s="637">
        <v>24</v>
      </c>
      <c r="F984" s="600">
        <v>13089.52</v>
      </c>
      <c r="G984" s="600">
        <f>F984*2.2</f>
        <v>28796.944000000003</v>
      </c>
      <c r="H984" s="575" t="s">
        <v>330</v>
      </c>
      <c r="J984" s="578">
        <v>42250</v>
      </c>
      <c r="K984" s="637" t="s">
        <v>384</v>
      </c>
      <c r="L984" s="856">
        <v>42341</v>
      </c>
      <c r="R984" s="578">
        <v>42341</v>
      </c>
    </row>
    <row r="985" spans="1:19" s="575" customFormat="1" x14ac:dyDescent="0.2">
      <c r="A985" s="578">
        <v>42293</v>
      </c>
      <c r="B985" s="637">
        <v>909</v>
      </c>
      <c r="C985" s="597" t="s">
        <v>64</v>
      </c>
      <c r="D985" s="597"/>
      <c r="E985" s="597">
        <v>17</v>
      </c>
      <c r="F985" s="600">
        <v>2900.55</v>
      </c>
      <c r="G985" s="600">
        <f>F985*2.2</f>
        <v>6381.2100000000009</v>
      </c>
      <c r="H985" s="485" t="s">
        <v>70</v>
      </c>
      <c r="I985" s="577"/>
      <c r="J985" s="639">
        <v>42266</v>
      </c>
      <c r="K985" s="597" t="s">
        <v>384</v>
      </c>
      <c r="L985" s="639">
        <v>42357</v>
      </c>
      <c r="N985" s="485"/>
      <c r="R985" s="578">
        <v>42357</v>
      </c>
    </row>
    <row r="986" spans="1:19" s="575" customFormat="1" x14ac:dyDescent="0.2">
      <c r="A986" s="578">
        <v>42293</v>
      </c>
      <c r="B986" s="640">
        <v>912</v>
      </c>
      <c r="C986" s="637" t="s">
        <v>212</v>
      </c>
      <c r="D986" s="597"/>
      <c r="E986" s="597">
        <v>25</v>
      </c>
      <c r="F986" s="600">
        <v>8150.7</v>
      </c>
      <c r="G986" s="601">
        <f>F986*2.2</f>
        <v>17931.54</v>
      </c>
      <c r="H986" s="485" t="s">
        <v>70</v>
      </c>
      <c r="I986" s="577"/>
      <c r="J986" s="655">
        <v>42268</v>
      </c>
      <c r="K986" s="96" t="s">
        <v>384</v>
      </c>
      <c r="L986" s="655">
        <v>42359</v>
      </c>
      <c r="N986" s="485"/>
      <c r="R986" s="578">
        <v>42359</v>
      </c>
    </row>
    <row r="987" spans="1:19" s="652" customFormat="1" x14ac:dyDescent="0.2">
      <c r="A987" s="649">
        <v>42102</v>
      </c>
      <c r="B987" s="657" t="s">
        <v>1011</v>
      </c>
      <c r="C987" s="646" t="s">
        <v>748</v>
      </c>
      <c r="D987" s="646" t="s">
        <v>87</v>
      </c>
      <c r="E987" s="646">
        <v>20</v>
      </c>
      <c r="F987" s="650">
        <v>7796.39</v>
      </c>
      <c r="G987" s="650">
        <f>+F987*2.15</f>
        <v>16762.238499999999</v>
      </c>
      <c r="H987" s="652" t="s">
        <v>330</v>
      </c>
      <c r="I987" s="720"/>
      <c r="J987" s="651">
        <v>42089</v>
      </c>
      <c r="K987" s="646" t="s">
        <v>500</v>
      </c>
      <c r="L987" s="651">
        <v>42150</v>
      </c>
      <c r="N987" s="573"/>
      <c r="P987" s="649">
        <v>42150</v>
      </c>
      <c r="Q987" s="649">
        <v>42269</v>
      </c>
      <c r="R987" s="649">
        <v>42359</v>
      </c>
      <c r="S987" s="649"/>
    </row>
    <row r="988" spans="1:19" s="575" customFormat="1" x14ac:dyDescent="0.2">
      <c r="A988" s="578">
        <v>42287</v>
      </c>
      <c r="B988" s="1044">
        <v>907</v>
      </c>
      <c r="C988" s="637" t="s">
        <v>713</v>
      </c>
      <c r="D988" s="637"/>
      <c r="E988" s="575">
        <v>6</v>
      </c>
      <c r="F988" s="600">
        <v>7398.5</v>
      </c>
      <c r="G988" s="600">
        <f>F988*2.2</f>
        <v>16276.7</v>
      </c>
      <c r="H988" s="575" t="s">
        <v>70</v>
      </c>
      <c r="J988" s="639">
        <v>42271</v>
      </c>
      <c r="K988" s="597" t="s">
        <v>384</v>
      </c>
      <c r="L988" s="639">
        <v>42362</v>
      </c>
      <c r="R988" s="578">
        <v>42362</v>
      </c>
    </row>
    <row r="989" spans="1:19" s="652" customFormat="1" ht="15.75" customHeight="1" x14ac:dyDescent="0.2">
      <c r="A989" s="649">
        <v>42118</v>
      </c>
      <c r="B989" s="657" t="s">
        <v>1007</v>
      </c>
      <c r="C989" s="646" t="s">
        <v>173</v>
      </c>
      <c r="D989" s="646" t="s">
        <v>87</v>
      </c>
      <c r="E989" s="646">
        <v>17</v>
      </c>
      <c r="F989" s="650">
        <v>5228.43</v>
      </c>
      <c r="G989" s="650">
        <f>F989*2.13</f>
        <v>11136.555899999999</v>
      </c>
      <c r="H989" s="573" t="s">
        <v>330</v>
      </c>
      <c r="I989" s="720"/>
      <c r="J989" s="1021" t="s">
        <v>1008</v>
      </c>
      <c r="K989" s="650" t="s">
        <v>698</v>
      </c>
      <c r="L989" s="1021" t="s">
        <v>1009</v>
      </c>
      <c r="N989" s="573"/>
      <c r="P989" s="649">
        <v>42183</v>
      </c>
      <c r="Q989" s="649">
        <v>42277</v>
      </c>
      <c r="R989" s="649">
        <v>42367</v>
      </c>
    </row>
    <row r="990" spans="1:19" s="603" customFormat="1" x14ac:dyDescent="0.2">
      <c r="A990" s="607">
        <v>42300</v>
      </c>
      <c r="B990" s="773">
        <v>913</v>
      </c>
      <c r="C990" s="661" t="s">
        <v>285</v>
      </c>
      <c r="D990" s="612">
        <v>12</v>
      </c>
      <c r="E990" s="612"/>
      <c r="F990" s="600">
        <v>4297.18</v>
      </c>
      <c r="G990" s="601">
        <f>F990*2.2</f>
        <v>9453.7960000000021</v>
      </c>
      <c r="H990" s="485" t="s">
        <v>70</v>
      </c>
      <c r="I990" s="485"/>
      <c r="J990" s="639">
        <v>42280</v>
      </c>
      <c r="K990" s="597" t="s">
        <v>384</v>
      </c>
      <c r="L990" s="639">
        <v>42372</v>
      </c>
      <c r="N990" s="606"/>
      <c r="R990" s="578">
        <v>42372</v>
      </c>
    </row>
    <row r="991" spans="1:19" s="58" customFormat="1" x14ac:dyDescent="0.2">
      <c r="A991" s="596">
        <v>42355</v>
      </c>
      <c r="B991" s="597">
        <v>923</v>
      </c>
      <c r="C991" s="637" t="s">
        <v>1013</v>
      </c>
      <c r="D991" s="96">
        <v>14</v>
      </c>
      <c r="E991" s="96"/>
      <c r="F991" s="600">
        <v>3325.85</v>
      </c>
      <c r="G991" s="601">
        <f>+F991*2.2</f>
        <v>7316.8700000000008</v>
      </c>
      <c r="H991" s="485" t="s">
        <v>330</v>
      </c>
      <c r="I991" s="577"/>
      <c r="J991" s="577"/>
      <c r="K991" s="96" t="s">
        <v>250</v>
      </c>
      <c r="L991" s="577"/>
      <c r="N991" s="163"/>
    </row>
    <row r="992" spans="1:19" s="603" customFormat="1" x14ac:dyDescent="0.2">
      <c r="A992" s="607">
        <v>42355</v>
      </c>
      <c r="B992" s="773">
        <v>924</v>
      </c>
      <c r="C992" s="637" t="s">
        <v>473</v>
      </c>
      <c r="D992" s="612">
        <v>5</v>
      </c>
      <c r="E992" s="612"/>
      <c r="F992" s="600">
        <v>6455</v>
      </c>
      <c r="G992" s="601">
        <f>+F992*2.2</f>
        <v>14201.000000000002</v>
      </c>
      <c r="H992" s="485" t="s">
        <v>70</v>
      </c>
      <c r="I992" s="599"/>
      <c r="J992" s="1069"/>
      <c r="K992" s="96" t="s">
        <v>250</v>
      </c>
      <c r="L992" s="1070"/>
      <c r="N992" s="606"/>
    </row>
    <row r="993" spans="1:19" s="652" customFormat="1" x14ac:dyDescent="0.2">
      <c r="A993" s="649">
        <v>42252</v>
      </c>
      <c r="B993" s="775">
        <v>903</v>
      </c>
      <c r="C993" s="646" t="s">
        <v>956</v>
      </c>
      <c r="D993" s="646" t="s">
        <v>963</v>
      </c>
      <c r="E993" s="646">
        <v>1</v>
      </c>
      <c r="F993" s="650">
        <v>19710.84</v>
      </c>
      <c r="G993" s="650">
        <f>F993*1.9</f>
        <v>37450.595999999998</v>
      </c>
      <c r="H993" s="652" t="s">
        <v>113</v>
      </c>
      <c r="I993" s="720"/>
      <c r="J993" s="720"/>
      <c r="K993" s="646" t="s">
        <v>839</v>
      </c>
      <c r="L993" s="720"/>
      <c r="N993" s="573"/>
      <c r="R993" s="649">
        <v>42373</v>
      </c>
    </row>
    <row r="994" spans="1:19" s="652" customFormat="1" x14ac:dyDescent="0.2">
      <c r="A994" s="649">
        <v>42242</v>
      </c>
      <c r="B994" s="775">
        <v>897</v>
      </c>
      <c r="C994" s="646" t="s">
        <v>223</v>
      </c>
      <c r="D994" s="646"/>
      <c r="E994" s="646"/>
      <c r="F994" s="650">
        <v>20241.37</v>
      </c>
      <c r="G994" s="659">
        <f>F994*2.2</f>
        <v>44531.014000000003</v>
      </c>
      <c r="H994" s="573" t="s">
        <v>330</v>
      </c>
      <c r="I994" s="720"/>
      <c r="J994" s="651">
        <v>42220</v>
      </c>
      <c r="K994" s="646" t="s">
        <v>500</v>
      </c>
      <c r="L994" s="651">
        <v>42281</v>
      </c>
      <c r="N994" s="573"/>
      <c r="Q994" s="649">
        <v>42281</v>
      </c>
      <c r="R994" s="649">
        <v>42373</v>
      </c>
      <c r="S994" s="660"/>
    </row>
    <row r="995" spans="1:19" s="603" customFormat="1" x14ac:dyDescent="0.2">
      <c r="A995" s="607">
        <v>42336</v>
      </c>
      <c r="B995" s="773">
        <v>916</v>
      </c>
      <c r="C995" s="637" t="s">
        <v>946</v>
      </c>
      <c r="D995" s="612">
        <v>2</v>
      </c>
      <c r="E995" s="612"/>
      <c r="F995" s="600">
        <v>11282.5</v>
      </c>
      <c r="G995" s="601">
        <f>F995*2.2</f>
        <v>24821.500000000004</v>
      </c>
      <c r="H995" s="485" t="s">
        <v>72</v>
      </c>
      <c r="I995" s="599"/>
      <c r="J995" s="1069"/>
      <c r="K995" s="96" t="s">
        <v>250</v>
      </c>
      <c r="L995" s="639">
        <v>42009</v>
      </c>
      <c r="N995" s="606"/>
      <c r="R995" s="578">
        <v>42374</v>
      </c>
      <c r="S995" s="575" t="s">
        <v>1197</v>
      </c>
    </row>
    <row r="996" spans="1:19" s="603" customFormat="1" x14ac:dyDescent="0.2">
      <c r="A996" s="607">
        <v>42328</v>
      </c>
      <c r="B996" s="773">
        <v>917</v>
      </c>
      <c r="C996" s="637" t="s">
        <v>280</v>
      </c>
      <c r="D996" s="612">
        <v>14</v>
      </c>
      <c r="E996" s="612"/>
      <c r="F996" s="600">
        <v>6185.48</v>
      </c>
      <c r="G996" s="601">
        <f>F996*2.2</f>
        <v>13608.056</v>
      </c>
      <c r="H996" s="635" t="s">
        <v>72</v>
      </c>
      <c r="I996" s="599"/>
      <c r="J996" s="639">
        <v>42315</v>
      </c>
      <c r="K996" s="597" t="s">
        <v>607</v>
      </c>
      <c r="L996" s="984">
        <v>42376</v>
      </c>
      <c r="N996" s="606"/>
      <c r="R996" s="578">
        <v>42376</v>
      </c>
    </row>
    <row r="997" spans="1:19" s="603" customFormat="1" x14ac:dyDescent="0.2">
      <c r="A997" s="607">
        <v>42334</v>
      </c>
      <c r="B997" s="773">
        <v>919</v>
      </c>
      <c r="C997" s="637" t="s">
        <v>809</v>
      </c>
      <c r="D997" s="612"/>
      <c r="E997" s="612">
        <v>13</v>
      </c>
      <c r="F997" s="600">
        <v>2018</v>
      </c>
      <c r="G997" s="601">
        <f>+F997*2.2</f>
        <v>4439.6000000000004</v>
      </c>
      <c r="H997" s="485" t="s">
        <v>72</v>
      </c>
      <c r="I997" s="599"/>
      <c r="J997" s="639">
        <v>42320</v>
      </c>
      <c r="K997" s="597" t="s">
        <v>500</v>
      </c>
      <c r="L997" s="639">
        <v>42381</v>
      </c>
      <c r="N997" s="606"/>
      <c r="R997" s="578">
        <v>42381</v>
      </c>
    </row>
    <row r="998" spans="1:19" s="652" customFormat="1" x14ac:dyDescent="0.2">
      <c r="A998" s="649">
        <v>42249</v>
      </c>
      <c r="B998" s="775">
        <v>901</v>
      </c>
      <c r="C998" s="646" t="s">
        <v>69</v>
      </c>
      <c r="F998" s="650">
        <v>17594.169999999998</v>
      </c>
      <c r="G998" s="650">
        <f>F998*2.2</f>
        <v>38707.173999999999</v>
      </c>
      <c r="H998" s="573" t="s">
        <v>113</v>
      </c>
      <c r="J998" s="649">
        <v>42212</v>
      </c>
      <c r="K998" s="564" t="s">
        <v>384</v>
      </c>
      <c r="L998" s="649">
        <v>42304</v>
      </c>
      <c r="Q998" s="649">
        <v>42304</v>
      </c>
      <c r="R998" s="649">
        <v>42384</v>
      </c>
      <c r="S998" s="649"/>
    </row>
    <row r="999" spans="1:19" s="603" customFormat="1" x14ac:dyDescent="0.2">
      <c r="A999" s="607">
        <v>42326</v>
      </c>
      <c r="B999" s="773">
        <v>915</v>
      </c>
      <c r="C999" s="637" t="s">
        <v>172</v>
      </c>
      <c r="D999" s="612">
        <v>24</v>
      </c>
      <c r="E999" s="612"/>
      <c r="F999" s="600">
        <v>3754.22</v>
      </c>
      <c r="G999" s="601">
        <f>+F999*2.2</f>
        <v>8259.2839999999997</v>
      </c>
      <c r="H999" s="485" t="s">
        <v>113</v>
      </c>
      <c r="I999" s="599"/>
      <c r="J999" s="602">
        <v>42312</v>
      </c>
      <c r="K999" s="639" t="s">
        <v>384</v>
      </c>
      <c r="L999" s="602">
        <v>42404</v>
      </c>
      <c r="N999" s="606"/>
      <c r="S999" s="578">
        <v>42404</v>
      </c>
    </row>
    <row r="1000" spans="1:19" s="603" customFormat="1" x14ac:dyDescent="0.2">
      <c r="A1000" s="607">
        <v>42329</v>
      </c>
      <c r="B1000" s="773">
        <v>918</v>
      </c>
      <c r="C1000" s="637" t="s">
        <v>707</v>
      </c>
      <c r="D1000" s="612">
        <v>10</v>
      </c>
      <c r="E1000" s="612"/>
      <c r="F1000" s="600">
        <v>6482.28</v>
      </c>
      <c r="G1000" s="601">
        <f>+F1000*2.2</f>
        <v>14261.016000000001</v>
      </c>
      <c r="H1000" s="485" t="s">
        <v>70</v>
      </c>
      <c r="I1000" s="599"/>
      <c r="J1000" s="984">
        <v>42313</v>
      </c>
      <c r="K1000" s="597" t="s">
        <v>384</v>
      </c>
      <c r="L1000" s="984">
        <v>42405</v>
      </c>
      <c r="N1000" s="606"/>
      <c r="S1000" s="578">
        <v>42405</v>
      </c>
    </row>
    <row r="1001" spans="1:19" s="575" customFormat="1" x14ac:dyDescent="0.2">
      <c r="A1001" s="578">
        <v>42360</v>
      </c>
      <c r="B1001" s="640">
        <v>925</v>
      </c>
      <c r="C1001" s="637" t="s">
        <v>935</v>
      </c>
      <c r="D1001" s="597"/>
      <c r="E1001" s="597"/>
      <c r="F1001" s="600">
        <v>5909.9</v>
      </c>
      <c r="G1001" s="601">
        <f>+F1001*2.2</f>
        <v>13001.78</v>
      </c>
      <c r="H1001" s="485" t="s">
        <v>72</v>
      </c>
      <c r="I1001" s="577"/>
      <c r="J1001" s="602">
        <v>42348</v>
      </c>
      <c r="K1001" s="597" t="s">
        <v>500</v>
      </c>
      <c r="L1001" s="602">
        <v>42410</v>
      </c>
      <c r="N1001" s="485"/>
      <c r="S1001" s="578">
        <v>42410</v>
      </c>
    </row>
    <row r="1002" spans="1:19" s="575" customFormat="1" x14ac:dyDescent="0.2">
      <c r="A1002" s="578">
        <v>42360</v>
      </c>
      <c r="B1002" s="640">
        <v>926</v>
      </c>
      <c r="C1002" s="637" t="s">
        <v>198</v>
      </c>
      <c r="D1002" s="597">
        <v>17</v>
      </c>
      <c r="E1002" s="597"/>
      <c r="F1002" s="600">
        <v>6086.88</v>
      </c>
      <c r="G1002" s="601">
        <f>+F1002*2.2</f>
        <v>13391.136</v>
      </c>
      <c r="H1002" s="485" t="s">
        <v>72</v>
      </c>
      <c r="I1002" s="485"/>
      <c r="J1002" s="602">
        <v>42348</v>
      </c>
      <c r="K1002" s="597" t="s">
        <v>500</v>
      </c>
      <c r="L1002" s="639">
        <v>42410</v>
      </c>
      <c r="N1002" s="485"/>
      <c r="S1002" s="578">
        <v>42410</v>
      </c>
    </row>
    <row r="1003" spans="1:19" s="652" customFormat="1" x14ac:dyDescent="0.2">
      <c r="A1003" s="649">
        <v>42030</v>
      </c>
      <c r="B1003" s="658">
        <v>869</v>
      </c>
      <c r="C1003" s="646" t="s">
        <v>166</v>
      </c>
      <c r="D1003" s="564"/>
      <c r="E1003" s="646"/>
      <c r="F1003" s="650">
        <v>54790.6</v>
      </c>
      <c r="G1003" s="659">
        <f>F1003*2.2</f>
        <v>120539.32</v>
      </c>
      <c r="H1003" s="652" t="s">
        <v>330</v>
      </c>
      <c r="I1003" s="720"/>
      <c r="J1003" s="720"/>
      <c r="K1003" s="564" t="s">
        <v>250</v>
      </c>
      <c r="L1003" s="720"/>
      <c r="N1003" s="573"/>
      <c r="R1003" s="649">
        <v>42233</v>
      </c>
      <c r="S1003" s="649">
        <v>42416</v>
      </c>
    </row>
    <row r="1004" spans="1:19" s="652" customFormat="1" x14ac:dyDescent="0.2">
      <c r="A1004" s="649">
        <v>42242</v>
      </c>
      <c r="B1004" s="658">
        <v>898</v>
      </c>
      <c r="C1004" s="646" t="s">
        <v>603</v>
      </c>
      <c r="E1004" s="646">
        <v>9</v>
      </c>
      <c r="F1004" s="650">
        <v>7634.01</v>
      </c>
      <c r="G1004" s="650">
        <f>+F1004*2.2</f>
        <v>16794.822</v>
      </c>
      <c r="H1004" s="652" t="s">
        <v>113</v>
      </c>
      <c r="J1004" s="1162">
        <v>42213</v>
      </c>
      <c r="K1004" s="564" t="s">
        <v>384</v>
      </c>
      <c r="L1004" s="1162">
        <v>42305</v>
      </c>
      <c r="Q1004" s="649">
        <v>42305</v>
      </c>
      <c r="R1004" s="649">
        <v>42394</v>
      </c>
      <c r="S1004" s="649">
        <v>42485</v>
      </c>
    </row>
    <row r="1005" spans="1:19" s="575" customFormat="1" x14ac:dyDescent="0.2">
      <c r="A1005" s="578">
        <v>42293</v>
      </c>
      <c r="B1005" s="637">
        <v>910</v>
      </c>
      <c r="C1005" s="597" t="s">
        <v>173</v>
      </c>
      <c r="D1005" s="597"/>
      <c r="E1005" s="597">
        <v>18</v>
      </c>
      <c r="F1005" s="600">
        <v>4005.6</v>
      </c>
      <c r="G1005" s="600">
        <f>F1005*2.2</f>
        <v>8812.32</v>
      </c>
      <c r="H1005" s="485" t="s">
        <v>70</v>
      </c>
      <c r="I1005" s="577"/>
      <c r="J1005" s="1018">
        <v>42334</v>
      </c>
      <c r="K1005" s="597" t="s">
        <v>384</v>
      </c>
      <c r="L1005" s="1074"/>
      <c r="N1005" s="485"/>
      <c r="S1005" s="578">
        <v>42426</v>
      </c>
    </row>
    <row r="1006" spans="1:19" s="652" customFormat="1" x14ac:dyDescent="0.2">
      <c r="A1006" s="649">
        <v>42230</v>
      </c>
      <c r="B1006" s="775">
        <v>896</v>
      </c>
      <c r="C1006" s="646" t="s">
        <v>145</v>
      </c>
      <c r="E1006" s="658">
        <v>27</v>
      </c>
      <c r="F1006" s="650">
        <v>17843.48</v>
      </c>
      <c r="G1006" s="650">
        <f>+F1006*2.2</f>
        <v>39255.656000000003</v>
      </c>
      <c r="H1006" s="652" t="s">
        <v>70</v>
      </c>
      <c r="J1006" s="1162">
        <v>42196</v>
      </c>
      <c r="K1006" s="564" t="s">
        <v>384</v>
      </c>
      <c r="L1006" s="1162">
        <v>42288</v>
      </c>
      <c r="Q1006" s="649">
        <v>42288</v>
      </c>
      <c r="R1006" s="649">
        <v>42429</v>
      </c>
      <c r="S1006" s="649">
        <v>42429</v>
      </c>
    </row>
    <row r="1007" spans="1:19" s="603" customFormat="1" x14ac:dyDescent="0.2">
      <c r="A1007" s="607">
        <v>42355</v>
      </c>
      <c r="B1007" s="773">
        <v>922</v>
      </c>
      <c r="C1007" s="637" t="s">
        <v>49</v>
      </c>
      <c r="D1007" s="612"/>
      <c r="E1007" s="612"/>
      <c r="F1007" s="600">
        <v>7886.14</v>
      </c>
      <c r="G1007" s="601">
        <f>+F1007*2.2</f>
        <v>17349.508000000002</v>
      </c>
      <c r="H1007" s="610" t="s">
        <v>330</v>
      </c>
      <c r="I1007" s="599"/>
      <c r="J1007" s="1018">
        <v>42341</v>
      </c>
      <c r="K1007" s="597" t="s">
        <v>384</v>
      </c>
      <c r="L1007" s="1018"/>
      <c r="N1007" s="606"/>
      <c r="S1007" s="578">
        <v>42432</v>
      </c>
    </row>
    <row r="1008" spans="1:19" s="575" customFormat="1" x14ac:dyDescent="0.2">
      <c r="A1008" s="578">
        <v>42361</v>
      </c>
      <c r="B1008" s="640">
        <v>927</v>
      </c>
      <c r="C1008" s="637" t="s">
        <v>603</v>
      </c>
      <c r="D1008" s="597"/>
      <c r="E1008" s="597"/>
      <c r="F1008" s="600">
        <v>5455.94</v>
      </c>
      <c r="G1008" s="601">
        <f>+F1008*2.2</f>
        <v>12003.067999999999</v>
      </c>
      <c r="H1008" s="485" t="s">
        <v>70</v>
      </c>
      <c r="I1008" s="485"/>
      <c r="J1008" s="1018">
        <v>42348</v>
      </c>
      <c r="K1008" s="597" t="s">
        <v>384</v>
      </c>
      <c r="L1008" s="1018">
        <v>42439</v>
      </c>
      <c r="N1008" s="485"/>
      <c r="S1008" s="578">
        <v>42439</v>
      </c>
    </row>
    <row r="1009" spans="1:20" s="652" customFormat="1" x14ac:dyDescent="0.2">
      <c r="A1009" s="649">
        <v>42137</v>
      </c>
      <c r="B1009" s="658">
        <v>865</v>
      </c>
      <c r="C1009" s="646" t="s">
        <v>379</v>
      </c>
      <c r="D1009" s="646"/>
      <c r="E1009" s="646">
        <v>11</v>
      </c>
      <c r="F1009" s="650">
        <v>10619.85</v>
      </c>
      <c r="G1009" s="659">
        <f>+F1009*2.2</f>
        <v>23363.670000000002</v>
      </c>
      <c r="H1009" s="652" t="s">
        <v>330</v>
      </c>
      <c r="J1009" s="1162">
        <v>42116</v>
      </c>
      <c r="K1009" s="646" t="s">
        <v>500</v>
      </c>
      <c r="L1009" s="1162">
        <v>42177</v>
      </c>
      <c r="P1009" s="649">
        <v>42177</v>
      </c>
      <c r="Q1009" s="649">
        <v>42262</v>
      </c>
      <c r="R1009" s="649">
        <v>42352</v>
      </c>
      <c r="S1009" s="649">
        <v>42443</v>
      </c>
    </row>
    <row r="1010" spans="1:20" s="652" customFormat="1" x14ac:dyDescent="0.2">
      <c r="A1010" s="649">
        <v>42200</v>
      </c>
      <c r="B1010" s="657">
        <v>886</v>
      </c>
      <c r="C1010" s="646" t="s">
        <v>338</v>
      </c>
      <c r="D1010" s="646"/>
      <c r="E1010" s="646">
        <v>9</v>
      </c>
      <c r="F1010" s="650">
        <v>21030.41</v>
      </c>
      <c r="G1010" s="650">
        <f>+F1010*2.2</f>
        <v>46266.902000000002</v>
      </c>
      <c r="H1010" s="652" t="s">
        <v>70</v>
      </c>
      <c r="I1010" s="720"/>
      <c r="J1010" s="1450"/>
      <c r="K1010" s="564" t="s">
        <v>944</v>
      </c>
      <c r="L1010" s="1450"/>
      <c r="N1010" s="573"/>
      <c r="Q1010" s="649"/>
      <c r="R1010" s="649">
        <v>42396</v>
      </c>
      <c r="S1010" s="649">
        <v>42487</v>
      </c>
    </row>
    <row r="1011" spans="1:20" s="652" customFormat="1" x14ac:dyDescent="0.2">
      <c r="A1011" s="649">
        <v>42296</v>
      </c>
      <c r="B1011" s="775">
        <v>911</v>
      </c>
      <c r="C1011" s="646" t="s">
        <v>848</v>
      </c>
      <c r="D1011" s="646"/>
      <c r="E1011" s="646">
        <v>38</v>
      </c>
      <c r="F1011" s="650">
        <v>115210.76</v>
      </c>
      <c r="G1011" s="650">
        <f>F1011*2.208/3</f>
        <v>84795.119359999997</v>
      </c>
      <c r="H1011" s="573" t="s">
        <v>113</v>
      </c>
      <c r="I1011" s="720"/>
      <c r="J1011" s="720"/>
      <c r="K1011" s="564" t="s">
        <v>250</v>
      </c>
      <c r="L1011" s="1075">
        <v>42374</v>
      </c>
      <c r="N1011" s="573"/>
      <c r="R1011" s="649">
        <v>42380</v>
      </c>
      <c r="S1011" s="649">
        <v>42501</v>
      </c>
      <c r="T1011" s="652" t="s">
        <v>1331</v>
      </c>
    </row>
    <row r="1012" spans="1:20" s="652" customFormat="1" x14ac:dyDescent="0.2">
      <c r="A1012" s="649">
        <v>42227</v>
      </c>
      <c r="B1012" s="775">
        <v>894</v>
      </c>
      <c r="C1012" s="646" t="s">
        <v>604</v>
      </c>
      <c r="E1012" s="658">
        <v>7</v>
      </c>
      <c r="F1012" s="650">
        <v>21567.040000000001</v>
      </c>
      <c r="G1012" s="650">
        <f>+F1012*2.2</f>
        <v>47447.488000000005</v>
      </c>
      <c r="H1012" s="652" t="s">
        <v>70</v>
      </c>
      <c r="J1012" s="1162">
        <v>42200</v>
      </c>
      <c r="K1012" s="658" t="s">
        <v>384</v>
      </c>
      <c r="L1012" s="1162">
        <v>42292</v>
      </c>
      <c r="R1012" s="649">
        <v>42292</v>
      </c>
      <c r="S1012" s="649">
        <v>42515</v>
      </c>
    </row>
    <row r="1013" spans="1:20" s="652" customFormat="1" x14ac:dyDescent="0.2">
      <c r="A1013" s="649">
        <v>42244</v>
      </c>
      <c r="B1013" s="646">
        <v>899</v>
      </c>
      <c r="C1013" s="646" t="s">
        <v>208</v>
      </c>
      <c r="E1013" s="658">
        <v>15</v>
      </c>
      <c r="F1013" s="650">
        <v>10888.76</v>
      </c>
      <c r="G1013" s="650">
        <f>+F1013*2.2</f>
        <v>23955.272000000001</v>
      </c>
      <c r="H1013" s="652" t="s">
        <v>330</v>
      </c>
      <c r="J1013" s="1162">
        <v>42221</v>
      </c>
      <c r="K1013" s="658" t="s">
        <v>500</v>
      </c>
      <c r="L1013" s="1162">
        <v>42282</v>
      </c>
      <c r="P1013" s="649">
        <v>42282</v>
      </c>
      <c r="Q1013" s="649">
        <v>42345</v>
      </c>
      <c r="R1013" s="649">
        <v>42430</v>
      </c>
      <c r="S1013" s="649">
        <v>42520</v>
      </c>
    </row>
    <row r="1014" spans="1:20" s="652" customFormat="1" x14ac:dyDescent="0.2">
      <c r="A1014" s="649">
        <v>42231</v>
      </c>
      <c r="B1014" s="775">
        <v>895</v>
      </c>
      <c r="C1014" s="646" t="s">
        <v>171</v>
      </c>
      <c r="E1014" s="658">
        <v>15</v>
      </c>
      <c r="F1014" s="650">
        <v>22735</v>
      </c>
      <c r="G1014" s="650">
        <f>+F1014*2.2</f>
        <v>50017.000000000007</v>
      </c>
      <c r="H1014" s="573" t="s">
        <v>330</v>
      </c>
      <c r="J1014" s="1162">
        <v>42189</v>
      </c>
      <c r="K1014" s="564" t="s">
        <v>500</v>
      </c>
      <c r="L1014" s="1162">
        <v>42251</v>
      </c>
      <c r="Q1014" s="649">
        <v>42251</v>
      </c>
      <c r="R1014" s="649">
        <v>42436</v>
      </c>
      <c r="S1014" s="649">
        <v>42527</v>
      </c>
    </row>
    <row r="1015" spans="1:20" s="652" customFormat="1" x14ac:dyDescent="0.2">
      <c r="A1015" s="649">
        <v>42296</v>
      </c>
      <c r="B1015" s="775">
        <v>911</v>
      </c>
      <c r="C1015" s="646" t="s">
        <v>848</v>
      </c>
      <c r="D1015" s="646"/>
      <c r="E1015" s="646">
        <v>38</v>
      </c>
      <c r="F1015" s="650">
        <v>115210.76</v>
      </c>
      <c r="G1015" s="650">
        <f>F1015*2.208/3</f>
        <v>84795.119359999997</v>
      </c>
      <c r="H1015" s="573" t="s">
        <v>113</v>
      </c>
      <c r="I1015" s="720"/>
      <c r="J1015" s="1450"/>
      <c r="K1015" s="564" t="s">
        <v>250</v>
      </c>
      <c r="L1015" s="1075">
        <v>42374</v>
      </c>
      <c r="N1015" s="573"/>
      <c r="R1015" s="649">
        <v>42380</v>
      </c>
      <c r="S1015" s="649">
        <v>42532</v>
      </c>
    </row>
    <row r="1016" spans="1:20" s="652" customFormat="1" x14ac:dyDescent="0.2">
      <c r="A1016" s="649"/>
      <c r="B1016" s="646"/>
      <c r="C1016" s="646"/>
      <c r="E1016" s="658"/>
      <c r="F1016" s="650"/>
      <c r="G1016" s="650"/>
      <c r="J1016" s="1162"/>
      <c r="K1016" s="658"/>
      <c r="L1016" s="1162"/>
      <c r="P1016" s="649"/>
      <c r="Q1016" s="649"/>
      <c r="R1016" s="649"/>
      <c r="S1016" s="649"/>
    </row>
    <row r="1017" spans="1:20" s="652" customFormat="1" x14ac:dyDescent="0.2">
      <c r="A1017" s="649"/>
      <c r="B1017" s="646"/>
      <c r="C1017" s="646"/>
      <c r="E1017" s="658"/>
      <c r="F1017" s="650"/>
      <c r="G1017" s="650"/>
      <c r="J1017" s="1162"/>
      <c r="K1017" s="658"/>
      <c r="L1017" s="1162"/>
      <c r="P1017" s="649"/>
      <c r="Q1017" s="649"/>
      <c r="R1017" s="649"/>
      <c r="S1017" s="649"/>
    </row>
    <row r="1018" spans="1:20" s="652" customFormat="1" x14ac:dyDescent="0.2">
      <c r="A1018" s="649"/>
      <c r="B1018" s="646"/>
      <c r="C1018" s="646"/>
      <c r="E1018" s="658"/>
      <c r="F1018" s="650"/>
      <c r="G1018" s="650"/>
      <c r="J1018" s="1162"/>
      <c r="K1018" s="658"/>
      <c r="L1018" s="1162"/>
      <c r="P1018" s="649"/>
      <c r="Q1018" s="649"/>
      <c r="R1018" s="649"/>
      <c r="S1018" s="649"/>
    </row>
    <row r="1019" spans="1:20" s="652" customFormat="1" x14ac:dyDescent="0.2">
      <c r="A1019" s="649"/>
      <c r="B1019" s="646"/>
      <c r="C1019" s="646"/>
      <c r="E1019" s="658"/>
      <c r="F1019" s="650"/>
      <c r="G1019" s="650"/>
      <c r="J1019" s="1162"/>
      <c r="K1019" s="658"/>
      <c r="L1019" s="1162"/>
      <c r="P1019" s="649"/>
      <c r="Q1019" s="649"/>
      <c r="R1019" s="649"/>
      <c r="S1019" s="649"/>
    </row>
    <row r="1020" spans="1:20" s="652" customFormat="1" x14ac:dyDescent="0.2">
      <c r="A1020" s="649"/>
      <c r="B1020" s="646"/>
      <c r="C1020" s="646"/>
      <c r="E1020" s="658"/>
      <c r="F1020" s="650"/>
      <c r="G1020" s="650"/>
      <c r="J1020" s="1162"/>
      <c r="K1020" s="658"/>
      <c r="L1020" s="1162"/>
      <c r="P1020" s="649"/>
      <c r="Q1020" s="649"/>
      <c r="R1020" s="649"/>
      <c r="S1020" s="649"/>
    </row>
    <row r="1021" spans="1:20" s="652" customFormat="1" x14ac:dyDescent="0.2">
      <c r="A1021" s="649"/>
      <c r="B1021" s="646"/>
      <c r="C1021" s="646"/>
      <c r="E1021" s="658"/>
      <c r="F1021" s="650"/>
      <c r="G1021" s="650"/>
      <c r="J1021" s="1162"/>
      <c r="K1021" s="658"/>
      <c r="L1021" s="1162"/>
      <c r="P1021" s="649"/>
      <c r="Q1021" s="649"/>
      <c r="R1021" s="649"/>
      <c r="S1021" s="649"/>
    </row>
    <row r="1022" spans="1:20" s="575" customFormat="1" x14ac:dyDescent="0.2">
      <c r="A1022" s="578"/>
      <c r="B1022" s="640"/>
      <c r="C1022" s="637"/>
      <c r="D1022" s="597"/>
      <c r="E1022" s="597"/>
      <c r="F1022" s="600"/>
      <c r="G1022" s="601"/>
      <c r="H1022" s="485"/>
      <c r="I1022" s="485"/>
      <c r="J1022" s="602"/>
      <c r="K1022" s="597"/>
      <c r="L1022" s="639"/>
      <c r="N1022" s="485"/>
      <c r="S1022" s="578"/>
    </row>
    <row r="1024" spans="1:20" s="603" customFormat="1" x14ac:dyDescent="0.2">
      <c r="A1024" s="607">
        <v>42376</v>
      </c>
      <c r="B1024" s="773">
        <v>930</v>
      </c>
      <c r="C1024" s="637" t="s">
        <v>341</v>
      </c>
      <c r="D1024" s="612"/>
      <c r="E1024" s="612"/>
      <c r="F1024" s="600">
        <v>5481.63</v>
      </c>
      <c r="G1024" s="601">
        <f>+F1024*2.32</f>
        <v>12717.381599999999</v>
      </c>
      <c r="H1024" s="1204" t="s">
        <v>72</v>
      </c>
      <c r="I1024" s="599"/>
      <c r="J1024" s="602">
        <v>42350</v>
      </c>
      <c r="K1024" s="597" t="s">
        <v>500</v>
      </c>
      <c r="L1024" s="639">
        <v>42412</v>
      </c>
      <c r="N1024" s="606"/>
      <c r="S1024" s="578">
        <v>42412</v>
      </c>
    </row>
    <row r="1025" spans="1:20" s="603" customFormat="1" x14ac:dyDescent="0.2">
      <c r="A1025" s="607">
        <v>42423</v>
      </c>
      <c r="B1025" s="637">
        <v>941</v>
      </c>
      <c r="C1025" s="637" t="s">
        <v>296</v>
      </c>
      <c r="D1025" s="612"/>
      <c r="E1025" s="612"/>
      <c r="F1025" s="600">
        <v>2798.21</v>
      </c>
      <c r="G1025" s="601">
        <f t="shared" ref="G1025:G1049" si="32">+F1025*2.32</f>
        <v>6491.8471999999992</v>
      </c>
      <c r="H1025" s="485" t="s">
        <v>70</v>
      </c>
      <c r="I1025" s="599"/>
      <c r="J1025" s="599"/>
      <c r="K1025" s="96" t="s">
        <v>250</v>
      </c>
      <c r="L1025" s="1018"/>
      <c r="N1025" s="606"/>
    </row>
    <row r="1026" spans="1:20" s="603" customFormat="1" x14ac:dyDescent="0.2">
      <c r="A1026" s="607">
        <v>42424</v>
      </c>
      <c r="B1026" s="773">
        <v>943</v>
      </c>
      <c r="C1026" s="637" t="s">
        <v>846</v>
      </c>
      <c r="D1026" s="612"/>
      <c r="E1026" s="612"/>
      <c r="F1026" s="600">
        <v>3150.7</v>
      </c>
      <c r="G1026" s="601">
        <f t="shared" si="32"/>
        <v>7309.6239999999989</v>
      </c>
      <c r="H1026" s="485" t="s">
        <v>72</v>
      </c>
      <c r="I1026" s="599"/>
      <c r="J1026" s="599"/>
      <c r="K1026" s="96" t="s">
        <v>250</v>
      </c>
      <c r="L1026" s="1018"/>
      <c r="N1026" s="606"/>
      <c r="S1026" s="578">
        <v>42415</v>
      </c>
    </row>
    <row r="1027" spans="1:20" s="603" customFormat="1" x14ac:dyDescent="0.2">
      <c r="A1027" s="607">
        <v>42376</v>
      </c>
      <c r="B1027" s="773">
        <v>929</v>
      </c>
      <c r="C1027" s="637" t="s">
        <v>478</v>
      </c>
      <c r="D1027" s="612"/>
      <c r="E1027" s="612"/>
      <c r="F1027" s="600">
        <v>2619.3000000000002</v>
      </c>
      <c r="G1027" s="601">
        <f t="shared" si="32"/>
        <v>6076.7759999999998</v>
      </c>
      <c r="H1027" s="610" t="s">
        <v>70</v>
      </c>
      <c r="I1027" s="599"/>
      <c r="J1027" s="1018">
        <v>42348</v>
      </c>
      <c r="K1027" s="597" t="s">
        <v>384</v>
      </c>
      <c r="L1027" s="1018">
        <v>42439</v>
      </c>
      <c r="N1027" s="606"/>
      <c r="S1027" s="578">
        <v>42439</v>
      </c>
    </row>
    <row r="1028" spans="1:20" s="575" customFormat="1" x14ac:dyDescent="0.2">
      <c r="A1028" s="578">
        <v>42445</v>
      </c>
      <c r="B1028" s="640">
        <v>951</v>
      </c>
      <c r="C1028" s="637" t="s">
        <v>192</v>
      </c>
      <c r="D1028" s="597"/>
      <c r="E1028" s="597"/>
      <c r="F1028" s="600">
        <v>13410.83</v>
      </c>
      <c r="G1028" s="601">
        <f t="shared" si="32"/>
        <v>31113.125599999999</v>
      </c>
      <c r="H1028" s="485" t="s">
        <v>72</v>
      </c>
      <c r="I1028" s="577"/>
      <c r="J1028" s="579"/>
      <c r="K1028" s="96" t="s">
        <v>250</v>
      </c>
      <c r="L1028" s="579"/>
      <c r="N1028" s="485"/>
    </row>
    <row r="1029" spans="1:20" s="575" customFormat="1" x14ac:dyDescent="0.2">
      <c r="A1029" s="578">
        <v>42378</v>
      </c>
      <c r="B1029" s="640">
        <v>932</v>
      </c>
      <c r="C1029" s="637" t="s">
        <v>187</v>
      </c>
      <c r="D1029" s="597"/>
      <c r="E1029" s="597"/>
      <c r="F1029" s="600">
        <v>3645.11</v>
      </c>
      <c r="G1029" s="601">
        <f t="shared" si="32"/>
        <v>8456.6551999999992</v>
      </c>
      <c r="H1029" s="485" t="s">
        <v>330</v>
      </c>
      <c r="I1029" s="577"/>
      <c r="J1029" s="1018">
        <v>42350</v>
      </c>
      <c r="K1029" s="597" t="s">
        <v>384</v>
      </c>
      <c r="L1029" s="1018">
        <v>42441</v>
      </c>
      <c r="N1029" s="485"/>
      <c r="S1029" s="578">
        <v>42441</v>
      </c>
    </row>
    <row r="1030" spans="1:20" s="652" customFormat="1" x14ac:dyDescent="0.2">
      <c r="A1030" s="649">
        <v>42378</v>
      </c>
      <c r="B1030" s="657">
        <v>933</v>
      </c>
      <c r="C1030" s="658" t="s">
        <v>171</v>
      </c>
      <c r="D1030" s="646">
        <v>16</v>
      </c>
      <c r="E1030" s="646"/>
      <c r="F1030" s="650">
        <v>23462.7</v>
      </c>
      <c r="G1030" s="601">
        <f t="shared" si="32"/>
        <v>54433.464</v>
      </c>
      <c r="H1030" s="573" t="s">
        <v>330</v>
      </c>
      <c r="I1030" s="573"/>
      <c r="J1030" s="651">
        <v>42348</v>
      </c>
      <c r="K1030" s="646" t="s">
        <v>500</v>
      </c>
      <c r="L1030" s="684">
        <v>42410</v>
      </c>
      <c r="N1030" s="573"/>
      <c r="R1030" s="649">
        <v>42410</v>
      </c>
      <c r="S1030" s="1162">
        <v>42444</v>
      </c>
      <c r="T1030" s="649"/>
    </row>
    <row r="1031" spans="1:20" s="575" customFormat="1" x14ac:dyDescent="0.2">
      <c r="A1031" s="578">
        <v>42403</v>
      </c>
      <c r="B1031" s="640">
        <v>936</v>
      </c>
      <c r="C1031" s="637" t="s">
        <v>223</v>
      </c>
      <c r="D1031" s="597"/>
      <c r="E1031" s="597"/>
      <c r="F1031" s="600">
        <v>13762.5</v>
      </c>
      <c r="G1031" s="601">
        <f t="shared" si="32"/>
        <v>31928.999999999996</v>
      </c>
      <c r="H1031" s="485" t="s">
        <v>70</v>
      </c>
      <c r="I1031" s="485"/>
      <c r="J1031" s="1018">
        <v>42390</v>
      </c>
      <c r="K1031" s="597" t="s">
        <v>500</v>
      </c>
      <c r="L1031" s="1018">
        <v>42450</v>
      </c>
      <c r="N1031" s="485"/>
      <c r="S1031" s="578">
        <v>42450</v>
      </c>
    </row>
    <row r="1032" spans="1:20" s="603" customFormat="1" x14ac:dyDescent="0.2">
      <c r="A1032" s="607">
        <v>42458</v>
      </c>
      <c r="B1032" s="640">
        <v>956</v>
      </c>
      <c r="C1032" s="637" t="s">
        <v>818</v>
      </c>
      <c r="D1032" s="612"/>
      <c r="E1032" s="612"/>
      <c r="F1032" s="600">
        <v>3270.15</v>
      </c>
      <c r="G1032" s="601">
        <f t="shared" si="32"/>
        <v>7586.7479999999996</v>
      </c>
      <c r="H1032" s="485" t="s">
        <v>70</v>
      </c>
      <c r="I1032" s="485"/>
      <c r="J1032" s="602"/>
      <c r="K1032" s="597" t="s">
        <v>385</v>
      </c>
      <c r="L1032" s="1018">
        <v>42462</v>
      </c>
      <c r="N1032" s="606"/>
      <c r="S1032" s="578">
        <v>42462</v>
      </c>
    </row>
    <row r="1033" spans="1:20" s="575" customFormat="1" x14ac:dyDescent="0.2">
      <c r="A1033" s="578">
        <v>42424</v>
      </c>
      <c r="B1033" s="640">
        <v>942</v>
      </c>
      <c r="C1033" s="637" t="s">
        <v>177</v>
      </c>
      <c r="D1033" s="597" t="s">
        <v>1226</v>
      </c>
      <c r="E1033" s="597"/>
      <c r="F1033" s="600">
        <v>3802.05</v>
      </c>
      <c r="G1033" s="601">
        <f t="shared" si="32"/>
        <v>8820.7559999999994</v>
      </c>
      <c r="H1033" s="485" t="s">
        <v>330</v>
      </c>
      <c r="I1033" s="485"/>
      <c r="J1033" s="602">
        <v>42413</v>
      </c>
      <c r="K1033" s="597" t="s">
        <v>500</v>
      </c>
      <c r="L1033" s="602">
        <v>42473</v>
      </c>
      <c r="N1033" s="485"/>
      <c r="S1033" s="578">
        <v>42473</v>
      </c>
    </row>
    <row r="1034" spans="1:20" s="575" customFormat="1" x14ac:dyDescent="0.2">
      <c r="A1034" s="578">
        <v>42398</v>
      </c>
      <c r="B1034" s="640">
        <v>934</v>
      </c>
      <c r="C1034" s="637" t="s">
        <v>172</v>
      </c>
      <c r="D1034" s="597"/>
      <c r="E1034" s="597"/>
      <c r="F1034" s="600">
        <v>4218.4799999999996</v>
      </c>
      <c r="G1034" s="601">
        <f t="shared" si="32"/>
        <v>9786.873599999999</v>
      </c>
      <c r="H1034" s="485" t="s">
        <v>72</v>
      </c>
      <c r="I1034" s="577"/>
      <c r="J1034" s="1074">
        <v>42383</v>
      </c>
      <c r="K1034" s="96" t="s">
        <v>384</v>
      </c>
      <c r="L1034" s="1074">
        <v>42474</v>
      </c>
      <c r="N1034" s="485"/>
      <c r="S1034" s="578">
        <v>42474</v>
      </c>
    </row>
    <row r="1035" spans="1:20" s="603" customFormat="1" x14ac:dyDescent="0.2">
      <c r="A1035" s="607">
        <v>42471</v>
      </c>
      <c r="B1035" s="773">
        <v>960</v>
      </c>
      <c r="C1035" s="637" t="s">
        <v>424</v>
      </c>
      <c r="D1035" s="612"/>
      <c r="E1035" s="612"/>
      <c r="F1035" s="600">
        <v>2517.92</v>
      </c>
      <c r="G1035" s="601">
        <f t="shared" si="32"/>
        <v>5841.5743999999995</v>
      </c>
      <c r="H1035" s="485" t="s">
        <v>691</v>
      </c>
      <c r="I1035" s="485"/>
      <c r="J1035" s="602"/>
      <c r="K1035" s="597" t="s">
        <v>1319</v>
      </c>
      <c r="L1035" s="1069"/>
      <c r="N1035" s="606"/>
    </row>
    <row r="1036" spans="1:20" s="575" customFormat="1" x14ac:dyDescent="0.2">
      <c r="A1036" s="578">
        <v>42410</v>
      </c>
      <c r="B1036" s="640">
        <v>937</v>
      </c>
      <c r="C1036" s="637" t="s">
        <v>174</v>
      </c>
      <c r="D1036" s="597" t="s">
        <v>1225</v>
      </c>
      <c r="E1036" s="597"/>
      <c r="F1036" s="600">
        <v>4659</v>
      </c>
      <c r="G1036" s="601">
        <f t="shared" si="32"/>
        <v>10808.88</v>
      </c>
      <c r="H1036" s="485" t="s">
        <v>72</v>
      </c>
      <c r="I1036" s="485"/>
      <c r="J1036" s="602">
        <v>42392</v>
      </c>
      <c r="K1036" s="597" t="s">
        <v>384</v>
      </c>
      <c r="L1036" s="602">
        <v>42483</v>
      </c>
      <c r="N1036" s="485"/>
      <c r="S1036" s="578">
        <v>42483</v>
      </c>
    </row>
    <row r="1037" spans="1:20" x14ac:dyDescent="0.2">
      <c r="A1037" s="94">
        <v>42439</v>
      </c>
      <c r="B1037" s="934">
        <v>947</v>
      </c>
      <c r="C1037" s="637" t="s">
        <v>180</v>
      </c>
      <c r="F1037" s="600">
        <v>6982.78</v>
      </c>
      <c r="G1037" s="601">
        <f t="shared" si="32"/>
        <v>16200.049599999998</v>
      </c>
      <c r="H1037" s="483" t="s">
        <v>72</v>
      </c>
      <c r="I1037" s="483"/>
      <c r="J1037" s="569">
        <v>42425</v>
      </c>
      <c r="K1037" s="597" t="s">
        <v>500</v>
      </c>
      <c r="L1037" s="94">
        <v>42485</v>
      </c>
      <c r="S1037" s="94">
        <v>42485</v>
      </c>
    </row>
    <row r="1038" spans="1:20" s="603" customFormat="1" x14ac:dyDescent="0.2">
      <c r="A1038" s="607">
        <v>42444</v>
      </c>
      <c r="B1038" s="773">
        <v>950</v>
      </c>
      <c r="C1038" s="637" t="s">
        <v>479</v>
      </c>
      <c r="D1038" s="612"/>
      <c r="E1038" s="612"/>
      <c r="F1038" s="600">
        <v>5429.5</v>
      </c>
      <c r="G1038" s="601">
        <f t="shared" si="32"/>
        <v>12596.439999999999</v>
      </c>
      <c r="H1038" s="485" t="s">
        <v>330</v>
      </c>
      <c r="I1038" s="485"/>
      <c r="J1038" s="602">
        <v>42425</v>
      </c>
      <c r="K1038" s="597" t="s">
        <v>500</v>
      </c>
      <c r="L1038" s="602">
        <v>42485</v>
      </c>
      <c r="N1038" s="606"/>
      <c r="S1038" s="578">
        <v>42485</v>
      </c>
    </row>
    <row r="1039" spans="1:20" s="483" customFormat="1" x14ac:dyDescent="0.2">
      <c r="A1039" s="569">
        <v>42411</v>
      </c>
      <c r="B1039" s="568">
        <v>939</v>
      </c>
      <c r="C1039" s="637" t="s">
        <v>49</v>
      </c>
      <c r="F1039" s="600">
        <v>11138.55</v>
      </c>
      <c r="G1039" s="601">
        <f t="shared" si="32"/>
        <v>25841.435999999998</v>
      </c>
      <c r="H1039" s="483" t="s">
        <v>72</v>
      </c>
      <c r="J1039" s="569">
        <v>42399</v>
      </c>
      <c r="K1039" s="597" t="s">
        <v>384</v>
      </c>
      <c r="L1039" s="569">
        <v>42490</v>
      </c>
      <c r="S1039" s="569">
        <v>42490</v>
      </c>
    </row>
    <row r="1040" spans="1:20" s="575" customFormat="1" x14ac:dyDescent="0.2">
      <c r="A1040" s="578">
        <v>42411</v>
      </c>
      <c r="B1040" s="640">
        <v>938</v>
      </c>
      <c r="C1040" s="637" t="s">
        <v>713</v>
      </c>
      <c r="D1040" s="597"/>
      <c r="E1040" s="597"/>
      <c r="F1040" s="600">
        <v>5440.66</v>
      </c>
      <c r="G1040" s="601">
        <f t="shared" si="32"/>
        <v>12622.331199999999</v>
      </c>
      <c r="H1040" s="485" t="s">
        <v>330</v>
      </c>
      <c r="I1040" s="485"/>
      <c r="J1040" s="602">
        <v>42406</v>
      </c>
      <c r="K1040" s="597" t="s">
        <v>384</v>
      </c>
      <c r="L1040" s="602">
        <v>42496</v>
      </c>
      <c r="N1040" s="485"/>
      <c r="S1040" s="578">
        <v>42496</v>
      </c>
    </row>
    <row r="1041" spans="1:19" s="603" customFormat="1" x14ac:dyDescent="0.2">
      <c r="A1041" s="607">
        <v>42429</v>
      </c>
      <c r="B1041" s="773">
        <v>945</v>
      </c>
      <c r="C1041" s="637" t="s">
        <v>173</v>
      </c>
      <c r="D1041" s="612"/>
      <c r="E1041" s="612"/>
      <c r="F1041" s="600">
        <v>2905.82</v>
      </c>
      <c r="G1041" s="601">
        <f t="shared" si="32"/>
        <v>6741.5024000000003</v>
      </c>
      <c r="H1041" s="485" t="s">
        <v>113</v>
      </c>
      <c r="I1041" s="485"/>
      <c r="J1041" s="602">
        <v>42411</v>
      </c>
      <c r="K1041" s="597" t="s">
        <v>384</v>
      </c>
      <c r="L1041" s="602">
        <v>42501</v>
      </c>
      <c r="N1041" s="606"/>
      <c r="S1041" s="578">
        <v>42501</v>
      </c>
    </row>
    <row r="1042" spans="1:19" x14ac:dyDescent="0.2">
      <c r="A1042" s="569">
        <v>42426</v>
      </c>
      <c r="B1042" s="640">
        <v>944</v>
      </c>
      <c r="C1042" s="637" t="s">
        <v>814</v>
      </c>
      <c r="F1042" s="600">
        <v>6206.25</v>
      </c>
      <c r="G1042" s="601">
        <f t="shared" si="32"/>
        <v>14398.499999999998</v>
      </c>
      <c r="H1042" s="483" t="s">
        <v>330</v>
      </c>
      <c r="I1042" s="483"/>
      <c r="J1042" s="569">
        <v>42415</v>
      </c>
      <c r="K1042" s="597" t="s">
        <v>384</v>
      </c>
      <c r="L1042" s="94">
        <v>42505</v>
      </c>
      <c r="S1042" s="94">
        <v>42505</v>
      </c>
    </row>
    <row r="1043" spans="1:19" x14ac:dyDescent="0.2">
      <c r="A1043" s="94">
        <v>42479</v>
      </c>
      <c r="B1043" s="934">
        <v>965</v>
      </c>
      <c r="C1043" s="637" t="s">
        <v>280</v>
      </c>
      <c r="F1043" s="600">
        <v>5850.76</v>
      </c>
      <c r="G1043" s="601">
        <f t="shared" si="32"/>
        <v>13573.763199999999</v>
      </c>
      <c r="H1043" s="483" t="s">
        <v>330</v>
      </c>
      <c r="I1043" s="483"/>
      <c r="J1043" s="569">
        <v>42450</v>
      </c>
      <c r="K1043" s="568" t="s">
        <v>500</v>
      </c>
      <c r="L1043" s="94">
        <v>42511</v>
      </c>
      <c r="S1043" s="94">
        <v>42511</v>
      </c>
    </row>
    <row r="1044" spans="1:19" s="603" customFormat="1" x14ac:dyDescent="0.2">
      <c r="A1044" s="607">
        <v>42464</v>
      </c>
      <c r="B1044" s="773">
        <v>959</v>
      </c>
      <c r="C1044" s="637" t="s">
        <v>223</v>
      </c>
      <c r="D1044" s="612"/>
      <c r="E1044" s="612"/>
      <c r="F1044" s="600">
        <v>17898.3</v>
      </c>
      <c r="G1044" s="601">
        <f t="shared" si="32"/>
        <v>41524.055999999997</v>
      </c>
      <c r="H1044" s="485" t="s">
        <v>330</v>
      </c>
      <c r="I1044" s="485"/>
      <c r="J1044" s="602">
        <v>42452</v>
      </c>
      <c r="K1044" s="597" t="s">
        <v>500</v>
      </c>
      <c r="L1044" s="602">
        <v>42513</v>
      </c>
      <c r="N1044" s="606"/>
      <c r="Q1044" s="603" t="s">
        <v>1321</v>
      </c>
      <c r="S1044" s="578">
        <v>42513</v>
      </c>
    </row>
    <row r="1045" spans="1:19" s="483" customFormat="1" x14ac:dyDescent="0.2">
      <c r="A1045" s="569">
        <v>42464</v>
      </c>
      <c r="B1045" s="568">
        <v>958</v>
      </c>
      <c r="C1045" s="637" t="s">
        <v>809</v>
      </c>
      <c r="F1045" s="600">
        <v>1881.6</v>
      </c>
      <c r="G1045" s="601">
        <f t="shared" si="32"/>
        <v>4365.3119999999999</v>
      </c>
      <c r="H1045" s="483" t="s">
        <v>72</v>
      </c>
      <c r="J1045" s="569">
        <v>42453</v>
      </c>
      <c r="K1045" s="597" t="s">
        <v>500</v>
      </c>
      <c r="L1045" s="569">
        <v>42514</v>
      </c>
      <c r="S1045" s="569">
        <v>42514</v>
      </c>
    </row>
    <row r="1046" spans="1:19" s="575" customFormat="1" x14ac:dyDescent="0.2">
      <c r="A1046" s="578">
        <v>42507</v>
      </c>
      <c r="B1046" s="568">
        <v>974</v>
      </c>
      <c r="C1046" s="637" t="s">
        <v>493</v>
      </c>
      <c r="D1046" s="597"/>
      <c r="E1046" s="597"/>
      <c r="F1046" s="600">
        <v>4950.49</v>
      </c>
      <c r="G1046" s="601">
        <f t="shared" si="32"/>
        <v>11485.136799999998</v>
      </c>
      <c r="H1046" s="485" t="s">
        <v>72</v>
      </c>
      <c r="I1046" s="485"/>
      <c r="J1046" s="639">
        <v>42447</v>
      </c>
      <c r="K1046" s="597" t="s">
        <v>500</v>
      </c>
      <c r="L1046" s="639">
        <v>42508</v>
      </c>
      <c r="N1046" s="485"/>
      <c r="S1046" s="578">
        <v>42508</v>
      </c>
    </row>
    <row r="1047" spans="1:19" x14ac:dyDescent="0.2">
      <c r="A1047" s="94">
        <v>42439</v>
      </c>
      <c r="B1047" s="934">
        <v>946</v>
      </c>
      <c r="C1047" s="637" t="s">
        <v>145</v>
      </c>
      <c r="F1047" s="600">
        <v>22084.83</v>
      </c>
      <c r="G1047" s="601">
        <f t="shared" si="32"/>
        <v>51236.8056</v>
      </c>
      <c r="H1047" s="483" t="s">
        <v>72</v>
      </c>
      <c r="I1047" s="483"/>
      <c r="J1047" s="569">
        <v>42427</v>
      </c>
      <c r="K1047" s="597" t="s">
        <v>384</v>
      </c>
      <c r="L1047" s="94">
        <v>42517</v>
      </c>
      <c r="S1047" s="94">
        <v>42517</v>
      </c>
    </row>
    <row r="1048" spans="1:19" x14ac:dyDescent="0.2">
      <c r="A1048" s="94">
        <v>42444</v>
      </c>
      <c r="B1048" s="934">
        <v>948</v>
      </c>
      <c r="C1048" s="637" t="s">
        <v>212</v>
      </c>
      <c r="F1048" s="600">
        <v>10483.709999999999</v>
      </c>
      <c r="G1048" s="601">
        <f t="shared" si="32"/>
        <v>24322.207199999997</v>
      </c>
      <c r="H1048" s="483" t="s">
        <v>113</v>
      </c>
      <c r="I1048" s="483"/>
      <c r="J1048" s="569">
        <v>42427</v>
      </c>
      <c r="K1048" s="597" t="s">
        <v>384</v>
      </c>
      <c r="L1048" s="94">
        <v>42517</v>
      </c>
      <c r="S1048" s="94">
        <v>42517</v>
      </c>
    </row>
    <row r="1049" spans="1:19" x14ac:dyDescent="0.2">
      <c r="A1049" s="94">
        <v>42490</v>
      </c>
      <c r="B1049" s="934">
        <v>972</v>
      </c>
      <c r="C1049" s="637" t="s">
        <v>826</v>
      </c>
      <c r="F1049" s="600">
        <v>19000</v>
      </c>
      <c r="G1049" s="601">
        <f t="shared" si="32"/>
        <v>44080</v>
      </c>
      <c r="H1049" s="483" t="s">
        <v>895</v>
      </c>
      <c r="I1049" s="483"/>
      <c r="J1049" s="483"/>
      <c r="K1049" s="597" t="s">
        <v>250</v>
      </c>
    </row>
    <row r="1050" spans="1:19" s="483" customFormat="1" x14ac:dyDescent="0.2">
      <c r="A1050" s="569">
        <v>42510</v>
      </c>
      <c r="B1050" s="568">
        <v>975</v>
      </c>
      <c r="C1050" s="637" t="s">
        <v>477</v>
      </c>
      <c r="F1050" s="600">
        <v>3936.28</v>
      </c>
      <c r="G1050" s="601">
        <f>+F1050*2.34</f>
        <v>9210.895199999999</v>
      </c>
      <c r="H1050" s="483" t="s">
        <v>70</v>
      </c>
      <c r="K1050" s="597" t="s">
        <v>250</v>
      </c>
    </row>
    <row r="1051" spans="1:19" s="575" customFormat="1" x14ac:dyDescent="0.2">
      <c r="A1051" s="578">
        <v>42452</v>
      </c>
      <c r="B1051" s="640">
        <v>953</v>
      </c>
      <c r="C1051" s="637" t="s">
        <v>172</v>
      </c>
      <c r="D1051" s="597"/>
      <c r="E1051" s="597"/>
      <c r="F1051" s="600">
        <v>9534.58</v>
      </c>
      <c r="G1051" s="601">
        <f>+F1051*2.25</f>
        <v>21452.805</v>
      </c>
      <c r="H1051" s="485" t="s">
        <v>113</v>
      </c>
      <c r="I1051" s="485"/>
      <c r="J1051" s="602">
        <v>42431</v>
      </c>
      <c r="K1051" s="597" t="s">
        <v>384</v>
      </c>
      <c r="L1051" s="602">
        <v>42523</v>
      </c>
      <c r="N1051" s="485"/>
      <c r="S1051" s="578">
        <v>42523</v>
      </c>
    </row>
    <row r="1052" spans="1:19" s="603" customFormat="1" x14ac:dyDescent="0.2">
      <c r="A1052" s="607">
        <v>42444</v>
      </c>
      <c r="B1052" s="773">
        <v>949</v>
      </c>
      <c r="C1052" s="637" t="s">
        <v>64</v>
      </c>
      <c r="D1052" s="612"/>
      <c r="E1052" s="612"/>
      <c r="F1052" s="600">
        <v>2854.55</v>
      </c>
      <c r="G1052" s="601">
        <f>+F1052*2.25</f>
        <v>6422.7375000000002</v>
      </c>
      <c r="H1052" s="485" t="s">
        <v>72</v>
      </c>
      <c r="I1052" s="485"/>
      <c r="J1052" s="602">
        <v>42432</v>
      </c>
      <c r="K1052" s="597" t="s">
        <v>384</v>
      </c>
      <c r="L1052" s="602">
        <v>42524</v>
      </c>
      <c r="N1052" s="606"/>
      <c r="S1052" s="578">
        <v>42524</v>
      </c>
    </row>
    <row r="1053" spans="1:19" s="611" customFormat="1" x14ac:dyDescent="0.2">
      <c r="A1053" s="607">
        <v>42518</v>
      </c>
      <c r="B1053" s="773" t="s">
        <v>1347</v>
      </c>
      <c r="C1053" s="628" t="s">
        <v>1303</v>
      </c>
      <c r="D1053" s="612"/>
      <c r="E1053" s="612"/>
      <c r="F1053" s="688">
        <v>18892.8</v>
      </c>
      <c r="G1053" s="688">
        <f>+F1053*2.25</f>
        <v>42508.799999999996</v>
      </c>
      <c r="H1053" s="610" t="s">
        <v>113</v>
      </c>
      <c r="I1053" s="626"/>
      <c r="J1053" s="1027"/>
      <c r="K1053" s="612" t="s">
        <v>167</v>
      </c>
      <c r="L1053" s="1027"/>
      <c r="N1053" s="610"/>
      <c r="S1053" s="607">
        <v>42517</v>
      </c>
    </row>
    <row r="1054" spans="1:19" s="603" customFormat="1" x14ac:dyDescent="0.2">
      <c r="A1054" s="607">
        <v>42488</v>
      </c>
      <c r="B1054" s="773">
        <v>971</v>
      </c>
      <c r="C1054" s="637" t="s">
        <v>208</v>
      </c>
      <c r="D1054" s="612"/>
      <c r="E1054" s="612"/>
      <c r="F1054" s="600">
        <v>11157.32</v>
      </c>
      <c r="G1054" s="601">
        <f>F1054*2.25</f>
        <v>25103.97</v>
      </c>
      <c r="H1054" s="485" t="s">
        <v>113</v>
      </c>
      <c r="I1054" s="485"/>
      <c r="J1054" s="602">
        <v>42468</v>
      </c>
      <c r="K1054" s="597" t="s">
        <v>607</v>
      </c>
      <c r="L1054" s="602">
        <v>42529</v>
      </c>
      <c r="N1054" s="606"/>
      <c r="S1054" s="578">
        <v>42529</v>
      </c>
    </row>
    <row r="1055" spans="1:19" x14ac:dyDescent="0.2">
      <c r="A1055" s="94">
        <v>42531</v>
      </c>
      <c r="B1055" s="934">
        <v>981</v>
      </c>
      <c r="C1055" s="637" t="s">
        <v>424</v>
      </c>
      <c r="D1055" s="568" t="s">
        <v>1348</v>
      </c>
      <c r="F1055" s="600">
        <v>108</v>
      </c>
      <c r="G1055" s="601">
        <f>+F1055*2.43</f>
        <v>262.44</v>
      </c>
      <c r="H1055" s="483"/>
      <c r="I1055" s="483"/>
      <c r="J1055" s="483"/>
      <c r="K1055" s="597"/>
    </row>
    <row r="1056" spans="1:19" s="603" customFormat="1" x14ac:dyDescent="0.2">
      <c r="A1056" s="607">
        <v>42483</v>
      </c>
      <c r="B1056" s="773">
        <v>968</v>
      </c>
      <c r="C1056" s="637" t="s">
        <v>66</v>
      </c>
      <c r="D1056" s="612"/>
      <c r="E1056" s="612"/>
      <c r="F1056" s="600">
        <v>9490</v>
      </c>
      <c r="G1056" s="601">
        <f>+F1056*2.25</f>
        <v>21352.5</v>
      </c>
      <c r="H1056" s="485" t="s">
        <v>72</v>
      </c>
      <c r="I1056" s="485"/>
      <c r="J1056" s="602">
        <v>42467</v>
      </c>
      <c r="K1056" s="597" t="s">
        <v>500</v>
      </c>
      <c r="L1056" s="602">
        <v>42528</v>
      </c>
      <c r="N1056" s="606"/>
      <c r="S1056" s="578">
        <v>42528</v>
      </c>
    </row>
    <row r="1057" spans="1:19" s="575" customFormat="1" x14ac:dyDescent="0.2">
      <c r="A1057" s="578">
        <v>42455</v>
      </c>
      <c r="B1057" s="640">
        <v>954</v>
      </c>
      <c r="C1057" s="637" t="s">
        <v>603</v>
      </c>
      <c r="D1057" s="597"/>
      <c r="E1057" s="597"/>
      <c r="F1057" s="600">
        <v>4275.59</v>
      </c>
      <c r="G1057" s="601">
        <f>+F1057*2.25</f>
        <v>9620.0774999999994</v>
      </c>
      <c r="H1057" s="485" t="s">
        <v>70</v>
      </c>
      <c r="I1057" s="485"/>
      <c r="J1057" s="602">
        <v>42439</v>
      </c>
      <c r="K1057" s="597" t="s">
        <v>384</v>
      </c>
      <c r="L1057" s="602">
        <v>42531</v>
      </c>
      <c r="N1057" s="485"/>
      <c r="S1057" s="578">
        <v>43992</v>
      </c>
    </row>
    <row r="1058" spans="1:19" s="483" customFormat="1" x14ac:dyDescent="0.2">
      <c r="A1058" s="569">
        <v>42480</v>
      </c>
      <c r="B1058" s="568">
        <v>967</v>
      </c>
      <c r="C1058" s="637" t="s">
        <v>946</v>
      </c>
      <c r="F1058" s="600">
        <v>10180.5</v>
      </c>
      <c r="G1058" s="601">
        <f>+F1058*2.25</f>
        <v>22906.125</v>
      </c>
      <c r="H1058" s="483" t="s">
        <v>72</v>
      </c>
      <c r="I1058" s="569"/>
      <c r="J1058" s="569">
        <v>42471</v>
      </c>
      <c r="K1058" s="597" t="s">
        <v>821</v>
      </c>
      <c r="L1058" s="569">
        <v>42532</v>
      </c>
      <c r="S1058" s="569">
        <v>42532</v>
      </c>
    </row>
    <row r="1059" spans="1:19" s="483" customFormat="1" x14ac:dyDescent="0.2">
      <c r="A1059" s="569">
        <v>42488</v>
      </c>
      <c r="B1059" s="568">
        <v>969</v>
      </c>
      <c r="C1059" s="637" t="s">
        <v>341</v>
      </c>
      <c r="F1059" s="600">
        <v>4187.2299999999996</v>
      </c>
      <c r="G1059" s="601">
        <f>+F1059*2.25</f>
        <v>9421.2674999999981</v>
      </c>
      <c r="H1059" s="483" t="s">
        <v>72</v>
      </c>
      <c r="J1059" s="569">
        <v>42474</v>
      </c>
      <c r="K1059" s="639" t="s">
        <v>500</v>
      </c>
      <c r="L1059" s="569">
        <v>42535</v>
      </c>
      <c r="S1059" s="569">
        <v>42535</v>
      </c>
    </row>
    <row r="1060" spans="1:19" s="603" customFormat="1" x14ac:dyDescent="0.2">
      <c r="A1060" s="607">
        <v>42471</v>
      </c>
      <c r="B1060" s="773">
        <v>961</v>
      </c>
      <c r="C1060" s="637" t="s">
        <v>139</v>
      </c>
      <c r="D1060" s="612"/>
      <c r="E1060" s="612"/>
      <c r="F1060" s="600">
        <v>7919.78</v>
      </c>
      <c r="G1060" s="601">
        <f>+F1060*2.2</f>
        <v>17423.516</v>
      </c>
      <c r="H1060" s="485" t="s">
        <v>72</v>
      </c>
      <c r="I1060" s="485"/>
      <c r="J1060" s="1018">
        <v>42446</v>
      </c>
      <c r="K1060" s="597" t="s">
        <v>384</v>
      </c>
      <c r="L1060" s="1495">
        <v>42538</v>
      </c>
      <c r="N1060" s="606"/>
      <c r="S1060" s="578">
        <v>42538</v>
      </c>
    </row>
    <row r="1061" spans="1:19" s="603" customFormat="1" x14ac:dyDescent="0.2">
      <c r="A1061" s="607">
        <v>42480</v>
      </c>
      <c r="B1061" s="773">
        <v>966</v>
      </c>
      <c r="C1061" s="637" t="s">
        <v>248</v>
      </c>
      <c r="D1061" s="612"/>
      <c r="E1061" s="612"/>
      <c r="F1061" s="600">
        <v>13357.7</v>
      </c>
      <c r="G1061" s="601">
        <f>+F1061*2.43</f>
        <v>32459.211000000003</v>
      </c>
      <c r="H1061" s="485" t="s">
        <v>113</v>
      </c>
      <c r="I1061" s="485"/>
      <c r="J1061" s="602">
        <v>42447</v>
      </c>
      <c r="K1061" s="597" t="s">
        <v>384</v>
      </c>
      <c r="L1061" s="1018">
        <v>42539</v>
      </c>
      <c r="N1061" s="606"/>
      <c r="S1061" s="578">
        <v>42539</v>
      </c>
    </row>
    <row r="1062" spans="1:19" x14ac:dyDescent="0.2">
      <c r="A1062" s="94">
        <v>42535</v>
      </c>
      <c r="B1062" s="934">
        <v>982</v>
      </c>
      <c r="C1062" s="637" t="s">
        <v>192</v>
      </c>
      <c r="F1062" s="600">
        <v>15287.45</v>
      </c>
      <c r="G1062" s="601">
        <f>+F1062*2.25</f>
        <v>34396.762500000004</v>
      </c>
      <c r="H1062" s="483" t="s">
        <v>70</v>
      </c>
      <c r="K1062" s="568" t="s">
        <v>250</v>
      </c>
    </row>
    <row r="1063" spans="1:19" s="603" customFormat="1" x14ac:dyDescent="0.2">
      <c r="A1063" s="607">
        <v>42464</v>
      </c>
      <c r="B1063" s="773">
        <v>957</v>
      </c>
      <c r="C1063" s="637" t="s">
        <v>478</v>
      </c>
      <c r="D1063" s="612"/>
      <c r="E1063" s="612"/>
      <c r="F1063" s="600">
        <v>5287.35</v>
      </c>
      <c r="G1063" s="601">
        <f>+F1063*2.25</f>
        <v>11896.5375</v>
      </c>
      <c r="H1063" s="485" t="s">
        <v>113</v>
      </c>
      <c r="I1063" s="485"/>
      <c r="J1063" s="602">
        <v>42452</v>
      </c>
      <c r="K1063" s="597" t="s">
        <v>384</v>
      </c>
      <c r="L1063" s="602">
        <v>42544</v>
      </c>
      <c r="N1063" s="606"/>
      <c r="S1063" s="578">
        <v>42544</v>
      </c>
    </row>
    <row r="1064" spans="1:19" x14ac:dyDescent="0.2">
      <c r="A1064" s="94">
        <v>42503</v>
      </c>
      <c r="B1064" s="934">
        <v>973</v>
      </c>
      <c r="C1064" s="637" t="s">
        <v>185</v>
      </c>
      <c r="F1064" s="600">
        <v>4070.47</v>
      </c>
      <c r="G1064" s="601">
        <f>+F1064*2.25</f>
        <v>9158.557499999999</v>
      </c>
      <c r="H1064" s="483" t="s">
        <v>113</v>
      </c>
      <c r="J1064" s="94">
        <v>42486</v>
      </c>
      <c r="K1064" s="568" t="s">
        <v>500</v>
      </c>
      <c r="L1064" s="793">
        <v>42547</v>
      </c>
      <c r="S1064" s="94">
        <v>42547</v>
      </c>
    </row>
    <row r="1065" spans="1:19" s="652" customFormat="1" x14ac:dyDescent="0.2">
      <c r="A1065" s="649">
        <v>42550</v>
      </c>
      <c r="B1065" s="657">
        <v>988</v>
      </c>
      <c r="C1065" s="658" t="s">
        <v>815</v>
      </c>
      <c r="D1065" s="646"/>
      <c r="E1065" s="646"/>
      <c r="F1065" s="650">
        <v>11642.06</v>
      </c>
      <c r="G1065" s="659">
        <f>+F1065*1.95</f>
        <v>22702.017</v>
      </c>
      <c r="H1065" s="573" t="s">
        <v>70</v>
      </c>
      <c r="I1065" s="573"/>
      <c r="J1065" s="651"/>
      <c r="K1065" s="646" t="s">
        <v>167</v>
      </c>
      <c r="L1065" s="721"/>
      <c r="N1065" s="573"/>
      <c r="S1065" s="649">
        <v>42512</v>
      </c>
    </row>
    <row r="1066" spans="1:19" x14ac:dyDescent="0.2">
      <c r="A1066" s="94">
        <v>42538</v>
      </c>
      <c r="B1066" s="934">
        <v>984</v>
      </c>
      <c r="C1066" s="637" t="s">
        <v>473</v>
      </c>
      <c r="F1066" s="600">
        <v>6403</v>
      </c>
      <c r="G1066" s="601">
        <f>+F1066*2.45</f>
        <v>15687.35</v>
      </c>
      <c r="H1066" s="483" t="s">
        <v>330</v>
      </c>
      <c r="K1066" s="568" t="s">
        <v>250</v>
      </c>
    </row>
    <row r="1067" spans="1:19" s="575" customFormat="1" x14ac:dyDescent="0.2">
      <c r="A1067" s="578">
        <v>42488</v>
      </c>
      <c r="B1067" s="640">
        <v>970</v>
      </c>
      <c r="C1067" s="637" t="s">
        <v>285</v>
      </c>
      <c r="D1067" s="597"/>
      <c r="E1067" s="597"/>
      <c r="F1067" s="600">
        <v>4149.16</v>
      </c>
      <c r="G1067" s="601">
        <f>+F1067*2.25</f>
        <v>9335.61</v>
      </c>
      <c r="H1067" s="485" t="s">
        <v>72</v>
      </c>
      <c r="I1067" s="577"/>
      <c r="J1067" s="639">
        <v>42476</v>
      </c>
      <c r="K1067" s="597" t="s">
        <v>384</v>
      </c>
      <c r="L1067" s="639">
        <v>42567</v>
      </c>
      <c r="N1067" s="485"/>
      <c r="S1067" s="578">
        <v>42567</v>
      </c>
    </row>
    <row r="1068" spans="1:19" x14ac:dyDescent="0.2">
      <c r="A1068" s="94">
        <v>42515</v>
      </c>
      <c r="B1068" s="934">
        <v>976</v>
      </c>
      <c r="C1068" s="637" t="s">
        <v>173</v>
      </c>
      <c r="F1068" s="600">
        <v>4445.1499999999996</v>
      </c>
      <c r="G1068" s="601">
        <f>+F1068*2.32</f>
        <v>10312.747999999998</v>
      </c>
      <c r="H1068" s="483" t="s">
        <v>330</v>
      </c>
      <c r="J1068" s="793">
        <v>42490</v>
      </c>
      <c r="K1068" s="934" t="s">
        <v>384</v>
      </c>
      <c r="L1068" s="793">
        <v>42581</v>
      </c>
      <c r="S1068" s="94">
        <v>42581</v>
      </c>
    </row>
    <row r="1069" spans="1:19" s="483" customFormat="1" x14ac:dyDescent="0.2">
      <c r="A1069" s="569">
        <v>42500</v>
      </c>
      <c r="C1069" s="637" t="s">
        <v>193</v>
      </c>
      <c r="F1069" s="600">
        <v>8250</v>
      </c>
      <c r="G1069" s="601">
        <f>+F1069*2.46</f>
        <v>20295</v>
      </c>
      <c r="H1069" s="483" t="s">
        <v>330</v>
      </c>
      <c r="K1069" s="1510" t="s">
        <v>250</v>
      </c>
      <c r="L1069" s="569"/>
      <c r="S1069" s="569"/>
    </row>
    <row r="1070" spans="1:19" x14ac:dyDescent="0.2">
      <c r="A1070" s="94">
        <v>42580</v>
      </c>
      <c r="B1070" s="934">
        <v>995</v>
      </c>
      <c r="C1070" s="637" t="s">
        <v>296</v>
      </c>
      <c r="F1070" s="600">
        <v>3846.04</v>
      </c>
      <c r="G1070" s="601">
        <f>+F1070*2.47</f>
        <v>9499.7188000000006</v>
      </c>
      <c r="H1070" s="483" t="s">
        <v>330</v>
      </c>
      <c r="K1070" s="568" t="s">
        <v>250</v>
      </c>
    </row>
    <row r="1071" spans="1:19" x14ac:dyDescent="0.2">
      <c r="A1071" s="1553">
        <v>42515</v>
      </c>
      <c r="B1071" s="934">
        <v>977</v>
      </c>
      <c r="C1071" s="637" t="s">
        <v>145</v>
      </c>
      <c r="F1071" s="600">
        <v>16768.3</v>
      </c>
      <c r="G1071" s="601">
        <f>+F1071*2.32</f>
        <v>38902.455999999998</v>
      </c>
      <c r="H1071" s="483" t="s">
        <v>330</v>
      </c>
      <c r="J1071" s="793">
        <v>42492</v>
      </c>
      <c r="K1071" s="934" t="s">
        <v>384</v>
      </c>
      <c r="L1071" s="94">
        <v>42584</v>
      </c>
      <c r="S1071" s="94">
        <v>42584</v>
      </c>
    </row>
    <row r="1072" spans="1:19" x14ac:dyDescent="0.2">
      <c r="A1072" s="94">
        <v>42539</v>
      </c>
      <c r="B1072" s="934">
        <v>983</v>
      </c>
      <c r="C1072" s="637" t="s">
        <v>177</v>
      </c>
      <c r="F1072" s="600">
        <v>5222.3</v>
      </c>
      <c r="G1072" s="601">
        <f>+F1072*2.47</f>
        <v>12899.081000000002</v>
      </c>
      <c r="H1072" s="483" t="s">
        <v>895</v>
      </c>
      <c r="J1072" s="793">
        <v>42524</v>
      </c>
      <c r="K1072" s="568" t="s">
        <v>500</v>
      </c>
      <c r="L1072" s="793">
        <v>42585</v>
      </c>
      <c r="S1072" s="94">
        <v>42585</v>
      </c>
    </row>
    <row r="1073" spans="1:20" x14ac:dyDescent="0.2">
      <c r="A1073" s="94">
        <v>42550</v>
      </c>
      <c r="B1073" s="934">
        <v>987</v>
      </c>
      <c r="C1073" s="637" t="s">
        <v>605</v>
      </c>
      <c r="F1073" s="600">
        <v>5738.3</v>
      </c>
      <c r="G1073" s="601">
        <f>+F1073*2.43</f>
        <v>13944.069000000001</v>
      </c>
      <c r="H1073" s="483" t="s">
        <v>70</v>
      </c>
      <c r="J1073" s="94">
        <v>42532</v>
      </c>
      <c r="K1073" s="1510" t="s">
        <v>500</v>
      </c>
      <c r="L1073" s="94">
        <v>42593</v>
      </c>
      <c r="S1073" s="94">
        <v>42593</v>
      </c>
    </row>
    <row r="1074" spans="1:20" x14ac:dyDescent="0.2">
      <c r="A1074" s="94">
        <v>42544</v>
      </c>
      <c r="B1074" s="934">
        <v>985</v>
      </c>
      <c r="C1074" s="637" t="s">
        <v>212</v>
      </c>
      <c r="F1074" s="600">
        <v>7089.91</v>
      </c>
      <c r="G1074" s="601">
        <f>+F1074*2.25</f>
        <v>15952.297500000001</v>
      </c>
      <c r="H1074" s="483" t="s">
        <v>72</v>
      </c>
      <c r="J1074" s="94">
        <v>42509</v>
      </c>
      <c r="K1074" s="934" t="s">
        <v>384</v>
      </c>
      <c r="L1074" s="94">
        <v>42601</v>
      </c>
      <c r="S1074" s="94">
        <v>42601</v>
      </c>
    </row>
    <row r="1075" spans="1:20" s="652" customFormat="1" x14ac:dyDescent="0.2">
      <c r="A1075" s="649">
        <v>42343</v>
      </c>
      <c r="B1075" s="657">
        <v>921</v>
      </c>
      <c r="C1075" s="658" t="s">
        <v>836</v>
      </c>
      <c r="D1075" s="646">
        <v>3</v>
      </c>
      <c r="E1075" s="646"/>
      <c r="F1075" s="650">
        <v>32668.33</v>
      </c>
      <c r="G1075" s="659">
        <f>+F1075*2.2</f>
        <v>71870.326000000015</v>
      </c>
      <c r="H1075" s="573" t="s">
        <v>72</v>
      </c>
      <c r="I1075" s="720"/>
      <c r="J1075" s="1450"/>
      <c r="K1075" s="564" t="s">
        <v>272</v>
      </c>
      <c r="L1075" s="855"/>
      <c r="M1075" s="649"/>
      <c r="N1075" s="573"/>
      <c r="O1075" s="649"/>
      <c r="R1075" s="649">
        <v>42524</v>
      </c>
      <c r="S1075" s="649">
        <v>42615</v>
      </c>
      <c r="T1075" s="649"/>
    </row>
    <row r="1076" spans="1:20" x14ac:dyDescent="0.2">
      <c r="A1076" s="1618">
        <v>42564</v>
      </c>
      <c r="B1076" s="1632">
        <v>996</v>
      </c>
      <c r="C1076" s="1620" t="s">
        <v>946</v>
      </c>
      <c r="D1076" s="1619"/>
      <c r="E1076" s="1619"/>
      <c r="F1076" s="1000">
        <v>11424.5</v>
      </c>
      <c r="G1076" s="1621">
        <f>+F1076*2.43</f>
        <v>27761.535000000003</v>
      </c>
      <c r="H1076" s="1028" t="s">
        <v>72</v>
      </c>
      <c r="I1076" s="1619"/>
      <c r="J1076" s="1619"/>
      <c r="K1076" s="1622" t="s">
        <v>1380</v>
      </c>
      <c r="L1076" s="1619"/>
      <c r="M1076" s="1619"/>
      <c r="N1076" s="1619"/>
      <c r="O1076" s="1619"/>
      <c r="P1076" s="1619"/>
      <c r="Q1076" s="1619"/>
      <c r="R1076" s="1619"/>
      <c r="S1076" s="1618">
        <v>42604</v>
      </c>
      <c r="T1076" s="1619"/>
    </row>
    <row r="1077" spans="1:20" x14ac:dyDescent="0.2">
      <c r="A1077" s="94">
        <v>42564</v>
      </c>
      <c r="B1077" s="934">
        <v>991</v>
      </c>
      <c r="C1077" s="637" t="s">
        <v>809</v>
      </c>
      <c r="F1077" s="600">
        <v>2246.5</v>
      </c>
      <c r="G1077" s="601">
        <f>+F1077*2.45</f>
        <v>5503.9250000000002</v>
      </c>
      <c r="H1077" t="s">
        <v>72</v>
      </c>
      <c r="J1077" s="94">
        <v>42544</v>
      </c>
      <c r="K1077" s="568" t="s">
        <v>500</v>
      </c>
      <c r="L1077" s="793">
        <v>42605</v>
      </c>
      <c r="S1077" s="94">
        <v>42605</v>
      </c>
    </row>
    <row r="1078" spans="1:20" x14ac:dyDescent="0.2">
      <c r="A1078" s="94"/>
      <c r="B1078" s="934"/>
      <c r="C1078" s="637"/>
      <c r="F1078" s="600"/>
      <c r="G1078" s="601"/>
      <c r="H1078" s="483"/>
      <c r="K1078" s="568"/>
    </row>
    <row r="1079" spans="1:20" x14ac:dyDescent="0.2">
      <c r="A1079" s="94"/>
      <c r="B1079" s="934"/>
      <c r="C1079" s="637"/>
      <c r="F1079" s="600"/>
      <c r="G1079" s="601"/>
      <c r="H1079" s="483"/>
      <c r="K1079" s="568"/>
    </row>
    <row r="1080" spans="1:20" x14ac:dyDescent="0.2">
      <c r="A1080" s="94"/>
      <c r="B1080" s="93"/>
      <c r="C1080" s="96" t="s">
        <v>755</v>
      </c>
      <c r="D1080" s="93"/>
      <c r="E1080" s="8"/>
      <c r="F1080" s="158"/>
      <c r="G1080" s="147">
        <f>SUM(G648:G808)</f>
        <v>9598168.8375066668</v>
      </c>
      <c r="H1080" s="370"/>
      <c r="I1080" s="471"/>
      <c r="J1080" s="53"/>
      <c r="K1080" s="93"/>
      <c r="L1080" s="53"/>
      <c r="N1080" s="6"/>
    </row>
    <row r="1081" spans="1:20" x14ac:dyDescent="0.2">
      <c r="A1081" s="94"/>
      <c r="B1081" s="93"/>
      <c r="C1081" s="96"/>
      <c r="D1081" s="93"/>
      <c r="E1081" s="8"/>
      <c r="F1081" s="158"/>
      <c r="G1081" s="147"/>
      <c r="H1081" s="370"/>
      <c r="I1081" s="471"/>
      <c r="J1081" s="53"/>
      <c r="K1081" s="93"/>
      <c r="L1081" s="53"/>
      <c r="N1081" s="6"/>
    </row>
    <row r="1082" spans="1:20" x14ac:dyDescent="0.2">
      <c r="A1082" s="94"/>
      <c r="B1082" s="93"/>
      <c r="C1082" s="96"/>
      <c r="D1082" s="93"/>
      <c r="E1082" s="8"/>
      <c r="F1082" s="158"/>
      <c r="G1082" s="147"/>
      <c r="H1082" s="370"/>
      <c r="I1082" s="471"/>
      <c r="J1082" s="53"/>
      <c r="K1082" s="93"/>
      <c r="L1082" s="53"/>
      <c r="N1082" s="6"/>
    </row>
    <row r="1083" spans="1:20" x14ac:dyDescent="0.2">
      <c r="A1083" s="94"/>
      <c r="B1083" s="93"/>
      <c r="C1083" s="96"/>
      <c r="D1083" s="93"/>
      <c r="E1083" s="8"/>
      <c r="F1083" s="158"/>
      <c r="G1083" s="147"/>
      <c r="H1083" s="370"/>
      <c r="I1083" s="471"/>
      <c r="J1083" s="53"/>
      <c r="K1083" s="93"/>
      <c r="L1083" s="53"/>
      <c r="N1083" s="6"/>
    </row>
    <row r="1085" spans="1:20" x14ac:dyDescent="0.2">
      <c r="A1085" s="94"/>
      <c r="B1085" s="93"/>
      <c r="C1085" s="96"/>
      <c r="D1085" s="93"/>
      <c r="E1085" s="8"/>
      <c r="F1085" s="158"/>
      <c r="G1085" s="147"/>
      <c r="H1085" s="370"/>
      <c r="I1085" s="471"/>
      <c r="J1085" s="53"/>
      <c r="K1085" s="93"/>
      <c r="L1085" s="53"/>
      <c r="N1085" s="6"/>
    </row>
    <row r="1086" spans="1:20" x14ac:dyDescent="0.2">
      <c r="A1086" s="94"/>
      <c r="B1086" s="93"/>
      <c r="C1086" s="96"/>
      <c r="D1086" s="93"/>
      <c r="E1086" s="8"/>
      <c r="F1086" s="158"/>
      <c r="G1086" s="147"/>
      <c r="H1086" s="370"/>
      <c r="I1086" s="471"/>
      <c r="J1086" s="53"/>
      <c r="K1086" s="93"/>
      <c r="L1086" s="53"/>
      <c r="N1086" s="6"/>
    </row>
    <row r="1087" spans="1:20" x14ac:dyDescent="0.2">
      <c r="A1087" s="94"/>
      <c r="B1087" s="93"/>
      <c r="C1087" s="96"/>
      <c r="D1087" s="93"/>
      <c r="E1087" s="8"/>
      <c r="F1087" s="158"/>
      <c r="G1087" s="147"/>
      <c r="H1087" s="370"/>
      <c r="I1087" s="471"/>
      <c r="J1087" s="53"/>
      <c r="K1087" s="93"/>
      <c r="L1087" s="53"/>
      <c r="N1087" s="6"/>
    </row>
    <row r="1088" spans="1:20" x14ac:dyDescent="0.2">
      <c r="B1088" s="62"/>
    </row>
    <row r="1089" spans="1:19" x14ac:dyDescent="0.2">
      <c r="B1089" s="62" t="s">
        <v>108</v>
      </c>
    </row>
    <row r="1090" spans="1:19" x14ac:dyDescent="0.2">
      <c r="B1090" s="62"/>
    </row>
    <row r="1091" spans="1:19" x14ac:dyDescent="0.2">
      <c r="B1091" s="64" t="s">
        <v>46</v>
      </c>
      <c r="C1091" s="64" t="s">
        <v>45</v>
      </c>
      <c r="D1091" s="64" t="s">
        <v>85</v>
      </c>
      <c r="E1091" s="64" t="s">
        <v>52</v>
      </c>
      <c r="F1091" s="67" t="s">
        <v>55</v>
      </c>
      <c r="G1091" s="68"/>
      <c r="H1091" s="64" t="s">
        <v>56</v>
      </c>
      <c r="I1091" s="64"/>
      <c r="J1091" s="64" t="s">
        <v>59</v>
      </c>
      <c r="K1091" s="64" t="s">
        <v>57</v>
      </c>
      <c r="L1091" s="64" t="s">
        <v>34</v>
      </c>
      <c r="M1091" s="72" t="s">
        <v>80</v>
      </c>
      <c r="N1091" s="72" t="s">
        <v>43</v>
      </c>
      <c r="O1091" s="72" t="s">
        <v>24</v>
      </c>
      <c r="P1091" s="72" t="s">
        <v>35</v>
      </c>
      <c r="Q1091" s="72" t="s">
        <v>36</v>
      </c>
      <c r="R1091" s="72" t="s">
        <v>396</v>
      </c>
    </row>
    <row r="1092" spans="1:19" x14ac:dyDescent="0.2">
      <c r="B1092" s="65"/>
      <c r="C1092" s="65"/>
      <c r="D1092" s="65"/>
      <c r="E1092" s="65"/>
      <c r="F1092" s="69" t="s">
        <v>53</v>
      </c>
      <c r="G1092" s="69" t="s">
        <v>54</v>
      </c>
      <c r="H1092" s="70"/>
      <c r="I1092" s="70"/>
      <c r="J1092" s="71" t="s">
        <v>60</v>
      </c>
      <c r="K1092" s="65" t="s">
        <v>58</v>
      </c>
      <c r="L1092" s="70"/>
      <c r="M1092" s="65" t="s">
        <v>81</v>
      </c>
      <c r="N1092" s="70"/>
      <c r="O1092" s="70"/>
      <c r="P1092" s="70"/>
      <c r="Q1092" s="70"/>
      <c r="R1092" s="70"/>
    </row>
    <row r="1093" spans="1:19" x14ac:dyDescent="0.2">
      <c r="O1093" s="50"/>
    </row>
    <row r="1094" spans="1:19" s="652" customFormat="1" x14ac:dyDescent="0.2">
      <c r="A1094" s="649"/>
      <c r="B1094" s="658"/>
      <c r="C1094" s="646"/>
      <c r="D1094" s="646"/>
      <c r="E1094" s="646"/>
      <c r="F1094" s="650"/>
      <c r="G1094" s="659"/>
      <c r="J1094" s="1162"/>
      <c r="K1094" s="646"/>
      <c r="L1094" s="1162"/>
      <c r="P1094" s="649"/>
      <c r="Q1094" s="649"/>
      <c r="R1094" s="649"/>
      <c r="S1094" s="649"/>
    </row>
    <row r="1095" spans="1:19" s="652" customFormat="1" x14ac:dyDescent="0.2">
      <c r="A1095" s="649"/>
      <c r="B1095" s="658"/>
      <c r="C1095" s="646"/>
      <c r="D1095" s="646"/>
      <c r="E1095" s="646"/>
      <c r="F1095" s="650"/>
      <c r="G1095" s="659"/>
      <c r="J1095" s="1162"/>
      <c r="K1095" s="646"/>
      <c r="L1095" s="1162"/>
      <c r="P1095" s="649"/>
      <c r="Q1095" s="649"/>
      <c r="R1095" s="649"/>
      <c r="S1095" s="649"/>
    </row>
    <row r="1098" spans="1:19" s="652" customFormat="1" x14ac:dyDescent="0.2">
      <c r="A1098" s="649"/>
      <c r="B1098" s="658"/>
      <c r="C1098" s="646"/>
      <c r="D1098" s="646"/>
      <c r="E1098" s="646"/>
      <c r="F1098" s="650"/>
      <c r="G1098" s="650"/>
      <c r="H1098" s="573"/>
      <c r="I1098" s="720"/>
      <c r="J1098" s="1450"/>
      <c r="K1098" s="564"/>
      <c r="L1098" s="1075"/>
      <c r="N1098" s="573"/>
      <c r="R1098" s="649"/>
      <c r="S1098" s="649"/>
    </row>
    <row r="1099" spans="1:19" s="652" customFormat="1" x14ac:dyDescent="0.2">
      <c r="A1099" s="649"/>
      <c r="B1099" s="658"/>
      <c r="C1099" s="646"/>
      <c r="D1099" s="646"/>
      <c r="E1099" s="646"/>
      <c r="F1099" s="650"/>
      <c r="G1099" s="650"/>
      <c r="H1099" s="573"/>
      <c r="I1099" s="720"/>
      <c r="J1099" s="1450"/>
      <c r="K1099" s="564"/>
      <c r="L1099" s="1075"/>
      <c r="N1099" s="573"/>
      <c r="R1099" s="649"/>
      <c r="S1099" s="649"/>
    </row>
    <row r="1100" spans="1:19" s="652" customFormat="1" x14ac:dyDescent="0.2">
      <c r="A1100" s="649"/>
      <c r="B1100" s="658"/>
      <c r="C1100" s="646"/>
      <c r="D1100" s="646"/>
      <c r="E1100" s="646"/>
      <c r="F1100" s="650"/>
      <c r="G1100" s="650"/>
      <c r="H1100" s="573"/>
      <c r="I1100" s="720"/>
      <c r="J1100" s="1450"/>
      <c r="K1100" s="564"/>
      <c r="L1100" s="1075"/>
      <c r="N1100" s="573"/>
      <c r="R1100" s="649"/>
      <c r="S1100" s="649"/>
    </row>
    <row r="1109" spans="1:19" x14ac:dyDescent="0.2">
      <c r="A1109" s="94">
        <v>42572</v>
      </c>
      <c r="B1109" s="934">
        <v>993</v>
      </c>
      <c r="C1109" s="637" t="s">
        <v>341</v>
      </c>
      <c r="F1109" s="600">
        <v>11692.4</v>
      </c>
      <c r="G1109" s="601">
        <f>+F1109*2.47</f>
        <v>28880.228000000003</v>
      </c>
      <c r="H1109" s="483" t="s">
        <v>113</v>
      </c>
      <c r="J1109" s="94">
        <v>42550</v>
      </c>
      <c r="K1109" s="1510" t="s">
        <v>500</v>
      </c>
      <c r="L1109" s="94">
        <v>42611</v>
      </c>
      <c r="S1109" s="94">
        <v>42611</v>
      </c>
    </row>
    <row r="1110" spans="1:19" x14ac:dyDescent="0.2">
      <c r="A1110" s="94">
        <v>42527</v>
      </c>
      <c r="C1110" s="637" t="s">
        <v>846</v>
      </c>
      <c r="F1110" s="600">
        <v>9101.64</v>
      </c>
      <c r="G1110" s="601">
        <f>+F1110*2.35</f>
        <v>21388.853999999999</v>
      </c>
      <c r="H1110" s="483" t="s">
        <v>113</v>
      </c>
      <c r="K1110" s="568" t="s">
        <v>250</v>
      </c>
    </row>
    <row r="1111" spans="1:19" s="652" customFormat="1" x14ac:dyDescent="0.2">
      <c r="A1111" s="649"/>
      <c r="B1111" s="657"/>
      <c r="C1111" s="658"/>
      <c r="D1111" s="646"/>
      <c r="E1111" s="646"/>
      <c r="F1111" s="650"/>
      <c r="G1111" s="659"/>
      <c r="H1111" s="573"/>
      <c r="I1111" s="720"/>
      <c r="J1111" s="564"/>
      <c r="K1111" s="564"/>
      <c r="L1111" s="1075"/>
      <c r="N1111" s="573"/>
      <c r="R1111" s="649"/>
      <c r="S1111" s="649"/>
    </row>
    <row r="1112" spans="1:19" s="652" customFormat="1" x14ac:dyDescent="0.2">
      <c r="A1112" s="649"/>
      <c r="B1112" s="657"/>
      <c r="C1112" s="658"/>
      <c r="D1112" s="646"/>
      <c r="E1112" s="646"/>
      <c r="F1112" s="650"/>
      <c r="G1112" s="659"/>
      <c r="H1112" s="573"/>
      <c r="I1112" s="720"/>
      <c r="J1112" s="564"/>
      <c r="K1112" s="564"/>
      <c r="L1112" s="1075"/>
      <c r="N1112" s="573"/>
      <c r="R1112" s="649"/>
      <c r="S1112" s="649"/>
    </row>
    <row r="1113" spans="1:19" s="652" customFormat="1" x14ac:dyDescent="0.2">
      <c r="A1113" s="649"/>
      <c r="B1113" s="657"/>
      <c r="C1113" s="658"/>
      <c r="D1113" s="646"/>
      <c r="E1113" s="646"/>
      <c r="F1113" s="650"/>
      <c r="G1113" s="659"/>
      <c r="H1113" s="573"/>
      <c r="I1113" s="720"/>
      <c r="J1113" s="564"/>
      <c r="K1113" s="564"/>
      <c r="L1113" s="1075"/>
      <c r="N1113" s="573"/>
      <c r="R1113" s="649"/>
      <c r="S1113" s="649"/>
    </row>
    <row r="1114" spans="1:19" s="652" customFormat="1" x14ac:dyDescent="0.2">
      <c r="A1114" s="649"/>
      <c r="B1114" s="658"/>
      <c r="C1114" s="646"/>
      <c r="D1114" s="646"/>
      <c r="E1114" s="646"/>
      <c r="F1114" s="650"/>
      <c r="G1114" s="650"/>
      <c r="H1114" s="573"/>
      <c r="I1114" s="720"/>
      <c r="J1114" s="1450"/>
      <c r="K1114" s="564"/>
      <c r="L1114" s="1075"/>
      <c r="N1114" s="573"/>
      <c r="R1114" s="649"/>
      <c r="S1114" s="649"/>
    </row>
    <row r="1115" spans="1:19" x14ac:dyDescent="0.2">
      <c r="A1115" s="569">
        <v>42567</v>
      </c>
      <c r="B1115" s="934">
        <v>992</v>
      </c>
      <c r="C1115" s="637" t="s">
        <v>171</v>
      </c>
      <c r="F1115" s="600">
        <v>21845.3</v>
      </c>
      <c r="G1115" s="601">
        <f>+F1115*2.45</f>
        <v>53520.985000000001</v>
      </c>
      <c r="H1115" s="483" t="s">
        <v>70</v>
      </c>
      <c r="J1115" s="94">
        <v>42558</v>
      </c>
      <c r="K1115" s="568" t="s">
        <v>500</v>
      </c>
      <c r="L1115" s="94">
        <v>42620</v>
      </c>
      <c r="S1115" s="94">
        <v>42614</v>
      </c>
    </row>
    <row r="1116" spans="1:19" s="603" customFormat="1" x14ac:dyDescent="0.2">
      <c r="A1116" s="607">
        <v>42553</v>
      </c>
      <c r="B1116" s="773" t="s">
        <v>1475</v>
      </c>
      <c r="C1116" s="637" t="s">
        <v>187</v>
      </c>
      <c r="D1116" s="612"/>
      <c r="E1116" s="612"/>
      <c r="F1116" s="600">
        <v>12033.67</v>
      </c>
      <c r="G1116" s="601">
        <f>+F1116*2.47</f>
        <v>29723.164900000003</v>
      </c>
      <c r="H1116" s="485" t="s">
        <v>330</v>
      </c>
      <c r="I1116" s="599"/>
      <c r="J1116" s="639">
        <v>42523</v>
      </c>
      <c r="K1116" s="597" t="s">
        <v>384</v>
      </c>
      <c r="L1116" s="1018">
        <v>42615</v>
      </c>
      <c r="N1116" s="606"/>
      <c r="S1116" s="578">
        <v>42615</v>
      </c>
    </row>
    <row r="1117" spans="1:19" s="483" customFormat="1" x14ac:dyDescent="0.2">
      <c r="A1117" s="569">
        <v>42572</v>
      </c>
      <c r="B1117" s="568">
        <v>994</v>
      </c>
      <c r="C1117" s="637" t="s">
        <v>280</v>
      </c>
      <c r="F1117" s="600">
        <v>7533.08</v>
      </c>
      <c r="G1117" s="601">
        <f>+F1117*2.47</f>
        <v>18606.707600000002</v>
      </c>
      <c r="H1117" s="483" t="s">
        <v>70</v>
      </c>
      <c r="J1117" s="569">
        <v>42556</v>
      </c>
      <c r="K1117" s="1510" t="s">
        <v>500</v>
      </c>
      <c r="L1117" s="569">
        <v>42618</v>
      </c>
      <c r="S1117" s="569">
        <v>42618</v>
      </c>
    </row>
    <row r="1118" spans="1:19" x14ac:dyDescent="0.2">
      <c r="A1118" s="94">
        <v>42574</v>
      </c>
      <c r="B1118" s="934">
        <v>999</v>
      </c>
      <c r="C1118" s="637" t="s">
        <v>223</v>
      </c>
      <c r="F1118" s="600">
        <v>15344.3</v>
      </c>
      <c r="G1118" s="601">
        <f>+F1118*2.47</f>
        <v>37900.421000000002</v>
      </c>
      <c r="H1118" s="483" t="s">
        <v>330</v>
      </c>
      <c r="J1118" s="94">
        <v>42558</v>
      </c>
      <c r="K1118" s="568" t="s">
        <v>500</v>
      </c>
      <c r="L1118" s="94">
        <v>42620</v>
      </c>
      <c r="S1118" s="94">
        <v>42620</v>
      </c>
    </row>
    <row r="1119" spans="1:19" s="652" customFormat="1" x14ac:dyDescent="0.2">
      <c r="A1119" s="649">
        <v>42343</v>
      </c>
      <c r="B1119" s="657">
        <v>920</v>
      </c>
      <c r="C1119" s="658" t="s">
        <v>145</v>
      </c>
      <c r="D1119" s="646">
        <v>28</v>
      </c>
      <c r="E1119" s="646"/>
      <c r="F1119" s="650">
        <v>19275.72</v>
      </c>
      <c r="G1119" s="659">
        <f>+F1119*2.2</f>
        <v>42406.584000000003</v>
      </c>
      <c r="H1119" s="1460" t="s">
        <v>330</v>
      </c>
      <c r="I1119" s="720"/>
      <c r="J1119" s="1075">
        <v>42327</v>
      </c>
      <c r="K1119" s="646" t="s">
        <v>384</v>
      </c>
      <c r="L1119" s="1075">
        <v>42419</v>
      </c>
      <c r="N1119" s="573"/>
      <c r="R1119" s="649">
        <v>42534</v>
      </c>
      <c r="S1119" s="649">
        <v>42626</v>
      </c>
    </row>
    <row r="1120" spans="1:19" s="652" customFormat="1" x14ac:dyDescent="0.2">
      <c r="A1120" s="649">
        <v>42458</v>
      </c>
      <c r="B1120" s="657">
        <v>955</v>
      </c>
      <c r="C1120" s="658" t="s">
        <v>69</v>
      </c>
      <c r="D1120" s="646"/>
      <c r="E1120" s="646"/>
      <c r="F1120" s="650">
        <v>11250.22</v>
      </c>
      <c r="G1120" s="659">
        <f>+F1120*2.25</f>
        <v>25312.994999999999</v>
      </c>
      <c r="H1120" s="573" t="s">
        <v>330</v>
      </c>
      <c r="I1120" s="573"/>
      <c r="J1120" s="651">
        <v>42443</v>
      </c>
      <c r="K1120" s="646" t="s">
        <v>384</v>
      </c>
      <c r="L1120" s="651">
        <v>42535</v>
      </c>
      <c r="N1120" s="573"/>
      <c r="R1120" s="649">
        <v>42535</v>
      </c>
      <c r="S1120" s="649">
        <v>42627</v>
      </c>
    </row>
    <row r="1121" spans="1:20" s="652" customFormat="1" x14ac:dyDescent="0.2">
      <c r="A1121" s="649">
        <v>42361</v>
      </c>
      <c r="B1121" s="658">
        <v>928</v>
      </c>
      <c r="C1121" s="646" t="s">
        <v>324</v>
      </c>
      <c r="D1121" s="646"/>
      <c r="E1121" s="646">
        <v>5</v>
      </c>
      <c r="F1121" s="650">
        <v>21057</v>
      </c>
      <c r="G1121" s="650">
        <f>+F1121*1.95</f>
        <v>41061.15</v>
      </c>
      <c r="H1121" s="573" t="s">
        <v>72</v>
      </c>
      <c r="I1121" s="720"/>
      <c r="J1121" s="1450"/>
      <c r="K1121" s="564" t="s">
        <v>250</v>
      </c>
      <c r="L1121" s="1075">
        <v>42436</v>
      </c>
      <c r="N1121" s="573"/>
      <c r="R1121" s="649">
        <v>42535</v>
      </c>
      <c r="S1121" s="649">
        <v>42627</v>
      </c>
      <c r="T1121" s="652" t="s">
        <v>1203</v>
      </c>
    </row>
    <row r="1122" spans="1:20" s="483" customFormat="1" x14ac:dyDescent="0.2">
      <c r="A1122" s="569">
        <v>42574</v>
      </c>
      <c r="B1122" s="568">
        <v>990</v>
      </c>
      <c r="C1122" s="637" t="s">
        <v>319</v>
      </c>
      <c r="F1122" s="600">
        <v>14135.03</v>
      </c>
      <c r="G1122" s="601">
        <f>+F1122*2.47</f>
        <v>34913.524100000002</v>
      </c>
      <c r="H1122" s="483" t="s">
        <v>72</v>
      </c>
      <c r="J1122" s="569">
        <v>42509</v>
      </c>
      <c r="K1122" s="597" t="s">
        <v>384</v>
      </c>
      <c r="L1122" s="569">
        <v>42601</v>
      </c>
      <c r="S1122" s="569">
        <v>42632</v>
      </c>
    </row>
    <row r="1123" spans="1:20" x14ac:dyDescent="0.2">
      <c r="A1123" s="94">
        <v>42555</v>
      </c>
      <c r="B1123" s="934">
        <v>989</v>
      </c>
      <c r="C1123" s="637" t="s">
        <v>713</v>
      </c>
      <c r="F1123" s="600">
        <v>9858.1</v>
      </c>
      <c r="G1123" s="601">
        <f>+F1123*2.43</f>
        <v>23955.183000000001</v>
      </c>
      <c r="H1123" s="483" t="s">
        <v>895</v>
      </c>
      <c r="J1123" s="793">
        <v>42544</v>
      </c>
      <c r="K1123" s="1510" t="s">
        <v>384</v>
      </c>
      <c r="L1123" s="793">
        <v>42636</v>
      </c>
      <c r="S1123" s="94">
        <v>42636</v>
      </c>
    </row>
    <row r="1124" spans="1:20" s="563" customFormat="1" x14ac:dyDescent="0.2">
      <c r="A1124" s="562"/>
      <c r="B1124" s="648"/>
      <c r="C1124" s="658"/>
      <c r="F1124" s="650"/>
      <c r="G1124" s="659"/>
      <c r="J1124" s="1613"/>
      <c r="K1124" s="646"/>
      <c r="L1124" s="1613"/>
      <c r="S1124" s="562"/>
    </row>
    <row r="1125" spans="1:20" s="563" customFormat="1" x14ac:dyDescent="0.2">
      <c r="A1125" s="562"/>
      <c r="B1125" s="648"/>
      <c r="C1125" s="658"/>
      <c r="F1125" s="650"/>
      <c r="G1125" s="659"/>
      <c r="J1125" s="1613"/>
      <c r="K1125" s="646"/>
      <c r="L1125" s="1613"/>
      <c r="S1125" s="562"/>
    </row>
    <row r="1126" spans="1:20" s="563" customFormat="1" x14ac:dyDescent="0.2">
      <c r="A1126" s="562"/>
      <c r="C1126" s="658"/>
      <c r="F1126" s="650"/>
      <c r="G1126" s="659"/>
      <c r="K1126" s="1589"/>
      <c r="S1126" s="562"/>
    </row>
    <row r="1127" spans="1:20" s="563" customFormat="1" x14ac:dyDescent="0.2">
      <c r="A1127" s="562"/>
      <c r="C1127" s="658"/>
      <c r="F1127" s="650"/>
      <c r="G1127" s="659"/>
      <c r="K1127" s="1589"/>
      <c r="S1127" s="562"/>
    </row>
    <row r="1129" spans="1:20" s="652" customFormat="1" x14ac:dyDescent="0.2">
      <c r="A1129" s="649">
        <v>42472</v>
      </c>
      <c r="B1129" s="657">
        <v>963</v>
      </c>
      <c r="C1129" s="658" t="s">
        <v>712</v>
      </c>
      <c r="D1129" s="646"/>
      <c r="E1129" s="646"/>
      <c r="F1129" s="650">
        <v>28223.85</v>
      </c>
      <c r="G1129" s="659">
        <f>+F1129*2.2</f>
        <v>62092.47</v>
      </c>
      <c r="H1129" s="573" t="s">
        <v>330</v>
      </c>
      <c r="I1129" s="573"/>
      <c r="J1129" s="573"/>
      <c r="K1129" s="646" t="s">
        <v>250</v>
      </c>
      <c r="L1129" s="651">
        <v>42557</v>
      </c>
      <c r="N1129" s="573"/>
      <c r="S1129" s="649">
        <v>42649</v>
      </c>
    </row>
    <row r="1130" spans="1:20" s="603" customFormat="1" x14ac:dyDescent="0.2">
      <c r="A1130" s="607">
        <v>42524</v>
      </c>
      <c r="B1130" s="773" t="s">
        <v>1474</v>
      </c>
      <c r="C1130" s="637" t="s">
        <v>1165</v>
      </c>
      <c r="D1130" s="612"/>
      <c r="E1130" s="612"/>
      <c r="F1130" s="600">
        <v>9942.66</v>
      </c>
      <c r="G1130" s="601">
        <f>+F1130*2.45</f>
        <v>24359.517</v>
      </c>
      <c r="H1130" s="485" t="s">
        <v>330</v>
      </c>
      <c r="I1130" s="599"/>
      <c r="J1130" s="639">
        <v>42558</v>
      </c>
      <c r="K1130" s="597" t="s">
        <v>384</v>
      </c>
      <c r="L1130" s="639">
        <v>42650</v>
      </c>
      <c r="N1130" s="606"/>
      <c r="S1130" s="578">
        <v>42650</v>
      </c>
    </row>
    <row r="1131" spans="1:20" s="652" customFormat="1" x14ac:dyDescent="0.2">
      <c r="A1131" s="649">
        <v>42296</v>
      </c>
      <c r="B1131" s="775" t="s">
        <v>1300</v>
      </c>
      <c r="C1131" s="646" t="s">
        <v>848</v>
      </c>
      <c r="D1131" s="646"/>
      <c r="E1131" s="646">
        <v>38</v>
      </c>
      <c r="F1131" s="650">
        <v>115210.76</v>
      </c>
      <c r="G1131" s="650">
        <f>F1131*2.208/3</f>
        <v>84795.119359999997</v>
      </c>
      <c r="H1131" s="573" t="s">
        <v>113</v>
      </c>
      <c r="I1131" s="720"/>
      <c r="J1131" s="1450"/>
      <c r="K1131" s="564" t="s">
        <v>250</v>
      </c>
      <c r="L1131" s="1075">
        <v>42374</v>
      </c>
      <c r="N1131" s="573"/>
      <c r="R1131" s="649">
        <v>42562</v>
      </c>
      <c r="S1131" s="649">
        <v>42650</v>
      </c>
    </row>
    <row r="1132" spans="1:20" s="563" customFormat="1" x14ac:dyDescent="0.2">
      <c r="A1132" s="562">
        <v>42530</v>
      </c>
      <c r="B1132" s="648">
        <v>980</v>
      </c>
      <c r="C1132" s="658" t="s">
        <v>352</v>
      </c>
      <c r="F1132" s="650">
        <v>11280</v>
      </c>
      <c r="G1132" s="659">
        <f>+F1132*2.43</f>
        <v>27410.400000000001</v>
      </c>
      <c r="H1132" s="573" t="s">
        <v>70</v>
      </c>
      <c r="J1132" s="562">
        <v>42500</v>
      </c>
      <c r="K1132" s="646" t="s">
        <v>500</v>
      </c>
      <c r="L1132" s="562">
        <v>42561</v>
      </c>
      <c r="R1132" s="562">
        <v>42561</v>
      </c>
      <c r="S1132" s="562">
        <v>42653</v>
      </c>
    </row>
    <row r="1133" spans="1:20" x14ac:dyDescent="0.2">
      <c r="A1133" s="94">
        <v>42571</v>
      </c>
      <c r="B1133" s="934">
        <v>1000</v>
      </c>
      <c r="C1133" s="637" t="s">
        <v>172</v>
      </c>
      <c r="F1133" s="600">
        <v>9062.6</v>
      </c>
      <c r="G1133" s="601">
        <f>+F1133*2.47</f>
        <v>22384.622000000003</v>
      </c>
      <c r="H1133" s="483" t="s">
        <v>70</v>
      </c>
      <c r="J1133" s="94">
        <v>42562</v>
      </c>
      <c r="K1133" s="1510" t="s">
        <v>384</v>
      </c>
      <c r="L1133" s="94">
        <v>42654</v>
      </c>
      <c r="S1133" s="94">
        <v>42654</v>
      </c>
    </row>
    <row r="1134" spans="1:20" s="563" customFormat="1" x14ac:dyDescent="0.2">
      <c r="A1134" s="649">
        <v>42518</v>
      </c>
      <c r="B1134" s="657">
        <v>979</v>
      </c>
      <c r="C1134" s="658" t="s">
        <v>198</v>
      </c>
      <c r="F1134" s="650">
        <v>6300</v>
      </c>
      <c r="G1134" s="659">
        <f>+F1134*2.4</f>
        <v>15120</v>
      </c>
      <c r="H1134" s="573" t="s">
        <v>330</v>
      </c>
      <c r="J1134" s="1613">
        <v>42496</v>
      </c>
      <c r="K1134" s="646" t="s">
        <v>500</v>
      </c>
      <c r="L1134" s="562">
        <v>42557</v>
      </c>
      <c r="R1134" s="562">
        <v>42557</v>
      </c>
      <c r="S1134" s="562">
        <v>42660</v>
      </c>
    </row>
    <row r="1135" spans="1:20" s="563" customFormat="1" x14ac:dyDescent="0.2">
      <c r="A1135" s="562">
        <v>42476</v>
      </c>
      <c r="B1135" s="648">
        <v>964</v>
      </c>
      <c r="C1135" s="658" t="s">
        <v>49</v>
      </c>
      <c r="F1135" s="650">
        <v>14206.08</v>
      </c>
      <c r="G1135" s="659">
        <f>+F1135*2.25</f>
        <v>31963.68</v>
      </c>
      <c r="H1135" s="563" t="s">
        <v>113</v>
      </c>
      <c r="J1135" s="1613">
        <v>42463</v>
      </c>
      <c r="K1135" s="646" t="s">
        <v>700</v>
      </c>
      <c r="L1135" s="1623">
        <v>42643</v>
      </c>
      <c r="S1135" s="562">
        <v>42660</v>
      </c>
    </row>
    <row r="1136" spans="1:20" s="652" customFormat="1" x14ac:dyDescent="0.2">
      <c r="A1136" s="649">
        <v>42397</v>
      </c>
      <c r="B1136" s="775">
        <v>935</v>
      </c>
      <c r="C1136" s="658" t="s">
        <v>166</v>
      </c>
      <c r="D1136" s="646"/>
      <c r="E1136" s="646"/>
      <c r="F1136" s="650">
        <v>51220.800000000003</v>
      </c>
      <c r="G1136" s="659">
        <f>+F1136*2.22</f>
        <v>113710.17600000002</v>
      </c>
      <c r="H1136" s="573" t="s">
        <v>330</v>
      </c>
      <c r="I1136" s="720"/>
      <c r="J1136" s="1450"/>
      <c r="K1136" s="564" t="s">
        <v>250</v>
      </c>
      <c r="L1136" s="855">
        <v>42397</v>
      </c>
      <c r="N1136" s="573"/>
      <c r="R1136" s="649">
        <v>42578</v>
      </c>
      <c r="S1136" s="649">
        <v>42668</v>
      </c>
    </row>
    <row r="1137" spans="1:20" s="563" customFormat="1" x14ac:dyDescent="0.2">
      <c r="A1137" s="562">
        <v>42495</v>
      </c>
      <c r="C1137" s="658" t="s">
        <v>848</v>
      </c>
      <c r="F1137" s="650">
        <v>57198.65</v>
      </c>
      <c r="G1137" s="659">
        <f>+F1137*2.25</f>
        <v>128696.96250000001</v>
      </c>
      <c r="H1137" s="563" t="s">
        <v>70</v>
      </c>
      <c r="K1137" s="1589" t="s">
        <v>250</v>
      </c>
      <c r="S1137" s="562">
        <v>42669</v>
      </c>
    </row>
    <row r="1139" spans="1:20" s="652" customFormat="1" x14ac:dyDescent="0.2">
      <c r="A1139" s="649"/>
      <c r="B1139" s="775"/>
      <c r="C1139" s="658"/>
      <c r="D1139" s="646"/>
      <c r="E1139" s="646"/>
      <c r="F1139" s="650"/>
      <c r="G1139" s="659"/>
      <c r="H1139" s="573"/>
      <c r="I1139" s="720"/>
      <c r="J1139" s="1450"/>
      <c r="K1139" s="564"/>
      <c r="L1139" s="855"/>
      <c r="N1139" s="573"/>
      <c r="R1139" s="649"/>
      <c r="S1139" s="649"/>
    </row>
    <row r="1140" spans="1:20" s="652" customFormat="1" x14ac:dyDescent="0.2">
      <c r="A1140" s="649"/>
      <c r="B1140" s="775"/>
      <c r="C1140" s="658"/>
      <c r="D1140" s="646"/>
      <c r="E1140" s="646"/>
      <c r="F1140" s="650"/>
      <c r="G1140" s="659"/>
      <c r="H1140" s="573"/>
      <c r="I1140" s="720"/>
      <c r="J1140" s="1450"/>
      <c r="K1140" s="564"/>
      <c r="L1140" s="855"/>
      <c r="N1140" s="573"/>
      <c r="R1140" s="649"/>
      <c r="S1140" s="649"/>
    </row>
    <row r="1141" spans="1:20" s="652" customFormat="1" x14ac:dyDescent="0.2">
      <c r="A1141" s="649"/>
      <c r="B1141" s="775"/>
      <c r="C1141" s="658"/>
      <c r="D1141" s="646"/>
      <c r="E1141" s="646"/>
      <c r="F1141" s="650"/>
      <c r="G1141" s="659"/>
      <c r="H1141" s="573"/>
      <c r="I1141" s="720"/>
      <c r="J1141" s="1450"/>
      <c r="K1141" s="564"/>
      <c r="L1141" s="855"/>
      <c r="N1141" s="573"/>
      <c r="R1141" s="649"/>
      <c r="S1141" s="649"/>
    </row>
    <row r="1142" spans="1:20" s="652" customFormat="1" x14ac:dyDescent="0.2">
      <c r="A1142" s="649"/>
      <c r="B1142" s="775"/>
      <c r="C1142" s="658"/>
      <c r="D1142" s="646"/>
      <c r="E1142" s="646"/>
      <c r="F1142" s="650"/>
      <c r="G1142" s="659"/>
      <c r="H1142" s="573"/>
      <c r="I1142" s="720"/>
      <c r="J1142" s="1450"/>
      <c r="K1142" s="564"/>
      <c r="L1142" s="855"/>
      <c r="N1142" s="573"/>
      <c r="R1142" s="649"/>
      <c r="S1142" s="649"/>
    </row>
    <row r="1143" spans="1:20" s="652" customFormat="1" x14ac:dyDescent="0.2">
      <c r="A1143" s="649"/>
      <c r="B1143" s="775"/>
      <c r="C1143" s="658"/>
      <c r="D1143" s="646"/>
      <c r="E1143" s="646"/>
      <c r="F1143" s="650"/>
      <c r="G1143" s="659"/>
      <c r="H1143" s="573"/>
      <c r="I1143" s="720"/>
      <c r="J1143" s="1450"/>
      <c r="K1143" s="564"/>
      <c r="L1143" s="855"/>
      <c r="N1143" s="573"/>
      <c r="R1143" s="649"/>
      <c r="S1143" s="649"/>
    </row>
    <row r="1144" spans="1:20" s="652" customFormat="1" x14ac:dyDescent="0.2">
      <c r="A1144" s="649"/>
      <c r="B1144" s="775"/>
      <c r="C1144" s="658"/>
      <c r="D1144" s="646"/>
      <c r="E1144" s="646"/>
      <c r="F1144" s="650"/>
      <c r="G1144" s="659"/>
      <c r="H1144" s="573"/>
      <c r="I1144" s="720"/>
      <c r="J1144" s="1450"/>
      <c r="K1144" s="564"/>
      <c r="L1144" s="855"/>
      <c r="N1144" s="573"/>
      <c r="R1144" s="649"/>
      <c r="S1144" s="649"/>
    </row>
    <row r="1145" spans="1:20" s="652" customFormat="1" x14ac:dyDescent="0.2">
      <c r="A1145" s="649"/>
      <c r="B1145" s="775"/>
      <c r="C1145" s="658"/>
      <c r="D1145" s="646"/>
      <c r="E1145" s="646"/>
      <c r="F1145" s="650"/>
      <c r="G1145" s="659"/>
      <c r="H1145" s="573"/>
      <c r="I1145" s="720"/>
      <c r="J1145" s="1450"/>
      <c r="K1145" s="564"/>
      <c r="L1145" s="855"/>
      <c r="N1145" s="573"/>
      <c r="R1145" s="649"/>
      <c r="S1145" s="649"/>
    </row>
    <row r="1146" spans="1:20" s="652" customFormat="1" x14ac:dyDescent="0.2">
      <c r="A1146" s="649"/>
      <c r="B1146" s="775"/>
      <c r="C1146" s="658"/>
      <c r="D1146" s="646"/>
      <c r="E1146" s="646"/>
      <c r="F1146" s="650"/>
      <c r="G1146" s="659"/>
      <c r="H1146" s="573"/>
      <c r="I1146" s="720"/>
      <c r="J1146" s="1450"/>
      <c r="K1146" s="564"/>
      <c r="L1146" s="855"/>
      <c r="N1146" s="573"/>
      <c r="R1146" s="649"/>
      <c r="S1146" s="649"/>
    </row>
    <row r="1147" spans="1:20" s="652" customFormat="1" x14ac:dyDescent="0.2">
      <c r="A1147" s="649">
        <v>42404</v>
      </c>
      <c r="B1147" s="775">
        <v>940</v>
      </c>
      <c r="C1147" s="658" t="s">
        <v>166</v>
      </c>
      <c r="D1147" s="646"/>
      <c r="E1147" s="646"/>
      <c r="F1147" s="650">
        <v>54548.6</v>
      </c>
      <c r="G1147" s="659">
        <f>+F1147*2.22</f>
        <v>121097.89200000001</v>
      </c>
      <c r="H1147" s="573" t="s">
        <v>113</v>
      </c>
      <c r="I1147" s="720"/>
      <c r="J1147" s="1450"/>
      <c r="K1147" s="564" t="s">
        <v>250</v>
      </c>
      <c r="L1147" s="855"/>
      <c r="N1147" s="573"/>
      <c r="R1147" s="649">
        <v>42583</v>
      </c>
      <c r="S1147" s="649">
        <v>42675</v>
      </c>
    </row>
    <row r="1148" spans="1:20" s="563" customFormat="1" x14ac:dyDescent="0.2">
      <c r="A1148" s="562">
        <v>42471</v>
      </c>
      <c r="B1148" s="648">
        <v>962</v>
      </c>
      <c r="C1148" s="658" t="s">
        <v>338</v>
      </c>
      <c r="F1148" s="650">
        <v>18349.830000000002</v>
      </c>
      <c r="G1148" s="659">
        <f>+F1148*2.26</f>
        <v>41470.6158</v>
      </c>
      <c r="H1148" s="563" t="s">
        <v>330</v>
      </c>
      <c r="K1148" s="648" t="s">
        <v>1305</v>
      </c>
      <c r="R1148" s="562">
        <v>42590</v>
      </c>
      <c r="S1148" s="562">
        <v>42682</v>
      </c>
    </row>
    <row r="1149" spans="1:20" s="652" customFormat="1" x14ac:dyDescent="0.2">
      <c r="A1149" s="649">
        <v>42376</v>
      </c>
      <c r="B1149" s="657">
        <v>931</v>
      </c>
      <c r="C1149" s="658" t="s">
        <v>192</v>
      </c>
      <c r="D1149" s="646"/>
      <c r="E1149" s="646"/>
      <c r="F1149" s="650">
        <v>11807.62</v>
      </c>
      <c r="G1149" s="659">
        <f>+F1149*2.2</f>
        <v>25976.764000000003</v>
      </c>
      <c r="H1149" s="573" t="s">
        <v>70</v>
      </c>
      <c r="I1149" s="720"/>
      <c r="J1149" s="1450"/>
      <c r="K1149" s="564" t="s">
        <v>250</v>
      </c>
      <c r="L1149" s="855">
        <v>42499</v>
      </c>
      <c r="N1149" s="573"/>
      <c r="R1149" s="649">
        <v>42591</v>
      </c>
      <c r="S1149" s="649">
        <v>42683</v>
      </c>
    </row>
    <row r="1150" spans="1:20" s="563" customFormat="1" x14ac:dyDescent="0.2">
      <c r="A1150" s="562">
        <v>42495</v>
      </c>
      <c r="C1150" s="658" t="s">
        <v>848</v>
      </c>
      <c r="F1150" s="650">
        <v>98055.4</v>
      </c>
      <c r="G1150" s="659">
        <f>+F1150*2.46</f>
        <v>241216.28399999999</v>
      </c>
      <c r="H1150" s="563" t="s">
        <v>895</v>
      </c>
      <c r="K1150" s="1589" t="s">
        <v>250</v>
      </c>
      <c r="L1150" s="562">
        <v>42694</v>
      </c>
      <c r="S1150" s="562">
        <v>42694</v>
      </c>
    </row>
    <row r="1151" spans="1:20" s="652" customFormat="1" x14ac:dyDescent="0.2">
      <c r="A1151" s="649">
        <v>42293</v>
      </c>
      <c r="B1151" s="657">
        <v>908</v>
      </c>
      <c r="C1151" s="658" t="s">
        <v>192</v>
      </c>
      <c r="D1151" s="646"/>
      <c r="E1151" s="646">
        <v>27</v>
      </c>
      <c r="F1151" s="650">
        <v>16756.48</v>
      </c>
      <c r="G1151" s="659">
        <f>F1151*2.2</f>
        <v>36864.256000000001</v>
      </c>
      <c r="H1151" s="573" t="s">
        <v>70</v>
      </c>
      <c r="I1151" s="720"/>
      <c r="J1151" s="564"/>
      <c r="K1151" s="564" t="s">
        <v>250</v>
      </c>
      <c r="L1151" s="1075">
        <v>42308</v>
      </c>
      <c r="N1151" s="573"/>
      <c r="R1151" s="649">
        <v>42513</v>
      </c>
      <c r="S1151" s="649">
        <v>42697</v>
      </c>
    </row>
    <row r="1152" spans="1:20" s="652" customFormat="1" x14ac:dyDescent="0.2">
      <c r="A1152" s="649">
        <v>42538</v>
      </c>
      <c r="B1152" s="657">
        <v>986</v>
      </c>
      <c r="C1152" s="658" t="s">
        <v>235</v>
      </c>
      <c r="D1152" s="646"/>
      <c r="E1152" s="646"/>
      <c r="F1152" s="650">
        <v>29024</v>
      </c>
      <c r="G1152" s="659">
        <f>+F1152*2</f>
        <v>58048</v>
      </c>
      <c r="H1152" s="573" t="s">
        <v>330</v>
      </c>
      <c r="I1152" s="720"/>
      <c r="J1152" s="720"/>
      <c r="K1152" s="646" t="s">
        <v>1224</v>
      </c>
      <c r="L1152" s="1450"/>
      <c r="N1152" s="573"/>
      <c r="R1152" s="649">
        <v>42612</v>
      </c>
      <c r="S1152" s="1162">
        <v>42704</v>
      </c>
      <c r="T1152" s="649"/>
    </row>
    <row r="1153" spans="1:29" s="652" customFormat="1" x14ac:dyDescent="0.2">
      <c r="A1153" s="649"/>
      <c r="B1153" s="775"/>
      <c r="C1153" s="658"/>
      <c r="D1153" s="646"/>
      <c r="E1153" s="646"/>
      <c r="F1153" s="650"/>
      <c r="G1153" s="659"/>
      <c r="H1153" s="573"/>
      <c r="I1153" s="720"/>
      <c r="J1153" s="1450"/>
      <c r="K1153" s="564"/>
      <c r="L1153" s="855"/>
      <c r="N1153" s="573"/>
      <c r="R1153" s="649"/>
      <c r="S1153" s="649"/>
    </row>
    <row r="1154" spans="1:29" s="652" customFormat="1" x14ac:dyDescent="0.2">
      <c r="A1154" s="649"/>
      <c r="B1154" s="775"/>
      <c r="C1154" s="658"/>
      <c r="D1154" s="646"/>
      <c r="E1154" s="646"/>
      <c r="F1154" s="650"/>
      <c r="G1154" s="659"/>
      <c r="H1154" s="573"/>
      <c r="I1154" s="720"/>
      <c r="J1154" s="1450"/>
      <c r="K1154" s="564"/>
      <c r="L1154" s="855"/>
      <c r="N1154" s="573"/>
      <c r="R1154" s="649"/>
      <c r="S1154" s="649"/>
    </row>
    <row r="1155" spans="1:29" s="652" customFormat="1" x14ac:dyDescent="0.2">
      <c r="A1155" s="649"/>
      <c r="B1155" s="775"/>
      <c r="C1155" s="658"/>
      <c r="D1155" s="646"/>
      <c r="E1155" s="646"/>
      <c r="F1155" s="650"/>
      <c r="G1155" s="659"/>
      <c r="H1155" s="573"/>
      <c r="I1155" s="720"/>
      <c r="J1155" s="1450"/>
      <c r="K1155" s="564"/>
      <c r="L1155" s="855"/>
      <c r="N1155" s="573"/>
      <c r="R1155" s="649"/>
      <c r="S1155" s="649"/>
    </row>
    <row r="1156" spans="1:29" s="652" customFormat="1" x14ac:dyDescent="0.2">
      <c r="A1156" s="649"/>
      <c r="B1156" s="775"/>
      <c r="C1156" s="658"/>
      <c r="D1156" s="646"/>
      <c r="E1156" s="646"/>
      <c r="F1156" s="650"/>
      <c r="G1156" s="659"/>
      <c r="H1156" s="573"/>
      <c r="I1156" s="720"/>
      <c r="J1156" s="1450"/>
      <c r="K1156" s="564"/>
      <c r="L1156" s="855"/>
      <c r="N1156" s="573"/>
      <c r="R1156" s="649"/>
      <c r="S1156" s="649"/>
    </row>
    <row r="1157" spans="1:29" s="563" customFormat="1" x14ac:dyDescent="0.2">
      <c r="A1157" s="562">
        <v>42445</v>
      </c>
      <c r="B1157" s="648">
        <v>952</v>
      </c>
      <c r="C1157" s="658" t="s">
        <v>142</v>
      </c>
      <c r="F1157" s="650">
        <v>19437.75</v>
      </c>
      <c r="G1157" s="659">
        <f>+F1157*2.22</f>
        <v>43151.805</v>
      </c>
      <c r="H1157" s="563" t="s">
        <v>330</v>
      </c>
      <c r="J1157" s="562">
        <v>42434</v>
      </c>
      <c r="K1157" s="648" t="s">
        <v>384</v>
      </c>
      <c r="L1157" s="562">
        <v>42526</v>
      </c>
      <c r="R1157" s="562">
        <v>42618</v>
      </c>
      <c r="S1157" s="562">
        <v>42709</v>
      </c>
    </row>
    <row r="1158" spans="1:29" s="652" customFormat="1" x14ac:dyDescent="0.2">
      <c r="A1158" s="649"/>
      <c r="B1158" s="775"/>
      <c r="C1158" s="658"/>
      <c r="D1158" s="646"/>
      <c r="E1158" s="646"/>
      <c r="F1158" s="650"/>
      <c r="G1158" s="659"/>
      <c r="H1158" s="573"/>
      <c r="I1158" s="720"/>
      <c r="J1158" s="1450"/>
      <c r="K1158" s="564"/>
      <c r="L1158" s="855"/>
      <c r="N1158" s="573"/>
      <c r="R1158" s="649"/>
      <c r="S1158" s="649"/>
    </row>
    <row r="1159" spans="1:29" s="652" customFormat="1" x14ac:dyDescent="0.2">
      <c r="A1159" s="649"/>
      <c r="B1159" s="657"/>
      <c r="C1159" s="658"/>
      <c r="D1159" s="646"/>
      <c r="E1159" s="646"/>
      <c r="F1159" s="650"/>
      <c r="G1159" s="659"/>
      <c r="H1159" s="573"/>
      <c r="I1159" s="720"/>
      <c r="J1159" s="1450"/>
      <c r="K1159" s="564"/>
      <c r="L1159" s="855"/>
      <c r="M1159" s="649"/>
      <c r="N1159" s="573"/>
      <c r="O1159" s="649"/>
      <c r="R1159" s="649"/>
      <c r="S1159" s="649"/>
      <c r="T1159" s="649"/>
    </row>
    <row r="1160" spans="1:29" x14ac:dyDescent="0.2">
      <c r="A1160" s="94"/>
      <c r="B1160" s="93"/>
      <c r="C1160" s="96" t="s">
        <v>753</v>
      </c>
      <c r="D1160" s="214"/>
      <c r="E1160" s="8"/>
      <c r="F1160" s="158"/>
      <c r="G1160" s="214">
        <f>SUM(G789:G930)</f>
        <v>3612519.9933800008</v>
      </c>
      <c r="I1160" s="471"/>
      <c r="J1160" s="53"/>
      <c r="K1160" s="93"/>
      <c r="L1160" s="1451"/>
      <c r="N1160" s="6"/>
    </row>
    <row r="1161" spans="1:29" x14ac:dyDescent="0.2">
      <c r="A1161" s="94"/>
      <c r="B1161" s="93"/>
      <c r="C1161" s="96"/>
      <c r="D1161" s="214"/>
      <c r="E1161" s="8"/>
      <c r="F1161" s="158"/>
      <c r="G1161" s="214"/>
      <c r="I1161" s="471"/>
      <c r="J1161" s="53"/>
      <c r="K1161" s="571"/>
      <c r="L1161" s="53"/>
      <c r="N1161" s="6"/>
    </row>
    <row r="1162" spans="1:29" x14ac:dyDescent="0.2">
      <c r="A1162" s="94"/>
      <c r="B1162" s="93"/>
      <c r="C1162" s="96"/>
      <c r="D1162" s="214"/>
      <c r="E1162" s="8"/>
      <c r="F1162" s="158"/>
      <c r="G1162" s="214"/>
      <c r="I1162" s="471"/>
      <c r="J1162" s="53"/>
      <c r="K1162" s="571"/>
      <c r="L1162" s="53"/>
      <c r="N1162" s="6"/>
    </row>
    <row r="1163" spans="1:29" x14ac:dyDescent="0.2">
      <c r="A1163" s="94"/>
      <c r="B1163" s="93"/>
      <c r="C1163" s="96" t="s">
        <v>754</v>
      </c>
      <c r="D1163" s="214"/>
      <c r="E1163" s="8"/>
      <c r="F1163" s="158"/>
      <c r="G1163" s="214">
        <f>G1160+G1080</f>
        <v>13210688.830886668</v>
      </c>
      <c r="I1163" s="471"/>
      <c r="J1163" s="53"/>
      <c r="K1163" s="93"/>
      <c r="L1163" s="53"/>
      <c r="N1163" s="6"/>
    </row>
    <row r="1164" spans="1:29" x14ac:dyDescent="0.2">
      <c r="A1164" s="94"/>
      <c r="B1164" s="93"/>
      <c r="C1164" s="96"/>
      <c r="D1164" s="214"/>
      <c r="E1164" s="8"/>
      <c r="F1164" s="158"/>
      <c r="G1164" s="214"/>
      <c r="I1164" s="471"/>
      <c r="J1164" s="53"/>
      <c r="K1164" s="93"/>
      <c r="L1164" s="53"/>
      <c r="N1164" s="6"/>
    </row>
    <row r="1165" spans="1:29" x14ac:dyDescent="0.2">
      <c r="A1165" s="94"/>
      <c r="B1165" s="93"/>
      <c r="C1165" s="96"/>
      <c r="D1165" s="214"/>
      <c r="E1165" s="8"/>
      <c r="F1165" s="158"/>
      <c r="G1165" s="214"/>
      <c r="I1165" s="471"/>
      <c r="J1165" s="53"/>
      <c r="K1165" s="93"/>
      <c r="L1165" s="53"/>
      <c r="N1165" s="6"/>
    </row>
    <row r="1166" spans="1:29" x14ac:dyDescent="0.2">
      <c r="B1166" s="62"/>
      <c r="I1166" s="163"/>
      <c r="J1166" s="91"/>
      <c r="O1166" s="63"/>
      <c r="P1166" s="63"/>
      <c r="Q1166" s="63"/>
      <c r="S1166" s="63"/>
      <c r="T1166" s="63"/>
      <c r="U1166" s="63"/>
      <c r="W1166" s="63">
        <v>3600</v>
      </c>
      <c r="X1166" s="63">
        <v>4.0999999999999996</v>
      </c>
      <c r="Y1166" s="63">
        <f>W1166*X1166</f>
        <v>14759.999999999998</v>
      </c>
      <c r="AA1166" s="63">
        <v>4800</v>
      </c>
      <c r="AB1166" s="63">
        <v>4.0999999999999996</v>
      </c>
      <c r="AC1166" s="63">
        <f>AA1166*AB1166</f>
        <v>19680</v>
      </c>
    </row>
    <row r="1167" spans="1:29" x14ac:dyDescent="0.2">
      <c r="B1167" s="62" t="s">
        <v>110</v>
      </c>
      <c r="E1167" s="17"/>
      <c r="J1167" s="91"/>
      <c r="O1167" s="63"/>
      <c r="P1167" s="63"/>
      <c r="Q1167" s="63"/>
      <c r="S1167" s="63"/>
      <c r="T1167" s="63"/>
      <c r="U1167" s="63"/>
      <c r="W1167" s="63">
        <v>600</v>
      </c>
      <c r="X1167" s="63">
        <v>4</v>
      </c>
      <c r="Y1167" s="63">
        <f>W1167*X1167</f>
        <v>2400</v>
      </c>
      <c r="AA1167" s="63"/>
      <c r="AB1167" s="63">
        <v>4</v>
      </c>
      <c r="AC1167" s="63">
        <f>AA1167*AB1167</f>
        <v>0</v>
      </c>
    </row>
    <row r="1168" spans="1:29" x14ac:dyDescent="0.2">
      <c r="O1168" s="63"/>
      <c r="P1168" s="63"/>
      <c r="Q1168" s="63"/>
      <c r="S1168" s="63"/>
      <c r="T1168" s="63"/>
      <c r="U1168" s="63"/>
      <c r="W1168" s="63">
        <v>3000</v>
      </c>
      <c r="X1168" s="63">
        <v>3.7</v>
      </c>
      <c r="Y1168" s="63">
        <f>W1168*X1168</f>
        <v>11100</v>
      </c>
      <c r="AA1168" s="63">
        <v>6000</v>
      </c>
      <c r="AB1168" s="63">
        <v>3.7</v>
      </c>
      <c r="AC1168" s="63">
        <f>AA1168*AB1168</f>
        <v>22200</v>
      </c>
    </row>
    <row r="1169" spans="1:29" x14ac:dyDescent="0.2">
      <c r="B1169" s="64" t="s">
        <v>46</v>
      </c>
      <c r="C1169" s="64" t="s">
        <v>45</v>
      </c>
      <c r="D1169" s="64" t="s">
        <v>747</v>
      </c>
      <c r="E1169" s="64" t="s">
        <v>52</v>
      </c>
      <c r="F1169" s="67" t="s">
        <v>55</v>
      </c>
      <c r="G1169" s="68"/>
      <c r="H1169" s="64" t="s">
        <v>56</v>
      </c>
      <c r="I1169" s="64"/>
      <c r="J1169" s="64" t="s">
        <v>59</v>
      </c>
      <c r="K1169" s="64" t="s">
        <v>57</v>
      </c>
      <c r="L1169" s="64" t="s">
        <v>34</v>
      </c>
      <c r="M1169" s="72" t="s">
        <v>80</v>
      </c>
      <c r="N1169" s="72" t="s">
        <v>43</v>
      </c>
      <c r="O1169" s="63"/>
      <c r="P1169" s="63"/>
      <c r="Q1169" s="63"/>
      <c r="S1169" s="63"/>
      <c r="T1169" s="63"/>
      <c r="U1169" s="63"/>
      <c r="W1169" s="63">
        <v>240</v>
      </c>
      <c r="X1169" s="63">
        <v>3.5</v>
      </c>
      <c r="Y1169" s="63">
        <f>W1169*X1169</f>
        <v>840</v>
      </c>
      <c r="AA1169" s="63"/>
      <c r="AB1169" s="63">
        <v>3.5</v>
      </c>
      <c r="AC1169" s="63">
        <f>AA1169*AB1169</f>
        <v>0</v>
      </c>
    </row>
    <row r="1170" spans="1:29" x14ac:dyDescent="0.2">
      <c r="B1170" s="65"/>
      <c r="C1170" s="65"/>
      <c r="D1170" s="65"/>
      <c r="E1170" s="65"/>
      <c r="F1170" s="69" t="s">
        <v>53</v>
      </c>
      <c r="G1170" s="69" t="s">
        <v>54</v>
      </c>
      <c r="H1170" s="70"/>
      <c r="I1170" s="70"/>
      <c r="J1170" s="71" t="s">
        <v>60</v>
      </c>
      <c r="K1170" s="65" t="s">
        <v>58</v>
      </c>
      <c r="L1170" s="70"/>
      <c r="M1170" s="65" t="s">
        <v>81</v>
      </c>
      <c r="N1170" s="70"/>
      <c r="O1170" s="63"/>
      <c r="P1170" s="63"/>
      <c r="Q1170" s="63"/>
      <c r="S1170" s="63"/>
      <c r="T1170" s="63"/>
      <c r="U1170" s="63"/>
      <c r="W1170" s="63">
        <v>240</v>
      </c>
      <c r="X1170" s="63">
        <v>3.5</v>
      </c>
      <c r="Y1170" s="63">
        <f>W1170*X1170</f>
        <v>840</v>
      </c>
      <c r="AA1170" s="63"/>
      <c r="AB1170" s="63">
        <v>3.5</v>
      </c>
      <c r="AC1170" s="63">
        <f>AA1170*AB1170</f>
        <v>0</v>
      </c>
    </row>
    <row r="1181" spans="1:29" s="611" customFormat="1" x14ac:dyDescent="0.2">
      <c r="A1181" s="607"/>
      <c r="C1181" s="612"/>
      <c r="E1181" s="612"/>
      <c r="F1181" s="688"/>
      <c r="G1181" s="774"/>
      <c r="I1181" s="888"/>
      <c r="K1181" s="612"/>
    </row>
    <row r="1182" spans="1:29" s="58" customFormat="1" x14ac:dyDescent="0.2">
      <c r="C1182" s="832"/>
    </row>
    <row r="1183" spans="1:29" s="575" customFormat="1" x14ac:dyDescent="0.2">
      <c r="A1183" s="578"/>
      <c r="B1183" s="655"/>
      <c r="C1183" s="597"/>
      <c r="D1183" s="597"/>
      <c r="E1183" s="597"/>
      <c r="F1183" s="600"/>
      <c r="G1183" s="601"/>
      <c r="H1183" s="485"/>
      <c r="I1183" s="577"/>
      <c r="J1183" s="577"/>
      <c r="K1183" s="96"/>
      <c r="L1183" s="577"/>
      <c r="N1183" s="485"/>
    </row>
    <row r="1184" spans="1:29" s="58" customFormat="1" x14ac:dyDescent="0.2">
      <c r="B1184" s="954" t="s">
        <v>685</v>
      </c>
      <c r="C1184" s="577"/>
      <c r="D1184" s="577"/>
      <c r="E1184" s="661"/>
      <c r="F1184" s="955"/>
      <c r="G1184" s="956"/>
      <c r="N1184" s="956"/>
      <c r="O1184" s="955"/>
      <c r="P1184" s="955"/>
      <c r="Q1184" s="955"/>
      <c r="S1184" s="955"/>
      <c r="T1184" s="955"/>
      <c r="U1184" s="955"/>
      <c r="W1184" s="955"/>
      <c r="X1184" s="955">
        <v>3.9</v>
      </c>
      <c r="Y1184" s="955">
        <f>W1184*X1184</f>
        <v>0</v>
      </c>
      <c r="AA1184" s="955"/>
      <c r="AB1184" s="955">
        <v>3.9</v>
      </c>
      <c r="AC1184" s="955">
        <f>AA1184*AB1184</f>
        <v>0</v>
      </c>
    </row>
    <row r="1185" spans="1:29" s="58" customFormat="1" x14ac:dyDescent="0.2">
      <c r="B1185" s="954"/>
      <c r="C1185" s="577"/>
      <c r="D1185" s="577"/>
      <c r="E1185" s="661"/>
      <c r="F1185" s="955"/>
      <c r="G1185" s="576">
        <f>F1185*2.14</f>
        <v>0</v>
      </c>
      <c r="N1185" s="956"/>
      <c r="O1185" s="955"/>
      <c r="P1185" s="955"/>
      <c r="Q1185" s="955"/>
      <c r="S1185" s="955"/>
      <c r="T1185" s="955"/>
      <c r="U1185" s="955"/>
      <c r="W1185" s="955"/>
      <c r="X1185" s="955"/>
      <c r="Y1185" s="955"/>
      <c r="AA1185" s="955"/>
      <c r="AB1185" s="955"/>
      <c r="AC1185" s="955"/>
    </row>
    <row r="1186" spans="1:29" s="58" customFormat="1" x14ac:dyDescent="0.2">
      <c r="B1186" s="72" t="s">
        <v>46</v>
      </c>
      <c r="C1186" s="72" t="s">
        <v>45</v>
      </c>
      <c r="D1186" s="72" t="s">
        <v>747</v>
      </c>
      <c r="E1186" s="72" t="s">
        <v>52</v>
      </c>
      <c r="F1186" s="957" t="s">
        <v>55</v>
      </c>
      <c r="G1186" s="958"/>
      <c r="H1186" s="72" t="s">
        <v>56</v>
      </c>
      <c r="I1186" s="72"/>
      <c r="J1186" s="72" t="s">
        <v>59</v>
      </c>
      <c r="K1186" s="72" t="s">
        <v>57</v>
      </c>
      <c r="L1186" s="72" t="s">
        <v>34</v>
      </c>
      <c r="M1186" s="72" t="s">
        <v>80</v>
      </c>
      <c r="N1186" s="72" t="s">
        <v>43</v>
      </c>
      <c r="O1186" s="955"/>
      <c r="P1186" s="955"/>
      <c r="Q1186" s="955"/>
      <c r="S1186" s="955"/>
      <c r="T1186" s="955"/>
      <c r="U1186" s="955"/>
      <c r="W1186" s="955">
        <v>240</v>
      </c>
      <c r="X1186" s="955">
        <v>3.5</v>
      </c>
      <c r="Y1186" s="955">
        <f>W1186*X1186</f>
        <v>840</v>
      </c>
      <c r="AA1186" s="955"/>
      <c r="AB1186" s="955">
        <v>3.5</v>
      </c>
      <c r="AC1186" s="955">
        <f>AA1186*AB1186</f>
        <v>0</v>
      </c>
    </row>
    <row r="1187" spans="1:29" s="58" customFormat="1" x14ac:dyDescent="0.2">
      <c r="B1187" s="959"/>
      <c r="C1187" s="959"/>
      <c r="D1187" s="959"/>
      <c r="E1187" s="959"/>
      <c r="F1187" s="960" t="s">
        <v>53</v>
      </c>
      <c r="G1187" s="960" t="s">
        <v>54</v>
      </c>
      <c r="H1187" s="961"/>
      <c r="I1187" s="961"/>
      <c r="J1187" s="962" t="s">
        <v>60</v>
      </c>
      <c r="K1187" s="959" t="s">
        <v>58</v>
      </c>
      <c r="L1187" s="961"/>
      <c r="M1187" s="959" t="s">
        <v>81</v>
      </c>
      <c r="N1187" s="961"/>
      <c r="O1187" s="955"/>
      <c r="P1187" s="955"/>
      <c r="Q1187" s="955"/>
      <c r="S1187" s="955"/>
      <c r="T1187" s="955"/>
      <c r="U1187" s="955"/>
      <c r="W1187" s="955">
        <v>240</v>
      </c>
      <c r="X1187" s="955">
        <v>3.5</v>
      </c>
      <c r="Y1187" s="955">
        <f>W1187*X1187</f>
        <v>840</v>
      </c>
      <c r="AA1187" s="955"/>
      <c r="AB1187" s="955">
        <v>3.5</v>
      </c>
      <c r="AC1187" s="955">
        <f>AA1187*AB1187</f>
        <v>0</v>
      </c>
    </row>
    <row r="1188" spans="1:29" s="58" customFormat="1" x14ac:dyDescent="0.2">
      <c r="B1188" s="954"/>
      <c r="C1188" s="577"/>
      <c r="D1188" s="577"/>
      <c r="E1188" s="661"/>
      <c r="F1188" s="955"/>
      <c r="G1188" s="576"/>
      <c r="N1188" s="956"/>
      <c r="O1188" s="955"/>
      <c r="P1188" s="955"/>
      <c r="Q1188" s="955"/>
      <c r="S1188" s="955"/>
      <c r="T1188" s="955"/>
      <c r="U1188" s="955"/>
      <c r="W1188" s="955"/>
      <c r="X1188" s="955"/>
      <c r="Y1188" s="955"/>
      <c r="AA1188" s="955"/>
      <c r="AB1188" s="955"/>
      <c r="AC1188" s="955"/>
    </row>
    <row r="1189" spans="1:29" s="58" customFormat="1" x14ac:dyDescent="0.2"/>
    <row r="1190" spans="1:29" s="58" customFormat="1" x14ac:dyDescent="0.2">
      <c r="J1190" s="688"/>
      <c r="K1190" s="688"/>
      <c r="L1190" s="688"/>
    </row>
    <row r="1194" spans="1:29" s="611" customFormat="1" x14ac:dyDescent="0.2">
      <c r="A1194" s="607"/>
      <c r="B1194" s="767"/>
      <c r="C1194" s="612"/>
      <c r="D1194" s="612"/>
      <c r="E1194" s="612"/>
      <c r="F1194" s="688"/>
      <c r="G1194" s="688"/>
      <c r="H1194" s="610"/>
      <c r="I1194" s="626"/>
      <c r="J1194" s="626"/>
      <c r="K1194" s="609"/>
      <c r="L1194" s="626"/>
      <c r="N1194" s="610"/>
    </row>
    <row r="1195" spans="1:29" s="58" customFormat="1" x14ac:dyDescent="0.2">
      <c r="A1195" s="596"/>
      <c r="B1195" s="135"/>
      <c r="C1195" s="96"/>
      <c r="D1195" s="96"/>
      <c r="E1195" s="135"/>
      <c r="F1195" s="963"/>
      <c r="G1195" s="178"/>
      <c r="H1195" s="412"/>
      <c r="I1195" s="163"/>
      <c r="J1195" s="137"/>
      <c r="K1195" s="96"/>
      <c r="L1195" s="137"/>
      <c r="N1195" s="163"/>
    </row>
    <row r="1196" spans="1:29" s="58" customFormat="1" x14ac:dyDescent="0.2">
      <c r="B1196" s="954"/>
      <c r="C1196" s="832" t="s">
        <v>1031</v>
      </c>
      <c r="D1196" s="577"/>
      <c r="E1196" s="661"/>
      <c r="F1196" s="955"/>
      <c r="G1196" s="956">
        <f>SUM(G954:G1195)</f>
        <v>30572059.42265334</v>
      </c>
      <c r="N1196" s="956"/>
      <c r="O1196" s="955"/>
      <c r="P1196" s="955"/>
      <c r="Q1196" s="955"/>
      <c r="S1196" s="955"/>
      <c r="T1196" s="955"/>
      <c r="U1196" s="955"/>
      <c r="W1196" s="955"/>
      <c r="X1196" s="955"/>
      <c r="Y1196" s="955"/>
      <c r="AA1196" s="955"/>
      <c r="AB1196" s="955"/>
      <c r="AC1196" s="955"/>
    </row>
    <row r="1197" spans="1:29" s="58" customFormat="1" x14ac:dyDescent="0.2">
      <c r="B1197" s="954"/>
      <c r="C1197" s="832"/>
      <c r="D1197" s="577"/>
      <c r="E1197" s="661"/>
      <c r="F1197" s="955"/>
      <c r="G1197" s="956"/>
      <c r="N1197" s="956"/>
      <c r="O1197" s="955"/>
      <c r="P1197" s="955"/>
      <c r="Q1197" s="955"/>
      <c r="S1197" s="955"/>
      <c r="T1197" s="955"/>
      <c r="U1197" s="955"/>
      <c r="W1197" s="955"/>
      <c r="X1197" s="955"/>
      <c r="Y1197" s="955"/>
      <c r="AA1197" s="955"/>
      <c r="AB1197" s="955"/>
      <c r="AC1197" s="955"/>
    </row>
    <row r="1198" spans="1:29" s="58" customFormat="1" x14ac:dyDescent="0.2">
      <c r="B1198" s="954"/>
      <c r="C1198" s="832"/>
      <c r="D1198" s="577"/>
      <c r="E1198" s="661"/>
      <c r="F1198" s="955"/>
      <c r="G1198" s="956"/>
      <c r="N1198" s="956"/>
      <c r="O1198" s="955"/>
      <c r="P1198" s="955"/>
      <c r="Q1198" s="955"/>
      <c r="S1198" s="955"/>
      <c r="T1198" s="955"/>
      <c r="U1198" s="955"/>
      <c r="W1198" s="955"/>
      <c r="X1198" s="955"/>
      <c r="Y1198" s="955"/>
      <c r="AA1198" s="955"/>
      <c r="AB1198" s="955"/>
      <c r="AC1198" s="955"/>
    </row>
    <row r="1199" spans="1:29" s="58" customFormat="1" x14ac:dyDescent="0.2">
      <c r="B1199" s="954" t="s">
        <v>1034</v>
      </c>
      <c r="C1199" s="832"/>
      <c r="D1199" s="577"/>
      <c r="E1199" s="661"/>
      <c r="F1199" s="955"/>
      <c r="G1199" s="956"/>
      <c r="N1199" s="956"/>
      <c r="O1199" s="955"/>
      <c r="P1199" s="955"/>
      <c r="Q1199" s="955"/>
      <c r="S1199" s="955"/>
      <c r="T1199" s="955"/>
      <c r="U1199" s="955"/>
      <c r="W1199" s="955"/>
      <c r="X1199" s="955"/>
      <c r="Y1199" s="955"/>
      <c r="AA1199" s="955"/>
      <c r="AB1199" s="955"/>
      <c r="AC1199" s="955"/>
    </row>
    <row r="1200" spans="1:29" s="58" customFormat="1" x14ac:dyDescent="0.2">
      <c r="B1200" s="954"/>
      <c r="C1200" s="832"/>
      <c r="D1200" s="577"/>
      <c r="E1200" s="661"/>
      <c r="F1200" s="955"/>
      <c r="G1200" s="956"/>
      <c r="N1200" s="956"/>
      <c r="O1200" s="955"/>
      <c r="P1200" s="955"/>
      <c r="Q1200" s="955"/>
      <c r="S1200" s="955"/>
      <c r="T1200" s="955"/>
      <c r="U1200" s="955"/>
      <c r="W1200" s="955"/>
      <c r="X1200" s="955"/>
      <c r="Y1200" s="955"/>
      <c r="AA1200" s="955"/>
      <c r="AB1200" s="955"/>
      <c r="AC1200" s="955"/>
    </row>
    <row r="1201" spans="1:29" s="575" customFormat="1" x14ac:dyDescent="0.2">
      <c r="A1201" s="578"/>
      <c r="B1201" s="639"/>
      <c r="C1201" s="597"/>
      <c r="D1201" s="597"/>
      <c r="E1201" s="597"/>
      <c r="F1201" s="600"/>
      <c r="G1201" s="600"/>
      <c r="H1201" s="485"/>
      <c r="I1201" s="577"/>
      <c r="J1201" s="577"/>
      <c r="K1201" s="96"/>
      <c r="L1201" s="577"/>
      <c r="N1201" s="485"/>
    </row>
    <row r="1202" spans="1:29" s="575" customFormat="1" x14ac:dyDescent="0.2">
      <c r="A1202" s="578"/>
      <c r="B1202" s="639"/>
      <c r="C1202" s="597"/>
      <c r="D1202" s="597"/>
      <c r="E1202" s="597"/>
      <c r="F1202" s="600"/>
      <c r="G1202" s="600"/>
      <c r="H1202" s="485"/>
      <c r="I1202" s="577"/>
      <c r="J1202" s="577"/>
      <c r="K1202" s="96"/>
      <c r="L1202" s="577"/>
      <c r="N1202" s="485"/>
    </row>
    <row r="1203" spans="1:29" s="652" customFormat="1" x14ac:dyDescent="0.2">
      <c r="A1203" s="649"/>
      <c r="C1203" s="646"/>
      <c r="E1203" s="646"/>
      <c r="F1203" s="650"/>
      <c r="G1203" s="659"/>
      <c r="K1203" s="564"/>
      <c r="L1203" s="649"/>
      <c r="Q1203" s="649"/>
    </row>
    <row r="1204" spans="1:29" s="652" customFormat="1" x14ac:dyDescent="0.2">
      <c r="A1204" s="649"/>
      <c r="C1204" s="832" t="s">
        <v>1031</v>
      </c>
      <c r="E1204" s="646"/>
      <c r="F1204" s="650"/>
      <c r="G1204" s="956">
        <f>G1201</f>
        <v>0</v>
      </c>
      <c r="K1204" s="564"/>
      <c r="L1204" s="649"/>
      <c r="Q1204" s="649"/>
    </row>
    <row r="1205" spans="1:29" s="58" customFormat="1" x14ac:dyDescent="0.2">
      <c r="B1205" s="954"/>
      <c r="C1205" s="832"/>
      <c r="D1205" s="577"/>
      <c r="E1205" s="661"/>
      <c r="F1205" s="955"/>
      <c r="G1205" s="956"/>
      <c r="N1205" s="956"/>
      <c r="O1205" s="955"/>
      <c r="P1205" s="955"/>
      <c r="Q1205" s="955"/>
      <c r="S1205" s="955"/>
      <c r="T1205" s="955"/>
      <c r="U1205" s="955"/>
      <c r="W1205" s="955"/>
      <c r="X1205" s="955"/>
      <c r="Y1205" s="955"/>
      <c r="AA1205" s="955"/>
      <c r="AB1205" s="955"/>
      <c r="AC1205" s="955"/>
    </row>
    <row r="1206" spans="1:29" s="58" customFormat="1" x14ac:dyDescent="0.2">
      <c r="B1206" s="954" t="s">
        <v>740</v>
      </c>
      <c r="C1206" s="577"/>
      <c r="D1206" s="577"/>
      <c r="E1206" s="661"/>
      <c r="F1206" s="955"/>
      <c r="G1206" s="956"/>
      <c r="N1206" s="956"/>
      <c r="O1206" s="955"/>
      <c r="P1206" s="955"/>
      <c r="Q1206" s="955"/>
      <c r="S1206" s="955"/>
      <c r="T1206" s="955"/>
      <c r="U1206" s="955"/>
      <c r="W1206" s="955"/>
      <c r="X1206" s="955"/>
      <c r="Y1206" s="955"/>
      <c r="AA1206" s="955"/>
      <c r="AB1206" s="955"/>
      <c r="AC1206" s="955"/>
    </row>
    <row r="1207" spans="1:29" s="58" customFormat="1" x14ac:dyDescent="0.2">
      <c r="B1207" s="954"/>
      <c r="O1207" s="955"/>
      <c r="P1207" s="955"/>
      <c r="Q1207" s="955"/>
      <c r="S1207" s="955"/>
      <c r="T1207" s="955"/>
      <c r="U1207" s="955"/>
      <c r="W1207" s="955"/>
      <c r="X1207" s="955">
        <v>4.0999999999999996</v>
      </c>
      <c r="Y1207" s="955">
        <f>W1207*X1207</f>
        <v>0</v>
      </c>
      <c r="AA1207" s="955"/>
      <c r="AB1207" s="955">
        <v>4.0999999999999996</v>
      </c>
      <c r="AC1207" s="955">
        <f>AA1207*AB1207</f>
        <v>0</v>
      </c>
    </row>
    <row r="1208" spans="1:29" s="58" customFormat="1" x14ac:dyDescent="0.2">
      <c r="B1208" s="72" t="s">
        <v>46</v>
      </c>
      <c r="C1208" s="72" t="s">
        <v>45</v>
      </c>
      <c r="D1208" s="72" t="s">
        <v>85</v>
      </c>
      <c r="E1208" s="72" t="s">
        <v>52</v>
      </c>
      <c r="F1208" s="957" t="s">
        <v>55</v>
      </c>
      <c r="G1208" s="958"/>
      <c r="H1208" s="72" t="s">
        <v>56</v>
      </c>
      <c r="I1208" s="72"/>
      <c r="J1208" s="72" t="s">
        <v>59</v>
      </c>
      <c r="K1208" s="72" t="s">
        <v>57</v>
      </c>
      <c r="L1208" s="72" t="s">
        <v>34</v>
      </c>
      <c r="M1208" s="72" t="s">
        <v>80</v>
      </c>
      <c r="N1208" s="72" t="s">
        <v>43</v>
      </c>
      <c r="O1208" s="955"/>
      <c r="P1208" s="955"/>
      <c r="Q1208" s="955"/>
      <c r="S1208" s="955"/>
      <c r="T1208" s="955"/>
      <c r="U1208" s="955"/>
      <c r="W1208" s="955"/>
      <c r="X1208" s="955">
        <v>1.75</v>
      </c>
      <c r="Y1208" s="955">
        <f>W1208*X1208</f>
        <v>0</v>
      </c>
      <c r="AA1208" s="955"/>
      <c r="AB1208" s="955">
        <v>1.75</v>
      </c>
      <c r="AC1208" s="955">
        <f>AA1208*AB1208</f>
        <v>0</v>
      </c>
    </row>
    <row r="1209" spans="1:29" s="58" customFormat="1" x14ac:dyDescent="0.2">
      <c r="B1209" s="959"/>
      <c r="C1209" s="959"/>
      <c r="D1209" s="959"/>
      <c r="E1209" s="959"/>
      <c r="F1209" s="960" t="s">
        <v>53</v>
      </c>
      <c r="G1209" s="960" t="s">
        <v>54</v>
      </c>
      <c r="H1209" s="961"/>
      <c r="I1209" s="961"/>
      <c r="J1209" s="962" t="s">
        <v>60</v>
      </c>
      <c r="K1209" s="959" t="s">
        <v>58</v>
      </c>
      <c r="L1209" s="961"/>
      <c r="M1209" s="959" t="s">
        <v>81</v>
      </c>
      <c r="N1209" s="961"/>
      <c r="O1209" s="955"/>
      <c r="P1209" s="955"/>
      <c r="Q1209" s="955"/>
      <c r="S1209" s="955"/>
      <c r="T1209" s="955"/>
      <c r="U1209" s="955"/>
      <c r="W1209" s="955"/>
      <c r="X1209" s="955">
        <v>1.9</v>
      </c>
      <c r="Y1209" s="955">
        <f>W1209*X1209</f>
        <v>0</v>
      </c>
      <c r="AA1209" s="955"/>
      <c r="AB1209" s="955">
        <v>1.9</v>
      </c>
      <c r="AC1209" s="955">
        <f>AA1209*AB1209</f>
        <v>0</v>
      </c>
    </row>
    <row r="1210" spans="1:29" s="58" customFormat="1" x14ac:dyDescent="0.2"/>
    <row r="1213" spans="1:29" x14ac:dyDescent="0.2">
      <c r="A1213" s="94">
        <v>42515</v>
      </c>
      <c r="C1213" s="637" t="s">
        <v>603</v>
      </c>
      <c r="F1213" s="600">
        <v>5836.01</v>
      </c>
      <c r="G1213" s="601">
        <f t="shared" ref="G1213:G1215" si="33">+F1213*2.25</f>
        <v>13131.022500000001</v>
      </c>
      <c r="H1213" s="483" t="s">
        <v>330</v>
      </c>
      <c r="K1213" s="1510"/>
    </row>
    <row r="1214" spans="1:29" x14ac:dyDescent="0.2">
      <c r="A1214" s="94">
        <v>42516</v>
      </c>
      <c r="C1214" s="637" t="s">
        <v>139</v>
      </c>
      <c r="F1214" s="600">
        <v>9353.33</v>
      </c>
      <c r="G1214" s="601">
        <f t="shared" si="33"/>
        <v>21044.9925</v>
      </c>
      <c r="H1214" s="483" t="s">
        <v>113</v>
      </c>
      <c r="K1214" s="1510"/>
    </row>
    <row r="1215" spans="1:29" x14ac:dyDescent="0.2">
      <c r="A1215" s="94">
        <v>42516</v>
      </c>
      <c r="C1215" s="637" t="s">
        <v>248</v>
      </c>
      <c r="F1215" s="600">
        <v>16703</v>
      </c>
      <c r="G1215" s="601">
        <f t="shared" si="33"/>
        <v>37581.75</v>
      </c>
      <c r="H1215" s="483" t="s">
        <v>70</v>
      </c>
      <c r="K1215" s="1510"/>
    </row>
    <row r="1216" spans="1:29" x14ac:dyDescent="0.2">
      <c r="A1216" s="94">
        <v>42563</v>
      </c>
      <c r="C1216" s="637" t="s">
        <v>285</v>
      </c>
      <c r="F1216" s="600">
        <v>5781.95</v>
      </c>
      <c r="G1216" s="601">
        <f>+F1216*2.43</f>
        <v>14050.138500000001</v>
      </c>
      <c r="H1216" s="483" t="s">
        <v>72</v>
      </c>
      <c r="K1216" s="1510"/>
    </row>
    <row r="1217" spans="1:17" x14ac:dyDescent="0.2">
      <c r="A1217" s="94"/>
      <c r="C1217" s="637" t="s">
        <v>1373</v>
      </c>
      <c r="F1217" s="600">
        <v>7500</v>
      </c>
      <c r="G1217" s="601">
        <f>+F1217*2.47</f>
        <v>18525</v>
      </c>
      <c r="H1217" s="483" t="s">
        <v>330</v>
      </c>
    </row>
    <row r="1218" spans="1:17" x14ac:dyDescent="0.2">
      <c r="A1218" s="94"/>
      <c r="C1218" s="637" t="s">
        <v>193</v>
      </c>
      <c r="F1218" s="600">
        <v>8250</v>
      </c>
      <c r="G1218" s="601">
        <f>+F1218*2.47</f>
        <v>20377.5</v>
      </c>
      <c r="H1218" s="483" t="s">
        <v>330</v>
      </c>
    </row>
    <row r="1219" spans="1:17" x14ac:dyDescent="0.2">
      <c r="A1219" s="94">
        <v>42615</v>
      </c>
      <c r="C1219" s="637" t="s">
        <v>173</v>
      </c>
      <c r="F1219" s="600">
        <v>4350.8900000000003</v>
      </c>
      <c r="G1219" s="49">
        <f>F1219*2.47</f>
        <v>10746.698300000002</v>
      </c>
    </row>
    <row r="1220" spans="1:17" x14ac:dyDescent="0.2">
      <c r="A1220" s="94">
        <v>42619</v>
      </c>
      <c r="C1220" s="637" t="s">
        <v>479</v>
      </c>
      <c r="F1220" s="600">
        <v>5016.42</v>
      </c>
      <c r="G1220" s="49">
        <f>+F1220*2.47</f>
        <v>12390.557400000002</v>
      </c>
    </row>
    <row r="1221" spans="1:17" x14ac:dyDescent="0.2">
      <c r="A1221" s="94"/>
      <c r="C1221" s="637"/>
    </row>
    <row r="1222" spans="1:17" s="58" customFormat="1" x14ac:dyDescent="0.2">
      <c r="B1222" s="96"/>
      <c r="C1222" s="832" t="s">
        <v>1032</v>
      </c>
      <c r="D1222" s="96" t="s">
        <v>813</v>
      </c>
      <c r="E1222" s="96"/>
      <c r="F1222" s="178"/>
      <c r="G1222" s="178" t="e">
        <f>SUM(#REF!)</f>
        <v>#REF!</v>
      </c>
      <c r="H1222" s="163"/>
      <c r="I1222" s="577"/>
      <c r="J1222" s="965"/>
      <c r="K1222" s="96"/>
      <c r="L1222" s="577"/>
      <c r="N1222" s="163"/>
      <c r="O1222" s="966" t="e">
        <f>SUM(#REF!)</f>
        <v>#REF!</v>
      </c>
      <c r="P1222" s="955"/>
      <c r="Q1222" s="955"/>
    </row>
    <row r="1223" spans="1:17" s="58" customFormat="1" x14ac:dyDescent="0.2">
      <c r="B1223" s="96"/>
      <c r="C1223" s="96"/>
      <c r="D1223" s="96"/>
      <c r="E1223" s="96"/>
      <c r="F1223" s="178"/>
      <c r="G1223" s="178"/>
      <c r="H1223" s="163"/>
      <c r="I1223" s="577"/>
      <c r="J1223" s="965"/>
      <c r="K1223" s="96"/>
      <c r="L1223" s="577"/>
      <c r="N1223" s="163"/>
      <c r="O1223" s="955"/>
      <c r="P1223" s="955"/>
      <c r="Q1223" s="955"/>
    </row>
    <row r="1224" spans="1:17" s="58" customFormat="1" x14ac:dyDescent="0.2">
      <c r="B1224" s="954" t="s">
        <v>743</v>
      </c>
      <c r="O1224" s="955"/>
      <c r="P1224" s="955"/>
      <c r="Q1224" s="955"/>
    </row>
    <row r="1225" spans="1:17" s="58" customFormat="1" x14ac:dyDescent="0.2">
      <c r="P1225" s="694"/>
    </row>
    <row r="1226" spans="1:17" s="58" customFormat="1" x14ac:dyDescent="0.2">
      <c r="B1226" s="72" t="s">
        <v>941</v>
      </c>
      <c r="C1226" s="72" t="s">
        <v>45</v>
      </c>
      <c r="D1226" s="72" t="s">
        <v>106</v>
      </c>
      <c r="E1226" s="72" t="s">
        <v>52</v>
      </c>
      <c r="F1226" s="957" t="s">
        <v>55</v>
      </c>
      <c r="G1226" s="958"/>
      <c r="H1226" s="72" t="s">
        <v>57</v>
      </c>
      <c r="I1226" s="72" t="s">
        <v>61</v>
      </c>
      <c r="J1226" s="72" t="s">
        <v>59</v>
      </c>
      <c r="K1226" s="72" t="s">
        <v>57</v>
      </c>
      <c r="L1226" s="72" t="s">
        <v>34</v>
      </c>
      <c r="N1226" s="72" t="s">
        <v>43</v>
      </c>
    </row>
    <row r="1227" spans="1:17" s="58" customFormat="1" x14ac:dyDescent="0.2">
      <c r="B1227" s="959" t="s">
        <v>942</v>
      </c>
      <c r="C1227" s="959"/>
      <c r="D1227" s="959"/>
      <c r="E1227" s="959"/>
      <c r="F1227" s="960" t="s">
        <v>53</v>
      </c>
      <c r="G1227" s="960" t="s">
        <v>54</v>
      </c>
      <c r="H1227" s="959" t="s">
        <v>58</v>
      </c>
      <c r="I1227" s="962" t="s">
        <v>102</v>
      </c>
      <c r="J1227" s="962" t="s">
        <v>60</v>
      </c>
      <c r="K1227" s="959" t="s">
        <v>58</v>
      </c>
      <c r="L1227" s="962" t="s">
        <v>63</v>
      </c>
      <c r="N1227" s="961"/>
    </row>
    <row r="1230" spans="1:17" x14ac:dyDescent="0.2">
      <c r="A1230" s="94">
        <v>42452</v>
      </c>
      <c r="C1230" s="637" t="s">
        <v>360</v>
      </c>
    </row>
    <row r="1231" spans="1:17" x14ac:dyDescent="0.2">
      <c r="A1231" s="94">
        <v>42468</v>
      </c>
      <c r="C1231" s="637" t="s">
        <v>69</v>
      </c>
    </row>
    <row r="1232" spans="1:17" x14ac:dyDescent="0.2">
      <c r="A1232" s="94">
        <v>42500</v>
      </c>
      <c r="C1232" s="637" t="s">
        <v>1329</v>
      </c>
    </row>
    <row r="1233" spans="1:17" x14ac:dyDescent="0.2">
      <c r="A1233" s="94">
        <v>42509</v>
      </c>
      <c r="C1233" s="637" t="s">
        <v>818</v>
      </c>
    </row>
    <row r="1234" spans="1:17" x14ac:dyDescent="0.2">
      <c r="A1234" s="94">
        <v>42586</v>
      </c>
      <c r="C1234" s="637" t="s">
        <v>145</v>
      </c>
    </row>
    <row r="1235" spans="1:17" x14ac:dyDescent="0.2">
      <c r="A1235" s="94">
        <v>42597</v>
      </c>
      <c r="C1235" s="637" t="s">
        <v>243</v>
      </c>
    </row>
    <row r="1237" spans="1:17" x14ac:dyDescent="0.2">
      <c r="A1237" s="94">
        <v>42618</v>
      </c>
      <c r="C1237" s="637" t="s">
        <v>64</v>
      </c>
    </row>
    <row r="1238" spans="1:17" x14ac:dyDescent="0.2">
      <c r="A1238" s="94">
        <v>42618</v>
      </c>
      <c r="C1238" s="637" t="s">
        <v>478</v>
      </c>
    </row>
    <row r="1239" spans="1:17" x14ac:dyDescent="0.2">
      <c r="A1239" s="94">
        <v>42618</v>
      </c>
      <c r="C1239" s="637" t="s">
        <v>280</v>
      </c>
    </row>
    <row r="1240" spans="1:17" x14ac:dyDescent="0.2">
      <c r="A1240" s="94"/>
      <c r="C1240" s="637"/>
    </row>
    <row r="1241" spans="1:17" s="58" customFormat="1" x14ac:dyDescent="0.2">
      <c r="B1241" s="96"/>
      <c r="C1241" s="577" t="s">
        <v>1033</v>
      </c>
      <c r="D1241" s="96"/>
      <c r="E1241" s="96"/>
      <c r="F1241" s="178"/>
      <c r="G1241" s="576"/>
      <c r="H1241" s="163"/>
      <c r="I1241" s="577"/>
      <c r="J1241" s="577"/>
      <c r="K1241" s="96"/>
      <c r="L1241" s="577"/>
      <c r="N1241" s="163"/>
    </row>
    <row r="1242" spans="1:17" s="58" customFormat="1" x14ac:dyDescent="0.2">
      <c r="B1242" s="96"/>
      <c r="C1242" s="577"/>
      <c r="D1242" s="96"/>
      <c r="E1242" s="96"/>
      <c r="F1242" s="178"/>
      <c r="G1242" s="576"/>
      <c r="H1242" s="163"/>
      <c r="I1242" s="577"/>
      <c r="J1242" s="577"/>
      <c r="K1242" s="96"/>
      <c r="L1242" s="577"/>
      <c r="N1242" s="163"/>
    </row>
    <row r="1243" spans="1:17" s="58" customFormat="1" x14ac:dyDescent="0.2">
      <c r="B1243" s="96"/>
      <c r="C1243" s="577"/>
      <c r="D1243" s="96"/>
      <c r="E1243" s="96"/>
      <c r="F1243" s="178"/>
      <c r="G1243" s="576"/>
      <c r="H1243" s="163"/>
      <c r="I1243" s="577"/>
      <c r="J1243" s="577"/>
      <c r="K1243" s="96"/>
      <c r="L1243" s="577"/>
      <c r="N1243" s="163"/>
    </row>
    <row r="1244" spans="1:17" s="58" customFormat="1" x14ac:dyDescent="0.2">
      <c r="B1244" s="96"/>
      <c r="C1244" s="577"/>
      <c r="D1244" s="96"/>
      <c r="E1244" s="96"/>
      <c r="F1244" s="178"/>
      <c r="G1244" s="576"/>
      <c r="H1244" s="163"/>
      <c r="I1244" s="577"/>
      <c r="J1244" s="577"/>
      <c r="K1244" s="96"/>
      <c r="L1244" s="577"/>
      <c r="N1244" s="163"/>
    </row>
    <row r="1245" spans="1:17" s="58" customFormat="1" x14ac:dyDescent="0.2">
      <c r="B1245" s="96"/>
      <c r="C1245" s="96"/>
      <c r="D1245" s="96"/>
      <c r="E1245" s="96"/>
      <c r="F1245" s="178"/>
      <c r="G1245" s="576"/>
      <c r="H1245" s="163"/>
      <c r="I1245" s="577"/>
      <c r="J1245" s="577"/>
      <c r="K1245" s="96"/>
      <c r="L1245" s="577"/>
      <c r="N1245" s="163"/>
    </row>
    <row r="1246" spans="1:17" s="58" customFormat="1" x14ac:dyDescent="0.2">
      <c r="B1246" s="954" t="s">
        <v>744</v>
      </c>
      <c r="G1246" s="575"/>
      <c r="O1246" s="955"/>
      <c r="P1246" s="955"/>
      <c r="Q1246" s="955"/>
    </row>
    <row r="1247" spans="1:17" s="58" customFormat="1" x14ac:dyDescent="0.2">
      <c r="P1247" s="694"/>
    </row>
    <row r="1248" spans="1:17" s="58" customFormat="1" x14ac:dyDescent="0.2">
      <c r="B1248" s="72" t="s">
        <v>61</v>
      </c>
      <c r="C1248" s="72" t="s">
        <v>45</v>
      </c>
      <c r="D1248" s="72" t="s">
        <v>106</v>
      </c>
      <c r="E1248" s="72" t="s">
        <v>52</v>
      </c>
      <c r="F1248" s="957" t="s">
        <v>55</v>
      </c>
      <c r="G1248" s="958"/>
      <c r="H1248" s="72" t="s">
        <v>56</v>
      </c>
      <c r="I1248" s="72" t="s">
        <v>61</v>
      </c>
      <c r="J1248" s="72" t="s">
        <v>59</v>
      </c>
      <c r="K1248" s="72" t="s">
        <v>57</v>
      </c>
      <c r="L1248" s="72" t="s">
        <v>34</v>
      </c>
      <c r="N1248" s="72" t="s">
        <v>43</v>
      </c>
    </row>
    <row r="1249" spans="1:14" s="58" customFormat="1" x14ac:dyDescent="0.2">
      <c r="B1249" s="959" t="s">
        <v>62</v>
      </c>
      <c r="C1249" s="959"/>
      <c r="D1249" s="959"/>
      <c r="E1249" s="959"/>
      <c r="F1249" s="960" t="s">
        <v>53</v>
      </c>
      <c r="G1249" s="960" t="s">
        <v>54</v>
      </c>
      <c r="H1249" s="961"/>
      <c r="I1249" s="962" t="s">
        <v>102</v>
      </c>
      <c r="J1249" s="962" t="s">
        <v>60</v>
      </c>
      <c r="K1249" s="959" t="s">
        <v>58</v>
      </c>
      <c r="L1249" s="962" t="s">
        <v>63</v>
      </c>
      <c r="N1249" s="961"/>
    </row>
    <row r="1251" spans="1:14" s="58" customFormat="1" x14ac:dyDescent="0.2"/>
    <row r="1252" spans="1:14" s="58" customFormat="1" x14ac:dyDescent="0.2"/>
    <row r="1253" spans="1:14" s="58" customFormat="1" x14ac:dyDescent="0.2"/>
    <row r="1254" spans="1:14" s="58" customFormat="1" x14ac:dyDescent="0.2"/>
    <row r="1255" spans="1:14" s="58" customFormat="1" x14ac:dyDescent="0.2"/>
    <row r="1256" spans="1:14" s="58" customFormat="1" x14ac:dyDescent="0.2"/>
    <row r="1257" spans="1:14" s="58" customFormat="1" x14ac:dyDescent="0.2"/>
    <row r="1258" spans="1:14" s="58" customFormat="1" x14ac:dyDescent="0.2"/>
    <row r="1259" spans="1:14" s="58" customFormat="1" x14ac:dyDescent="0.2"/>
    <row r="1260" spans="1:14" s="58" customFormat="1" x14ac:dyDescent="0.2"/>
    <row r="1261" spans="1:14" s="58" customFormat="1" x14ac:dyDescent="0.2"/>
    <row r="1262" spans="1:14" s="58" customFormat="1" x14ac:dyDescent="0.2"/>
    <row r="1263" spans="1:14" s="58" customFormat="1" x14ac:dyDescent="0.2"/>
    <row r="1264" spans="1:14" s="603" customFormat="1" x14ac:dyDescent="0.2">
      <c r="A1264" s="607"/>
      <c r="B1264" s="608"/>
      <c r="C1264" s="609"/>
      <c r="D1264" s="598"/>
      <c r="E1264" s="598"/>
      <c r="F1264" s="604"/>
      <c r="G1264" s="605"/>
      <c r="H1264" s="606"/>
      <c r="I1264" s="599"/>
      <c r="J1264" s="599"/>
      <c r="K1264" s="598"/>
      <c r="L1264" s="599"/>
      <c r="N1264" s="606"/>
    </row>
    <row r="1265" spans="1:17" s="58" customFormat="1" x14ac:dyDescent="0.2">
      <c r="B1265" s="954" t="s">
        <v>745</v>
      </c>
      <c r="O1265" s="955"/>
      <c r="P1265" s="955"/>
      <c r="Q1265" s="955"/>
    </row>
    <row r="1266" spans="1:17" s="58" customFormat="1" x14ac:dyDescent="0.2">
      <c r="P1266" s="694"/>
    </row>
    <row r="1267" spans="1:17" s="58" customFormat="1" x14ac:dyDescent="0.2">
      <c r="B1267" s="72" t="s">
        <v>61</v>
      </c>
      <c r="C1267" s="72" t="s">
        <v>45</v>
      </c>
      <c r="D1267" s="72" t="s">
        <v>106</v>
      </c>
      <c r="E1267" s="72" t="s">
        <v>52</v>
      </c>
      <c r="F1267" s="957" t="s">
        <v>55</v>
      </c>
      <c r="G1267" s="958"/>
      <c r="H1267" s="72" t="s">
        <v>56</v>
      </c>
      <c r="I1267" s="72" t="s">
        <v>61</v>
      </c>
      <c r="J1267" s="72" t="s">
        <v>59</v>
      </c>
      <c r="K1267" s="72" t="s">
        <v>57</v>
      </c>
      <c r="L1267" s="72" t="s">
        <v>34</v>
      </c>
      <c r="N1267" s="72" t="s">
        <v>43</v>
      </c>
    </row>
    <row r="1268" spans="1:17" s="58" customFormat="1" x14ac:dyDescent="0.2">
      <c r="B1268" s="959" t="s">
        <v>62</v>
      </c>
      <c r="C1268" s="959"/>
      <c r="D1268" s="959"/>
      <c r="E1268" s="959"/>
      <c r="F1268" s="960" t="s">
        <v>53</v>
      </c>
      <c r="G1268" s="960" t="s">
        <v>54</v>
      </c>
      <c r="H1268" s="961"/>
      <c r="I1268" s="962" t="s">
        <v>102</v>
      </c>
      <c r="J1268" s="962" t="s">
        <v>60</v>
      </c>
      <c r="K1268" s="959" t="s">
        <v>58</v>
      </c>
      <c r="L1268" s="962" t="s">
        <v>63</v>
      </c>
      <c r="N1268" s="961"/>
    </row>
    <row r="1269" spans="1:17" s="58" customFormat="1" x14ac:dyDescent="0.2">
      <c r="B1269" s="96"/>
      <c r="C1269" s="96"/>
      <c r="D1269" s="96"/>
      <c r="E1269" s="96"/>
      <c r="F1269" s="178"/>
      <c r="G1269" s="576">
        <f>F1269*2.08</f>
        <v>0</v>
      </c>
      <c r="H1269" s="163"/>
      <c r="I1269" s="577"/>
      <c r="J1269" s="577"/>
      <c r="K1269" s="96"/>
      <c r="L1269" s="577"/>
      <c r="N1269" s="163"/>
    </row>
    <row r="1270" spans="1:17" s="58" customFormat="1" x14ac:dyDescent="0.2">
      <c r="B1270" s="96"/>
      <c r="C1270" s="96"/>
      <c r="D1270" s="96"/>
      <c r="E1270" s="96"/>
      <c r="F1270" s="178"/>
      <c r="G1270" s="576"/>
      <c r="H1270" s="163"/>
      <c r="I1270" s="577"/>
      <c r="J1270" s="577"/>
      <c r="K1270" s="96"/>
      <c r="L1270" s="577"/>
      <c r="N1270" s="163"/>
    </row>
    <row r="1271" spans="1:17" s="58" customFormat="1" x14ac:dyDescent="0.2"/>
    <row r="1272" spans="1:17" s="58" customFormat="1" x14ac:dyDescent="0.2"/>
    <row r="1273" spans="1:17" s="58" customFormat="1" x14ac:dyDescent="0.2"/>
    <row r="1274" spans="1:17" s="58" customFormat="1" x14ac:dyDescent="0.2"/>
    <row r="1275" spans="1:17" s="58" customFormat="1" x14ac:dyDescent="0.2"/>
    <row r="1276" spans="1:17" s="58" customFormat="1" x14ac:dyDescent="0.2">
      <c r="A1276" s="596"/>
    </row>
    <row r="1277" spans="1:17" s="58" customFormat="1" x14ac:dyDescent="0.2"/>
    <row r="1278" spans="1:17" s="58" customFormat="1" x14ac:dyDescent="0.2">
      <c r="B1278" s="96"/>
      <c r="C1278" s="96"/>
      <c r="D1278" s="96"/>
      <c r="E1278" s="96"/>
      <c r="F1278" s="178"/>
      <c r="G1278" s="576"/>
      <c r="H1278" s="163"/>
      <c r="I1278" s="577"/>
      <c r="J1278" s="577"/>
      <c r="K1278" s="96"/>
      <c r="L1278" s="577"/>
      <c r="N1278" s="163"/>
    </row>
    <row r="1279" spans="1:17" s="58" customFormat="1" x14ac:dyDescent="0.2">
      <c r="B1279" s="96"/>
      <c r="C1279" s="96"/>
      <c r="D1279" s="96"/>
      <c r="E1279" s="96"/>
      <c r="F1279" s="178"/>
      <c r="G1279" s="576"/>
      <c r="H1279" s="163"/>
      <c r="I1279" s="577"/>
      <c r="J1279" s="577"/>
      <c r="K1279" s="96"/>
      <c r="L1279" s="577"/>
      <c r="N1279" s="163"/>
    </row>
    <row r="1280" spans="1:17" s="58" customFormat="1" x14ac:dyDescent="0.2">
      <c r="B1280" s="96"/>
      <c r="C1280" s="96"/>
      <c r="D1280" s="96"/>
      <c r="E1280" s="96"/>
      <c r="F1280" s="178"/>
      <c r="G1280" s="576">
        <f>F1280*1.86</f>
        <v>0</v>
      </c>
      <c r="H1280" s="163"/>
      <c r="I1280" s="577"/>
      <c r="J1280" s="577"/>
      <c r="K1280" s="96"/>
      <c r="L1280" s="579"/>
      <c r="N1280" s="163"/>
    </row>
    <row r="1281" spans="2:16" s="58" customFormat="1" x14ac:dyDescent="0.2">
      <c r="B1281" s="96"/>
      <c r="C1281" s="832" t="s">
        <v>623</v>
      </c>
      <c r="D1281" s="96"/>
      <c r="E1281" s="96"/>
      <c r="F1281" s="178"/>
      <c r="G1281" s="178">
        <f>SUM(G1280:G1280)</f>
        <v>0</v>
      </c>
      <c r="H1281" s="163"/>
      <c r="I1281" s="577"/>
      <c r="J1281" s="577"/>
      <c r="K1281" s="96"/>
      <c r="L1281" s="579"/>
      <c r="N1281" s="163"/>
      <c r="O1281" s="967">
        <f>SUM(O1280:O1280)</f>
        <v>0</v>
      </c>
      <c r="P1281" s="968"/>
    </row>
    <row r="1282" spans="2:16" s="58" customFormat="1" x14ac:dyDescent="0.2">
      <c r="B1282" s="96"/>
      <c r="C1282" s="96"/>
      <c r="D1282" s="96"/>
      <c r="E1282" s="96"/>
      <c r="F1282" s="178"/>
      <c r="G1282" s="178"/>
      <c r="H1282" s="163"/>
      <c r="I1282" s="577"/>
      <c r="J1282" s="577"/>
      <c r="K1282" s="96"/>
      <c r="L1282" s="579"/>
      <c r="N1282" s="163"/>
      <c r="O1282" s="969"/>
      <c r="P1282" s="969"/>
    </row>
    <row r="1283" spans="2:16" s="58" customFormat="1" ht="13.5" thickBot="1" x14ac:dyDescent="0.25">
      <c r="B1283" s="96"/>
      <c r="C1283" s="96"/>
      <c r="D1283" s="96"/>
      <c r="E1283" s="96"/>
      <c r="F1283" s="178"/>
      <c r="G1283" s="178"/>
      <c r="H1283" s="163"/>
      <c r="I1283" s="577"/>
      <c r="J1283" s="577"/>
      <c r="K1283" s="96"/>
      <c r="L1283" s="579"/>
      <c r="N1283" s="163"/>
      <c r="O1283" s="968" t="e">
        <f>O1281+O1222+#REF!+#REF!</f>
        <v>#REF!</v>
      </c>
      <c r="P1283" s="968" t="e">
        <f>P1281+P1222+#REF!+#REF!</f>
        <v>#REF!</v>
      </c>
    </row>
    <row r="1284" spans="2:16" s="58" customFormat="1" x14ac:dyDescent="0.2">
      <c r="B1284" s="96"/>
      <c r="C1284" s="970"/>
      <c r="D1284" s="971"/>
      <c r="E1284" s="971"/>
      <c r="F1284" s="972"/>
      <c r="G1284" s="973"/>
      <c r="H1284" s="163"/>
      <c r="I1284" s="577"/>
      <c r="J1284" s="965"/>
      <c r="K1284" s="96"/>
      <c r="L1284" s="577" t="s">
        <v>140</v>
      </c>
      <c r="N1284" s="163"/>
    </row>
    <row r="1285" spans="2:16" s="58" customFormat="1" ht="15.75" x14ac:dyDescent="0.25">
      <c r="B1285" s="96"/>
      <c r="C1285" s="974" t="s">
        <v>483</v>
      </c>
      <c r="D1285" s="96"/>
      <c r="E1285" s="96"/>
      <c r="F1285" s="178"/>
      <c r="G1285" s="975" t="e">
        <f>G1281+G1222+#REF!+#REF!</f>
        <v>#REF!</v>
      </c>
      <c r="H1285" s="163"/>
      <c r="I1285" s="577"/>
      <c r="J1285" s="965"/>
      <c r="K1285" s="96"/>
      <c r="L1285" s="577" t="s">
        <v>72</v>
      </c>
      <c r="N1285" s="163"/>
    </row>
    <row r="1286" spans="2:16" s="58" customFormat="1" ht="13.5" thickBot="1" x14ac:dyDescent="0.25">
      <c r="B1286" s="96"/>
      <c r="C1286" s="976"/>
      <c r="D1286" s="977"/>
      <c r="E1286" s="977"/>
      <c r="F1286" s="978"/>
      <c r="G1286" s="979"/>
      <c r="H1286" s="163"/>
      <c r="I1286" s="577"/>
      <c r="J1286" s="965"/>
      <c r="K1286" s="96"/>
      <c r="L1286" s="577" t="s">
        <v>70</v>
      </c>
      <c r="N1286" s="163"/>
    </row>
    <row r="1287" spans="2:16" s="58" customFormat="1" x14ac:dyDescent="0.2">
      <c r="B1287" s="96"/>
      <c r="C1287" s="577"/>
      <c r="D1287" s="96"/>
      <c r="E1287" s="96"/>
      <c r="F1287" s="178"/>
      <c r="G1287" s="178"/>
      <c r="H1287" s="163"/>
      <c r="I1287" s="577"/>
      <c r="J1287" s="965"/>
      <c r="K1287" s="96"/>
      <c r="L1287" s="577"/>
      <c r="N1287" s="163"/>
    </row>
    <row r="1288" spans="2:16" s="58" customFormat="1" x14ac:dyDescent="0.2">
      <c r="B1288" s="96"/>
      <c r="C1288" s="577"/>
      <c r="D1288" s="96"/>
      <c r="E1288" s="96"/>
      <c r="F1288" s="178"/>
      <c r="G1288" s="178"/>
      <c r="H1288" s="163"/>
      <c r="I1288" s="577"/>
      <c r="J1288" s="965"/>
      <c r="K1288" s="96"/>
      <c r="L1288" s="577"/>
      <c r="N1288" s="163"/>
    </row>
    <row r="1289" spans="2:16" s="58" customFormat="1" x14ac:dyDescent="0.2"/>
    <row r="1290" spans="2:16" s="58" customFormat="1" x14ac:dyDescent="0.2"/>
    <row r="1291" spans="2:16" s="58" customFormat="1" x14ac:dyDescent="0.2"/>
    <row r="1292" spans="2:16" s="58" customFormat="1" x14ac:dyDescent="0.2"/>
    <row r="1293" spans="2:16" s="58" customFormat="1" x14ac:dyDescent="0.2"/>
    <row r="1294" spans="2:16" s="58" customFormat="1" x14ac:dyDescent="0.2"/>
    <row r="1295" spans="2:16" s="58" customFormat="1" x14ac:dyDescent="0.2"/>
    <row r="1296" spans="2:16" s="58" customFormat="1" x14ac:dyDescent="0.2"/>
    <row r="1297" spans="1:2" s="58" customFormat="1" x14ac:dyDescent="0.2"/>
    <row r="1298" spans="1:2" s="58" customFormat="1" x14ac:dyDescent="0.2"/>
    <row r="1299" spans="1:2" s="58" customFormat="1" x14ac:dyDescent="0.2"/>
    <row r="1300" spans="1:2" s="58" customFormat="1" x14ac:dyDescent="0.2"/>
    <row r="1301" spans="1:2" s="58" customFormat="1" x14ac:dyDescent="0.2"/>
    <row r="1302" spans="1:2" s="58" customFormat="1" x14ac:dyDescent="0.2"/>
    <row r="1303" spans="1:2" s="58" customFormat="1" x14ac:dyDescent="0.2">
      <c r="A1303" s="58">
        <v>1203.3309999999999</v>
      </c>
      <c r="B1303" s="58">
        <v>0.5</v>
      </c>
    </row>
    <row r="1304" spans="1:2" s="58" customFormat="1" x14ac:dyDescent="0.2">
      <c r="A1304" s="58">
        <v>528.47699999999998</v>
      </c>
      <c r="B1304" s="58">
        <v>0.5</v>
      </c>
    </row>
    <row r="1305" spans="1:2" s="58" customFormat="1" x14ac:dyDescent="0.2">
      <c r="A1305" s="58">
        <v>300.86399999999998</v>
      </c>
      <c r="B1305" s="58">
        <v>0.5</v>
      </c>
    </row>
    <row r="1306" spans="1:2" s="58" customFormat="1" x14ac:dyDescent="0.2">
      <c r="A1306" s="58">
        <v>210.5</v>
      </c>
      <c r="B1306" s="58">
        <v>0.5</v>
      </c>
    </row>
    <row r="1307" spans="1:2" s="58" customFormat="1" x14ac:dyDescent="0.2">
      <c r="A1307" s="58">
        <v>410.08499999999998</v>
      </c>
      <c r="B1307" s="58">
        <v>0.5</v>
      </c>
    </row>
    <row r="1308" spans="1:2" s="58" customFormat="1" x14ac:dyDescent="0.2">
      <c r="A1308" s="58">
        <v>166.57900000000001</v>
      </c>
      <c r="B1308" s="58">
        <v>0.5</v>
      </c>
    </row>
    <row r="1309" spans="1:2" s="58" customFormat="1" x14ac:dyDescent="0.2">
      <c r="A1309" s="58">
        <v>6740.1360000000004</v>
      </c>
      <c r="B1309" s="58">
        <v>0.5</v>
      </c>
    </row>
    <row r="1310" spans="1:2" s="58" customFormat="1" x14ac:dyDescent="0.2">
      <c r="A1310" s="58">
        <v>142.69</v>
      </c>
      <c r="B1310" s="58">
        <v>0.5</v>
      </c>
    </row>
    <row r="1311" spans="1:2" s="58" customFormat="1" x14ac:dyDescent="0.2">
      <c r="A1311" s="58">
        <v>18.2</v>
      </c>
      <c r="B1311" s="58">
        <v>0.5</v>
      </c>
    </row>
    <row r="1312" spans="1:2" s="58" customFormat="1" x14ac:dyDescent="0.2">
      <c r="A1312" s="58">
        <v>147.958</v>
      </c>
      <c r="B1312" s="58">
        <v>0.5</v>
      </c>
    </row>
    <row r="1313" spans="1:5" s="58" customFormat="1" x14ac:dyDescent="0.2">
      <c r="A1313" s="58">
        <v>18.2</v>
      </c>
      <c r="B1313" s="58">
        <v>0.5</v>
      </c>
    </row>
    <row r="1314" spans="1:5" s="58" customFormat="1" x14ac:dyDescent="0.2">
      <c r="A1314" s="58">
        <v>144.02600000000001</v>
      </c>
      <c r="B1314" s="58">
        <v>0.5</v>
      </c>
    </row>
    <row r="1315" spans="1:5" x14ac:dyDescent="0.2">
      <c r="A1315" s="58">
        <v>276.93700000000001</v>
      </c>
      <c r="B1315" s="58">
        <v>0.5</v>
      </c>
    </row>
    <row r="1316" spans="1:5" x14ac:dyDescent="0.2">
      <c r="A1316" s="58">
        <v>14.66</v>
      </c>
      <c r="B1316" s="58">
        <v>0.5</v>
      </c>
    </row>
    <row r="1317" spans="1:5" x14ac:dyDescent="0.2">
      <c r="A1317" s="58">
        <v>238.11</v>
      </c>
      <c r="B1317" s="58">
        <v>0.5</v>
      </c>
    </row>
    <row r="1318" spans="1:5" x14ac:dyDescent="0.2">
      <c r="A1318" s="58">
        <v>211.24799999999999</v>
      </c>
      <c r="B1318" s="58">
        <v>0.5</v>
      </c>
    </row>
    <row r="1319" spans="1:5" x14ac:dyDescent="0.2">
      <c r="A1319" s="58">
        <v>73.948999999999998</v>
      </c>
      <c r="B1319" s="58">
        <v>0.5</v>
      </c>
    </row>
    <row r="1320" spans="1:5" x14ac:dyDescent="0.2">
      <c r="A1320" s="58">
        <v>1190.712</v>
      </c>
      <c r="B1320" s="58">
        <v>0.5</v>
      </c>
    </row>
    <row r="1321" spans="1:5" x14ac:dyDescent="0.2">
      <c r="A1321" s="58">
        <v>569.66499999999996</v>
      </c>
      <c r="B1321" s="58">
        <v>0.5</v>
      </c>
    </row>
    <row r="1322" spans="1:5" x14ac:dyDescent="0.2">
      <c r="A1322" s="58">
        <v>681.36</v>
      </c>
      <c r="B1322" s="58">
        <v>0.5</v>
      </c>
    </row>
    <row r="1327" spans="1:5" ht="23.25" x14ac:dyDescent="0.2">
      <c r="C1327" s="1014" t="s">
        <v>1035</v>
      </c>
      <c r="D1327" s="1014"/>
      <c r="E1327" s="1014"/>
    </row>
    <row r="1329" spans="1:24" ht="18" x14ac:dyDescent="0.25">
      <c r="B1329" s="257" t="s">
        <v>895</v>
      </c>
    </row>
    <row r="1330" spans="1:24" x14ac:dyDescent="0.2">
      <c r="C1330" s="1" t="s">
        <v>896</v>
      </c>
    </row>
    <row r="1331" spans="1:24" x14ac:dyDescent="0.2">
      <c r="C1331" s="1"/>
    </row>
    <row r="1332" spans="1:24" s="1009" customFormat="1" x14ac:dyDescent="0.2">
      <c r="A1332" s="1005">
        <v>42051</v>
      </c>
      <c r="B1332" s="1006"/>
      <c r="C1332" s="999" t="s">
        <v>818</v>
      </c>
      <c r="D1332" s="999" t="s">
        <v>86</v>
      </c>
      <c r="E1332" s="993">
        <v>2</v>
      </c>
      <c r="F1332" s="994">
        <v>3075.24</v>
      </c>
      <c r="G1332" s="1007">
        <f>+F1332*2.2</f>
        <v>6765.5280000000002</v>
      </c>
      <c r="H1332" s="992" t="s">
        <v>113</v>
      </c>
      <c r="I1332" s="1008"/>
      <c r="K1332" s="1002" t="s">
        <v>250</v>
      </c>
      <c r="L1332" s="999"/>
      <c r="N1332" s="1006"/>
      <c r="P1332" s="999" t="s">
        <v>1018</v>
      </c>
      <c r="Q1332" s="842"/>
      <c r="R1332" s="842"/>
      <c r="S1332" s="842"/>
      <c r="T1332" s="842"/>
      <c r="U1332" s="842"/>
      <c r="V1332" s="842"/>
      <c r="W1332" s="842"/>
      <c r="X1332" s="842"/>
    </row>
    <row r="1333" spans="1:24" s="1003" customFormat="1" x14ac:dyDescent="0.2">
      <c r="A1333" s="1010">
        <v>42066</v>
      </c>
      <c r="C1333" s="999" t="s">
        <v>826</v>
      </c>
      <c r="D1333" s="999" t="s">
        <v>943</v>
      </c>
      <c r="E1333" s="999"/>
      <c r="F1333" s="1000">
        <v>19000</v>
      </c>
      <c r="G1333" s="1007">
        <f>F1333*2.2</f>
        <v>41800</v>
      </c>
      <c r="H1333" s="992" t="s">
        <v>113</v>
      </c>
      <c r="I1333" s="1001"/>
      <c r="J1333" s="1001"/>
      <c r="K1333" s="1002" t="s">
        <v>250</v>
      </c>
      <c r="L1333" s="999"/>
      <c r="N1333" s="1004"/>
      <c r="P1333" s="999" t="s">
        <v>1018</v>
      </c>
      <c r="Q1333" s="603"/>
      <c r="R1333" s="603"/>
      <c r="S1333" s="603"/>
      <c r="T1333" s="603"/>
      <c r="U1333" s="603"/>
      <c r="V1333" s="603"/>
      <c r="W1333" s="603"/>
      <c r="X1333" s="603"/>
    </row>
    <row r="1334" spans="1:24" s="603" customFormat="1" x14ac:dyDescent="0.2">
      <c r="A1334" s="964">
        <v>42136</v>
      </c>
      <c r="B1334" s="637">
        <v>864</v>
      </c>
      <c r="C1334" s="612" t="s">
        <v>223</v>
      </c>
      <c r="D1334" s="612"/>
      <c r="E1334" s="612">
        <v>19</v>
      </c>
      <c r="F1334" s="600">
        <v>14556.9</v>
      </c>
      <c r="G1334" s="774">
        <f>F1334*2.2</f>
        <v>32025.18</v>
      </c>
      <c r="H1334" s="611" t="s">
        <v>113</v>
      </c>
      <c r="I1334" s="599"/>
      <c r="J1334" s="639">
        <v>42115</v>
      </c>
      <c r="K1334" s="612" t="s">
        <v>500</v>
      </c>
      <c r="L1334" s="639">
        <v>42176</v>
      </c>
      <c r="N1334" s="606"/>
      <c r="P1334" s="578">
        <v>42176</v>
      </c>
    </row>
    <row r="1335" spans="1:24" s="603" customFormat="1" x14ac:dyDescent="0.2">
      <c r="A1335" s="578">
        <v>42124</v>
      </c>
      <c r="B1335" s="637">
        <v>858</v>
      </c>
      <c r="C1335" s="597" t="s">
        <v>285</v>
      </c>
      <c r="D1335" s="597"/>
      <c r="E1335" s="597">
        <v>11</v>
      </c>
      <c r="F1335" s="600">
        <v>4331.43</v>
      </c>
      <c r="G1335" s="774">
        <f>F1335*2.18</f>
        <v>9442.5174000000006</v>
      </c>
      <c r="H1335" s="610" t="s">
        <v>113</v>
      </c>
      <c r="I1335" s="599"/>
      <c r="J1335" s="639">
        <v>42091</v>
      </c>
      <c r="K1335" s="612" t="s">
        <v>384</v>
      </c>
      <c r="L1335" s="639">
        <v>42183</v>
      </c>
      <c r="N1335" s="606"/>
      <c r="P1335" s="578">
        <v>42183</v>
      </c>
    </row>
    <row r="1336" spans="1:24" s="603" customFormat="1" x14ac:dyDescent="0.2">
      <c r="A1336" s="964">
        <v>42133</v>
      </c>
      <c r="B1336" s="637">
        <v>863</v>
      </c>
      <c r="C1336" s="612" t="s">
        <v>713</v>
      </c>
      <c r="D1336" s="612" t="s">
        <v>88</v>
      </c>
      <c r="E1336" s="612">
        <v>5</v>
      </c>
      <c r="F1336" s="600">
        <v>7122.1</v>
      </c>
      <c r="G1336" s="600">
        <f>F1336*2.2</f>
        <v>15668.620000000003</v>
      </c>
      <c r="H1336" s="611" t="s">
        <v>113</v>
      </c>
      <c r="I1336" s="599"/>
      <c r="J1336" s="639">
        <v>42121</v>
      </c>
      <c r="K1336" s="612" t="s">
        <v>384</v>
      </c>
      <c r="L1336" s="639"/>
      <c r="N1336" s="606"/>
      <c r="Q1336" s="578">
        <v>42212</v>
      </c>
    </row>
    <row r="1337" spans="1:24" x14ac:dyDescent="0.2">
      <c r="A1337" s="578"/>
      <c r="B1337" s="637"/>
      <c r="C1337" s="711"/>
      <c r="D1337" s="575"/>
      <c r="E1337" s="575"/>
      <c r="F1337" s="600"/>
      <c r="G1337" s="601"/>
      <c r="H1337" s="575"/>
      <c r="I1337" s="575"/>
      <c r="J1337" s="578"/>
      <c r="K1337" s="637"/>
      <c r="L1337" s="578"/>
      <c r="M1337" s="713"/>
      <c r="Q1337" s="58"/>
      <c r="R1337" s="58"/>
      <c r="S1337" s="58"/>
      <c r="T1337" s="58"/>
      <c r="U1337" s="58"/>
      <c r="V1337" s="58"/>
      <c r="W1337" s="58"/>
      <c r="X1337" s="58"/>
    </row>
    <row r="1338" spans="1:24" x14ac:dyDescent="0.2">
      <c r="A1338" s="578"/>
      <c r="B1338" s="637"/>
      <c r="C1338" s="711"/>
      <c r="D1338" s="575"/>
      <c r="E1338" s="575"/>
      <c r="F1338" s="178" t="s">
        <v>888</v>
      </c>
      <c r="G1338" s="601">
        <f>SUBTOTAL(9,G1332:G1337)</f>
        <v>105701.84539999999</v>
      </c>
      <c r="H1338" s="575"/>
      <c r="I1338" s="575"/>
      <c r="J1338" s="578"/>
      <c r="K1338" s="637"/>
      <c r="L1338" s="578"/>
      <c r="M1338" s="713"/>
      <c r="Q1338" s="58"/>
      <c r="R1338" s="58"/>
      <c r="S1338" s="58"/>
      <c r="T1338" s="58"/>
      <c r="U1338" s="58"/>
      <c r="V1338" s="58"/>
      <c r="W1338" s="58"/>
      <c r="X1338" s="58"/>
    </row>
    <row r="1339" spans="1:24" x14ac:dyDescent="0.2">
      <c r="A1339" s="578"/>
      <c r="B1339" s="637"/>
      <c r="C1339" s="711"/>
      <c r="D1339" s="575"/>
      <c r="E1339" s="575"/>
      <c r="F1339" s="178"/>
      <c r="G1339" s="601"/>
      <c r="H1339" s="575"/>
      <c r="I1339" s="575"/>
      <c r="J1339" s="578"/>
      <c r="K1339" s="637"/>
      <c r="L1339" s="578"/>
      <c r="M1339" s="713"/>
      <c r="Q1339" s="58"/>
      <c r="R1339" s="58"/>
      <c r="S1339" s="58"/>
      <c r="T1339" s="58"/>
      <c r="U1339" s="58"/>
      <c r="V1339" s="58"/>
      <c r="W1339" s="58"/>
      <c r="X1339" s="58"/>
    </row>
    <row r="1340" spans="1:24" x14ac:dyDescent="0.2">
      <c r="A1340" s="578"/>
      <c r="B1340" s="637"/>
      <c r="C1340" s="1" t="s">
        <v>897</v>
      </c>
      <c r="D1340" s="575"/>
      <c r="E1340" s="575"/>
      <c r="F1340" s="178"/>
      <c r="G1340" s="601"/>
      <c r="H1340" s="575"/>
      <c r="I1340" s="575"/>
      <c r="J1340" s="578"/>
      <c r="K1340" s="637"/>
      <c r="L1340" s="578"/>
      <c r="M1340" s="713"/>
      <c r="Q1340" s="58"/>
      <c r="R1340" s="58"/>
      <c r="S1340" s="58"/>
      <c r="T1340" s="58"/>
      <c r="U1340" s="58"/>
      <c r="V1340" s="58"/>
      <c r="W1340" s="58"/>
      <c r="X1340" s="58"/>
    </row>
    <row r="1341" spans="1:24" x14ac:dyDescent="0.2">
      <c r="A1341" s="578"/>
      <c r="B1341" s="637"/>
      <c r="C1341" s="711"/>
      <c r="D1341" s="575"/>
      <c r="E1341" s="575"/>
      <c r="F1341" s="178"/>
      <c r="G1341" s="601"/>
      <c r="H1341" s="575"/>
      <c r="I1341" s="575"/>
      <c r="J1341" s="578"/>
      <c r="K1341" s="637"/>
      <c r="L1341" s="578"/>
      <c r="M1341" s="713"/>
      <c r="Q1341" s="58"/>
      <c r="R1341" s="58"/>
      <c r="S1341" s="58"/>
      <c r="T1341" s="58"/>
      <c r="U1341" s="58"/>
      <c r="V1341" s="58"/>
      <c r="W1341" s="58"/>
      <c r="X1341" s="58"/>
    </row>
    <row r="1342" spans="1:24" s="611" customFormat="1" x14ac:dyDescent="0.2">
      <c r="A1342" s="607">
        <v>41920</v>
      </c>
      <c r="B1342" s="788">
        <v>800</v>
      </c>
      <c r="C1342" s="827" t="s">
        <v>848</v>
      </c>
      <c r="D1342" s="609"/>
      <c r="E1342" s="609">
        <v>35</v>
      </c>
      <c r="F1342" s="625">
        <v>67830.289999999994</v>
      </c>
      <c r="G1342" s="774">
        <f>F1342*2.3</f>
        <v>156009.66699999999</v>
      </c>
      <c r="H1342" s="610" t="s">
        <v>113</v>
      </c>
      <c r="I1342" s="626"/>
      <c r="J1342" s="626"/>
      <c r="K1342" s="609" t="s">
        <v>250</v>
      </c>
      <c r="L1342" s="689">
        <v>42002</v>
      </c>
      <c r="M1342" s="607" t="s">
        <v>719</v>
      </c>
      <c r="N1342" s="610"/>
      <c r="O1342" s="607">
        <v>42002</v>
      </c>
      <c r="P1342" s="607">
        <v>42095</v>
      </c>
      <c r="Q1342" s="607">
        <v>42186</v>
      </c>
    </row>
    <row r="1343" spans="1:24" x14ac:dyDescent="0.2">
      <c r="Q1343" s="58"/>
      <c r="R1343" s="58"/>
      <c r="S1343" s="58"/>
      <c r="T1343" s="58"/>
      <c r="U1343" s="58"/>
      <c r="V1343" s="58"/>
      <c r="W1343" s="58"/>
      <c r="X1343" s="58"/>
    </row>
    <row r="1344" spans="1:24" x14ac:dyDescent="0.2">
      <c r="F1344" s="178" t="s">
        <v>888</v>
      </c>
      <c r="G1344" s="495">
        <f>+G1342</f>
        <v>156009.66699999999</v>
      </c>
      <c r="Q1344" s="58"/>
      <c r="R1344" s="58"/>
      <c r="S1344" s="58"/>
      <c r="T1344" s="58"/>
      <c r="U1344" s="58"/>
      <c r="V1344" s="58"/>
      <c r="W1344" s="58"/>
      <c r="X1344" s="58"/>
    </row>
    <row r="1345" spans="1:24" ht="18" x14ac:dyDescent="0.25">
      <c r="B1345" s="257" t="s">
        <v>70</v>
      </c>
      <c r="Q1345" s="58"/>
      <c r="R1345" s="58"/>
      <c r="S1345" s="58"/>
      <c r="T1345" s="58"/>
      <c r="U1345" s="58"/>
      <c r="V1345" s="58"/>
      <c r="W1345" s="58"/>
      <c r="X1345" s="58"/>
    </row>
    <row r="1346" spans="1:24" x14ac:dyDescent="0.2">
      <c r="C1346" s="1" t="s">
        <v>896</v>
      </c>
      <c r="Q1346" s="58"/>
      <c r="R1346" s="58"/>
      <c r="S1346" s="58"/>
      <c r="T1346" s="58"/>
      <c r="U1346" s="58"/>
      <c r="V1346" s="58"/>
      <c r="W1346" s="58"/>
      <c r="X1346" s="58"/>
    </row>
    <row r="1347" spans="1:24" s="611" customFormat="1" x14ac:dyDescent="0.2">
      <c r="A1347" s="607"/>
      <c r="B1347" s="628"/>
      <c r="C1347" s="612"/>
      <c r="E1347" s="612"/>
      <c r="F1347" s="688"/>
      <c r="G1347" s="774"/>
      <c r="J1347" s="879"/>
      <c r="K1347" s="612"/>
      <c r="L1347" s="879"/>
      <c r="P1347" s="879"/>
    </row>
    <row r="1348" spans="1:24" s="603" customFormat="1" x14ac:dyDescent="0.2">
      <c r="A1348" s="578">
        <v>42140</v>
      </c>
      <c r="B1348" s="637">
        <v>866</v>
      </c>
      <c r="C1348" s="597" t="s">
        <v>844</v>
      </c>
      <c r="D1348" s="597" t="s">
        <v>86</v>
      </c>
      <c r="E1348" s="597"/>
      <c r="F1348" s="600">
        <v>7428.6</v>
      </c>
      <c r="G1348" s="600">
        <f>+F1348*2.2</f>
        <v>16342.920000000002</v>
      </c>
      <c r="H1348" s="611" t="s">
        <v>70</v>
      </c>
      <c r="I1348" s="599"/>
      <c r="J1348" s="602">
        <v>42129</v>
      </c>
      <c r="K1348" s="597" t="s">
        <v>500</v>
      </c>
      <c r="L1348" s="602"/>
      <c r="N1348" s="606"/>
      <c r="Q1348" s="578">
        <v>42190</v>
      </c>
    </row>
    <row r="1349" spans="1:24" s="603" customFormat="1" x14ac:dyDescent="0.2">
      <c r="A1349" s="607">
        <v>42130</v>
      </c>
      <c r="B1349" s="637">
        <v>859</v>
      </c>
      <c r="C1349" s="612" t="s">
        <v>187</v>
      </c>
      <c r="D1349" s="612" t="s">
        <v>86</v>
      </c>
      <c r="E1349" s="612">
        <v>14</v>
      </c>
      <c r="F1349" s="600">
        <v>4728.82</v>
      </c>
      <c r="G1349" s="600">
        <f>F1349*2.15</f>
        <v>10166.963</v>
      </c>
      <c r="H1349" s="611" t="s">
        <v>70</v>
      </c>
      <c r="I1349" s="599"/>
      <c r="J1349" s="639">
        <v>42112</v>
      </c>
      <c r="K1349" s="597" t="s">
        <v>384</v>
      </c>
      <c r="L1349" s="639"/>
      <c r="N1349" s="606"/>
      <c r="Q1349" s="578">
        <v>42203</v>
      </c>
    </row>
    <row r="1350" spans="1:24" s="603" customFormat="1" x14ac:dyDescent="0.2">
      <c r="A1350" s="578"/>
      <c r="B1350" s="637"/>
      <c r="C1350" s="597"/>
      <c r="D1350" s="597"/>
      <c r="E1350" s="597"/>
      <c r="F1350" s="600"/>
      <c r="G1350" s="600"/>
      <c r="H1350" s="611"/>
      <c r="I1350" s="599"/>
      <c r="J1350" s="602"/>
      <c r="K1350" s="597"/>
      <c r="L1350" s="602"/>
      <c r="N1350" s="606"/>
      <c r="Q1350" s="578"/>
    </row>
    <row r="1351" spans="1:24" x14ac:dyDescent="0.2">
      <c r="A1351" s="578"/>
      <c r="B1351" s="637"/>
      <c r="C1351" s="711"/>
      <c r="D1351" s="575"/>
      <c r="E1351" s="575"/>
      <c r="F1351" s="178" t="s">
        <v>888</v>
      </c>
      <c r="G1351" s="601">
        <f>SUBTOTAL(9,G1347:G1350)</f>
        <v>26509.883000000002</v>
      </c>
      <c r="H1351" s="575"/>
      <c r="I1351" s="575"/>
      <c r="J1351" s="578"/>
      <c r="K1351" s="637"/>
      <c r="L1351" s="578"/>
      <c r="M1351" s="713"/>
      <c r="N1351" s="575"/>
      <c r="Q1351" s="58"/>
      <c r="R1351" s="58"/>
      <c r="S1351" s="58"/>
      <c r="T1351" s="58"/>
      <c r="U1351" s="58"/>
      <c r="V1351" s="58"/>
      <c r="W1351" s="58"/>
      <c r="X1351" s="58"/>
    </row>
    <row r="1352" spans="1:24" x14ac:dyDescent="0.2">
      <c r="A1352" s="578"/>
      <c r="B1352" s="637"/>
      <c r="C1352" s="711"/>
      <c r="D1352" s="575"/>
      <c r="E1352" s="575"/>
      <c r="F1352" s="178"/>
      <c r="G1352" s="601"/>
      <c r="H1352" s="575"/>
      <c r="I1352" s="575"/>
      <c r="J1352" s="578"/>
      <c r="K1352" s="637"/>
      <c r="L1352" s="578"/>
      <c r="M1352" s="713"/>
      <c r="N1352" s="575"/>
      <c r="Q1352" s="58"/>
      <c r="R1352" s="58"/>
      <c r="S1352" s="58"/>
      <c r="T1352" s="58"/>
      <c r="U1352" s="58"/>
      <c r="V1352" s="58"/>
      <c r="W1352" s="58"/>
      <c r="X1352" s="58"/>
    </row>
    <row r="1353" spans="1:24" x14ac:dyDescent="0.2">
      <c r="A1353" s="578"/>
      <c r="B1353" s="637"/>
      <c r="C1353" s="1" t="s">
        <v>897</v>
      </c>
      <c r="D1353" s="575"/>
      <c r="E1353" s="575"/>
      <c r="F1353" s="178"/>
      <c r="G1353" s="601"/>
      <c r="H1353" s="575"/>
      <c r="I1353" s="575"/>
      <c r="J1353" s="578"/>
      <c r="K1353" s="637"/>
      <c r="L1353" s="578"/>
      <c r="M1353" s="713"/>
      <c r="N1353" s="575"/>
      <c r="Q1353" s="58"/>
      <c r="R1353" s="58"/>
      <c r="S1353" s="58"/>
      <c r="T1353" s="58"/>
      <c r="U1353" s="58"/>
      <c r="V1353" s="58"/>
      <c r="W1353" s="58"/>
      <c r="X1353" s="58"/>
    </row>
    <row r="1354" spans="1:24" x14ac:dyDescent="0.2">
      <c r="A1354" s="578"/>
      <c r="B1354" s="637"/>
      <c r="C1354" s="1"/>
      <c r="D1354" s="575"/>
      <c r="E1354" s="575"/>
      <c r="F1354" s="178"/>
      <c r="G1354" s="601"/>
      <c r="H1354" s="575"/>
      <c r="I1354" s="575"/>
      <c r="J1354" s="578"/>
      <c r="K1354" s="637"/>
      <c r="L1354" s="578"/>
      <c r="M1354" s="713"/>
      <c r="N1354" s="575"/>
      <c r="Q1354" s="58"/>
      <c r="R1354" s="58"/>
      <c r="S1354" s="58"/>
      <c r="T1354" s="58"/>
      <c r="U1354" s="58"/>
      <c r="V1354" s="58"/>
      <c r="W1354" s="58"/>
      <c r="X1354" s="58"/>
    </row>
    <row r="1355" spans="1:24" x14ac:dyDescent="0.2">
      <c r="A1355" s="578"/>
      <c r="B1355" s="637"/>
      <c r="C1355" s="1"/>
      <c r="D1355" s="575"/>
      <c r="E1355" s="575"/>
      <c r="F1355" s="178"/>
      <c r="G1355" s="601"/>
      <c r="H1355" s="575"/>
      <c r="I1355" s="575"/>
      <c r="J1355" s="578"/>
      <c r="K1355" s="637"/>
      <c r="L1355" s="578"/>
      <c r="M1355" s="713"/>
      <c r="N1355" s="575"/>
      <c r="Q1355" s="58"/>
      <c r="R1355" s="58"/>
      <c r="S1355" s="58"/>
      <c r="T1355" s="58"/>
      <c r="U1355" s="58"/>
      <c r="V1355" s="58"/>
      <c r="W1355" s="58"/>
      <c r="X1355" s="58"/>
    </row>
    <row r="1356" spans="1:24" s="611" customFormat="1" x14ac:dyDescent="0.2">
      <c r="A1356" s="607">
        <v>41921</v>
      </c>
      <c r="B1356" s="1026">
        <v>805</v>
      </c>
      <c r="C1356" s="612" t="s">
        <v>712</v>
      </c>
      <c r="E1356" s="628">
        <v>3</v>
      </c>
      <c r="F1356" s="688">
        <v>57942.46</v>
      </c>
      <c r="G1356" s="774">
        <f>+F1356*2.3</f>
        <v>133267.658</v>
      </c>
      <c r="H1356" s="611" t="s">
        <v>70</v>
      </c>
      <c r="K1356" s="628" t="s">
        <v>250</v>
      </c>
      <c r="L1356" s="1027">
        <v>42009</v>
      </c>
      <c r="M1356" s="611" t="s">
        <v>719</v>
      </c>
      <c r="O1356" s="607">
        <v>42009</v>
      </c>
      <c r="P1356" s="607">
        <v>42100</v>
      </c>
      <c r="Q1356" s="607">
        <v>42191</v>
      </c>
    </row>
    <row r="1357" spans="1:24" x14ac:dyDescent="0.2">
      <c r="A1357" s="578"/>
      <c r="B1357" s="637"/>
      <c r="C1357" s="711"/>
      <c r="D1357" s="575"/>
      <c r="E1357" s="575"/>
      <c r="F1357" s="178"/>
      <c r="G1357" s="601"/>
      <c r="H1357" s="575"/>
      <c r="I1357" s="575"/>
      <c r="J1357" s="578"/>
      <c r="K1357" s="637"/>
      <c r="L1357" s="578"/>
      <c r="M1357" s="713"/>
      <c r="N1357" s="575"/>
      <c r="Q1357" s="58"/>
      <c r="R1357" s="58"/>
      <c r="S1357" s="58"/>
      <c r="T1357" s="58"/>
      <c r="U1357" s="58"/>
      <c r="V1357" s="58"/>
      <c r="W1357" s="58"/>
      <c r="X1357" s="58"/>
    </row>
    <row r="1358" spans="1:24" x14ac:dyDescent="0.2">
      <c r="A1358" s="578"/>
      <c r="B1358" s="637"/>
      <c r="C1358" s="711"/>
      <c r="D1358" s="575"/>
      <c r="E1358" s="575"/>
      <c r="F1358" s="178" t="s">
        <v>888</v>
      </c>
      <c r="G1358" s="601">
        <f>+G1356</f>
        <v>133267.658</v>
      </c>
      <c r="H1358" s="575"/>
      <c r="I1358" s="575"/>
      <c r="J1358" s="578"/>
      <c r="K1358" s="637"/>
      <c r="L1358" s="578"/>
      <c r="M1358" s="713"/>
      <c r="N1358" s="575"/>
      <c r="Q1358" s="58"/>
      <c r="R1358" s="58"/>
      <c r="S1358" s="58"/>
      <c r="T1358" s="58"/>
      <c r="U1358" s="58"/>
      <c r="V1358" s="58"/>
      <c r="W1358" s="58"/>
      <c r="X1358" s="58"/>
    </row>
    <row r="1359" spans="1:24" x14ac:dyDescent="0.2">
      <c r="Q1359" s="58"/>
      <c r="R1359" s="58"/>
      <c r="S1359" s="58"/>
      <c r="T1359" s="58"/>
      <c r="U1359" s="58"/>
      <c r="V1359" s="58"/>
      <c r="W1359" s="58"/>
      <c r="X1359" s="58"/>
    </row>
    <row r="1360" spans="1:24" ht="18" x14ac:dyDescent="0.25">
      <c r="B1360" s="257" t="s">
        <v>330</v>
      </c>
      <c r="Q1360" s="58"/>
      <c r="R1360" s="58"/>
      <c r="S1360" s="58"/>
      <c r="T1360" s="58"/>
      <c r="U1360" s="58"/>
      <c r="V1360" s="58"/>
      <c r="W1360" s="58"/>
      <c r="X1360" s="58"/>
    </row>
    <row r="1361" spans="1:24" ht="18" x14ac:dyDescent="0.25">
      <c r="B1361" s="257"/>
      <c r="C1361" s="1" t="s">
        <v>896</v>
      </c>
      <c r="Q1361" s="58"/>
      <c r="R1361" s="58"/>
      <c r="S1361" s="58"/>
      <c r="T1361" s="58"/>
      <c r="U1361" s="58"/>
      <c r="V1361" s="58"/>
      <c r="W1361" s="58"/>
      <c r="X1361" s="58"/>
    </row>
    <row r="1362" spans="1:24" ht="18" x14ac:dyDescent="0.25">
      <c r="B1362" s="257"/>
      <c r="C1362" s="1"/>
      <c r="Q1362" s="58"/>
      <c r="R1362" s="58"/>
      <c r="S1362" s="58"/>
      <c r="T1362" s="58"/>
      <c r="U1362" s="58"/>
      <c r="V1362" s="58"/>
      <c r="W1362" s="58"/>
      <c r="X1362" s="58"/>
    </row>
    <row r="1363" spans="1:24" s="1028" customFormat="1" x14ac:dyDescent="0.2">
      <c r="A1363" s="1010">
        <v>42146</v>
      </c>
      <c r="B1363" s="1029"/>
      <c r="C1363" s="999" t="s">
        <v>1013</v>
      </c>
      <c r="D1363" s="999"/>
      <c r="E1363" s="999"/>
      <c r="F1363" s="1000">
        <v>6225.9</v>
      </c>
      <c r="G1363" s="1000">
        <f>+F1363*2.2</f>
        <v>13696.98</v>
      </c>
      <c r="H1363" s="1030" t="s">
        <v>330</v>
      </c>
      <c r="I1363" s="1031"/>
      <c r="J1363" s="1031"/>
      <c r="K1363" s="1002" t="s">
        <v>250</v>
      </c>
      <c r="L1363" s="1031"/>
      <c r="N1363" s="1030"/>
    </row>
    <row r="1364" spans="1:24" s="1028" customFormat="1" x14ac:dyDescent="0.2">
      <c r="A1364" s="1010">
        <v>42156</v>
      </c>
      <c r="B1364" s="1010"/>
      <c r="C1364" s="999" t="s">
        <v>293</v>
      </c>
      <c r="F1364" s="1000">
        <v>8775.6</v>
      </c>
      <c r="G1364" s="1000">
        <f>+F1364*2.2</f>
        <v>19306.320000000003</v>
      </c>
      <c r="H1364" s="1028" t="s">
        <v>330</v>
      </c>
      <c r="K1364" s="1002" t="s">
        <v>250</v>
      </c>
    </row>
    <row r="1365" spans="1:24" s="575" customFormat="1" x14ac:dyDescent="0.2">
      <c r="A1365" s="578"/>
      <c r="B1365" s="578"/>
      <c r="C1365" s="597"/>
      <c r="F1365" s="600"/>
      <c r="G1365" s="600"/>
      <c r="K1365" s="96"/>
    </row>
    <row r="1366" spans="1:24" s="575" customFormat="1" x14ac:dyDescent="0.2">
      <c r="A1366" s="578"/>
      <c r="B1366" s="578"/>
      <c r="C1366" s="597"/>
      <c r="F1366" s="600"/>
      <c r="G1366" s="600"/>
      <c r="K1366" s="96"/>
    </row>
    <row r="1367" spans="1:24" s="611" customFormat="1" x14ac:dyDescent="0.2">
      <c r="A1367" s="607"/>
      <c r="B1367" s="773"/>
      <c r="C1367" s="612"/>
      <c r="D1367" s="609"/>
      <c r="E1367" s="612"/>
      <c r="F1367" s="688"/>
      <c r="G1367" s="774"/>
      <c r="H1367" s="610"/>
      <c r="I1367" s="626"/>
      <c r="J1367" s="879"/>
      <c r="K1367" s="612"/>
      <c r="L1367" s="879"/>
      <c r="N1367" s="610"/>
      <c r="P1367" s="607"/>
    </row>
    <row r="1368" spans="1:24" s="611" customFormat="1" x14ac:dyDescent="0.2">
      <c r="A1368" s="607"/>
      <c r="B1368" s="628"/>
      <c r="C1368" s="612"/>
      <c r="D1368" s="612"/>
      <c r="E1368" s="612"/>
      <c r="F1368" s="688"/>
      <c r="G1368" s="774"/>
      <c r="J1368" s="879"/>
      <c r="K1368" s="612"/>
      <c r="L1368" s="879"/>
      <c r="P1368" s="607"/>
    </row>
    <row r="1369" spans="1:24" ht="18" x14ac:dyDescent="0.25">
      <c r="A1369" s="578"/>
      <c r="B1369" s="257" t="s">
        <v>72</v>
      </c>
      <c r="C1369" s="711"/>
      <c r="D1369" s="575"/>
      <c r="E1369" s="575"/>
      <c r="F1369" s="600"/>
      <c r="G1369" s="601"/>
      <c r="H1369" s="575"/>
      <c r="I1369" s="575"/>
      <c r="J1369" s="578"/>
      <c r="K1369" s="637"/>
      <c r="L1369" s="578"/>
      <c r="M1369" s="713"/>
      <c r="N1369" s="575"/>
      <c r="O1369" s="575"/>
      <c r="P1369" s="575"/>
      <c r="Q1369" s="575"/>
      <c r="R1369" s="575"/>
      <c r="S1369" s="58"/>
      <c r="T1369" s="58"/>
      <c r="U1369" s="58"/>
      <c r="V1369" s="58"/>
      <c r="W1369" s="58"/>
      <c r="X1369" s="58"/>
    </row>
    <row r="1370" spans="1:24" x14ac:dyDescent="0.2">
      <c r="A1370" s="649"/>
      <c r="B1370" s="646"/>
      <c r="C1370" s="1" t="s">
        <v>896</v>
      </c>
      <c r="D1370" s="646"/>
      <c r="E1370" s="646"/>
      <c r="F1370" s="646"/>
      <c r="G1370" s="650"/>
      <c r="H1370" s="573"/>
      <c r="I1370" s="573"/>
      <c r="J1370" s="651"/>
      <c r="K1370" s="646"/>
      <c r="L1370" s="651"/>
      <c r="M1370" s="658"/>
      <c r="N1370" s="652"/>
      <c r="O1370" s="706"/>
      <c r="P1370" s="706"/>
      <c r="Q1370" s="652"/>
      <c r="R1370" s="706"/>
      <c r="S1370" s="58"/>
      <c r="T1370" s="58"/>
      <c r="U1370" s="58"/>
      <c r="V1370" s="58"/>
      <c r="W1370" s="58"/>
      <c r="X1370" s="58"/>
    </row>
    <row r="1371" spans="1:24" x14ac:dyDescent="0.2">
      <c r="A1371" s="649"/>
      <c r="B1371" s="646"/>
      <c r="C1371" s="1"/>
      <c r="D1371" s="646"/>
      <c r="E1371" s="646"/>
      <c r="F1371" s="646"/>
      <c r="G1371" s="650"/>
      <c r="H1371" s="573"/>
      <c r="I1371" s="573"/>
      <c r="J1371" s="651"/>
      <c r="K1371" s="646"/>
      <c r="L1371" s="651"/>
      <c r="M1371" s="658"/>
      <c r="N1371" s="652"/>
      <c r="O1371" s="706"/>
      <c r="P1371" s="706"/>
      <c r="Q1371" s="652"/>
      <c r="R1371" s="706"/>
      <c r="S1371" s="58"/>
      <c r="T1371" s="58"/>
      <c r="U1371" s="58"/>
      <c r="V1371" s="58"/>
      <c r="W1371" s="58"/>
      <c r="X1371" s="58"/>
    </row>
    <row r="1373" spans="1:24" s="992" customFormat="1" x14ac:dyDescent="0.2">
      <c r="A1373" s="998">
        <v>42139</v>
      </c>
      <c r="B1373" s="1012"/>
      <c r="C1373" s="993" t="s">
        <v>193</v>
      </c>
      <c r="D1373" s="993"/>
      <c r="E1373" s="993"/>
      <c r="F1373" s="994">
        <v>8800</v>
      </c>
      <c r="G1373" s="1007">
        <f>+F1373*2.15</f>
        <v>18920</v>
      </c>
      <c r="H1373" s="997" t="s">
        <v>72</v>
      </c>
      <c r="I1373" s="995"/>
      <c r="J1373" s="995"/>
      <c r="K1373" s="996" t="s">
        <v>250</v>
      </c>
      <c r="L1373" s="995"/>
      <c r="N1373" s="997"/>
      <c r="P1373" s="1013" t="s">
        <v>823</v>
      </c>
    </row>
    <row r="1374" spans="1:24" s="603" customFormat="1" x14ac:dyDescent="0.2">
      <c r="A1374" s="607">
        <v>42101</v>
      </c>
      <c r="B1374" s="637">
        <v>850</v>
      </c>
      <c r="C1374" s="612" t="s">
        <v>172</v>
      </c>
      <c r="D1374" s="612" t="s">
        <v>87</v>
      </c>
      <c r="E1374" s="612">
        <v>22</v>
      </c>
      <c r="F1374" s="600">
        <v>5521.33</v>
      </c>
      <c r="G1374" s="601">
        <f>+F1374*2.15</f>
        <v>11870.859499999999</v>
      </c>
      <c r="H1374" s="610" t="s">
        <v>72</v>
      </c>
      <c r="I1374" s="599"/>
      <c r="J1374" s="602">
        <v>42089</v>
      </c>
      <c r="K1374" s="597" t="s">
        <v>698</v>
      </c>
      <c r="L1374" s="602">
        <v>42181</v>
      </c>
      <c r="N1374" s="606"/>
      <c r="P1374" s="578">
        <v>42181</v>
      </c>
    </row>
    <row r="1375" spans="1:24" s="611" customFormat="1" x14ac:dyDescent="0.2">
      <c r="A1375" s="607">
        <v>42149</v>
      </c>
      <c r="B1375" s="628">
        <v>871</v>
      </c>
      <c r="C1375" s="612" t="s">
        <v>139</v>
      </c>
      <c r="E1375" s="612">
        <v>30</v>
      </c>
      <c r="F1375" s="688">
        <v>14961.78</v>
      </c>
      <c r="G1375" s="774">
        <f>F1375*2.2</f>
        <v>32915.916000000005</v>
      </c>
      <c r="H1375" s="611" t="s">
        <v>72</v>
      </c>
      <c r="I1375" s="888"/>
      <c r="J1375" s="607">
        <v>42097</v>
      </c>
      <c r="K1375" s="612" t="s">
        <v>384</v>
      </c>
      <c r="L1375" s="607">
        <v>42188</v>
      </c>
      <c r="P1375" s="607">
        <v>42188</v>
      </c>
      <c r="Q1375" s="607"/>
    </row>
    <row r="1376" spans="1:24" s="603" customFormat="1" x14ac:dyDescent="0.2">
      <c r="A1376" s="607"/>
      <c r="B1376" s="637"/>
      <c r="C1376" s="612"/>
      <c r="D1376" s="612"/>
      <c r="E1376" s="612"/>
      <c r="F1376" s="600"/>
      <c r="G1376" s="601"/>
      <c r="H1376" s="610"/>
      <c r="I1376" s="599"/>
      <c r="J1376" s="602"/>
      <c r="K1376" s="597"/>
      <c r="L1376" s="602"/>
      <c r="N1376" s="606"/>
      <c r="P1376" s="578"/>
    </row>
    <row r="1377" spans="1:24" x14ac:dyDescent="0.2">
      <c r="A1377" s="578"/>
      <c r="B1377" s="640"/>
      <c r="C1377" s="711"/>
      <c r="D1377" s="575"/>
      <c r="E1377" s="575"/>
      <c r="F1377" s="600"/>
      <c r="G1377" s="601"/>
      <c r="H1377" s="575"/>
      <c r="I1377" s="575"/>
      <c r="J1377" s="578"/>
      <c r="K1377" s="597"/>
      <c r="L1377" s="578"/>
      <c r="M1377" s="575"/>
      <c r="N1377" s="575"/>
      <c r="O1377" s="575"/>
      <c r="Q1377" s="58"/>
      <c r="R1377" s="58"/>
      <c r="S1377" s="58"/>
      <c r="T1377" s="58"/>
      <c r="U1377" s="58"/>
      <c r="V1377" s="58"/>
      <c r="W1377" s="58"/>
      <c r="X1377" s="58"/>
    </row>
    <row r="1378" spans="1:24" x14ac:dyDescent="0.2">
      <c r="A1378" s="578"/>
      <c r="B1378" s="640"/>
      <c r="C1378" s="711"/>
      <c r="D1378" s="575"/>
      <c r="E1378" s="575"/>
      <c r="F1378" s="178" t="s">
        <v>888</v>
      </c>
      <c r="G1378" s="601">
        <f>SUBTOTAL(9,G1373:G1377)</f>
        <v>63706.775500000003</v>
      </c>
      <c r="H1378" s="575"/>
      <c r="I1378" s="575"/>
      <c r="J1378" s="578"/>
      <c r="K1378" s="597"/>
      <c r="L1378" s="578"/>
      <c r="M1378" s="575"/>
      <c r="N1378" s="575"/>
      <c r="O1378" s="575"/>
      <c r="Q1378" s="58"/>
      <c r="R1378" s="58"/>
      <c r="S1378" s="58"/>
      <c r="T1378" s="58"/>
      <c r="U1378" s="58"/>
      <c r="V1378" s="58"/>
      <c r="W1378" s="58"/>
      <c r="X1378" s="58"/>
    </row>
    <row r="1379" spans="1:24" x14ac:dyDescent="0.2">
      <c r="A1379" s="578"/>
      <c r="B1379" s="637"/>
      <c r="C1379" s="711"/>
      <c r="D1379" s="575"/>
      <c r="E1379" s="575"/>
      <c r="F1379" s="600"/>
      <c r="G1379" s="601"/>
      <c r="H1379" s="575"/>
      <c r="I1379" s="575"/>
      <c r="J1379" s="578"/>
      <c r="K1379" s="637"/>
      <c r="L1379" s="578"/>
      <c r="M1379" s="713"/>
      <c r="N1379" s="575"/>
      <c r="O1379" s="575"/>
      <c r="Q1379" s="58"/>
      <c r="R1379" s="58"/>
      <c r="S1379" s="58"/>
      <c r="T1379" s="58"/>
      <c r="U1379" s="58"/>
      <c r="V1379" s="58"/>
      <c r="W1379" s="58"/>
      <c r="X1379" s="58"/>
    </row>
    <row r="1380" spans="1:24" x14ac:dyDescent="0.2">
      <c r="A1380" s="578"/>
      <c r="B1380" s="637"/>
      <c r="C1380" s="1" t="s">
        <v>897</v>
      </c>
      <c r="D1380" s="575"/>
      <c r="E1380" s="575"/>
      <c r="F1380" s="600"/>
      <c r="G1380" s="601"/>
      <c r="H1380" s="575"/>
      <c r="I1380" s="575"/>
      <c r="J1380" s="578"/>
      <c r="K1380" s="637"/>
      <c r="L1380" s="578"/>
      <c r="M1380" s="713"/>
      <c r="N1380" s="575"/>
      <c r="O1380" s="575"/>
      <c r="Q1380" s="58"/>
      <c r="R1380" s="58"/>
      <c r="S1380" s="58"/>
      <c r="T1380" s="58"/>
      <c r="U1380" s="58"/>
      <c r="V1380" s="58"/>
      <c r="W1380" s="58"/>
      <c r="X1380" s="58"/>
    </row>
    <row r="1381" spans="1:24" x14ac:dyDescent="0.2">
      <c r="A1381" s="578"/>
      <c r="B1381" s="637"/>
      <c r="C1381" s="1"/>
      <c r="D1381" s="575"/>
      <c r="E1381" s="575"/>
      <c r="F1381" s="600"/>
      <c r="G1381" s="601"/>
      <c r="H1381" s="575"/>
      <c r="I1381" s="575"/>
      <c r="J1381" s="578"/>
      <c r="K1381" s="637"/>
      <c r="L1381" s="578"/>
      <c r="M1381" s="713"/>
      <c r="N1381" s="575"/>
      <c r="O1381" s="575"/>
      <c r="Q1381" s="58"/>
      <c r="R1381" s="58"/>
      <c r="S1381" s="58"/>
      <c r="T1381" s="58"/>
      <c r="U1381" s="58"/>
      <c r="V1381" s="58"/>
      <c r="W1381" s="58"/>
      <c r="X1381" s="58"/>
    </row>
    <row r="1382" spans="1:24" s="575" customFormat="1" x14ac:dyDescent="0.2">
      <c r="A1382" s="578">
        <v>42117</v>
      </c>
      <c r="B1382" s="637">
        <v>856</v>
      </c>
      <c r="C1382" s="597" t="s">
        <v>836</v>
      </c>
      <c r="E1382" s="597">
        <v>2</v>
      </c>
      <c r="F1382" s="600">
        <v>29601.15</v>
      </c>
      <c r="G1382" s="601">
        <v>22000</v>
      </c>
      <c r="H1382" s="575" t="s">
        <v>72</v>
      </c>
      <c r="K1382" s="766" t="s">
        <v>938</v>
      </c>
      <c r="L1382" s="578"/>
      <c r="M1382" s="575" t="s">
        <v>719</v>
      </c>
      <c r="P1382" s="578">
        <v>42191</v>
      </c>
    </row>
    <row r="1383" spans="1:24" x14ac:dyDescent="0.2">
      <c r="F1383" s="178"/>
      <c r="Q1383" s="58"/>
      <c r="R1383" s="58"/>
      <c r="S1383" s="58"/>
      <c r="T1383" s="58"/>
      <c r="U1383" s="58"/>
      <c r="V1383" s="58"/>
      <c r="W1383" s="58"/>
      <c r="X1383" s="58"/>
    </row>
    <row r="1384" spans="1:24" x14ac:dyDescent="0.2">
      <c r="F1384" s="178"/>
      <c r="G1384" s="49"/>
      <c r="Q1384" s="58"/>
      <c r="R1384" s="58"/>
      <c r="S1384" s="58"/>
      <c r="T1384" s="58"/>
      <c r="U1384" s="58"/>
      <c r="V1384" s="58"/>
      <c r="W1384" s="58"/>
      <c r="X1384" s="58"/>
    </row>
    <row r="1386" spans="1:24" s="715" customFormat="1" x14ac:dyDescent="0.2"/>
    <row r="1387" spans="1:24" x14ac:dyDescent="0.2">
      <c r="G1387" s="194"/>
    </row>
    <row r="1388" spans="1:24" x14ac:dyDescent="0.2">
      <c r="A1388" s="483" t="s">
        <v>837</v>
      </c>
      <c r="G1388" s="194"/>
    </row>
    <row r="1390" spans="1:24" x14ac:dyDescent="0.2">
      <c r="A1390" s="578">
        <v>41789</v>
      </c>
      <c r="B1390" s="637">
        <v>749</v>
      </c>
      <c r="C1390" s="597" t="s">
        <v>448</v>
      </c>
      <c r="D1390" s="597"/>
      <c r="E1390" s="597">
        <v>8</v>
      </c>
      <c r="F1390" s="600">
        <v>6714.43</v>
      </c>
      <c r="G1390" s="601">
        <f>F1390*2.3</f>
        <v>15443.189</v>
      </c>
      <c r="H1390" s="485" t="s">
        <v>72</v>
      </c>
      <c r="I1390" s="485"/>
      <c r="J1390" s="602">
        <v>41776</v>
      </c>
      <c r="K1390" s="597" t="s">
        <v>500</v>
      </c>
    </row>
    <row r="1391" spans="1:24" s="575" customFormat="1" x14ac:dyDescent="0.2">
      <c r="A1391" s="578">
        <v>41750</v>
      </c>
      <c r="B1391" s="637">
        <v>734</v>
      </c>
      <c r="C1391" s="637" t="s">
        <v>605</v>
      </c>
      <c r="E1391" s="637">
        <v>6</v>
      </c>
      <c r="F1391" s="600">
        <v>6103.11</v>
      </c>
      <c r="G1391" s="601">
        <f>F1391*2.3</f>
        <v>14037.152999999998</v>
      </c>
      <c r="H1391" s="575" t="s">
        <v>72</v>
      </c>
      <c r="J1391" s="578">
        <v>41662</v>
      </c>
      <c r="K1391" s="597" t="s">
        <v>500</v>
      </c>
      <c r="L1391" s="578">
        <v>41821</v>
      </c>
    </row>
    <row r="1392" spans="1:24" x14ac:dyDescent="0.2">
      <c r="A1392" s="578"/>
      <c r="B1392" s="637"/>
      <c r="C1392" s="597"/>
      <c r="D1392" s="597"/>
      <c r="E1392" s="597"/>
      <c r="F1392" s="600"/>
      <c r="G1392" s="601"/>
      <c r="H1392" s="485"/>
      <c r="I1392" s="485"/>
      <c r="J1392" s="602"/>
      <c r="K1392" s="597"/>
    </row>
    <row r="1393" spans="1:17" x14ac:dyDescent="0.2">
      <c r="A1393" s="578"/>
      <c r="B1393" s="637"/>
      <c r="C1393" s="597"/>
      <c r="D1393" s="597"/>
      <c r="E1393" s="597"/>
      <c r="F1393" s="600" t="s">
        <v>888</v>
      </c>
      <c r="G1393" s="601">
        <f>SUM(G1390:G1392)</f>
        <v>29480.341999999997</v>
      </c>
      <c r="H1393" s="485"/>
      <c r="I1393" s="485"/>
      <c r="J1393" s="602"/>
      <c r="K1393" s="597"/>
    </row>
    <row r="1394" spans="1:17" x14ac:dyDescent="0.2">
      <c r="A1394" s="578"/>
      <c r="B1394" s="637"/>
      <c r="C1394" s="597"/>
      <c r="D1394" s="597"/>
      <c r="E1394" s="597"/>
      <c r="F1394" s="600"/>
      <c r="G1394" s="601"/>
      <c r="H1394" s="485"/>
      <c r="I1394" s="485"/>
      <c r="J1394" s="602"/>
      <c r="K1394" s="597"/>
    </row>
    <row r="1395" spans="1:17" s="575" customFormat="1" x14ac:dyDescent="0.2">
      <c r="A1395" s="578">
        <v>41808</v>
      </c>
      <c r="B1395" s="637">
        <v>762</v>
      </c>
      <c r="C1395" s="597" t="s">
        <v>223</v>
      </c>
      <c r="E1395" s="637">
        <v>16</v>
      </c>
      <c r="F1395" s="637">
        <v>16232.25</v>
      </c>
      <c r="G1395" s="637">
        <f>F1395*2.3</f>
        <v>37334.174999999996</v>
      </c>
      <c r="H1395" s="575" t="s">
        <v>113</v>
      </c>
      <c r="J1395" s="578">
        <v>41793</v>
      </c>
      <c r="K1395" s="597" t="s">
        <v>500</v>
      </c>
      <c r="L1395" s="578">
        <v>41854</v>
      </c>
    </row>
    <row r="1396" spans="1:17" s="575" customFormat="1" x14ac:dyDescent="0.2">
      <c r="A1396" s="578">
        <v>41856</v>
      </c>
      <c r="B1396" s="640" t="s">
        <v>882</v>
      </c>
      <c r="C1396" s="597" t="s">
        <v>849</v>
      </c>
      <c r="D1396" s="96"/>
      <c r="E1396" s="96">
        <v>8</v>
      </c>
      <c r="F1396" s="178">
        <v>8364</v>
      </c>
      <c r="G1396" s="637">
        <f>F1396*2.3</f>
        <v>19237.199999999997</v>
      </c>
      <c r="H1396" s="485" t="s">
        <v>113</v>
      </c>
      <c r="I1396" s="577"/>
      <c r="J1396" s="577"/>
      <c r="K1396" s="96" t="s">
        <v>250</v>
      </c>
      <c r="L1396" s="577"/>
      <c r="N1396" s="485"/>
    </row>
    <row r="1397" spans="1:17" x14ac:dyDescent="0.2">
      <c r="A1397" s="578">
        <v>41797</v>
      </c>
      <c r="B1397" s="628">
        <v>754</v>
      </c>
      <c r="C1397" s="597" t="s">
        <v>69</v>
      </c>
      <c r="D1397" s="597"/>
      <c r="E1397" s="597">
        <v>16</v>
      </c>
      <c r="F1397" s="600">
        <v>25454.53</v>
      </c>
      <c r="G1397" s="637">
        <f>F1397*2.3</f>
        <v>58545.418999999994</v>
      </c>
      <c r="H1397" s="485" t="s">
        <v>113</v>
      </c>
      <c r="I1397" s="485"/>
      <c r="J1397" s="602">
        <v>41773</v>
      </c>
      <c r="K1397" s="597" t="s">
        <v>384</v>
      </c>
    </row>
    <row r="1398" spans="1:17" x14ac:dyDescent="0.2">
      <c r="A1398" s="578">
        <v>41807</v>
      </c>
      <c r="B1398" s="640">
        <v>763</v>
      </c>
      <c r="C1398" s="597" t="s">
        <v>826</v>
      </c>
      <c r="D1398" s="597"/>
      <c r="E1398" s="597">
        <v>4</v>
      </c>
      <c r="F1398" s="600">
        <v>19000</v>
      </c>
      <c r="G1398" s="637">
        <f>F1398*2.3</f>
        <v>43700</v>
      </c>
      <c r="H1398" s="485" t="s">
        <v>113</v>
      </c>
      <c r="I1398" s="485"/>
      <c r="J1398" s="485"/>
      <c r="K1398" s="597" t="s">
        <v>821</v>
      </c>
    </row>
    <row r="1399" spans="1:17" x14ac:dyDescent="0.2">
      <c r="A1399" s="578"/>
      <c r="B1399" s="640"/>
      <c r="C1399" s="597"/>
      <c r="D1399" s="597"/>
      <c r="E1399" s="597"/>
      <c r="F1399" s="600"/>
      <c r="G1399" s="644"/>
      <c r="H1399" s="485"/>
      <c r="I1399" s="485"/>
      <c r="J1399" s="485"/>
      <c r="K1399" s="597"/>
    </row>
    <row r="1400" spans="1:17" x14ac:dyDescent="0.2">
      <c r="A1400" s="578"/>
      <c r="B1400" s="640"/>
      <c r="C1400" s="597"/>
      <c r="D1400" s="597"/>
      <c r="E1400" s="597"/>
      <c r="F1400" s="600" t="s">
        <v>888</v>
      </c>
      <c r="G1400" s="644">
        <f>SUM(G1395:G1399)</f>
        <v>158816.79399999999</v>
      </c>
      <c r="H1400" s="485"/>
      <c r="I1400" s="485"/>
      <c r="J1400" s="485"/>
      <c r="K1400" s="597"/>
    </row>
    <row r="1401" spans="1:17" x14ac:dyDescent="0.2">
      <c r="A1401" s="578"/>
      <c r="B1401" s="640"/>
      <c r="C1401" s="597"/>
      <c r="D1401" s="597"/>
      <c r="E1401" s="597"/>
      <c r="F1401" s="600"/>
      <c r="G1401" s="644"/>
      <c r="H1401" s="485"/>
      <c r="I1401" s="485"/>
      <c r="J1401" s="485"/>
      <c r="K1401" s="597"/>
    </row>
    <row r="1402" spans="1:17" x14ac:dyDescent="0.2">
      <c r="A1402" s="578"/>
      <c r="B1402" s="640"/>
      <c r="C1402" s="597"/>
      <c r="D1402" s="597"/>
      <c r="E1402" s="597"/>
      <c r="F1402" s="600"/>
      <c r="G1402" s="644"/>
      <c r="H1402" s="485"/>
      <c r="I1402" s="485"/>
      <c r="J1402" s="485"/>
      <c r="K1402" s="597"/>
    </row>
    <row r="1403" spans="1:17" x14ac:dyDescent="0.2">
      <c r="A1403" s="578"/>
      <c r="B1403" s="640"/>
      <c r="C1403" s="597"/>
      <c r="D1403" s="597"/>
      <c r="E1403" s="597"/>
      <c r="F1403" s="600"/>
      <c r="G1403" s="644"/>
      <c r="H1403" s="485"/>
      <c r="I1403" s="485"/>
      <c r="J1403" s="485"/>
      <c r="K1403" s="597"/>
    </row>
    <row r="1404" spans="1:17" x14ac:dyDescent="0.2">
      <c r="A1404" s="578"/>
      <c r="B1404" s="640"/>
      <c r="C1404" s="597"/>
      <c r="D1404" s="597"/>
      <c r="E1404" s="597"/>
      <c r="F1404" s="600"/>
      <c r="G1404" s="644"/>
      <c r="H1404" s="485"/>
      <c r="I1404" s="485"/>
      <c r="J1404" s="485"/>
      <c r="K1404" s="597"/>
    </row>
    <row r="1405" spans="1:17" x14ac:dyDescent="0.2">
      <c r="A1405" s="578">
        <v>41790</v>
      </c>
      <c r="B1405" s="628">
        <v>751</v>
      </c>
      <c r="C1405" s="597" t="s">
        <v>192</v>
      </c>
      <c r="D1405" s="597"/>
      <c r="E1405" s="597">
        <v>23</v>
      </c>
      <c r="F1405" s="600">
        <v>22224.61</v>
      </c>
      <c r="G1405" s="601">
        <f>F1405*2.19</f>
        <v>48671.895900000003</v>
      </c>
      <c r="H1405" s="485" t="s">
        <v>70</v>
      </c>
      <c r="I1405" s="485"/>
      <c r="J1405" s="602">
        <v>41776</v>
      </c>
      <c r="K1405" s="597" t="s">
        <v>384</v>
      </c>
    </row>
    <row r="1406" spans="1:17" s="575" customFormat="1" x14ac:dyDescent="0.2">
      <c r="A1406" s="578">
        <v>41834</v>
      </c>
      <c r="B1406" s="655"/>
      <c r="C1406" s="597" t="s">
        <v>870</v>
      </c>
      <c r="D1406" s="96"/>
      <c r="E1406" s="96">
        <v>1</v>
      </c>
      <c r="F1406" s="178">
        <v>4189.5</v>
      </c>
      <c r="G1406" s="576">
        <f>+F1406*2.29</f>
        <v>9593.9549999999999</v>
      </c>
      <c r="H1406" s="485" t="s">
        <v>70</v>
      </c>
      <c r="I1406" s="577"/>
      <c r="J1406" s="577"/>
      <c r="K1406" s="96" t="s">
        <v>250</v>
      </c>
      <c r="L1406" s="577"/>
      <c r="N1406" s="485"/>
    </row>
    <row r="1407" spans="1:17" x14ac:dyDescent="0.2">
      <c r="O1407" s="63"/>
      <c r="P1407" s="63"/>
      <c r="Q1407" s="63"/>
    </row>
    <row r="1408" spans="1:17" x14ac:dyDescent="0.2">
      <c r="F1408" s="483" t="s">
        <v>888</v>
      </c>
      <c r="G1408" s="495">
        <f>SUM(G1405:G1407)</f>
        <v>58265.850900000005</v>
      </c>
      <c r="N1408" s="72" t="s">
        <v>43</v>
      </c>
      <c r="O1408" s="63"/>
      <c r="P1408" s="63"/>
      <c r="Q1408" s="63"/>
    </row>
    <row r="1409" spans="1:17" x14ac:dyDescent="0.2">
      <c r="F1409" s="483"/>
      <c r="G1409" s="495"/>
      <c r="N1409" s="118"/>
      <c r="O1409" s="63"/>
      <c r="P1409" s="63"/>
      <c r="Q1409" s="63"/>
    </row>
    <row r="1410" spans="1:17" x14ac:dyDescent="0.2">
      <c r="F1410" s="483"/>
      <c r="G1410" s="495"/>
      <c r="N1410" s="118"/>
      <c r="O1410" s="63"/>
      <c r="P1410" s="63"/>
      <c r="Q1410" s="63"/>
    </row>
    <row r="1411" spans="1:17" ht="20.25" x14ac:dyDescent="0.3">
      <c r="F1411" s="723"/>
      <c r="G1411" s="495"/>
      <c r="N1411" s="118"/>
      <c r="O1411" s="63"/>
      <c r="P1411" s="63"/>
      <c r="Q1411" s="63"/>
    </row>
    <row r="1412" spans="1:17" x14ac:dyDescent="0.2">
      <c r="F1412" s="483"/>
      <c r="G1412" s="495"/>
      <c r="N1412" s="118"/>
      <c r="O1412" s="63"/>
      <c r="P1412" s="63"/>
      <c r="Q1412" s="63"/>
    </row>
    <row r="1413" spans="1:17" x14ac:dyDescent="0.2">
      <c r="N1413" s="70"/>
      <c r="O1413" s="63"/>
      <c r="P1413" s="63"/>
      <c r="Q1413" s="63"/>
    </row>
    <row r="1414" spans="1:17" x14ac:dyDescent="0.2">
      <c r="N1414" s="6"/>
      <c r="O1414" s="63"/>
      <c r="P1414" s="63"/>
      <c r="Q1414" s="63"/>
    </row>
    <row r="1415" spans="1:17" s="575" customFormat="1" x14ac:dyDescent="0.2">
      <c r="A1415" s="578">
        <v>41857</v>
      </c>
      <c r="B1415" s="639"/>
      <c r="C1415" s="597" t="s">
        <v>193</v>
      </c>
      <c r="D1415" s="597" t="s">
        <v>891</v>
      </c>
      <c r="E1415" s="597">
        <v>14</v>
      </c>
      <c r="F1415" s="600">
        <v>8800</v>
      </c>
      <c r="G1415" s="601">
        <f>F1415*2.23</f>
        <v>19624</v>
      </c>
      <c r="H1415" s="485" t="s">
        <v>330</v>
      </c>
      <c r="I1415" s="485"/>
      <c r="J1415" s="485"/>
      <c r="K1415" s="597" t="s">
        <v>250</v>
      </c>
      <c r="L1415" s="485"/>
      <c r="N1415" s="485"/>
    </row>
    <row r="1416" spans="1:17" s="575" customFormat="1" x14ac:dyDescent="0.2">
      <c r="A1416" s="578">
        <v>41780</v>
      </c>
      <c r="B1416" s="639"/>
      <c r="C1416" s="597" t="s">
        <v>843</v>
      </c>
      <c r="D1416" s="597" t="s">
        <v>899</v>
      </c>
      <c r="E1416" s="597">
        <v>1</v>
      </c>
      <c r="F1416" s="600">
        <v>8463</v>
      </c>
      <c r="G1416" s="601">
        <f>+F1416*2.24</f>
        <v>18957.120000000003</v>
      </c>
      <c r="H1416" s="485" t="s">
        <v>330</v>
      </c>
      <c r="I1416" s="485"/>
      <c r="J1416" s="485"/>
      <c r="K1416" s="597" t="s">
        <v>250</v>
      </c>
      <c r="L1416" s="485"/>
      <c r="N1416" s="485"/>
    </row>
    <row r="1417" spans="1:17" s="575" customFormat="1" x14ac:dyDescent="0.2">
      <c r="A1417" s="578">
        <v>41860</v>
      </c>
      <c r="C1417" s="597" t="s">
        <v>66</v>
      </c>
      <c r="D1417" s="597" t="s">
        <v>898</v>
      </c>
      <c r="E1417" s="637">
        <v>13</v>
      </c>
      <c r="F1417" s="600">
        <v>6025</v>
      </c>
      <c r="G1417" s="601">
        <f>F1417*2.23</f>
        <v>13435.75</v>
      </c>
      <c r="H1417" s="575" t="s">
        <v>330</v>
      </c>
      <c r="K1417" s="637" t="s">
        <v>250</v>
      </c>
    </row>
    <row r="1418" spans="1:17" x14ac:dyDescent="0.2">
      <c r="N1418" s="636"/>
      <c r="O1418" s="636"/>
      <c r="P1418" s="636"/>
      <c r="Q1418" s="636"/>
    </row>
    <row r="1419" spans="1:17" x14ac:dyDescent="0.2">
      <c r="F1419" s="483" t="s">
        <v>888</v>
      </c>
      <c r="G1419" s="495">
        <f>SUM(G1415:G1418)</f>
        <v>52016.87</v>
      </c>
      <c r="N1419" s="635"/>
      <c r="O1419" s="636"/>
      <c r="P1419" s="636"/>
      <c r="Q1419" s="636"/>
    </row>
    <row r="1420" spans="1:17" x14ac:dyDescent="0.2">
      <c r="N1420" s="636"/>
      <c r="O1420" s="636"/>
      <c r="P1420" s="636"/>
      <c r="Q1420" s="636"/>
    </row>
    <row r="1421" spans="1:17" x14ac:dyDescent="0.2">
      <c r="N1421" s="636"/>
      <c r="O1421" s="636"/>
      <c r="P1421" s="636"/>
      <c r="Q1421" s="636"/>
    </row>
    <row r="1422" spans="1:17" ht="20.25" x14ac:dyDescent="0.3">
      <c r="F1422" s="723" t="s">
        <v>888</v>
      </c>
      <c r="G1422" s="49">
        <f>+G1393+G1400+G1408+G1419</f>
        <v>298579.85690000001</v>
      </c>
      <c r="N1422" s="635"/>
      <c r="O1422" s="636"/>
      <c r="P1422" s="636"/>
      <c r="Q1422" s="636"/>
    </row>
    <row r="1424" spans="1:17" x14ac:dyDescent="0.2">
      <c r="A1424" t="s">
        <v>852</v>
      </c>
    </row>
    <row r="1425" spans="1:15" x14ac:dyDescent="0.2">
      <c r="B1425" s="483" t="s">
        <v>897</v>
      </c>
    </row>
    <row r="1426" spans="1:15" s="58" customFormat="1" x14ac:dyDescent="0.2">
      <c r="A1426" s="649">
        <v>41748</v>
      </c>
      <c r="B1426" s="658">
        <v>737</v>
      </c>
      <c r="C1426" s="646" t="s">
        <v>604</v>
      </c>
      <c r="D1426" s="652"/>
      <c r="E1426" s="658">
        <v>5</v>
      </c>
      <c r="F1426" s="650">
        <v>19563.16</v>
      </c>
      <c r="G1426" s="716">
        <f>+F1426*2.3</f>
        <v>44995.267999999996</v>
      </c>
      <c r="H1426" s="652" t="s">
        <v>113</v>
      </c>
      <c r="I1426" s="652"/>
      <c r="J1426" s="649">
        <v>41737</v>
      </c>
      <c r="K1426" s="646" t="s">
        <v>698</v>
      </c>
      <c r="L1426" s="649">
        <v>41925</v>
      </c>
      <c r="M1426" s="684" t="s">
        <v>719</v>
      </c>
      <c r="N1426" s="652"/>
      <c r="O1426" s="649"/>
    </row>
    <row r="1427" spans="1:15" s="58" customFormat="1" x14ac:dyDescent="0.2">
      <c r="A1427" s="649">
        <v>41705</v>
      </c>
      <c r="B1427" s="646">
        <v>714</v>
      </c>
      <c r="C1427" s="646" t="s">
        <v>301</v>
      </c>
      <c r="D1427" s="646"/>
      <c r="E1427" s="646">
        <v>6</v>
      </c>
      <c r="F1427" s="650">
        <v>3740.9</v>
      </c>
      <c r="G1427" s="716">
        <f>+F1427*2.3</f>
        <v>8604.07</v>
      </c>
      <c r="H1427" s="573" t="s">
        <v>113</v>
      </c>
      <c r="I1427" s="573"/>
      <c r="J1427" s="651">
        <v>41694</v>
      </c>
      <c r="K1427" s="646" t="s">
        <v>500</v>
      </c>
      <c r="L1427" s="649">
        <v>41927</v>
      </c>
      <c r="M1427" s="684" t="s">
        <v>890</v>
      </c>
      <c r="N1427" s="573"/>
      <c r="O1427" s="649"/>
    </row>
    <row r="1428" spans="1:15" s="58" customFormat="1" x14ac:dyDescent="0.2">
      <c r="A1428" s="649">
        <v>41769</v>
      </c>
      <c r="B1428" s="658">
        <v>741</v>
      </c>
      <c r="C1428" s="646" t="s">
        <v>187</v>
      </c>
      <c r="D1428" s="652"/>
      <c r="E1428" s="658">
        <v>12</v>
      </c>
      <c r="F1428" s="650">
        <v>7922.03</v>
      </c>
      <c r="G1428" s="716">
        <f>+F1428*2.3</f>
        <v>18220.668999999998</v>
      </c>
      <c r="H1428" s="652" t="s">
        <v>113</v>
      </c>
      <c r="I1428" s="652"/>
      <c r="J1428" s="649">
        <v>41753</v>
      </c>
      <c r="K1428" s="646" t="s">
        <v>384</v>
      </c>
      <c r="L1428" s="649">
        <v>41915</v>
      </c>
      <c r="M1428" s="684" t="s">
        <v>719</v>
      </c>
      <c r="N1428" s="652"/>
      <c r="O1428" s="652"/>
    </row>
    <row r="1429" spans="1:15" s="58" customFormat="1" x14ac:dyDescent="0.2">
      <c r="A1429" s="649">
        <v>41717</v>
      </c>
      <c r="B1429" s="646">
        <v>719</v>
      </c>
      <c r="C1429" s="646" t="s">
        <v>360</v>
      </c>
      <c r="D1429" s="646"/>
      <c r="E1429" s="646">
        <v>5</v>
      </c>
      <c r="F1429" s="650">
        <v>4536</v>
      </c>
      <c r="G1429" s="716">
        <f>+F1429*2.3</f>
        <v>10432.799999999999</v>
      </c>
      <c r="H1429" s="573" t="s">
        <v>113</v>
      </c>
      <c r="I1429" s="573"/>
      <c r="J1429" s="651">
        <v>41695</v>
      </c>
      <c r="K1429" s="646" t="s">
        <v>828</v>
      </c>
      <c r="L1429" s="649">
        <v>41937</v>
      </c>
      <c r="M1429" s="684" t="s">
        <v>890</v>
      </c>
      <c r="N1429" s="573"/>
      <c r="O1429" s="649"/>
    </row>
    <row r="1430" spans="1:15" s="58" customFormat="1" x14ac:dyDescent="0.2">
      <c r="A1430" s="649"/>
      <c r="B1430" s="646"/>
      <c r="C1430" s="646" t="s">
        <v>836</v>
      </c>
      <c r="D1430" s="646"/>
      <c r="E1430" s="646"/>
      <c r="F1430" s="650">
        <v>109640.86</v>
      </c>
      <c r="G1430" s="716">
        <f>+F1430*2.3</f>
        <v>252173.97799999997</v>
      </c>
      <c r="H1430" s="573" t="s">
        <v>113</v>
      </c>
      <c r="I1430" s="573"/>
      <c r="J1430" s="651"/>
      <c r="K1430" s="646" t="s">
        <v>272</v>
      </c>
      <c r="L1430" s="649">
        <v>41943</v>
      </c>
      <c r="M1430" s="684" t="s">
        <v>719</v>
      </c>
      <c r="N1430" s="573"/>
      <c r="O1430" s="649"/>
    </row>
    <row r="1431" spans="1:15" s="58" customFormat="1" x14ac:dyDescent="0.2">
      <c r="A1431" s="649"/>
      <c r="B1431" s="646"/>
      <c r="C1431" s="646"/>
      <c r="D1431" s="646"/>
      <c r="E1431" s="646"/>
      <c r="F1431" s="650"/>
      <c r="G1431" s="716"/>
      <c r="H1431" s="573"/>
      <c r="I1431" s="573"/>
      <c r="J1431" s="651"/>
      <c r="K1431" s="646"/>
      <c r="L1431" s="649"/>
      <c r="M1431" s="684"/>
      <c r="N1431" s="573"/>
      <c r="O1431" s="649"/>
    </row>
    <row r="1432" spans="1:15" s="58" customFormat="1" x14ac:dyDescent="0.2">
      <c r="A1432" s="649"/>
      <c r="B1432" s="646"/>
      <c r="C1432" s="646"/>
      <c r="D1432" s="646"/>
      <c r="E1432" s="646"/>
      <c r="F1432" s="650"/>
      <c r="G1432" s="716"/>
      <c r="H1432" s="573"/>
      <c r="I1432" s="573"/>
      <c r="J1432" s="651"/>
      <c r="K1432" s="646"/>
      <c r="L1432" s="649"/>
      <c r="M1432" s="684"/>
      <c r="N1432" s="573"/>
      <c r="O1432" s="649"/>
    </row>
    <row r="1433" spans="1:15" x14ac:dyDescent="0.2">
      <c r="F1433" s="650"/>
    </row>
    <row r="1434" spans="1:15" x14ac:dyDescent="0.2">
      <c r="A1434" s="649"/>
      <c r="B1434" s="646"/>
      <c r="C1434" s="646"/>
      <c r="D1434" s="646"/>
      <c r="E1434" s="646"/>
      <c r="F1434" s="650" t="s">
        <v>888</v>
      </c>
      <c r="G1434" s="650">
        <f>SUM(G1426:G1433)</f>
        <v>334426.78499999997</v>
      </c>
      <c r="H1434" s="573"/>
      <c r="I1434" s="573"/>
      <c r="J1434" s="651"/>
      <c r="K1434" s="646"/>
      <c r="L1434" s="649"/>
      <c r="M1434" s="684"/>
      <c r="N1434" s="573"/>
      <c r="O1434" s="652"/>
    </row>
    <row r="1435" spans="1:15" x14ac:dyDescent="0.2">
      <c r="A1435" s="649"/>
      <c r="B1435" s="646"/>
      <c r="C1435" s="646"/>
      <c r="D1435" s="646"/>
      <c r="E1435" s="646"/>
      <c r="F1435" s="650"/>
      <c r="G1435" s="650"/>
      <c r="H1435" s="573"/>
      <c r="I1435" s="573"/>
      <c r="J1435" s="651"/>
      <c r="K1435" s="646"/>
      <c r="L1435" s="649"/>
      <c r="M1435" s="684"/>
      <c r="N1435" s="573"/>
      <c r="O1435" s="652"/>
    </row>
    <row r="1436" spans="1:15" x14ac:dyDescent="0.2">
      <c r="A1436" s="649"/>
      <c r="B1436" s="646"/>
      <c r="C1436" s="646"/>
      <c r="D1436" s="646"/>
      <c r="E1436" s="646"/>
      <c r="F1436" s="650"/>
      <c r="G1436" s="650"/>
      <c r="H1436" s="573"/>
      <c r="I1436" s="573"/>
      <c r="J1436" s="651"/>
      <c r="K1436" s="646"/>
      <c r="L1436" s="649"/>
      <c r="M1436" s="684"/>
      <c r="N1436" s="573"/>
      <c r="O1436" s="652"/>
    </row>
    <row r="1437" spans="1:15" x14ac:dyDescent="0.2">
      <c r="A1437" s="649"/>
      <c r="B1437" s="597" t="s">
        <v>896</v>
      </c>
      <c r="C1437" s="646"/>
      <c r="D1437" s="646"/>
      <c r="E1437" s="646"/>
      <c r="F1437" s="650"/>
      <c r="G1437" s="650"/>
      <c r="H1437" s="573"/>
      <c r="I1437" s="573"/>
      <c r="J1437" s="651"/>
      <c r="K1437" s="646"/>
      <c r="L1437" s="649"/>
      <c r="M1437" s="684"/>
      <c r="N1437" s="573"/>
      <c r="O1437" s="652"/>
    </row>
    <row r="1438" spans="1:15" s="699" customFormat="1" x14ac:dyDescent="0.2">
      <c r="A1438" s="697">
        <v>41865</v>
      </c>
      <c r="B1438" s="700">
        <v>790</v>
      </c>
      <c r="C1438" s="695" t="s">
        <v>247</v>
      </c>
      <c r="E1438" s="700">
        <v>7</v>
      </c>
      <c r="F1438" s="701">
        <v>4249.2</v>
      </c>
      <c r="G1438" s="701">
        <f>F1438*2.3</f>
        <v>9773.159999999998</v>
      </c>
      <c r="H1438" s="699" t="s">
        <v>113</v>
      </c>
      <c r="J1438" s="697">
        <v>41789</v>
      </c>
      <c r="K1438" s="700" t="s">
        <v>384</v>
      </c>
      <c r="L1438" s="697">
        <v>41927</v>
      </c>
    </row>
    <row r="1439" spans="1:15" x14ac:dyDescent="0.2">
      <c r="F1439" s="650"/>
    </row>
    <row r="1440" spans="1:15" x14ac:dyDescent="0.2">
      <c r="F1440" s="650"/>
    </row>
    <row r="1441" spans="1:15" x14ac:dyDescent="0.2">
      <c r="B1441" s="483" t="s">
        <v>897</v>
      </c>
      <c r="F1441" s="650"/>
    </row>
    <row r="1442" spans="1:15" s="58" customFormat="1" x14ac:dyDescent="0.2">
      <c r="A1442" s="649">
        <v>41788</v>
      </c>
      <c r="B1442" s="658">
        <v>746</v>
      </c>
      <c r="C1442" s="646" t="s">
        <v>827</v>
      </c>
      <c r="D1442" s="652"/>
      <c r="E1442" s="652">
        <v>7</v>
      </c>
      <c r="F1442" s="650">
        <v>5470</v>
      </c>
      <c r="G1442" s="716">
        <f>F1442*2.3</f>
        <v>12580.999999999998</v>
      </c>
      <c r="H1442" s="652" t="s">
        <v>70</v>
      </c>
      <c r="I1442" s="652"/>
      <c r="J1442" s="649">
        <v>41774</v>
      </c>
      <c r="K1442" s="658" t="s">
        <v>500</v>
      </c>
      <c r="L1442" s="649">
        <v>41920</v>
      </c>
      <c r="M1442" s="684" t="s">
        <v>719</v>
      </c>
      <c r="N1442" s="652"/>
      <c r="O1442" s="652"/>
    </row>
    <row r="1443" spans="1:15" s="58" customFormat="1" x14ac:dyDescent="0.2">
      <c r="A1443" s="649">
        <v>41790</v>
      </c>
      <c r="B1443" s="646">
        <v>748</v>
      </c>
      <c r="C1443" s="646" t="s">
        <v>198</v>
      </c>
      <c r="D1443" s="646"/>
      <c r="E1443" s="646">
        <v>10</v>
      </c>
      <c r="F1443" s="650">
        <v>9990.7199999999993</v>
      </c>
      <c r="G1443" s="716">
        <f>F1443*2.3</f>
        <v>22978.655999999995</v>
      </c>
      <c r="H1443" s="573" t="s">
        <v>70</v>
      </c>
      <c r="I1443" s="573"/>
      <c r="J1443" s="651">
        <v>41779</v>
      </c>
      <c r="K1443" s="646" t="s">
        <v>500</v>
      </c>
      <c r="L1443" s="651">
        <v>41921</v>
      </c>
      <c r="M1443" s="684" t="s">
        <v>719</v>
      </c>
      <c r="N1443" s="573"/>
      <c r="O1443" s="652"/>
    </row>
    <row r="1444" spans="1:15" s="58" customFormat="1" x14ac:dyDescent="0.2">
      <c r="A1444" s="649"/>
      <c r="B1444" s="646"/>
      <c r="C1444" s="646"/>
      <c r="D1444" s="646"/>
      <c r="E1444" s="646"/>
      <c r="F1444" s="650"/>
      <c r="G1444" s="716"/>
      <c r="H1444" s="573"/>
      <c r="I1444" s="573"/>
      <c r="J1444" s="651"/>
      <c r="K1444" s="646"/>
      <c r="L1444" s="651"/>
      <c r="M1444" s="684"/>
      <c r="N1444" s="573"/>
      <c r="O1444" s="652"/>
    </row>
    <row r="1445" spans="1:15" s="58" customFormat="1" x14ac:dyDescent="0.2">
      <c r="A1445" s="649"/>
      <c r="B1445" s="646"/>
      <c r="C1445" s="646"/>
      <c r="D1445" s="646"/>
      <c r="E1445" s="646"/>
      <c r="F1445" s="650" t="s">
        <v>888</v>
      </c>
      <c r="G1445" s="716">
        <f>SUM(G1442:G1444)</f>
        <v>35559.655999999995</v>
      </c>
      <c r="H1445" s="573"/>
      <c r="I1445" s="573"/>
      <c r="J1445" s="651"/>
      <c r="K1445" s="646"/>
      <c r="L1445" s="651"/>
      <c r="M1445" s="684"/>
      <c r="N1445" s="573"/>
      <c r="O1445" s="652"/>
    </row>
    <row r="1446" spans="1:15" s="58" customFormat="1" x14ac:dyDescent="0.2">
      <c r="A1446" s="649"/>
      <c r="B1446" s="646"/>
      <c r="C1446" s="646"/>
      <c r="D1446" s="646"/>
      <c r="E1446" s="646"/>
      <c r="F1446" s="650"/>
      <c r="G1446" s="716"/>
      <c r="H1446" s="573"/>
      <c r="I1446" s="573"/>
      <c r="J1446" s="651"/>
      <c r="K1446" s="646"/>
      <c r="L1446" s="651"/>
      <c r="M1446" s="684"/>
      <c r="N1446" s="573"/>
      <c r="O1446" s="652"/>
    </row>
    <row r="1447" spans="1:15" s="58" customFormat="1" x14ac:dyDescent="0.2">
      <c r="A1447" s="649"/>
      <c r="B1447" s="656" t="s">
        <v>896</v>
      </c>
      <c r="C1447" s="646"/>
      <c r="D1447" s="646"/>
      <c r="E1447" s="646"/>
      <c r="F1447" s="650"/>
      <c r="G1447" s="716"/>
      <c r="H1447" s="573"/>
      <c r="I1447" s="573"/>
      <c r="J1447" s="651"/>
      <c r="K1447" s="646"/>
      <c r="L1447" s="651"/>
      <c r="M1447" s="684"/>
      <c r="N1447" s="573"/>
      <c r="O1447" s="652"/>
    </row>
    <row r="1448" spans="1:15" s="575" customFormat="1" x14ac:dyDescent="0.2">
      <c r="A1448" s="578">
        <v>41793</v>
      </c>
      <c r="B1448" s="640">
        <v>755</v>
      </c>
      <c r="C1448" s="711" t="s">
        <v>139</v>
      </c>
      <c r="D1448" s="597"/>
      <c r="E1448" s="597">
        <v>28</v>
      </c>
      <c r="F1448" s="600">
        <v>28499.24</v>
      </c>
      <c r="G1448" s="576">
        <v>32774</v>
      </c>
      <c r="H1448" s="485" t="s">
        <v>70</v>
      </c>
      <c r="I1448" s="485"/>
      <c r="J1448" s="602">
        <v>41773</v>
      </c>
      <c r="K1448" s="597" t="s">
        <v>384</v>
      </c>
      <c r="L1448" s="602">
        <v>41865</v>
      </c>
      <c r="M1448" s="712" t="s">
        <v>894</v>
      </c>
      <c r="N1448" s="485"/>
      <c r="O1448" s="712" t="s">
        <v>894</v>
      </c>
    </row>
    <row r="1449" spans="1:15" x14ac:dyDescent="0.2">
      <c r="F1449" s="650"/>
    </row>
    <row r="1450" spans="1:15" x14ac:dyDescent="0.2">
      <c r="F1450" s="650" t="s">
        <v>888</v>
      </c>
      <c r="G1450" s="495">
        <f>+G1448</f>
        <v>32774</v>
      </c>
    </row>
    <row r="1451" spans="1:15" x14ac:dyDescent="0.2">
      <c r="F1451" s="650"/>
    </row>
    <row r="1452" spans="1:15" x14ac:dyDescent="0.2">
      <c r="F1452" s="650"/>
    </row>
    <row r="1453" spans="1:15" x14ac:dyDescent="0.2">
      <c r="B1453" s="483" t="s">
        <v>896</v>
      </c>
      <c r="F1453" s="650"/>
    </row>
    <row r="1454" spans="1:15" s="58" customFormat="1" x14ac:dyDescent="0.2">
      <c r="A1454" s="578">
        <v>41858</v>
      </c>
      <c r="B1454" s="640">
        <v>783</v>
      </c>
      <c r="C1454" s="597" t="s">
        <v>64</v>
      </c>
      <c r="D1454" s="96"/>
      <c r="E1454" s="96">
        <v>15</v>
      </c>
      <c r="F1454" s="600">
        <v>5063.95</v>
      </c>
      <c r="G1454" s="576">
        <f>F1454*2.3</f>
        <v>11647.084999999999</v>
      </c>
      <c r="H1454" s="485" t="s">
        <v>72</v>
      </c>
      <c r="I1454" s="577"/>
      <c r="J1454" s="579">
        <v>41837</v>
      </c>
      <c r="K1454" s="96" t="s">
        <v>384</v>
      </c>
      <c r="L1454" s="579">
        <v>41929</v>
      </c>
      <c r="M1454" s="575"/>
      <c r="N1454" s="485"/>
      <c r="O1454" s="575"/>
    </row>
    <row r="1455" spans="1:15" s="575" customFormat="1" x14ac:dyDescent="0.2">
      <c r="A1455" s="578">
        <v>41801</v>
      </c>
      <c r="B1455" s="640">
        <v>756</v>
      </c>
      <c r="C1455" s="711" t="s">
        <v>142</v>
      </c>
      <c r="E1455" s="575">
        <v>10</v>
      </c>
      <c r="F1455" s="600">
        <v>19873.5</v>
      </c>
      <c r="G1455" s="576">
        <v>22854</v>
      </c>
      <c r="H1455" s="575" t="s">
        <v>72</v>
      </c>
      <c r="J1455" s="578">
        <v>41787</v>
      </c>
      <c r="K1455" s="597" t="s">
        <v>384</v>
      </c>
      <c r="L1455" s="578">
        <v>41879</v>
      </c>
      <c r="M1455" s="575" t="s">
        <v>893</v>
      </c>
      <c r="O1455" s="575" t="s">
        <v>893</v>
      </c>
    </row>
    <row r="1456" spans="1:15" x14ac:dyDescent="0.2">
      <c r="F1456" s="650"/>
    </row>
    <row r="1457" spans="1:15" x14ac:dyDescent="0.2">
      <c r="F1457" s="483" t="s">
        <v>888</v>
      </c>
      <c r="G1457" s="194">
        <f>SUM(G1454:G1456)</f>
        <v>34501.084999999999</v>
      </c>
    </row>
    <row r="1459" spans="1:15" x14ac:dyDescent="0.2">
      <c r="B1459" s="483" t="s">
        <v>896</v>
      </c>
    </row>
    <row r="1460" spans="1:15" s="483" customFormat="1" x14ac:dyDescent="0.2">
      <c r="A1460" s="569">
        <v>41620</v>
      </c>
      <c r="B1460" s="478">
        <v>706</v>
      </c>
      <c r="C1460" s="597" t="s">
        <v>684</v>
      </c>
      <c r="D1460" s="478"/>
      <c r="E1460" s="478">
        <v>1</v>
      </c>
      <c r="F1460" s="600">
        <v>8049</v>
      </c>
      <c r="G1460" s="576">
        <f t="shared" ref="G1460:G1465" si="34">F1460*2.3</f>
        <v>18512.699999999997</v>
      </c>
      <c r="H1460" s="485" t="s">
        <v>330</v>
      </c>
      <c r="I1460" s="482"/>
      <c r="J1460" s="642">
        <v>41608</v>
      </c>
      <c r="K1460" s="643" t="s">
        <v>384</v>
      </c>
      <c r="L1460" s="642">
        <v>41913</v>
      </c>
      <c r="N1460" s="482"/>
    </row>
    <row r="1461" spans="1:15" x14ac:dyDescent="0.2">
      <c r="A1461" s="578">
        <v>41842</v>
      </c>
      <c r="B1461" s="640" t="s">
        <v>878</v>
      </c>
      <c r="C1461" s="597" t="s">
        <v>285</v>
      </c>
      <c r="D1461" s="597"/>
      <c r="E1461" s="597">
        <v>9</v>
      </c>
      <c r="F1461" s="600">
        <v>8419.24</v>
      </c>
      <c r="G1461" s="576">
        <f t="shared" si="34"/>
        <v>19364.251999999997</v>
      </c>
      <c r="H1461" s="485" t="s">
        <v>330</v>
      </c>
      <c r="I1461" s="485"/>
      <c r="J1461" s="602">
        <v>41823</v>
      </c>
      <c r="K1461" s="597" t="s">
        <v>384</v>
      </c>
      <c r="L1461" s="602">
        <v>41915</v>
      </c>
      <c r="M1461" s="575"/>
      <c r="N1461" s="485"/>
      <c r="O1461" s="575"/>
    </row>
    <row r="1462" spans="1:15" x14ac:dyDescent="0.2">
      <c r="A1462" s="596">
        <v>41851</v>
      </c>
      <c r="B1462" s="640" t="s">
        <v>880</v>
      </c>
      <c r="C1462" s="597" t="s">
        <v>688</v>
      </c>
      <c r="D1462" s="96"/>
      <c r="E1462" s="96">
        <v>3</v>
      </c>
      <c r="F1462" s="600">
        <v>38231.919999999998</v>
      </c>
      <c r="G1462" s="576">
        <f t="shared" si="34"/>
        <v>87933.415999999983</v>
      </c>
      <c r="H1462" s="163" t="s">
        <v>330</v>
      </c>
      <c r="I1462" s="577"/>
      <c r="J1462" s="579">
        <v>41829</v>
      </c>
      <c r="K1462" s="96" t="s">
        <v>384</v>
      </c>
      <c r="L1462" s="579">
        <v>41921</v>
      </c>
      <c r="M1462" s="58"/>
      <c r="N1462" s="163"/>
      <c r="O1462" s="58"/>
    </row>
    <row r="1463" spans="1:15" x14ac:dyDescent="0.2">
      <c r="A1463" s="578">
        <v>41856</v>
      </c>
      <c r="B1463" s="640" t="s">
        <v>883</v>
      </c>
      <c r="C1463" s="597" t="s">
        <v>713</v>
      </c>
      <c r="D1463" s="597"/>
      <c r="E1463" s="597">
        <v>4</v>
      </c>
      <c r="F1463" s="600">
        <v>6747.46</v>
      </c>
      <c r="G1463" s="576">
        <f t="shared" si="34"/>
        <v>15519.157999999999</v>
      </c>
      <c r="H1463" s="485" t="s">
        <v>330</v>
      </c>
      <c r="I1463" s="485"/>
      <c r="J1463" s="602">
        <v>41830</v>
      </c>
      <c r="K1463" s="597" t="s">
        <v>384</v>
      </c>
      <c r="L1463" s="602">
        <v>41922</v>
      </c>
      <c r="M1463" s="575"/>
      <c r="N1463" s="485"/>
      <c r="O1463" s="575"/>
    </row>
    <row r="1464" spans="1:15" x14ac:dyDescent="0.2">
      <c r="A1464" s="578">
        <v>41856</v>
      </c>
      <c r="B1464" s="640">
        <v>781</v>
      </c>
      <c r="C1464" s="597" t="s">
        <v>715</v>
      </c>
      <c r="D1464" s="597"/>
      <c r="E1464" s="597">
        <v>5</v>
      </c>
      <c r="F1464" s="600">
        <v>3751.5</v>
      </c>
      <c r="G1464" s="576">
        <f t="shared" si="34"/>
        <v>8628.4499999999989</v>
      </c>
      <c r="H1464" s="485" t="s">
        <v>330</v>
      </c>
      <c r="I1464" s="485"/>
      <c r="J1464" s="602">
        <v>41832</v>
      </c>
      <c r="K1464" s="597" t="s">
        <v>384</v>
      </c>
      <c r="L1464" s="602">
        <v>41924</v>
      </c>
      <c r="M1464" s="575"/>
      <c r="N1464" s="485"/>
      <c r="O1464" s="575"/>
    </row>
    <row r="1465" spans="1:15" s="58" customFormat="1" x14ac:dyDescent="0.2">
      <c r="A1465" s="596">
        <v>41865</v>
      </c>
      <c r="B1465" s="96">
        <v>789</v>
      </c>
      <c r="C1465" s="597" t="s">
        <v>173</v>
      </c>
      <c r="D1465" s="575"/>
      <c r="E1465" s="96">
        <v>15</v>
      </c>
      <c r="F1465" s="178">
        <v>4431.4399999999996</v>
      </c>
      <c r="G1465" s="576">
        <f t="shared" si="34"/>
        <v>10192.311999999998</v>
      </c>
      <c r="H1465" s="485" t="s">
        <v>330</v>
      </c>
      <c r="I1465" s="577"/>
      <c r="J1465" s="579">
        <v>41844</v>
      </c>
      <c r="K1465" s="96" t="s">
        <v>384</v>
      </c>
      <c r="L1465" s="579">
        <v>41936</v>
      </c>
      <c r="N1465" s="163"/>
    </row>
    <row r="1466" spans="1:15" s="58" customFormat="1" x14ac:dyDescent="0.2">
      <c r="A1466" s="596"/>
      <c r="B1466" s="96"/>
      <c r="C1466" s="597"/>
      <c r="D1466" s="575"/>
      <c r="E1466" s="96"/>
      <c r="F1466" s="178"/>
      <c r="G1466" s="576"/>
      <c r="H1466" s="485"/>
      <c r="I1466" s="577"/>
      <c r="J1466" s="579"/>
      <c r="K1466" s="96"/>
      <c r="L1466" s="579"/>
      <c r="N1466" s="163"/>
    </row>
    <row r="1467" spans="1:15" x14ac:dyDescent="0.2">
      <c r="A1467" s="578"/>
      <c r="B1467" s="640"/>
      <c r="C1467" s="597"/>
      <c r="D1467" s="597"/>
      <c r="E1467" s="597"/>
      <c r="F1467" s="600" t="s">
        <v>888</v>
      </c>
      <c r="G1467" s="601">
        <f>SUM(G1460:G1465)</f>
        <v>160150.288</v>
      </c>
      <c r="H1467" s="485"/>
      <c r="I1467" s="485"/>
      <c r="J1467" s="602"/>
      <c r="K1467" s="597"/>
      <c r="L1467" s="602"/>
      <c r="M1467" s="575"/>
      <c r="N1467" s="485"/>
      <c r="O1467" s="575"/>
    </row>
    <row r="1468" spans="1:15" x14ac:dyDescent="0.2">
      <c r="A1468" s="578"/>
      <c r="B1468" s="640" t="s">
        <v>897</v>
      </c>
      <c r="C1468" s="597"/>
      <c r="D1468" s="597"/>
      <c r="E1468" s="597"/>
      <c r="F1468" s="600"/>
      <c r="G1468" s="601"/>
      <c r="H1468" s="485"/>
      <c r="I1468" s="485"/>
      <c r="J1468" s="602"/>
      <c r="K1468" s="597"/>
      <c r="L1468" s="602"/>
      <c r="M1468" s="575"/>
      <c r="N1468" s="485"/>
      <c r="O1468" s="575"/>
    </row>
    <row r="1469" spans="1:15" s="58" customFormat="1" x14ac:dyDescent="0.2">
      <c r="A1469" s="649">
        <v>41743</v>
      </c>
      <c r="B1469" s="646">
        <v>730</v>
      </c>
      <c r="C1469" s="646" t="s">
        <v>166</v>
      </c>
      <c r="D1469" s="646"/>
      <c r="E1469" s="646">
        <v>34</v>
      </c>
      <c r="F1469" s="650">
        <v>54032.08</v>
      </c>
      <c r="G1469" s="716">
        <f>+F1469*2.3</f>
        <v>124273.784</v>
      </c>
      <c r="H1469" s="573" t="s">
        <v>330</v>
      </c>
      <c r="I1469" s="573"/>
      <c r="J1469" s="651"/>
      <c r="K1469" s="646" t="s">
        <v>250</v>
      </c>
      <c r="L1469" s="649">
        <v>41941</v>
      </c>
      <c r="M1469" s="684" t="s">
        <v>890</v>
      </c>
      <c r="N1469" s="573"/>
      <c r="O1469" s="652"/>
    </row>
    <row r="1471" spans="1:15" x14ac:dyDescent="0.2">
      <c r="F1471" s="483" t="s">
        <v>888</v>
      </c>
      <c r="G1471" s="495">
        <f>SUM(G1469:G1470)</f>
        <v>124273.784</v>
      </c>
    </row>
    <row r="1479" spans="1:15" x14ac:dyDescent="0.2">
      <c r="A1479" s="578">
        <v>41814</v>
      </c>
      <c r="B1479" s="640" t="s">
        <v>871</v>
      </c>
      <c r="C1479" s="597" t="s">
        <v>172</v>
      </c>
      <c r="D1479" s="597"/>
      <c r="E1479" s="597">
        <v>19</v>
      </c>
      <c r="F1479" s="600">
        <v>8137.3</v>
      </c>
      <c r="G1479" s="601">
        <f>F1479*2.23</f>
        <v>18146.179</v>
      </c>
      <c r="H1479" s="485" t="s">
        <v>330</v>
      </c>
      <c r="I1479" s="485"/>
      <c r="J1479" s="602">
        <v>41799</v>
      </c>
      <c r="K1479" s="597" t="s">
        <v>384</v>
      </c>
      <c r="L1479" s="602">
        <v>41891</v>
      </c>
      <c r="M1479" s="575"/>
      <c r="N1479" s="485"/>
      <c r="O1479" s="575"/>
    </row>
    <row r="1480" spans="1:15" x14ac:dyDescent="0.2">
      <c r="A1480" s="607">
        <v>41781</v>
      </c>
      <c r="B1480" s="628">
        <v>745</v>
      </c>
      <c r="C1480" s="711" t="s">
        <v>173</v>
      </c>
      <c r="D1480" s="611"/>
      <c r="E1480" s="628">
        <v>14</v>
      </c>
      <c r="F1480" s="628">
        <v>3544.56</v>
      </c>
      <c r="G1480" s="628">
        <f>F1480*2.19</f>
        <v>7762.5864000000001</v>
      </c>
      <c r="H1480" s="611" t="s">
        <v>113</v>
      </c>
      <c r="I1480" s="611"/>
      <c r="J1480" s="607">
        <v>41769</v>
      </c>
      <c r="K1480" s="628" t="s">
        <v>384</v>
      </c>
      <c r="L1480" s="607">
        <v>41861</v>
      </c>
      <c r="M1480" s="713">
        <v>41892</v>
      </c>
      <c r="N1480" s="611"/>
      <c r="O1480" s="611"/>
    </row>
    <row r="1481" spans="1:15" x14ac:dyDescent="0.2">
      <c r="A1481" s="578">
        <v>41817</v>
      </c>
      <c r="B1481" s="640" t="s">
        <v>872</v>
      </c>
      <c r="C1481" s="597" t="s">
        <v>145</v>
      </c>
      <c r="D1481" s="597"/>
      <c r="E1481" s="597">
        <v>23</v>
      </c>
      <c r="F1481" s="600">
        <v>20084.53</v>
      </c>
      <c r="G1481" s="601">
        <f>F1481*2.23</f>
        <v>44788.501899999996</v>
      </c>
      <c r="H1481" s="485" t="s">
        <v>330</v>
      </c>
      <c r="I1481" s="485"/>
      <c r="J1481" s="602">
        <v>41804</v>
      </c>
      <c r="K1481" s="597" t="s">
        <v>384</v>
      </c>
      <c r="L1481" s="602">
        <v>41896</v>
      </c>
      <c r="M1481" s="575"/>
      <c r="N1481" s="485"/>
      <c r="O1481" s="575"/>
    </row>
    <row r="1482" spans="1:15" x14ac:dyDescent="0.2">
      <c r="A1482" s="596">
        <v>41859</v>
      </c>
      <c r="B1482" s="661">
        <v>785</v>
      </c>
      <c r="C1482" s="597" t="s">
        <v>881</v>
      </c>
      <c r="D1482" s="58"/>
      <c r="E1482" s="661">
        <v>9</v>
      </c>
      <c r="F1482" s="661">
        <v>7744.68</v>
      </c>
      <c r="G1482" s="661">
        <f>+F1482*2.24</f>
        <v>17348.083200000001</v>
      </c>
      <c r="H1482" s="575" t="s">
        <v>330</v>
      </c>
      <c r="I1482" s="58"/>
      <c r="J1482" s="596">
        <v>41836</v>
      </c>
      <c r="K1482" s="96" t="s">
        <v>500</v>
      </c>
      <c r="L1482" s="596">
        <v>41898</v>
      </c>
      <c r="M1482" s="58"/>
      <c r="N1482" s="58"/>
      <c r="O1482" s="58"/>
    </row>
    <row r="1483" spans="1:15" x14ac:dyDescent="0.2">
      <c r="A1483" s="734">
        <v>41870</v>
      </c>
      <c r="B1483" s="735">
        <v>792</v>
      </c>
      <c r="C1483" s="693" t="s">
        <v>208</v>
      </c>
      <c r="D1483" s="693"/>
      <c r="E1483" s="735">
        <v>12</v>
      </c>
      <c r="F1483" s="736">
        <v>5720.64</v>
      </c>
      <c r="G1483" s="737">
        <f>F1483*2.3</f>
        <v>13157.472</v>
      </c>
      <c r="H1483" s="738" t="s">
        <v>330</v>
      </c>
      <c r="I1483" s="739"/>
      <c r="J1483" s="740">
        <v>41836</v>
      </c>
      <c r="K1483" s="735" t="s">
        <v>500</v>
      </c>
      <c r="L1483" s="740">
        <v>41898</v>
      </c>
      <c r="M1483" s="741"/>
      <c r="N1483" s="742"/>
      <c r="O1483" s="743" t="s">
        <v>901</v>
      </c>
    </row>
    <row r="1484" spans="1:15" x14ac:dyDescent="0.2">
      <c r="A1484" s="578">
        <v>41831</v>
      </c>
      <c r="B1484" s="640" t="s">
        <v>873</v>
      </c>
      <c r="C1484" s="597" t="s">
        <v>212</v>
      </c>
      <c r="D1484" s="597"/>
      <c r="E1484" s="597">
        <v>22</v>
      </c>
      <c r="F1484" s="600">
        <v>9900.15</v>
      </c>
      <c r="G1484" s="601">
        <f>F1484*2.23</f>
        <v>22077.334499999997</v>
      </c>
      <c r="H1484" s="485" t="s">
        <v>72</v>
      </c>
      <c r="I1484" s="485"/>
      <c r="J1484" s="602">
        <v>41813</v>
      </c>
      <c r="K1484" s="597" t="s">
        <v>384</v>
      </c>
      <c r="L1484" s="602">
        <v>41905</v>
      </c>
      <c r="M1484" s="575"/>
      <c r="N1484" s="485"/>
      <c r="O1484" s="575"/>
    </row>
    <row r="1485" spans="1:15" x14ac:dyDescent="0.2">
      <c r="A1485" s="578">
        <v>41757</v>
      </c>
      <c r="B1485" s="628">
        <v>747</v>
      </c>
      <c r="C1485" s="711" t="s">
        <v>603</v>
      </c>
      <c r="D1485" s="575"/>
      <c r="E1485" s="637">
        <v>6</v>
      </c>
      <c r="F1485" s="637">
        <v>9804.16</v>
      </c>
      <c r="G1485" s="637">
        <f>F1485*2.19</f>
        <v>21471.110399999998</v>
      </c>
      <c r="H1485" s="575" t="s">
        <v>330</v>
      </c>
      <c r="I1485" s="575"/>
      <c r="J1485" s="578">
        <v>41772</v>
      </c>
      <c r="K1485" s="637" t="s">
        <v>384</v>
      </c>
      <c r="L1485" s="578">
        <v>41864</v>
      </c>
      <c r="M1485" s="713">
        <v>41905</v>
      </c>
      <c r="N1485" s="575"/>
      <c r="O1485" s="575"/>
    </row>
    <row r="1486" spans="1:15" x14ac:dyDescent="0.2">
      <c r="A1486" s="578">
        <v>41830</v>
      </c>
      <c r="B1486" s="597">
        <v>769</v>
      </c>
      <c r="C1486" s="637" t="s">
        <v>248</v>
      </c>
      <c r="D1486" s="575"/>
      <c r="E1486" s="637">
        <v>8</v>
      </c>
      <c r="F1486" s="600">
        <v>9466.98</v>
      </c>
      <c r="G1486" s="600">
        <f>F1486*2.26</f>
        <v>21395.374799999998</v>
      </c>
      <c r="H1486" s="575" t="s">
        <v>113</v>
      </c>
      <c r="I1486" s="575"/>
      <c r="J1486" s="578">
        <v>41815</v>
      </c>
      <c r="K1486" s="597" t="s">
        <v>384</v>
      </c>
      <c r="L1486" s="578">
        <v>41907</v>
      </c>
      <c r="M1486" s="575"/>
      <c r="N1486" s="575"/>
      <c r="O1486" s="575"/>
    </row>
    <row r="1487" spans="1:15" x14ac:dyDescent="0.2">
      <c r="A1487" s="578">
        <v>41877</v>
      </c>
      <c r="B1487" s="640" t="s">
        <v>903</v>
      </c>
      <c r="C1487" s="597" t="s">
        <v>50</v>
      </c>
      <c r="D1487" s="597"/>
      <c r="E1487" s="597">
        <v>17</v>
      </c>
      <c r="F1487" s="600">
        <v>9422.94</v>
      </c>
      <c r="G1487" s="601">
        <f>+F1487*2.3</f>
        <v>21672.761999999999</v>
      </c>
      <c r="H1487" s="485" t="s">
        <v>330</v>
      </c>
      <c r="I1487" s="485"/>
      <c r="J1487" s="602">
        <v>41851</v>
      </c>
      <c r="K1487" s="597" t="s">
        <v>500</v>
      </c>
      <c r="L1487" s="602">
        <v>41913</v>
      </c>
      <c r="M1487" s="575"/>
      <c r="N1487" s="485"/>
      <c r="O1487" s="575"/>
    </row>
    <row r="1488" spans="1:15" x14ac:dyDescent="0.2">
      <c r="A1488" s="578">
        <v>41858</v>
      </c>
      <c r="B1488" s="640" t="s">
        <v>886</v>
      </c>
      <c r="C1488" s="711" t="s">
        <v>748</v>
      </c>
      <c r="D1488" s="597" t="s">
        <v>887</v>
      </c>
      <c r="E1488" s="597">
        <v>18</v>
      </c>
      <c r="F1488" s="600">
        <v>9232.99</v>
      </c>
      <c r="G1488" s="601">
        <f>+F1488*2.23</f>
        <v>20589.5677</v>
      </c>
      <c r="H1488" s="485" t="s">
        <v>330</v>
      </c>
      <c r="I1488" s="485"/>
      <c r="J1488" s="602">
        <v>41818</v>
      </c>
      <c r="K1488" s="597" t="s">
        <v>500</v>
      </c>
      <c r="L1488" s="602">
        <v>41879</v>
      </c>
      <c r="M1488" s="578">
        <v>41910</v>
      </c>
      <c r="N1488" s="485"/>
      <c r="O1488" s="578">
        <v>41913</v>
      </c>
    </row>
    <row r="1489" spans="1:15" x14ac:dyDescent="0.2">
      <c r="A1489" s="569">
        <v>41620</v>
      </c>
      <c r="B1489" s="478">
        <v>706</v>
      </c>
      <c r="C1489" s="597" t="s">
        <v>684</v>
      </c>
      <c r="D1489" s="478"/>
      <c r="E1489" s="478">
        <v>1</v>
      </c>
      <c r="F1489" s="641">
        <v>8049</v>
      </c>
      <c r="G1489" s="644">
        <f>F1489*2.3</f>
        <v>18512.699999999997</v>
      </c>
      <c r="H1489" s="485" t="s">
        <v>330</v>
      </c>
      <c r="I1489" s="482"/>
      <c r="J1489" s="642">
        <v>41608</v>
      </c>
      <c r="K1489" s="643" t="s">
        <v>384</v>
      </c>
      <c r="L1489" s="642">
        <v>41913</v>
      </c>
      <c r="M1489" s="483"/>
      <c r="N1489" s="482"/>
      <c r="O1489" s="483"/>
    </row>
    <row r="1490" spans="1:15" x14ac:dyDescent="0.2">
      <c r="A1490" s="596">
        <v>41856</v>
      </c>
      <c r="B1490" s="661">
        <v>786</v>
      </c>
      <c r="C1490" s="597" t="s">
        <v>684</v>
      </c>
      <c r="D1490" s="58"/>
      <c r="E1490" s="58"/>
      <c r="F1490" s="600">
        <v>1400</v>
      </c>
      <c r="G1490" s="694">
        <f>F1490*2.24</f>
        <v>3136.0000000000005</v>
      </c>
      <c r="H1490" s="575" t="s">
        <v>113</v>
      </c>
      <c r="I1490" s="58"/>
      <c r="J1490" s="596">
        <v>41802</v>
      </c>
      <c r="K1490" s="597" t="s">
        <v>384</v>
      </c>
      <c r="L1490" s="596">
        <v>41913</v>
      </c>
      <c r="M1490" s="58"/>
      <c r="N1490" s="58"/>
      <c r="O1490" s="58"/>
    </row>
    <row r="1491" spans="1:15" x14ac:dyDescent="0.2">
      <c r="A1491" s="578">
        <v>41842</v>
      </c>
      <c r="B1491" s="640" t="s">
        <v>878</v>
      </c>
      <c r="C1491" s="597" t="s">
        <v>285</v>
      </c>
      <c r="D1491" s="597"/>
      <c r="E1491" s="597">
        <v>9</v>
      </c>
      <c r="F1491" s="600">
        <v>8419.24</v>
      </c>
      <c r="G1491" s="601">
        <f>+F1491*2.25</f>
        <v>18943.29</v>
      </c>
      <c r="H1491" s="485" t="s">
        <v>330</v>
      </c>
      <c r="I1491" s="485"/>
      <c r="J1491" s="602">
        <v>41823</v>
      </c>
      <c r="K1491" s="597" t="s">
        <v>384</v>
      </c>
      <c r="L1491" s="602">
        <v>41915</v>
      </c>
      <c r="M1491" s="575"/>
      <c r="N1491" s="485"/>
      <c r="O1491" s="575"/>
    </row>
    <row r="1507" spans="1:16" ht="20.25" x14ac:dyDescent="0.3">
      <c r="C1507" s="880"/>
      <c r="D1507" s="880"/>
      <c r="E1507" s="880"/>
      <c r="F1507" s="880"/>
    </row>
    <row r="1508" spans="1:16" ht="20.100000000000001" customHeight="1" x14ac:dyDescent="0.3">
      <c r="C1508" s="1813" t="s">
        <v>926</v>
      </c>
      <c r="D1508" s="1813"/>
      <c r="E1508" s="1813"/>
      <c r="F1508" s="1813"/>
    </row>
    <row r="1509" spans="1:16" ht="20.100000000000001" customHeight="1" x14ac:dyDescent="0.2">
      <c r="C1509" s="568"/>
      <c r="D1509" s="55"/>
      <c r="E1509" s="55"/>
      <c r="F1509" s="55"/>
    </row>
    <row r="1510" spans="1:16" ht="20.100000000000001" customHeight="1" x14ac:dyDescent="0.3">
      <c r="C1510" s="1812" t="s">
        <v>330</v>
      </c>
      <c r="D1510" s="1812"/>
      <c r="E1510" s="1812"/>
      <c r="F1510" s="1812"/>
    </row>
    <row r="1511" spans="1:16" ht="20.100000000000001" customHeight="1" x14ac:dyDescent="0.2"/>
    <row r="1512" spans="1:16" ht="20.100000000000001" customHeight="1" x14ac:dyDescent="0.2">
      <c r="A1512" s="1" t="s">
        <v>947</v>
      </c>
    </row>
    <row r="1513" spans="1:16" s="587" customFormat="1" ht="20.100000000000001" customHeight="1" x14ac:dyDescent="0.2">
      <c r="A1513" s="607">
        <v>41893</v>
      </c>
      <c r="B1513" s="773" t="s">
        <v>907</v>
      </c>
      <c r="C1513" s="612" t="s">
        <v>171</v>
      </c>
      <c r="D1513" s="611"/>
      <c r="E1513" s="628">
        <v>13</v>
      </c>
      <c r="F1513" s="688">
        <v>23396.5</v>
      </c>
      <c r="G1513" s="878">
        <f>F1513*2.24</f>
        <v>52408.160000000003</v>
      </c>
      <c r="H1513" s="611" t="s">
        <v>330</v>
      </c>
      <c r="I1513" s="611"/>
      <c r="J1513" s="696">
        <v>41817</v>
      </c>
      <c r="K1513" s="879" t="s">
        <v>500</v>
      </c>
      <c r="L1513" s="857">
        <v>41878</v>
      </c>
      <c r="M1513" s="612" t="s">
        <v>719</v>
      </c>
      <c r="O1513" s="857">
        <v>41943</v>
      </c>
      <c r="P1513" s="857">
        <v>42066</v>
      </c>
    </row>
    <row r="1514" spans="1:16" s="587" customFormat="1" ht="20.100000000000001" customHeight="1" x14ac:dyDescent="0.2">
      <c r="A1514" s="607">
        <v>41816</v>
      </c>
      <c r="B1514" s="612">
        <v>767</v>
      </c>
      <c r="C1514" s="612" t="s">
        <v>802</v>
      </c>
      <c r="D1514" s="612"/>
      <c r="E1514" s="612">
        <v>4</v>
      </c>
      <c r="F1514" s="688">
        <v>35402.839999999997</v>
      </c>
      <c r="G1514" s="878">
        <f>F1514*1.7</f>
        <v>60184.827999999994</v>
      </c>
      <c r="H1514" s="610" t="s">
        <v>330</v>
      </c>
      <c r="I1514" s="610"/>
      <c r="J1514" s="696"/>
      <c r="K1514" s="612" t="s">
        <v>807</v>
      </c>
      <c r="L1514" s="857">
        <v>41906</v>
      </c>
      <c r="M1514" s="612" t="s">
        <v>719</v>
      </c>
      <c r="N1514" s="610"/>
      <c r="O1514" s="857">
        <v>41996</v>
      </c>
      <c r="P1514" s="857">
        <v>42086</v>
      </c>
    </row>
    <row r="1515" spans="1:16" s="587" customFormat="1" ht="20.100000000000001" customHeight="1" x14ac:dyDescent="0.2">
      <c r="A1515" s="607">
        <v>41851</v>
      </c>
      <c r="B1515" s="773" t="s">
        <v>880</v>
      </c>
      <c r="C1515" s="612" t="s">
        <v>688</v>
      </c>
      <c r="D1515" s="609"/>
      <c r="E1515" s="609">
        <v>3</v>
      </c>
      <c r="F1515" s="625">
        <v>38231.919999999998</v>
      </c>
      <c r="G1515" s="878">
        <f>F1515*2.24</f>
        <v>85639.500800000009</v>
      </c>
      <c r="H1515" s="610" t="s">
        <v>330</v>
      </c>
      <c r="I1515" s="626"/>
      <c r="J1515" s="696">
        <v>41829</v>
      </c>
      <c r="K1515" s="612" t="s">
        <v>384</v>
      </c>
      <c r="L1515" s="857">
        <v>41921</v>
      </c>
      <c r="M1515" s="612" t="s">
        <v>719</v>
      </c>
      <c r="O1515" s="857">
        <v>41982</v>
      </c>
      <c r="P1515" s="857">
        <v>42087</v>
      </c>
    </row>
    <row r="1516" spans="1:16" ht="20.100000000000001" customHeight="1" x14ac:dyDescent="0.2">
      <c r="F1516" s="875" t="s">
        <v>888</v>
      </c>
      <c r="G1516" s="876">
        <f>+G1515+G1514+G1513</f>
        <v>198232.48880000002</v>
      </c>
      <c r="L1516" s="857"/>
      <c r="O1516" s="857"/>
      <c r="P1516" s="857"/>
    </row>
    <row r="1517" spans="1:16" ht="20.100000000000001" customHeight="1" x14ac:dyDescent="0.2">
      <c r="L1517" s="857"/>
      <c r="O1517" s="857"/>
      <c r="P1517" s="857"/>
    </row>
    <row r="1518" spans="1:16" ht="20.100000000000001" customHeight="1" x14ac:dyDescent="0.2">
      <c r="L1518" s="857"/>
      <c r="O1518" s="857"/>
      <c r="P1518" s="857"/>
    </row>
    <row r="1519" spans="1:16" ht="20.100000000000001" customHeight="1" x14ac:dyDescent="0.2">
      <c r="A1519" s="1" t="s">
        <v>948</v>
      </c>
      <c r="L1519" s="857"/>
      <c r="O1519" s="857"/>
      <c r="P1519" s="857"/>
    </row>
    <row r="1520" spans="1:16" ht="20.100000000000001" customHeight="1" x14ac:dyDescent="0.2">
      <c r="A1520" s="578">
        <v>42021</v>
      </c>
      <c r="B1520" s="637">
        <v>829</v>
      </c>
      <c r="C1520" s="806" t="s">
        <v>212</v>
      </c>
      <c r="D1520" s="575"/>
      <c r="E1520" s="96">
        <v>23</v>
      </c>
      <c r="F1520" s="877">
        <v>14144.16</v>
      </c>
      <c r="G1520" s="125">
        <f>+F1520*2.3</f>
        <v>32531.567999999996</v>
      </c>
      <c r="H1520" s="575" t="s">
        <v>330</v>
      </c>
      <c r="I1520" s="575"/>
      <c r="J1520" s="696">
        <v>41979</v>
      </c>
      <c r="K1520" s="637" t="s">
        <v>384</v>
      </c>
      <c r="L1520" s="857">
        <v>42069</v>
      </c>
      <c r="M1520" s="575"/>
      <c r="N1520" s="575"/>
      <c r="O1520" s="857"/>
      <c r="P1520" s="857"/>
    </row>
    <row r="1521" spans="1:16" ht="20.100000000000001" customHeight="1" x14ac:dyDescent="0.2">
      <c r="A1521" s="596">
        <v>42030</v>
      </c>
      <c r="B1521" s="661">
        <v>832</v>
      </c>
      <c r="C1521" s="597" t="s">
        <v>478</v>
      </c>
      <c r="D1521" s="58"/>
      <c r="E1521" s="597">
        <v>9</v>
      </c>
      <c r="F1521" s="877">
        <v>5033.6400000000003</v>
      </c>
      <c r="G1521" s="125">
        <f>+F1521*2.3</f>
        <v>11577.371999999999</v>
      </c>
      <c r="H1521" s="58" t="s">
        <v>330</v>
      </c>
      <c r="I1521" s="58"/>
      <c r="J1521" s="838">
        <v>42019</v>
      </c>
      <c r="K1521" s="661" t="s">
        <v>500</v>
      </c>
      <c r="L1521" s="857">
        <v>42078</v>
      </c>
      <c r="M1521" s="596"/>
      <c r="N1521" s="58"/>
      <c r="O1521" s="857"/>
      <c r="P1521" s="857"/>
    </row>
    <row r="1522" spans="1:16" ht="20.100000000000001" customHeight="1" x14ac:dyDescent="0.2">
      <c r="A1522" s="578">
        <v>42030</v>
      </c>
      <c r="B1522" s="637">
        <v>833</v>
      </c>
      <c r="C1522" s="597" t="s">
        <v>248</v>
      </c>
      <c r="D1522" s="597"/>
      <c r="E1522" s="597">
        <v>9</v>
      </c>
      <c r="F1522" s="877">
        <v>13681.4</v>
      </c>
      <c r="G1522" s="125">
        <f>+F1522*2.3</f>
        <v>31467.219999999998</v>
      </c>
      <c r="H1522" s="575" t="s">
        <v>330</v>
      </c>
      <c r="I1522" s="575"/>
      <c r="J1522" s="838">
        <v>41999</v>
      </c>
      <c r="K1522" s="637" t="s">
        <v>384</v>
      </c>
      <c r="L1522" s="857">
        <v>42089</v>
      </c>
      <c r="M1522" s="578"/>
      <c r="N1522" s="575"/>
      <c r="O1522" s="857"/>
      <c r="P1522" s="857"/>
    </row>
    <row r="1523" spans="1:16" ht="20.100000000000001" customHeight="1" x14ac:dyDescent="0.2">
      <c r="F1523" s="753" t="s">
        <v>888</v>
      </c>
      <c r="G1523" s="755">
        <f>+G1522+G1521+G1520</f>
        <v>75576.159999999989</v>
      </c>
      <c r="L1523" s="857"/>
      <c r="O1523" s="857"/>
      <c r="P1523" s="857"/>
    </row>
    <row r="1524" spans="1:16" ht="20.100000000000001" customHeight="1" x14ac:dyDescent="0.2">
      <c r="F1524" s="873"/>
      <c r="G1524" s="601"/>
      <c r="L1524" s="857"/>
      <c r="O1524" s="857"/>
      <c r="P1524" s="857"/>
    </row>
    <row r="1525" spans="1:16" ht="20.100000000000001" customHeight="1" x14ac:dyDescent="0.2">
      <c r="F1525" s="753" t="s">
        <v>950</v>
      </c>
      <c r="G1525" s="874">
        <f>G1523+G1516</f>
        <v>273808.64880000002</v>
      </c>
      <c r="L1525" s="857"/>
      <c r="O1525" s="857"/>
      <c r="P1525" s="857"/>
    </row>
    <row r="1526" spans="1:16" ht="20.100000000000001" customHeight="1" x14ac:dyDescent="0.2">
      <c r="F1526" s="873"/>
      <c r="G1526" s="820"/>
      <c r="L1526" s="857"/>
      <c r="O1526" s="857"/>
      <c r="P1526" s="857"/>
    </row>
    <row r="1527" spans="1:16" ht="20.100000000000001" customHeight="1" x14ac:dyDescent="0.3">
      <c r="C1527" s="1812" t="s">
        <v>72</v>
      </c>
      <c r="D1527" s="1812" t="s">
        <v>72</v>
      </c>
      <c r="E1527" s="1812"/>
      <c r="F1527" s="1812"/>
      <c r="L1527" s="857"/>
      <c r="O1527" s="857"/>
      <c r="P1527" s="857"/>
    </row>
    <row r="1528" spans="1:16" ht="20.100000000000001" customHeight="1" x14ac:dyDescent="0.2">
      <c r="L1528" s="857"/>
      <c r="O1528" s="857"/>
      <c r="P1528" s="857"/>
    </row>
    <row r="1529" spans="1:16" ht="20.100000000000001" customHeight="1" x14ac:dyDescent="0.2">
      <c r="A1529" s="1" t="s">
        <v>948</v>
      </c>
      <c r="L1529" s="857"/>
      <c r="O1529" s="857"/>
      <c r="P1529" s="857"/>
    </row>
    <row r="1530" spans="1:16" ht="20.100000000000001" customHeight="1" x14ac:dyDescent="0.2">
      <c r="A1530" s="569">
        <v>42021</v>
      </c>
      <c r="B1530" s="568">
        <v>826</v>
      </c>
      <c r="C1530" s="806" t="s">
        <v>285</v>
      </c>
      <c r="D1530" s="597"/>
      <c r="E1530" s="568">
        <v>10</v>
      </c>
      <c r="F1530" s="600">
        <v>5734.9</v>
      </c>
      <c r="G1530" s="601">
        <f>+F1530*2.3</f>
        <v>13190.269999999999</v>
      </c>
      <c r="H1530" s="483" t="s">
        <v>72</v>
      </c>
      <c r="I1530" s="483"/>
      <c r="J1530" s="857">
        <v>41991</v>
      </c>
      <c r="K1530" s="568" t="s">
        <v>384</v>
      </c>
      <c r="L1530" s="857">
        <v>42081</v>
      </c>
      <c r="M1530" s="483"/>
      <c r="N1530" s="483"/>
      <c r="O1530" s="857"/>
      <c r="P1530" s="857"/>
    </row>
    <row r="1531" spans="1:16" ht="20.100000000000001" customHeight="1" x14ac:dyDescent="0.2">
      <c r="A1531" s="578">
        <v>42021</v>
      </c>
      <c r="B1531" s="661">
        <v>828</v>
      </c>
      <c r="C1531" s="597" t="s">
        <v>174</v>
      </c>
      <c r="D1531" s="575"/>
      <c r="E1531" s="597">
        <v>4</v>
      </c>
      <c r="F1531" s="600">
        <v>2677.1</v>
      </c>
      <c r="G1531" s="601">
        <f>+F1531*2.3</f>
        <v>6157.329999999999</v>
      </c>
      <c r="H1531" s="575" t="s">
        <v>72</v>
      </c>
      <c r="I1531" s="575"/>
      <c r="J1531" s="838">
        <v>41993</v>
      </c>
      <c r="K1531" s="661" t="s">
        <v>384</v>
      </c>
      <c r="L1531" s="857">
        <v>42083</v>
      </c>
      <c r="M1531" s="575"/>
      <c r="N1531" s="575"/>
      <c r="O1531" s="857"/>
      <c r="P1531" s="857"/>
    </row>
    <row r="1532" spans="1:16" ht="20.100000000000001" customHeight="1" x14ac:dyDescent="0.2">
      <c r="A1532" s="578">
        <v>42042</v>
      </c>
      <c r="B1532" s="637">
        <v>834</v>
      </c>
      <c r="C1532" s="597" t="s">
        <v>187</v>
      </c>
      <c r="D1532" s="575"/>
      <c r="E1532" s="597">
        <v>13</v>
      </c>
      <c r="F1532" s="600">
        <v>5644.12</v>
      </c>
      <c r="G1532" s="601">
        <f>+F1532*2.3</f>
        <v>12981.475999999999</v>
      </c>
      <c r="H1532" s="485" t="s">
        <v>72</v>
      </c>
      <c r="I1532" s="575"/>
      <c r="J1532" s="696">
        <v>42002</v>
      </c>
      <c r="K1532" s="696" t="s">
        <v>384</v>
      </c>
      <c r="L1532" s="857">
        <v>42092</v>
      </c>
      <c r="M1532" s="575"/>
      <c r="N1532" s="575"/>
      <c r="O1532" s="857"/>
      <c r="P1532" s="857"/>
    </row>
    <row r="1533" spans="1:16" ht="20.100000000000001" customHeight="1" x14ac:dyDescent="0.2">
      <c r="F1533" s="753" t="s">
        <v>888</v>
      </c>
      <c r="G1533" s="755">
        <f>+G1532+G1531+G1530</f>
        <v>32329.075999999994</v>
      </c>
      <c r="L1533" s="857"/>
      <c r="O1533" s="857"/>
      <c r="P1533" s="857"/>
    </row>
    <row r="1534" spans="1:16" ht="20.100000000000001" customHeight="1" x14ac:dyDescent="0.2">
      <c r="L1534" s="857"/>
      <c r="O1534" s="857"/>
      <c r="P1534" s="857"/>
    </row>
    <row r="1535" spans="1:16" ht="20.100000000000001" customHeight="1" x14ac:dyDescent="0.2">
      <c r="L1535" s="857"/>
      <c r="O1535" s="857"/>
      <c r="P1535" s="857"/>
    </row>
    <row r="1536" spans="1:16" ht="20.100000000000001" customHeight="1" x14ac:dyDescent="0.2">
      <c r="A1536" s="1" t="s">
        <v>947</v>
      </c>
      <c r="L1536" s="857"/>
      <c r="O1536" s="857"/>
      <c r="P1536" s="857"/>
    </row>
    <row r="1537" spans="1:16" s="587" customFormat="1" ht="20.100000000000001" customHeight="1" x14ac:dyDescent="0.2">
      <c r="A1537" s="607">
        <v>41814</v>
      </c>
      <c r="B1537" s="612">
        <v>765</v>
      </c>
      <c r="C1537" s="612" t="s">
        <v>319</v>
      </c>
      <c r="D1537" s="612"/>
      <c r="E1537" s="612">
        <v>11</v>
      </c>
      <c r="F1537" s="688">
        <v>15477.84</v>
      </c>
      <c r="G1537" s="774">
        <f>+F1537*2.3</f>
        <v>35599.031999999999</v>
      </c>
      <c r="H1537" s="610" t="s">
        <v>72</v>
      </c>
      <c r="I1537" s="610"/>
      <c r="J1537" s="696">
        <v>41739</v>
      </c>
      <c r="K1537" s="612" t="s">
        <v>384</v>
      </c>
      <c r="L1537" s="857">
        <v>41897</v>
      </c>
      <c r="M1537" s="767" t="s">
        <v>719</v>
      </c>
      <c r="N1537" s="610"/>
      <c r="O1537" s="857">
        <v>42027</v>
      </c>
      <c r="P1537" s="857">
        <v>42093</v>
      </c>
    </row>
    <row r="1538" spans="1:16" ht="20.100000000000001" customHeight="1" x14ac:dyDescent="0.2">
      <c r="F1538" s="753" t="s">
        <v>888</v>
      </c>
      <c r="G1538" s="755">
        <f>+G1537+G1536+G1535</f>
        <v>35599.031999999999</v>
      </c>
      <c r="L1538" s="857"/>
      <c r="O1538" s="857"/>
      <c r="P1538" s="857"/>
    </row>
    <row r="1539" spans="1:16" ht="20.100000000000001" customHeight="1" x14ac:dyDescent="0.2"/>
    <row r="1540" spans="1:16" ht="20.100000000000001" customHeight="1" x14ac:dyDescent="0.2">
      <c r="F1540" s="676" t="s">
        <v>949</v>
      </c>
      <c r="G1540" s="881">
        <f>G1538+G1533</f>
        <v>67928.107999999993</v>
      </c>
    </row>
    <row r="1541" spans="1:16" ht="20.100000000000001" customHeight="1" x14ac:dyDescent="0.2"/>
    <row r="1542" spans="1:16" ht="20.100000000000001" customHeight="1" x14ac:dyDescent="0.2">
      <c r="D1542" s="260" t="s">
        <v>951</v>
      </c>
      <c r="E1542" s="882">
        <f>+G1540+G1525</f>
        <v>341736.75680000003</v>
      </c>
    </row>
    <row r="1543" spans="1:16" ht="24.95" customHeight="1" x14ac:dyDescent="0.2"/>
    <row r="1544" spans="1:16" ht="24.95" customHeight="1" x14ac:dyDescent="0.2"/>
    <row r="1565" spans="1:16" ht="20.25" x14ac:dyDescent="0.3">
      <c r="C1565" s="1814" t="s">
        <v>960</v>
      </c>
      <c r="D1565" s="1814"/>
      <c r="E1565" s="1814"/>
      <c r="F1565" s="1814"/>
      <c r="G1565" s="1814"/>
      <c r="H1565" s="1814"/>
    </row>
    <row r="1566" spans="1:16" ht="20.25" x14ac:dyDescent="0.3">
      <c r="C1566" s="895"/>
      <c r="D1566" s="895"/>
      <c r="E1566" s="895"/>
      <c r="F1566" s="895"/>
      <c r="G1566" s="895"/>
      <c r="H1566" s="895"/>
    </row>
    <row r="1567" spans="1:16" x14ac:dyDescent="0.2">
      <c r="A1567" s="649"/>
      <c r="B1567" s="752"/>
      <c r="C1567" s="717"/>
      <c r="D1567" s="564"/>
      <c r="E1567" s="564"/>
      <c r="F1567" s="178"/>
      <c r="G1567" s="178"/>
      <c r="H1567" s="573"/>
      <c r="I1567" s="720"/>
      <c r="J1567" s="720"/>
      <c r="K1567" s="564"/>
      <c r="L1567" s="651"/>
      <c r="M1567" s="649"/>
      <c r="N1567" s="573"/>
      <c r="O1567" s="649"/>
      <c r="P1567" s="649"/>
    </row>
    <row r="1568" spans="1:16" ht="20.100000000000001" customHeight="1" x14ac:dyDescent="0.3">
      <c r="C1568" s="1812" t="s">
        <v>70</v>
      </c>
      <c r="D1568" s="1812"/>
      <c r="E1568" s="1812"/>
      <c r="F1568" s="1812"/>
      <c r="L1568" s="857"/>
      <c r="O1568" s="857"/>
      <c r="P1568" s="857"/>
    </row>
    <row r="1569" spans="1:16" x14ac:dyDescent="0.2">
      <c r="A1569" s="649"/>
      <c r="B1569" s="752"/>
      <c r="C1569" s="717"/>
      <c r="D1569" s="564"/>
      <c r="E1569" s="564"/>
      <c r="F1569" s="719"/>
      <c r="G1569" s="650"/>
      <c r="H1569" s="573"/>
      <c r="I1569" s="720"/>
      <c r="J1569" s="720"/>
      <c r="K1569" s="564"/>
      <c r="L1569" s="651"/>
      <c r="M1569" s="649"/>
      <c r="N1569" s="573"/>
      <c r="O1569" s="649"/>
      <c r="P1569" s="649"/>
    </row>
    <row r="1570" spans="1:16" x14ac:dyDescent="0.2">
      <c r="A1570" s="1" t="s">
        <v>947</v>
      </c>
      <c r="B1570" s="752"/>
      <c r="C1570" s="717"/>
      <c r="D1570" s="564"/>
      <c r="E1570" s="564"/>
      <c r="F1570" s="719"/>
      <c r="G1570" s="650"/>
      <c r="H1570" s="573"/>
      <c r="I1570" s="720"/>
      <c r="J1570" s="720"/>
      <c r="K1570" s="564"/>
      <c r="L1570" s="651"/>
      <c r="M1570" s="649"/>
      <c r="N1570" s="573"/>
      <c r="O1570" s="649"/>
      <c r="P1570" s="649"/>
    </row>
    <row r="1571" spans="1:16" x14ac:dyDescent="0.2">
      <c r="A1571" s="649">
        <v>41788</v>
      </c>
      <c r="B1571" s="658">
        <v>746</v>
      </c>
      <c r="C1571" s="646" t="s">
        <v>827</v>
      </c>
      <c r="D1571" s="652"/>
      <c r="E1571" s="658">
        <v>7</v>
      </c>
      <c r="F1571" s="650">
        <v>5470</v>
      </c>
      <c r="G1571" s="650">
        <f>F1571*2.19</f>
        <v>11979.3</v>
      </c>
      <c r="H1571" s="652" t="s">
        <v>70</v>
      </c>
      <c r="I1571" s="652"/>
      <c r="J1571" s="649">
        <v>41774</v>
      </c>
      <c r="K1571" s="658" t="s">
        <v>500</v>
      </c>
      <c r="L1571" s="649">
        <v>41920</v>
      </c>
      <c r="M1571" s="684" t="s">
        <v>719</v>
      </c>
      <c r="N1571" s="652"/>
      <c r="O1571" s="649">
        <v>42124</v>
      </c>
      <c r="P1571" s="649">
        <v>42124</v>
      </c>
    </row>
    <row r="1572" spans="1:16" x14ac:dyDescent="0.2">
      <c r="A1572" s="649">
        <v>41790</v>
      </c>
      <c r="B1572" s="646">
        <v>748</v>
      </c>
      <c r="C1572" s="646" t="s">
        <v>198</v>
      </c>
      <c r="D1572" s="646"/>
      <c r="E1572" s="646">
        <v>10</v>
      </c>
      <c r="F1572" s="650">
        <v>9990.7199999999993</v>
      </c>
      <c r="G1572" s="650">
        <f>+F1572*2.26</f>
        <v>22579.027199999997</v>
      </c>
      <c r="H1572" s="573" t="s">
        <v>70</v>
      </c>
      <c r="I1572" s="573"/>
      <c r="J1572" s="651">
        <v>41779</v>
      </c>
      <c r="K1572" s="646" t="s">
        <v>500</v>
      </c>
      <c r="L1572" s="651">
        <v>41921</v>
      </c>
      <c r="M1572" s="684" t="s">
        <v>719</v>
      </c>
      <c r="N1572" s="573"/>
      <c r="O1572" s="649">
        <v>42124</v>
      </c>
      <c r="P1572" s="649">
        <v>42124</v>
      </c>
    </row>
    <row r="1573" spans="1:16" x14ac:dyDescent="0.2">
      <c r="A1573" s="649"/>
      <c r="B1573" s="646"/>
      <c r="C1573" s="646"/>
      <c r="D1573" s="646"/>
      <c r="E1573" s="646"/>
      <c r="F1573" s="178" t="s">
        <v>888</v>
      </c>
      <c r="G1573" s="178">
        <f>SUM(G1571:G1572)</f>
        <v>34558.3272</v>
      </c>
      <c r="H1573" s="573"/>
      <c r="I1573" s="573"/>
      <c r="J1573" s="651"/>
      <c r="K1573" s="646"/>
      <c r="L1573" s="651"/>
      <c r="M1573" s="684"/>
      <c r="N1573" s="573"/>
      <c r="O1573" s="649"/>
      <c r="P1573" s="649"/>
    </row>
    <row r="1574" spans="1:16" ht="20.100000000000001" customHeight="1" x14ac:dyDescent="0.3">
      <c r="C1574" s="1812" t="s">
        <v>330</v>
      </c>
      <c r="D1574" s="1812"/>
      <c r="E1574" s="1812"/>
      <c r="F1574" s="1812"/>
      <c r="L1574" s="857"/>
      <c r="O1574" s="857"/>
      <c r="P1574" s="857"/>
    </row>
    <row r="1575" spans="1:16" x14ac:dyDescent="0.2">
      <c r="A1575" s="649"/>
      <c r="B1575" s="775"/>
      <c r="C1575" s="646"/>
      <c r="D1575" s="652"/>
      <c r="E1575" s="658"/>
      <c r="F1575" s="650"/>
      <c r="G1575" s="659"/>
      <c r="H1575" s="652"/>
      <c r="I1575" s="652"/>
      <c r="J1575" s="652"/>
      <c r="K1575" s="658"/>
      <c r="L1575" s="855"/>
      <c r="M1575" s="652"/>
      <c r="N1575" s="652"/>
      <c r="O1575" s="649"/>
      <c r="P1575" s="649"/>
    </row>
    <row r="1576" spans="1:16" x14ac:dyDescent="0.2">
      <c r="A1576" s="1" t="s">
        <v>948</v>
      </c>
      <c r="B1576" s="775"/>
      <c r="C1576" s="646"/>
      <c r="D1576" s="652"/>
      <c r="E1576" s="658"/>
      <c r="F1576" s="650"/>
      <c r="G1576" s="659"/>
      <c r="H1576" s="652"/>
      <c r="I1576" s="652"/>
      <c r="J1576" s="652"/>
      <c r="K1576" s="658"/>
      <c r="L1576" s="855"/>
      <c r="M1576" s="652"/>
      <c r="N1576" s="652"/>
      <c r="O1576" s="649"/>
      <c r="P1576" s="649"/>
    </row>
    <row r="1577" spans="1:16" x14ac:dyDescent="0.2">
      <c r="A1577" s="578">
        <v>42065</v>
      </c>
      <c r="B1577" s="661">
        <v>836</v>
      </c>
      <c r="C1577" s="597" t="s">
        <v>923</v>
      </c>
      <c r="D1577" s="58"/>
      <c r="E1577" s="661">
        <v>7</v>
      </c>
      <c r="F1577" s="600">
        <v>14428.99</v>
      </c>
      <c r="G1577" s="601">
        <f>F1577*2.15</f>
        <v>31022.3285</v>
      </c>
      <c r="H1577" s="575" t="s">
        <v>330</v>
      </c>
      <c r="I1577" s="58"/>
      <c r="J1577" s="838">
        <v>42031</v>
      </c>
      <c r="K1577" s="637" t="s">
        <v>384</v>
      </c>
      <c r="L1577" s="58"/>
      <c r="M1577" s="58"/>
      <c r="N1577" s="58"/>
      <c r="O1577" s="58"/>
      <c r="P1577" s="578">
        <v>42121</v>
      </c>
    </row>
    <row r="1578" spans="1:16" x14ac:dyDescent="0.2">
      <c r="A1578" s="596">
        <v>42045</v>
      </c>
      <c r="B1578" s="637">
        <v>835</v>
      </c>
      <c r="C1578" s="597" t="s">
        <v>172</v>
      </c>
      <c r="D1578" s="58"/>
      <c r="E1578" s="597">
        <v>21</v>
      </c>
      <c r="F1578" s="661">
        <v>6820.68</v>
      </c>
      <c r="G1578" s="601">
        <f>F1578*2.3</f>
        <v>15687.564</v>
      </c>
      <c r="H1578" s="58" t="s">
        <v>330</v>
      </c>
      <c r="I1578" s="58"/>
      <c r="J1578" s="696">
        <v>42033</v>
      </c>
      <c r="K1578" s="696" t="s">
        <v>384</v>
      </c>
      <c r="L1578" s="696">
        <v>42123</v>
      </c>
      <c r="M1578" s="58"/>
      <c r="N1578" s="58"/>
      <c r="O1578" s="58"/>
      <c r="P1578" s="596">
        <v>42123</v>
      </c>
    </row>
    <row r="1579" spans="1:16" x14ac:dyDescent="0.2">
      <c r="A1579" s="596"/>
      <c r="B1579" s="637"/>
      <c r="C1579" s="597"/>
      <c r="D1579" s="58"/>
      <c r="E1579" s="597"/>
      <c r="F1579" s="766" t="s">
        <v>888</v>
      </c>
      <c r="G1579" s="896">
        <f>SUM(G1577:G1578)</f>
        <v>46709.892500000002</v>
      </c>
      <c r="H1579" s="58"/>
      <c r="I1579" s="58"/>
      <c r="J1579" s="696"/>
      <c r="K1579" s="696"/>
      <c r="L1579" s="696"/>
      <c r="M1579" s="58"/>
      <c r="N1579" s="58"/>
      <c r="O1579" s="58"/>
      <c r="P1579" s="596"/>
    </row>
    <row r="1580" spans="1:16" x14ac:dyDescent="0.2">
      <c r="A1580" s="596"/>
      <c r="B1580" s="637"/>
      <c r="C1580" s="597"/>
      <c r="D1580" s="58"/>
      <c r="E1580" s="597"/>
      <c r="F1580" s="661"/>
      <c r="G1580" s="661"/>
      <c r="H1580" s="58"/>
      <c r="I1580" s="58"/>
      <c r="J1580" s="696"/>
      <c r="K1580" s="696"/>
      <c r="L1580" s="696"/>
      <c r="M1580" s="58"/>
      <c r="N1580" s="58"/>
      <c r="O1580" s="58"/>
      <c r="P1580" s="596"/>
    </row>
    <row r="1581" spans="1:16" x14ac:dyDescent="0.2">
      <c r="A1581" s="596"/>
      <c r="B1581" s="637"/>
      <c r="C1581" s="597"/>
      <c r="D1581" s="58"/>
      <c r="E1581" s="597"/>
      <c r="F1581" s="661"/>
      <c r="G1581" s="661"/>
      <c r="H1581" s="58"/>
      <c r="I1581" s="58"/>
      <c r="J1581" s="696"/>
      <c r="K1581" s="696"/>
      <c r="L1581" s="696"/>
      <c r="M1581" s="58"/>
      <c r="N1581" s="58"/>
      <c r="O1581" s="58"/>
      <c r="P1581" s="596"/>
    </row>
    <row r="1582" spans="1:16" x14ac:dyDescent="0.2">
      <c r="F1582" s="766"/>
      <c r="G1582" s="766"/>
    </row>
    <row r="1583" spans="1:16" x14ac:dyDescent="0.2">
      <c r="F1583" s="766"/>
      <c r="G1583" s="766"/>
    </row>
    <row r="1584" spans="1:16" ht="20.25" x14ac:dyDescent="0.3">
      <c r="C1584" s="1812" t="s">
        <v>72</v>
      </c>
      <c r="D1584" s="1812"/>
      <c r="E1584" s="1812"/>
      <c r="F1584" s="1812"/>
    </row>
    <row r="1586" spans="1:16" x14ac:dyDescent="0.2">
      <c r="A1586" s="1" t="s">
        <v>947</v>
      </c>
    </row>
    <row r="1587" spans="1:16" s="652" customFormat="1" x14ac:dyDescent="0.2">
      <c r="A1587" s="649">
        <v>41814</v>
      </c>
      <c r="B1587" s="646">
        <v>765</v>
      </c>
      <c r="C1587" s="646" t="s">
        <v>319</v>
      </c>
      <c r="D1587" s="646"/>
      <c r="E1587" s="646">
        <v>11</v>
      </c>
      <c r="F1587" s="650">
        <v>7738.92</v>
      </c>
      <c r="G1587" s="658">
        <f>+F1587*2.3</f>
        <v>17799.516</v>
      </c>
      <c r="H1587" s="573" t="s">
        <v>72</v>
      </c>
      <c r="I1587" s="573"/>
      <c r="J1587" s="651">
        <v>41739</v>
      </c>
      <c r="K1587" s="646" t="s">
        <v>384</v>
      </c>
      <c r="L1587" s="651">
        <v>41897</v>
      </c>
      <c r="M1587" s="684" t="s">
        <v>719</v>
      </c>
      <c r="N1587" s="573"/>
      <c r="O1587" s="649">
        <v>42027</v>
      </c>
      <c r="P1587" s="649">
        <v>42122</v>
      </c>
    </row>
    <row r="1588" spans="1:16" x14ac:dyDescent="0.2">
      <c r="F1588" s="766" t="s">
        <v>888</v>
      </c>
      <c r="G1588" s="897">
        <f>+G1587</f>
        <v>17799.516</v>
      </c>
    </row>
    <row r="1597" spans="1:16" ht="20.25" x14ac:dyDescent="0.3">
      <c r="C1597" s="1814" t="s">
        <v>962</v>
      </c>
      <c r="D1597" s="1814"/>
      <c r="E1597" s="1814"/>
      <c r="F1597" s="1814"/>
      <c r="G1597" s="1814"/>
      <c r="H1597" s="1814"/>
    </row>
    <row r="1602" spans="1:16" ht="20.25" x14ac:dyDescent="0.3">
      <c r="C1602" s="1812" t="s">
        <v>895</v>
      </c>
      <c r="D1602" s="1812"/>
      <c r="E1602" s="1812"/>
      <c r="F1602" s="1812"/>
    </row>
    <row r="1606" spans="1:16" x14ac:dyDescent="0.2">
      <c r="A1606" s="649">
        <v>41878</v>
      </c>
      <c r="B1606" s="752" t="s">
        <v>906</v>
      </c>
      <c r="C1606" s="646" t="s">
        <v>836</v>
      </c>
      <c r="D1606" s="646"/>
      <c r="E1606" s="646">
        <v>1</v>
      </c>
      <c r="F1606" s="650">
        <v>109640.86</v>
      </c>
      <c r="G1606" s="659">
        <v>81666</v>
      </c>
      <c r="H1606" s="573" t="s">
        <v>113</v>
      </c>
      <c r="I1606" s="573"/>
      <c r="J1606" s="573"/>
      <c r="K1606" s="646" t="s">
        <v>839</v>
      </c>
      <c r="L1606" s="573" t="s">
        <v>719</v>
      </c>
      <c r="M1606" s="649" t="s">
        <v>904</v>
      </c>
      <c r="N1606" s="573"/>
      <c r="O1606" s="652"/>
      <c r="P1606" s="649">
        <v>42128</v>
      </c>
    </row>
    <row r="1607" spans="1:16" x14ac:dyDescent="0.2">
      <c r="A1607" s="649">
        <v>41951</v>
      </c>
      <c r="B1607" s="658">
        <v>815</v>
      </c>
      <c r="C1607" s="646" t="s">
        <v>604</v>
      </c>
      <c r="D1607" s="652"/>
      <c r="E1607" s="646">
        <v>6</v>
      </c>
      <c r="F1607" s="650">
        <v>12337.95</v>
      </c>
      <c r="G1607" s="789">
        <f>F1607*2.3</f>
        <v>28377.285</v>
      </c>
      <c r="H1607" s="652" t="s">
        <v>113</v>
      </c>
      <c r="I1607" s="652"/>
      <c r="J1607" s="649">
        <v>41912</v>
      </c>
      <c r="K1607" s="646" t="s">
        <v>698</v>
      </c>
      <c r="L1607" s="649">
        <v>42003</v>
      </c>
      <c r="M1607" s="684" t="s">
        <v>719</v>
      </c>
      <c r="N1607" s="652"/>
      <c r="O1607" s="652"/>
      <c r="P1607" s="649">
        <v>42137</v>
      </c>
    </row>
    <row r="1608" spans="1:16" x14ac:dyDescent="0.2">
      <c r="F1608" s="766" t="s">
        <v>888</v>
      </c>
      <c r="G1608" s="601">
        <f>+G1606+G1607</f>
        <v>110043.285</v>
      </c>
    </row>
    <row r="1613" spans="1:16" x14ac:dyDescent="0.2">
      <c r="A1613" s="649"/>
      <c r="B1613" s="564"/>
      <c r="C1613" s="646"/>
      <c r="D1613" s="646"/>
      <c r="E1613" s="646"/>
      <c r="F1613" s="650"/>
      <c r="G1613" s="659"/>
      <c r="H1613" s="573"/>
      <c r="I1613" s="720"/>
      <c r="J1613" s="720"/>
      <c r="K1613" s="564"/>
      <c r="L1613" s="718"/>
      <c r="M1613" s="652"/>
      <c r="N1613" s="573"/>
      <c r="O1613" s="652"/>
      <c r="P1613" s="649"/>
    </row>
    <row r="1614" spans="1:16" x14ac:dyDescent="0.2">
      <c r="A1614" s="649"/>
      <c r="B1614" s="564"/>
      <c r="C1614" s="646"/>
      <c r="D1614" s="646"/>
      <c r="E1614" s="646"/>
      <c r="F1614" s="650"/>
      <c r="G1614" s="659"/>
      <c r="H1614" s="573"/>
      <c r="I1614" s="720"/>
      <c r="J1614" s="720"/>
      <c r="K1614" s="564"/>
      <c r="L1614" s="718"/>
      <c r="M1614" s="652"/>
      <c r="N1614" s="573"/>
      <c r="O1614" s="652"/>
      <c r="P1614" s="649"/>
    </row>
    <row r="1615" spans="1:16" ht="20.25" x14ac:dyDescent="0.3">
      <c r="A1615" s="649"/>
      <c r="B1615" s="564"/>
      <c r="C1615" s="1812" t="s">
        <v>330</v>
      </c>
      <c r="D1615" s="1812"/>
      <c r="E1615" s="1812"/>
      <c r="F1615" s="1812"/>
      <c r="G1615" s="659"/>
      <c r="H1615" s="573"/>
      <c r="I1615" s="720"/>
      <c r="J1615" s="720"/>
      <c r="K1615" s="564"/>
      <c r="L1615" s="718"/>
      <c r="M1615" s="652"/>
      <c r="N1615" s="573"/>
      <c r="O1615" s="652"/>
      <c r="P1615" s="649"/>
    </row>
    <row r="1616" spans="1:16" x14ac:dyDescent="0.2">
      <c r="A1616" s="649"/>
      <c r="B1616" s="564"/>
      <c r="C1616" s="646"/>
      <c r="D1616" s="646"/>
      <c r="E1616" s="646"/>
      <c r="F1616" s="650"/>
      <c r="G1616" s="659"/>
      <c r="H1616" s="573"/>
      <c r="I1616" s="720"/>
      <c r="J1616" s="720"/>
      <c r="K1616" s="564"/>
      <c r="L1616" s="718"/>
      <c r="M1616" s="652"/>
      <c r="N1616" s="573"/>
      <c r="O1616" s="652"/>
      <c r="P1616" s="649"/>
    </row>
    <row r="1617" spans="1:16" x14ac:dyDescent="0.2">
      <c r="A1617" s="607"/>
      <c r="B1617" s="628"/>
      <c r="C1617" s="612"/>
      <c r="D1617" s="611"/>
      <c r="E1617" s="612"/>
      <c r="F1617" s="688"/>
      <c r="G1617" s="774"/>
      <c r="H1617" s="611"/>
      <c r="I1617" s="611"/>
      <c r="J1617" s="879"/>
      <c r="K1617" s="612"/>
      <c r="L1617" s="611"/>
      <c r="M1617" s="611"/>
      <c r="N1617" s="611"/>
      <c r="O1617" s="611"/>
      <c r="P1617" s="607"/>
    </row>
    <row r="1618" spans="1:16" x14ac:dyDescent="0.2">
      <c r="A1618" s="649">
        <v>41983</v>
      </c>
      <c r="B1618" s="752">
        <v>820</v>
      </c>
      <c r="C1618" s="646" t="s">
        <v>827</v>
      </c>
      <c r="D1618" s="564"/>
      <c r="E1618" s="646">
        <v>8</v>
      </c>
      <c r="F1618" s="650">
        <v>8272.2800000000007</v>
      </c>
      <c r="G1618" s="659">
        <f>F1618*2.3</f>
        <v>19026.243999999999</v>
      </c>
      <c r="H1618" s="573" t="s">
        <v>330</v>
      </c>
      <c r="I1618" s="720"/>
      <c r="J1618" s="721">
        <v>41965</v>
      </c>
      <c r="K1618" s="564" t="s">
        <v>500</v>
      </c>
      <c r="L1618" s="721">
        <v>42026</v>
      </c>
      <c r="M1618" s="652"/>
      <c r="N1618" s="573"/>
      <c r="O1618" s="652"/>
      <c r="P1618" s="649">
        <v>42135</v>
      </c>
    </row>
    <row r="1619" spans="1:16" x14ac:dyDescent="0.2">
      <c r="A1619" s="649">
        <v>42016</v>
      </c>
      <c r="B1619" s="564">
        <v>824</v>
      </c>
      <c r="C1619" s="646" t="s">
        <v>139</v>
      </c>
      <c r="D1619" s="646"/>
      <c r="E1619" s="646">
        <v>28</v>
      </c>
      <c r="F1619" s="650">
        <v>16311.85</v>
      </c>
      <c r="G1619" s="659">
        <f>F1619*2.3</f>
        <v>37517.254999999997</v>
      </c>
      <c r="H1619" s="573" t="s">
        <v>330</v>
      </c>
      <c r="I1619" s="720"/>
      <c r="J1619" s="720" t="s">
        <v>937</v>
      </c>
      <c r="K1619" s="564" t="s">
        <v>384</v>
      </c>
      <c r="L1619" s="718">
        <v>42049</v>
      </c>
      <c r="M1619" s="652"/>
      <c r="N1619" s="573"/>
      <c r="O1619" s="652"/>
      <c r="P1619" s="649">
        <v>42139</v>
      </c>
    </row>
    <row r="1620" spans="1:16" x14ac:dyDescent="0.2">
      <c r="A1620" s="649">
        <v>42021</v>
      </c>
      <c r="B1620" s="658">
        <v>831</v>
      </c>
      <c r="C1620" s="646" t="s">
        <v>223</v>
      </c>
      <c r="D1620" s="646"/>
      <c r="E1620" s="646"/>
      <c r="F1620" s="650">
        <v>10619.6</v>
      </c>
      <c r="G1620" s="659">
        <f>+F1620*2.3</f>
        <v>24425.079999999998</v>
      </c>
      <c r="H1620" s="573" t="s">
        <v>330</v>
      </c>
      <c r="I1620" s="720"/>
      <c r="J1620" s="721">
        <v>41996</v>
      </c>
      <c r="K1620" s="564" t="s">
        <v>500</v>
      </c>
      <c r="L1620" s="721">
        <v>42058</v>
      </c>
      <c r="M1620" s="652"/>
      <c r="N1620" s="573"/>
      <c r="O1620" s="652"/>
      <c r="P1620" s="649">
        <v>42149</v>
      </c>
    </row>
    <row r="1621" spans="1:16" x14ac:dyDescent="0.2">
      <c r="A1621" s="607"/>
      <c r="B1621" s="773"/>
      <c r="C1621" s="612"/>
      <c r="D1621" s="609"/>
      <c r="E1621" s="612"/>
      <c r="F1621" s="766" t="s">
        <v>888</v>
      </c>
      <c r="G1621" s="601">
        <f>+G1619+G1620+G1618</f>
        <v>80968.578999999998</v>
      </c>
      <c r="H1621" s="610"/>
      <c r="I1621" s="626"/>
      <c r="J1621" s="627"/>
      <c r="K1621" s="612"/>
      <c r="L1621" s="627"/>
      <c r="M1621" s="611"/>
      <c r="N1621" s="610"/>
      <c r="O1621" s="611"/>
      <c r="P1621" s="611"/>
    </row>
    <row r="1626" spans="1:16" ht="20.25" x14ac:dyDescent="0.3">
      <c r="C1626" s="1812" t="s">
        <v>72</v>
      </c>
      <c r="D1626" s="1812"/>
      <c r="E1626" s="1812"/>
      <c r="F1626" s="1812"/>
    </row>
    <row r="1629" spans="1:16" s="652" customFormat="1" x14ac:dyDescent="0.2">
      <c r="A1629" s="649">
        <v>42025</v>
      </c>
      <c r="C1629" s="646" t="s">
        <v>836</v>
      </c>
      <c r="E1629" s="646">
        <v>2</v>
      </c>
      <c r="F1629" s="650">
        <v>29601.15</v>
      </c>
      <c r="G1629" s="659">
        <f>F1629*2.23</f>
        <v>66010.564500000008</v>
      </c>
      <c r="H1629" s="652" t="s">
        <v>72</v>
      </c>
      <c r="K1629" s="901" t="s">
        <v>938</v>
      </c>
      <c r="L1629" s="649"/>
      <c r="M1629" s="652" t="s">
        <v>719</v>
      </c>
      <c r="P1629" s="649">
        <v>42125</v>
      </c>
    </row>
    <row r="1630" spans="1:16" x14ac:dyDescent="0.2">
      <c r="F1630" s="766" t="s">
        <v>888</v>
      </c>
      <c r="G1630" s="495">
        <f>+G1629</f>
        <v>66010.564500000008</v>
      </c>
    </row>
    <row r="1652" spans="1:16" ht="33" customHeight="1" x14ac:dyDescent="0.2">
      <c r="C1652" s="1815" t="s">
        <v>962</v>
      </c>
      <c r="D1652" s="1815"/>
      <c r="E1652" s="1815"/>
      <c r="F1652" s="1815"/>
      <c r="G1652" s="1815"/>
    </row>
    <row r="1653" spans="1:16" ht="33" customHeight="1" x14ac:dyDescent="0.2">
      <c r="C1653" s="913"/>
      <c r="D1653" s="913"/>
      <c r="E1653" s="913"/>
      <c r="F1653" s="913"/>
      <c r="G1653" s="913"/>
    </row>
    <row r="1655" spans="1:16" ht="20.25" x14ac:dyDescent="0.3">
      <c r="C1655" s="1812" t="s">
        <v>895</v>
      </c>
      <c r="D1655" s="1812"/>
      <c r="E1655" s="1812"/>
      <c r="F1655" s="1812"/>
    </row>
    <row r="1656" spans="1:16" x14ac:dyDescent="0.2">
      <c r="A1656" s="1" t="s">
        <v>947</v>
      </c>
    </row>
    <row r="1658" spans="1:16" s="652" customFormat="1" x14ac:dyDescent="0.2">
      <c r="A1658" s="649">
        <v>41878</v>
      </c>
      <c r="B1658" s="752" t="s">
        <v>906</v>
      </c>
      <c r="C1658" s="646" t="s">
        <v>836</v>
      </c>
      <c r="D1658" s="646"/>
      <c r="E1658" s="646">
        <v>1</v>
      </c>
      <c r="F1658" s="650">
        <v>109640.86</v>
      </c>
      <c r="G1658" s="659">
        <v>81666</v>
      </c>
      <c r="H1658" s="573" t="s">
        <v>113</v>
      </c>
      <c r="I1658" s="573"/>
      <c r="J1658" s="573"/>
      <c r="K1658" s="646" t="s">
        <v>839</v>
      </c>
      <c r="L1658" s="573" t="s">
        <v>719</v>
      </c>
      <c r="M1658" s="649" t="s">
        <v>904</v>
      </c>
      <c r="N1658" s="573"/>
      <c r="P1658" s="649">
        <v>42128</v>
      </c>
    </row>
    <row r="1659" spans="1:16" s="652" customFormat="1" x14ac:dyDescent="0.2">
      <c r="A1659" s="649">
        <v>41951</v>
      </c>
      <c r="B1659" s="658">
        <v>815</v>
      </c>
      <c r="C1659" s="646" t="s">
        <v>604</v>
      </c>
      <c r="E1659" s="646">
        <v>6</v>
      </c>
      <c r="F1659" s="650">
        <v>12337.95</v>
      </c>
      <c r="G1659" s="789">
        <f>F1659*2.3</f>
        <v>28377.285</v>
      </c>
      <c r="H1659" s="652" t="s">
        <v>113</v>
      </c>
      <c r="J1659" s="649">
        <v>41912</v>
      </c>
      <c r="K1659" s="646" t="s">
        <v>698</v>
      </c>
      <c r="L1659" s="649">
        <v>42003</v>
      </c>
      <c r="M1659" s="684" t="s">
        <v>719</v>
      </c>
      <c r="P1659" s="649">
        <v>42137</v>
      </c>
    </row>
    <row r="1660" spans="1:16" s="652" customFormat="1" x14ac:dyDescent="0.2">
      <c r="A1660" s="649"/>
      <c r="B1660" s="658"/>
      <c r="C1660" s="646"/>
      <c r="E1660" s="646"/>
      <c r="F1660" s="719" t="s">
        <v>888</v>
      </c>
      <c r="G1660" s="917">
        <f>+G1659+G1658</f>
        <v>110043.285</v>
      </c>
      <c r="J1660" s="649"/>
      <c r="K1660" s="646"/>
      <c r="L1660" s="649"/>
      <c r="M1660" s="684"/>
      <c r="P1660" s="649"/>
    </row>
    <row r="1661" spans="1:16" s="652" customFormat="1" x14ac:dyDescent="0.2">
      <c r="A1661" s="649"/>
      <c r="B1661" s="658"/>
      <c r="C1661" s="646"/>
      <c r="E1661" s="789"/>
      <c r="F1661" s="650"/>
      <c r="G1661" s="789"/>
      <c r="J1661" s="649"/>
      <c r="K1661" s="646"/>
      <c r="L1661" s="649"/>
      <c r="M1661" s="684"/>
      <c r="P1661" s="649"/>
    </row>
    <row r="1662" spans="1:16" s="652" customFormat="1" x14ac:dyDescent="0.2">
      <c r="A1662" s="1" t="s">
        <v>948</v>
      </c>
      <c r="B1662" s="752"/>
      <c r="C1662" s="646"/>
      <c r="D1662" s="646"/>
      <c r="E1662" s="646"/>
      <c r="F1662" s="650"/>
      <c r="G1662" s="659"/>
      <c r="H1662" s="573"/>
      <c r="I1662" s="573"/>
      <c r="J1662" s="573"/>
      <c r="K1662" s="646"/>
      <c r="L1662" s="573"/>
      <c r="M1662" s="649"/>
      <c r="N1662" s="573"/>
      <c r="P1662" s="649"/>
    </row>
    <row r="1663" spans="1:16" s="652" customFormat="1" x14ac:dyDescent="0.2">
      <c r="A1663" s="1"/>
      <c r="B1663" s="752"/>
      <c r="C1663" s="646"/>
      <c r="D1663" s="646"/>
      <c r="E1663" s="646"/>
      <c r="F1663" s="650"/>
      <c r="G1663" s="659"/>
      <c r="H1663" s="573"/>
      <c r="I1663" s="573"/>
      <c r="J1663" s="573"/>
      <c r="K1663" s="646"/>
      <c r="L1663" s="573"/>
      <c r="M1663" s="649"/>
      <c r="N1663" s="573"/>
      <c r="P1663" s="649"/>
    </row>
    <row r="1664" spans="1:16" s="611" customFormat="1" x14ac:dyDescent="0.2">
      <c r="A1664" s="607">
        <v>42063</v>
      </c>
      <c r="B1664" s="628">
        <v>838</v>
      </c>
      <c r="C1664" s="612" t="s">
        <v>353</v>
      </c>
      <c r="E1664" s="612">
        <v>6</v>
      </c>
      <c r="F1664" s="688">
        <v>11157.78</v>
      </c>
      <c r="G1664" s="774">
        <f>+F1664*2.15</f>
        <v>23989.226999999999</v>
      </c>
      <c r="H1664" s="611" t="s">
        <v>113</v>
      </c>
      <c r="J1664" s="607">
        <v>42040</v>
      </c>
      <c r="K1664" s="628" t="s">
        <v>384</v>
      </c>
      <c r="L1664" s="607"/>
      <c r="P1664" s="607">
        <v>42129</v>
      </c>
    </row>
    <row r="1665" spans="1:16" s="603" customFormat="1" x14ac:dyDescent="0.2">
      <c r="A1665" s="602">
        <v>42089</v>
      </c>
      <c r="B1665" s="637">
        <v>846</v>
      </c>
      <c r="C1665" s="597" t="s">
        <v>827</v>
      </c>
      <c r="D1665" s="597"/>
      <c r="E1665" s="612">
        <v>9</v>
      </c>
      <c r="F1665" s="688">
        <v>6277.5</v>
      </c>
      <c r="G1665" s="688">
        <f>+F1665*2.3</f>
        <v>14438.249999999998</v>
      </c>
      <c r="H1665" s="610" t="s">
        <v>113</v>
      </c>
      <c r="I1665" s="599"/>
      <c r="J1665" s="602">
        <v>42075</v>
      </c>
      <c r="K1665" s="597" t="s">
        <v>500</v>
      </c>
      <c r="L1665" s="602">
        <v>42136</v>
      </c>
      <c r="N1665" s="606"/>
      <c r="P1665" s="578">
        <v>42136</v>
      </c>
    </row>
    <row r="1666" spans="1:16" s="603" customFormat="1" x14ac:dyDescent="0.2">
      <c r="A1666" s="602"/>
      <c r="B1666" s="637"/>
      <c r="C1666" s="597"/>
      <c r="D1666" s="597"/>
      <c r="E1666" s="612"/>
      <c r="F1666" s="625" t="s">
        <v>888</v>
      </c>
      <c r="G1666" s="625">
        <f>+G1664+G1665</f>
        <v>38427.476999999999</v>
      </c>
      <c r="H1666" s="610"/>
      <c r="I1666" s="599"/>
      <c r="J1666" s="602"/>
      <c r="K1666" s="597"/>
      <c r="L1666" s="602"/>
      <c r="N1666" s="606"/>
      <c r="P1666" s="578"/>
    </row>
    <row r="1667" spans="1:16" s="603" customFormat="1" x14ac:dyDescent="0.2">
      <c r="A1667" s="602"/>
      <c r="B1667" s="637"/>
      <c r="C1667" s="597"/>
      <c r="D1667" s="597"/>
      <c r="E1667" s="612"/>
      <c r="F1667" s="688"/>
      <c r="G1667" s="688"/>
      <c r="H1667" s="610"/>
      <c r="I1667" s="599"/>
      <c r="J1667" s="602"/>
      <c r="K1667" s="597"/>
      <c r="L1667" s="602"/>
      <c r="N1667" s="606"/>
      <c r="P1667" s="578"/>
    </row>
    <row r="1668" spans="1:16" s="611" customFormat="1" x14ac:dyDescent="0.2">
      <c r="A1668" s="607"/>
      <c r="B1668" s="628"/>
      <c r="C1668" s="612"/>
      <c r="E1668" s="612"/>
      <c r="F1668" s="688"/>
      <c r="G1668" s="774"/>
      <c r="J1668" s="607"/>
      <c r="K1668" s="628"/>
      <c r="L1668" s="607"/>
      <c r="P1668" s="607"/>
    </row>
    <row r="1669" spans="1:16" s="611" customFormat="1" x14ac:dyDescent="0.2">
      <c r="A1669" s="607"/>
      <c r="B1669" s="628"/>
      <c r="C1669" s="612"/>
      <c r="E1669" s="612"/>
      <c r="F1669" s="688"/>
      <c r="G1669" s="774"/>
      <c r="J1669" s="607"/>
      <c r="K1669" s="628"/>
      <c r="L1669" s="607"/>
      <c r="P1669" s="607"/>
    </row>
    <row r="1670" spans="1:16" s="611" customFormat="1" ht="20.25" x14ac:dyDescent="0.3">
      <c r="A1670" s="607"/>
      <c r="B1670" s="628"/>
      <c r="C1670" s="1812" t="s">
        <v>330</v>
      </c>
      <c r="D1670" s="1812"/>
      <c r="E1670" s="1812"/>
      <c r="F1670" s="1812"/>
      <c r="G1670" s="774"/>
      <c r="J1670" s="607"/>
      <c r="K1670" s="628"/>
      <c r="L1670" s="607"/>
      <c r="P1670" s="607"/>
    </row>
    <row r="1671" spans="1:16" s="611" customFormat="1" x14ac:dyDescent="0.2">
      <c r="A1671" s="607"/>
      <c r="B1671" s="628"/>
      <c r="C1671" s="612"/>
      <c r="E1671" s="612"/>
      <c r="F1671" s="688"/>
      <c r="G1671" s="774"/>
      <c r="J1671" s="607"/>
      <c r="K1671" s="628"/>
      <c r="L1671" s="607"/>
      <c r="P1671" s="607"/>
    </row>
    <row r="1672" spans="1:16" s="611" customFormat="1" x14ac:dyDescent="0.2">
      <c r="A1672" s="1" t="s">
        <v>948</v>
      </c>
      <c r="B1672" s="628"/>
      <c r="C1672" s="612"/>
      <c r="E1672" s="612"/>
      <c r="F1672" s="688"/>
      <c r="G1672" s="774"/>
      <c r="J1672" s="607"/>
      <c r="K1672" s="628"/>
      <c r="L1672" s="607"/>
      <c r="P1672" s="607"/>
    </row>
    <row r="1673" spans="1:16" s="611" customFormat="1" x14ac:dyDescent="0.2">
      <c r="A1673" s="1"/>
      <c r="B1673" s="628"/>
      <c r="C1673" s="612"/>
      <c r="E1673" s="612"/>
      <c r="F1673" s="688"/>
      <c r="G1673" s="774"/>
      <c r="J1673" s="607"/>
      <c r="K1673" s="628"/>
      <c r="L1673" s="607"/>
      <c r="P1673" s="607"/>
    </row>
    <row r="1674" spans="1:16" s="611" customFormat="1" x14ac:dyDescent="0.2">
      <c r="A1674" s="607">
        <v>42063</v>
      </c>
      <c r="B1674" s="628">
        <v>837</v>
      </c>
      <c r="C1674" s="612" t="s">
        <v>49</v>
      </c>
      <c r="E1674" s="612">
        <v>22</v>
      </c>
      <c r="F1674" s="688">
        <v>13201.85</v>
      </c>
      <c r="G1674" s="774">
        <f>+F1674*2.15</f>
        <v>28383.977500000001</v>
      </c>
      <c r="H1674" s="611" t="s">
        <v>330</v>
      </c>
      <c r="J1674" s="607">
        <v>42042</v>
      </c>
      <c r="K1674" s="584" t="s">
        <v>384</v>
      </c>
      <c r="P1674" s="607">
        <v>42131</v>
      </c>
    </row>
    <row r="1675" spans="1:16" s="611" customFormat="1" x14ac:dyDescent="0.2">
      <c r="A1675" s="607">
        <v>42094</v>
      </c>
      <c r="B1675" s="628">
        <v>847</v>
      </c>
      <c r="C1675" s="612" t="s">
        <v>208</v>
      </c>
      <c r="E1675" s="612">
        <v>13</v>
      </c>
      <c r="F1675" s="688">
        <v>5998.74</v>
      </c>
      <c r="G1675" s="774">
        <f>F1675*2.3</f>
        <v>13797.101999999999</v>
      </c>
      <c r="H1675" s="611" t="s">
        <v>330</v>
      </c>
      <c r="J1675" s="607">
        <v>42074</v>
      </c>
      <c r="K1675" s="612" t="s">
        <v>500</v>
      </c>
      <c r="L1675" s="607">
        <v>42135</v>
      </c>
      <c r="P1675" s="607">
        <v>42135</v>
      </c>
    </row>
    <row r="1676" spans="1:16" s="611" customFormat="1" x14ac:dyDescent="0.2">
      <c r="A1676" s="607">
        <v>42072</v>
      </c>
      <c r="B1676" s="628">
        <v>843</v>
      </c>
      <c r="C1676" s="628" t="s">
        <v>69</v>
      </c>
      <c r="E1676" s="612">
        <v>18</v>
      </c>
      <c r="F1676" s="688">
        <v>24766.85</v>
      </c>
      <c r="G1676" s="774">
        <f>F1676*2.3</f>
        <v>56963.75499999999</v>
      </c>
      <c r="H1676" s="611" t="s">
        <v>330</v>
      </c>
      <c r="J1676" s="607">
        <v>42059</v>
      </c>
      <c r="K1676" s="612" t="s">
        <v>384</v>
      </c>
      <c r="P1676" s="607">
        <v>42148</v>
      </c>
    </row>
    <row r="1677" spans="1:16" s="611" customFormat="1" x14ac:dyDescent="0.2">
      <c r="A1677" s="607">
        <v>42076</v>
      </c>
      <c r="B1677" s="773" t="s">
        <v>958</v>
      </c>
      <c r="C1677" s="612" t="s">
        <v>603</v>
      </c>
      <c r="D1677" s="609"/>
      <c r="E1677" s="612">
        <v>8</v>
      </c>
      <c r="F1677" s="688">
        <v>6357.21</v>
      </c>
      <c r="G1677" s="774">
        <f>F1677*2.15</f>
        <v>13668.0015</v>
      </c>
      <c r="H1677" s="610" t="s">
        <v>330</v>
      </c>
      <c r="I1677" s="626"/>
      <c r="J1677" s="627">
        <v>42061</v>
      </c>
      <c r="K1677" s="612" t="s">
        <v>384</v>
      </c>
      <c r="L1677" s="627">
        <v>42150</v>
      </c>
      <c r="N1677" s="610"/>
      <c r="P1677" s="607">
        <v>42150</v>
      </c>
    </row>
    <row r="1678" spans="1:16" s="611" customFormat="1" x14ac:dyDescent="0.2">
      <c r="A1678" s="607"/>
      <c r="B1678" s="628"/>
      <c r="C1678" s="612"/>
      <c r="E1678" s="612"/>
      <c r="F1678" s="625" t="s">
        <v>888</v>
      </c>
      <c r="G1678" s="772">
        <f>+G1674+G1675+G1676+G1677</f>
        <v>112812.836</v>
      </c>
      <c r="J1678" s="607"/>
      <c r="K1678" s="612"/>
      <c r="L1678" s="607"/>
    </row>
    <row r="1680" spans="1:16" s="652" customFormat="1" x14ac:dyDescent="0.2">
      <c r="A1680" s="649"/>
      <c r="B1680" s="658"/>
      <c r="C1680" s="646"/>
      <c r="E1680" s="646"/>
      <c r="F1680" s="650"/>
      <c r="G1680" s="789"/>
      <c r="J1680" s="649"/>
      <c r="K1680" s="646"/>
      <c r="L1680" s="649"/>
      <c r="M1680" s="684"/>
      <c r="P1680" s="649"/>
    </row>
    <row r="1681" spans="1:17" s="652" customFormat="1" x14ac:dyDescent="0.2">
      <c r="A1681" s="649"/>
      <c r="B1681" s="658"/>
      <c r="C1681" s="646"/>
      <c r="E1681" s="646"/>
      <c r="F1681" s="650"/>
      <c r="G1681" s="789"/>
      <c r="J1681" s="649"/>
      <c r="K1681" s="646"/>
      <c r="L1681" s="649"/>
      <c r="M1681" s="684"/>
      <c r="P1681" s="649"/>
    </row>
    <row r="1682" spans="1:17" s="652" customFormat="1" x14ac:dyDescent="0.2">
      <c r="A1682" s="1" t="s">
        <v>947</v>
      </c>
      <c r="B1682" s="658"/>
      <c r="C1682" s="646"/>
      <c r="E1682" s="646"/>
      <c r="F1682" s="650"/>
      <c r="G1682" s="789"/>
      <c r="J1682" s="649"/>
      <c r="K1682" s="646"/>
      <c r="L1682" s="649"/>
      <c r="M1682" s="684"/>
      <c r="P1682" s="649"/>
    </row>
    <row r="1683" spans="1:17" s="652" customFormat="1" x14ac:dyDescent="0.2">
      <c r="A1683" s="649">
        <v>41983</v>
      </c>
      <c r="B1683" s="752">
        <v>820</v>
      </c>
      <c r="C1683" s="646" t="s">
        <v>827</v>
      </c>
      <c r="D1683" s="564"/>
      <c r="E1683" s="646">
        <v>8</v>
      </c>
      <c r="F1683" s="650">
        <v>8272.2800000000007</v>
      </c>
      <c r="G1683" s="659">
        <f>F1683*2.3</f>
        <v>19026.243999999999</v>
      </c>
      <c r="H1683" s="573" t="s">
        <v>330</v>
      </c>
      <c r="I1683" s="720"/>
      <c r="J1683" s="721">
        <v>41965</v>
      </c>
      <c r="K1683" s="564" t="s">
        <v>500</v>
      </c>
      <c r="L1683" s="721">
        <v>42026</v>
      </c>
      <c r="N1683" s="573"/>
      <c r="P1683" s="649">
        <v>42135</v>
      </c>
    </row>
    <row r="1684" spans="1:17" s="652" customFormat="1" x14ac:dyDescent="0.2">
      <c r="A1684" s="649">
        <v>42016</v>
      </c>
      <c r="B1684" s="564">
        <v>824</v>
      </c>
      <c r="C1684" s="646" t="s">
        <v>139</v>
      </c>
      <c r="D1684" s="646"/>
      <c r="E1684" s="646">
        <v>28</v>
      </c>
      <c r="F1684" s="650">
        <v>16311.85</v>
      </c>
      <c r="G1684" s="659">
        <f>F1684*2.3</f>
        <v>37517.254999999997</v>
      </c>
      <c r="H1684" s="573" t="s">
        <v>330</v>
      </c>
      <c r="I1684" s="720"/>
      <c r="J1684" s="720" t="s">
        <v>937</v>
      </c>
      <c r="K1684" s="564" t="s">
        <v>384</v>
      </c>
      <c r="L1684" s="718">
        <v>42049</v>
      </c>
      <c r="N1684" s="573"/>
      <c r="P1684" s="649">
        <v>42139</v>
      </c>
    </row>
    <row r="1685" spans="1:17" s="652" customFormat="1" x14ac:dyDescent="0.2">
      <c r="A1685" s="649">
        <v>42021</v>
      </c>
      <c r="B1685" s="658">
        <v>831</v>
      </c>
      <c r="C1685" s="646" t="s">
        <v>223</v>
      </c>
      <c r="D1685" s="646"/>
      <c r="E1685" s="646"/>
      <c r="F1685" s="650">
        <v>10619.6</v>
      </c>
      <c r="G1685" s="659">
        <f>+F1685*2.3</f>
        <v>24425.079999999998</v>
      </c>
      <c r="H1685" s="573" t="s">
        <v>330</v>
      </c>
      <c r="I1685" s="720"/>
      <c r="J1685" s="721">
        <v>41996</v>
      </c>
      <c r="K1685" s="564" t="s">
        <v>500</v>
      </c>
      <c r="L1685" s="721">
        <v>42058</v>
      </c>
      <c r="N1685" s="573"/>
      <c r="P1685" s="649">
        <v>42149</v>
      </c>
    </row>
    <row r="1686" spans="1:17" s="652" customFormat="1" x14ac:dyDescent="0.2">
      <c r="A1686" s="649">
        <v>41984</v>
      </c>
      <c r="B1686" s="658">
        <v>821</v>
      </c>
      <c r="C1686" s="646" t="s">
        <v>145</v>
      </c>
      <c r="E1686" s="646">
        <v>26</v>
      </c>
      <c r="F1686" s="650">
        <v>12884.86</v>
      </c>
      <c r="G1686" s="789">
        <f>F1686*2.24</f>
        <v>28862.086400000004</v>
      </c>
      <c r="H1686" s="652" t="s">
        <v>330</v>
      </c>
      <c r="J1686" s="649">
        <v>41925</v>
      </c>
      <c r="K1686" s="658" t="s">
        <v>384</v>
      </c>
      <c r="L1686" s="649"/>
      <c r="O1686" s="649">
        <v>42017</v>
      </c>
      <c r="P1686" s="649">
        <v>42122</v>
      </c>
      <c r="Q1686" s="660">
        <v>42151</v>
      </c>
    </row>
    <row r="1687" spans="1:17" s="611" customFormat="1" x14ac:dyDescent="0.2">
      <c r="A1687" s="607"/>
      <c r="B1687" s="628"/>
      <c r="C1687" s="612"/>
      <c r="E1687" s="612"/>
      <c r="F1687" s="625" t="s">
        <v>888</v>
      </c>
      <c r="G1687" s="772">
        <f>+G1683+G1684+G1685+G1686</f>
        <v>109830.6654</v>
      </c>
      <c r="J1687" s="879"/>
      <c r="K1687" s="612"/>
      <c r="P1687" s="607"/>
    </row>
    <row r="1688" spans="1:17" s="611" customFormat="1" x14ac:dyDescent="0.2">
      <c r="A1688" s="607"/>
      <c r="B1688" s="628"/>
      <c r="C1688" s="612"/>
      <c r="E1688" s="612"/>
      <c r="F1688" s="688"/>
      <c r="G1688" s="774"/>
      <c r="J1688" s="879"/>
      <c r="K1688" s="612"/>
      <c r="P1688" s="607"/>
    </row>
    <row r="1691" spans="1:17" ht="20.25" x14ac:dyDescent="0.3">
      <c r="C1691" s="1812" t="s">
        <v>72</v>
      </c>
      <c r="D1691" s="1812"/>
      <c r="E1691" s="1812"/>
      <c r="F1691" s="1812"/>
    </row>
    <row r="1694" spans="1:17" x14ac:dyDescent="0.2">
      <c r="A1694" s="1" t="s">
        <v>948</v>
      </c>
    </row>
    <row r="1696" spans="1:17" s="611" customFormat="1" x14ac:dyDescent="0.2">
      <c r="A1696" s="607">
        <v>42070</v>
      </c>
      <c r="B1696" s="628">
        <v>840</v>
      </c>
      <c r="C1696" s="612" t="s">
        <v>319</v>
      </c>
      <c r="E1696" s="612">
        <v>14</v>
      </c>
      <c r="F1696" s="688">
        <v>5525.52</v>
      </c>
      <c r="G1696" s="774">
        <f>F1696*2.15</f>
        <v>11879.868</v>
      </c>
      <c r="H1696" s="611" t="s">
        <v>72</v>
      </c>
      <c r="J1696" s="879">
        <v>42054</v>
      </c>
      <c r="K1696" s="612" t="s">
        <v>384</v>
      </c>
      <c r="P1696" s="607">
        <v>42143</v>
      </c>
    </row>
    <row r="1697" spans="6:7" x14ac:dyDescent="0.2">
      <c r="F1697" s="54" t="s">
        <v>888</v>
      </c>
      <c r="G1697" s="918">
        <f>+G1696</f>
        <v>11879.868</v>
      </c>
    </row>
    <row r="1723" spans="1:16" ht="33" customHeight="1" x14ac:dyDescent="0.2">
      <c r="C1723" s="1815" t="s">
        <v>1039</v>
      </c>
      <c r="D1723" s="1815"/>
      <c r="E1723" s="1815"/>
      <c r="F1723" s="1815"/>
      <c r="G1723" s="1815"/>
    </row>
    <row r="1724" spans="1:16" ht="33" customHeight="1" x14ac:dyDescent="0.2">
      <c r="C1724" s="1039"/>
      <c r="D1724" s="1039"/>
      <c r="E1724" s="1039"/>
      <c r="F1724" s="1039"/>
      <c r="G1724" s="1039"/>
    </row>
    <row r="1726" spans="1:16" ht="20.25" x14ac:dyDescent="0.3">
      <c r="C1726" s="1812" t="s">
        <v>895</v>
      </c>
      <c r="D1726" s="1812"/>
      <c r="E1726" s="1812"/>
      <c r="F1726" s="1812"/>
    </row>
    <row r="1727" spans="1:16" x14ac:dyDescent="0.2">
      <c r="A1727" s="1"/>
    </row>
    <row r="1728" spans="1:16" s="652" customFormat="1" x14ac:dyDescent="0.2">
      <c r="A1728" s="649"/>
      <c r="B1728" s="658"/>
      <c r="C1728" s="646"/>
      <c r="E1728" s="646"/>
      <c r="F1728" s="719"/>
      <c r="G1728" s="917"/>
      <c r="J1728" s="649"/>
      <c r="K1728" s="646"/>
      <c r="L1728" s="649"/>
      <c r="M1728" s="684"/>
      <c r="P1728" s="649"/>
    </row>
    <row r="1729" spans="1:17" s="652" customFormat="1" x14ac:dyDescent="0.2">
      <c r="A1729" s="649"/>
      <c r="B1729" s="658"/>
      <c r="C1729" s="646"/>
      <c r="E1729" s="789"/>
      <c r="F1729" s="650"/>
      <c r="G1729" s="789"/>
      <c r="J1729" s="649"/>
      <c r="K1729" s="646"/>
      <c r="L1729" s="649"/>
      <c r="M1729" s="684"/>
      <c r="P1729" s="649"/>
    </row>
    <row r="1730" spans="1:17" s="652" customFormat="1" x14ac:dyDescent="0.2">
      <c r="A1730" s="1" t="s">
        <v>948</v>
      </c>
      <c r="B1730" s="752"/>
      <c r="C1730" s="646"/>
      <c r="D1730" s="646"/>
      <c r="E1730" s="646"/>
      <c r="F1730" s="650"/>
      <c r="G1730" s="659"/>
      <c r="H1730" s="573"/>
      <c r="I1730" s="573"/>
      <c r="J1730" s="573"/>
      <c r="K1730" s="646"/>
      <c r="L1730" s="573"/>
      <c r="M1730" s="649"/>
      <c r="N1730" s="573"/>
      <c r="P1730" s="649"/>
    </row>
    <row r="1731" spans="1:17" s="603" customFormat="1" x14ac:dyDescent="0.2">
      <c r="A1731" s="607">
        <v>42140</v>
      </c>
      <c r="B1731" s="637">
        <v>868</v>
      </c>
      <c r="C1731" s="612" t="s">
        <v>212</v>
      </c>
      <c r="D1731" s="612"/>
      <c r="E1731" s="612">
        <v>24</v>
      </c>
      <c r="F1731" s="600">
        <v>10235.67</v>
      </c>
      <c r="G1731" s="600">
        <f>+F1731*2.2</f>
        <v>22518.474000000002</v>
      </c>
      <c r="H1731" s="611" t="s">
        <v>113</v>
      </c>
      <c r="I1731" s="599"/>
      <c r="J1731" s="639">
        <v>42128</v>
      </c>
      <c r="K1731" s="612" t="s">
        <v>384</v>
      </c>
      <c r="L1731" s="639">
        <v>42220</v>
      </c>
      <c r="N1731" s="606"/>
      <c r="Q1731" s="578">
        <v>42220</v>
      </c>
    </row>
    <row r="1732" spans="1:17" s="611" customFormat="1" x14ac:dyDescent="0.2">
      <c r="A1732" s="607"/>
      <c r="B1732" s="628"/>
      <c r="C1732" s="612"/>
      <c r="E1732" s="612"/>
      <c r="F1732" s="688"/>
      <c r="G1732" s="774"/>
      <c r="J1732" s="607"/>
      <c r="K1732" s="628"/>
      <c r="L1732" s="607"/>
      <c r="P1732" s="607"/>
    </row>
    <row r="1733" spans="1:17" s="603" customFormat="1" x14ac:dyDescent="0.2">
      <c r="A1733" s="602"/>
      <c r="B1733" s="637"/>
      <c r="C1733" s="597"/>
      <c r="D1733" s="597"/>
      <c r="E1733" s="612"/>
      <c r="F1733" s="688"/>
      <c r="G1733" s="688"/>
      <c r="H1733" s="610"/>
      <c r="I1733" s="599"/>
      <c r="J1733" s="602"/>
      <c r="K1733" s="597"/>
      <c r="L1733" s="602"/>
      <c r="N1733" s="606"/>
      <c r="P1733" s="578"/>
    </row>
    <row r="1734" spans="1:17" s="603" customFormat="1" x14ac:dyDescent="0.2">
      <c r="A1734" s="602"/>
      <c r="B1734" s="637"/>
      <c r="C1734" s="597"/>
      <c r="D1734" s="597"/>
      <c r="E1734" s="612"/>
      <c r="F1734" s="625" t="s">
        <v>888</v>
      </c>
      <c r="G1734" s="625">
        <f>+G1732+G1733+G1731</f>
        <v>22518.474000000002</v>
      </c>
      <c r="H1734" s="610"/>
      <c r="I1734" s="599"/>
      <c r="J1734" s="602"/>
      <c r="K1734" s="597"/>
      <c r="L1734" s="602"/>
      <c r="N1734" s="606"/>
      <c r="P1734" s="578"/>
    </row>
    <row r="1735" spans="1:17" s="603" customFormat="1" x14ac:dyDescent="0.2">
      <c r="A1735" s="602"/>
      <c r="B1735" s="637"/>
      <c r="C1735" s="597"/>
      <c r="D1735" s="597"/>
      <c r="E1735" s="612"/>
      <c r="F1735" s="688"/>
      <c r="G1735" s="688"/>
      <c r="H1735" s="610"/>
      <c r="I1735" s="599"/>
      <c r="J1735" s="602"/>
      <c r="K1735" s="597"/>
      <c r="L1735" s="602"/>
      <c r="N1735" s="606"/>
      <c r="P1735" s="578"/>
    </row>
    <row r="1736" spans="1:17" s="611" customFormat="1" x14ac:dyDescent="0.2">
      <c r="A1736" s="607"/>
      <c r="B1736" s="628"/>
      <c r="C1736" s="612"/>
      <c r="E1736" s="612"/>
      <c r="F1736" s="688"/>
      <c r="G1736" s="774"/>
      <c r="J1736" s="607"/>
      <c r="K1736" s="628"/>
      <c r="L1736" s="607"/>
      <c r="P1736" s="607"/>
    </row>
    <row r="1737" spans="1:17" s="611" customFormat="1" x14ac:dyDescent="0.2">
      <c r="A1737" s="607"/>
      <c r="B1737" s="628"/>
      <c r="C1737" s="612"/>
      <c r="E1737" s="612"/>
      <c r="F1737" s="688"/>
      <c r="G1737" s="774"/>
      <c r="J1737" s="607"/>
      <c r="K1737" s="628"/>
      <c r="L1737" s="607"/>
      <c r="P1737" s="607"/>
    </row>
    <row r="1738" spans="1:17" s="611" customFormat="1" ht="20.25" x14ac:dyDescent="0.3">
      <c r="A1738" s="607"/>
      <c r="B1738" s="628"/>
      <c r="C1738" s="1812" t="s">
        <v>330</v>
      </c>
      <c r="D1738" s="1812"/>
      <c r="E1738" s="1812"/>
      <c r="F1738" s="1812"/>
      <c r="G1738" s="774"/>
      <c r="J1738" s="607"/>
      <c r="K1738" s="628"/>
      <c r="L1738" s="607"/>
      <c r="P1738" s="607"/>
    </row>
    <row r="1739" spans="1:17" s="611" customFormat="1" x14ac:dyDescent="0.2">
      <c r="A1739" s="607"/>
      <c r="B1739" s="628"/>
      <c r="C1739" s="612"/>
      <c r="E1739" s="612"/>
      <c r="F1739" s="688"/>
      <c r="G1739" s="774"/>
      <c r="J1739" s="607"/>
      <c r="K1739" s="628"/>
      <c r="L1739" s="607"/>
      <c r="P1739" s="607"/>
    </row>
    <row r="1740" spans="1:17" s="611" customFormat="1" x14ac:dyDescent="0.2">
      <c r="A1740" s="1" t="s">
        <v>948</v>
      </c>
      <c r="B1740" s="628"/>
      <c r="C1740" s="612"/>
      <c r="E1740" s="612"/>
      <c r="F1740" s="688"/>
      <c r="G1740" s="774"/>
      <c r="J1740" s="607"/>
      <c r="K1740" s="628"/>
      <c r="L1740" s="607"/>
      <c r="P1740" s="607"/>
    </row>
    <row r="1741" spans="1:17" s="575" customFormat="1" x14ac:dyDescent="0.2">
      <c r="A1741" s="578">
        <v>42179</v>
      </c>
      <c r="B1741" s="597">
        <v>876</v>
      </c>
      <c r="C1741" s="597" t="s">
        <v>605</v>
      </c>
      <c r="D1741" s="597"/>
      <c r="E1741" s="597">
        <v>10</v>
      </c>
      <c r="F1741" s="600">
        <v>8564</v>
      </c>
      <c r="G1741" s="600">
        <f>+F1741*2.2</f>
        <v>18840.800000000003</v>
      </c>
      <c r="H1741" s="485" t="s">
        <v>330</v>
      </c>
      <c r="I1741" s="577"/>
      <c r="J1741" s="639">
        <v>42161</v>
      </c>
      <c r="K1741" s="612" t="s">
        <v>500</v>
      </c>
      <c r="L1741" s="639">
        <v>42222</v>
      </c>
      <c r="N1741" s="485"/>
      <c r="Q1741" s="578">
        <v>42222</v>
      </c>
    </row>
    <row r="1742" spans="1:17" s="611" customFormat="1" x14ac:dyDescent="0.2">
      <c r="A1742" s="607">
        <v>42147</v>
      </c>
      <c r="B1742" s="773" t="s">
        <v>1024</v>
      </c>
      <c r="C1742" s="612" t="s">
        <v>49</v>
      </c>
      <c r="D1742" s="612"/>
      <c r="E1742" s="612">
        <v>23</v>
      </c>
      <c r="F1742" s="688">
        <v>8398.19</v>
      </c>
      <c r="G1742" s="688">
        <f>+F1742*2.15</f>
        <v>18056.108500000002</v>
      </c>
      <c r="H1742" s="611" t="s">
        <v>330</v>
      </c>
      <c r="I1742" s="626"/>
      <c r="J1742" s="639">
        <v>42133</v>
      </c>
      <c r="K1742" s="639" t="s">
        <v>384</v>
      </c>
      <c r="L1742" s="639">
        <v>42225</v>
      </c>
      <c r="N1742" s="610"/>
      <c r="Q1742" s="607">
        <v>42225</v>
      </c>
    </row>
    <row r="1743" spans="1:17" s="575" customFormat="1" x14ac:dyDescent="0.2">
      <c r="A1743" s="578">
        <v>42179</v>
      </c>
      <c r="B1743" s="773">
        <v>877</v>
      </c>
      <c r="C1743" s="597" t="s">
        <v>301</v>
      </c>
      <c r="D1743" s="597"/>
      <c r="E1743" s="597"/>
      <c r="F1743" s="600">
        <v>3080.65</v>
      </c>
      <c r="G1743" s="600">
        <f>+F1743*2.15</f>
        <v>6623.3975</v>
      </c>
      <c r="H1743" s="575" t="s">
        <v>330</v>
      </c>
      <c r="I1743" s="577"/>
      <c r="J1743" s="639">
        <v>42166</v>
      </c>
      <c r="K1743" s="597" t="s">
        <v>500</v>
      </c>
      <c r="L1743" s="639">
        <v>42227</v>
      </c>
      <c r="N1743" s="485"/>
      <c r="Q1743" s="578">
        <v>42227</v>
      </c>
    </row>
    <row r="1744" spans="1:17" s="611" customFormat="1" ht="12" customHeight="1" x14ac:dyDescent="0.2">
      <c r="A1744" s="607">
        <v>42159</v>
      </c>
      <c r="B1744" s="773">
        <v>872</v>
      </c>
      <c r="C1744" s="612" t="s">
        <v>174</v>
      </c>
      <c r="D1744" s="612"/>
      <c r="E1744" s="612">
        <v>5</v>
      </c>
      <c r="F1744" s="688">
        <v>5110</v>
      </c>
      <c r="G1744" s="688">
        <f>+F1744*2.16</f>
        <v>11037.6</v>
      </c>
      <c r="H1744" s="610" t="s">
        <v>330</v>
      </c>
      <c r="I1744" s="626"/>
      <c r="J1744" s="1020">
        <v>42147</v>
      </c>
      <c r="K1744" s="688" t="s">
        <v>384</v>
      </c>
      <c r="L1744" s="1020">
        <v>42239</v>
      </c>
      <c r="N1744" s="610"/>
      <c r="Q1744" s="607">
        <v>42239</v>
      </c>
    </row>
    <row r="1745" spans="1:18" s="611" customFormat="1" x14ac:dyDescent="0.2">
      <c r="A1745" s="607"/>
      <c r="B1745" s="773"/>
      <c r="C1745" s="612"/>
      <c r="D1745" s="609"/>
      <c r="E1745" s="612"/>
      <c r="F1745" s="688"/>
      <c r="G1745" s="774"/>
      <c r="H1745" s="610"/>
      <c r="I1745" s="626"/>
      <c r="J1745" s="627"/>
      <c r="K1745" s="612"/>
      <c r="L1745" s="627"/>
      <c r="N1745" s="610"/>
      <c r="P1745" s="607"/>
    </row>
    <row r="1746" spans="1:18" s="611" customFormat="1" x14ac:dyDescent="0.2">
      <c r="A1746" s="607"/>
      <c r="B1746" s="628"/>
      <c r="C1746" s="612"/>
      <c r="E1746" s="612"/>
      <c r="F1746" s="625" t="s">
        <v>888</v>
      </c>
      <c r="G1746" s="772">
        <f>+G1741+G1742+G1743+G1745+G1744</f>
        <v>54557.906000000003</v>
      </c>
      <c r="J1746" s="607"/>
      <c r="K1746" s="612"/>
      <c r="L1746" s="607"/>
    </row>
    <row r="1748" spans="1:18" s="652" customFormat="1" x14ac:dyDescent="0.2">
      <c r="A1748" s="649"/>
      <c r="B1748" s="658"/>
      <c r="C1748" s="646"/>
      <c r="E1748" s="646"/>
      <c r="F1748" s="650"/>
      <c r="G1748" s="789"/>
      <c r="J1748" s="649"/>
      <c r="K1748" s="646"/>
      <c r="L1748" s="649"/>
      <c r="M1748" s="684"/>
      <c r="P1748" s="649"/>
    </row>
    <row r="1749" spans="1:18" s="652" customFormat="1" x14ac:dyDescent="0.2">
      <c r="A1749" s="649"/>
      <c r="B1749" s="658"/>
      <c r="C1749" s="646"/>
      <c r="E1749" s="646"/>
      <c r="F1749" s="650"/>
      <c r="G1749" s="789"/>
      <c r="J1749" s="649"/>
      <c r="K1749" s="646"/>
      <c r="L1749" s="649"/>
      <c r="M1749" s="684"/>
      <c r="P1749" s="649"/>
    </row>
    <row r="1750" spans="1:18" s="652" customFormat="1" x14ac:dyDescent="0.2">
      <c r="A1750" s="1" t="s">
        <v>947</v>
      </c>
      <c r="B1750" s="658"/>
      <c r="C1750" s="646"/>
      <c r="E1750" s="646"/>
      <c r="F1750" s="650"/>
      <c r="G1750" s="789"/>
      <c r="J1750" s="649"/>
      <c r="K1750" s="646"/>
      <c r="L1750" s="649"/>
      <c r="M1750" s="684"/>
      <c r="P1750" s="649"/>
    </row>
    <row r="1751" spans="1:18" s="652" customFormat="1" x14ac:dyDescent="0.2">
      <c r="A1751" s="1"/>
      <c r="B1751" s="658"/>
      <c r="C1751" s="646"/>
      <c r="E1751" s="646"/>
      <c r="F1751" s="650"/>
      <c r="G1751" s="789"/>
      <c r="J1751" s="649"/>
      <c r="K1751" s="646"/>
      <c r="L1751" s="649"/>
      <c r="M1751" s="684"/>
      <c r="P1751" s="649"/>
    </row>
    <row r="1752" spans="1:18" s="575" customFormat="1" x14ac:dyDescent="0.2">
      <c r="A1752" s="578">
        <v>42016</v>
      </c>
      <c r="B1752" s="96">
        <v>824</v>
      </c>
      <c r="C1752" s="597" t="s">
        <v>139</v>
      </c>
      <c r="D1752" s="597"/>
      <c r="E1752" s="597">
        <v>28</v>
      </c>
      <c r="F1752" s="600">
        <v>16311.85</v>
      </c>
      <c r="G1752" s="601">
        <f>F1752*2.3</f>
        <v>37517.254999999997</v>
      </c>
      <c r="H1752" s="485" t="s">
        <v>330</v>
      </c>
      <c r="I1752" s="577"/>
      <c r="J1752" s="577" t="s">
        <v>937</v>
      </c>
      <c r="K1752" s="96" t="s">
        <v>384</v>
      </c>
      <c r="L1752" s="655">
        <v>42049</v>
      </c>
      <c r="N1752" s="485"/>
      <c r="P1752" s="578">
        <v>42139</v>
      </c>
      <c r="Q1752" s="578">
        <v>42230</v>
      </c>
    </row>
    <row r="1753" spans="1:18" s="575" customFormat="1" x14ac:dyDescent="0.2">
      <c r="A1753" s="578">
        <v>42030</v>
      </c>
      <c r="B1753" s="637">
        <v>869</v>
      </c>
      <c r="C1753" s="597" t="s">
        <v>166</v>
      </c>
      <c r="D1753" s="96"/>
      <c r="E1753" s="597"/>
      <c r="F1753" s="600">
        <v>54790.6</v>
      </c>
      <c r="G1753" s="601">
        <f>F1753*2.16</f>
        <v>118347.69600000001</v>
      </c>
      <c r="H1753" s="575" t="s">
        <v>330</v>
      </c>
      <c r="I1753" s="577"/>
      <c r="J1753" s="577"/>
      <c r="K1753" s="96" t="s">
        <v>250</v>
      </c>
      <c r="L1753" s="577"/>
      <c r="N1753" s="485"/>
      <c r="Q1753" s="578">
        <v>42233</v>
      </c>
    </row>
    <row r="1754" spans="1:18" s="575" customFormat="1" x14ac:dyDescent="0.2">
      <c r="A1754" s="578">
        <v>42021</v>
      </c>
      <c r="B1754" s="637">
        <v>831</v>
      </c>
      <c r="C1754" s="597" t="s">
        <v>223</v>
      </c>
      <c r="D1754" s="597"/>
      <c r="E1754" s="597"/>
      <c r="F1754" s="600">
        <v>10619.6</v>
      </c>
      <c r="G1754" s="601">
        <f>+F1754*2.16</f>
        <v>22938.336000000003</v>
      </c>
      <c r="H1754" s="485" t="s">
        <v>330</v>
      </c>
      <c r="I1754" s="577"/>
      <c r="J1754" s="579">
        <v>41996</v>
      </c>
      <c r="K1754" s="96" t="s">
        <v>500</v>
      </c>
      <c r="L1754" s="579">
        <v>42058</v>
      </c>
      <c r="N1754" s="485"/>
      <c r="P1754" s="578">
        <v>42149</v>
      </c>
      <c r="Q1754" s="578">
        <v>42240</v>
      </c>
    </row>
    <row r="1755" spans="1:18" s="575" customFormat="1" x14ac:dyDescent="0.2">
      <c r="A1755" s="578">
        <v>41984</v>
      </c>
      <c r="B1755" s="637">
        <v>821</v>
      </c>
      <c r="C1755" s="597" t="s">
        <v>145</v>
      </c>
      <c r="E1755" s="597">
        <v>26</v>
      </c>
      <c r="F1755" s="600">
        <v>12884.86</v>
      </c>
      <c r="G1755" s="672">
        <f>F1755*2.24</f>
        <v>28862.086400000004</v>
      </c>
      <c r="H1755" s="575" t="s">
        <v>330</v>
      </c>
      <c r="J1755" s="578">
        <v>41925</v>
      </c>
      <c r="K1755" s="637" t="s">
        <v>384</v>
      </c>
      <c r="L1755" s="578"/>
      <c r="O1755" s="578">
        <v>42017</v>
      </c>
      <c r="P1755" s="578">
        <v>42122</v>
      </c>
      <c r="Q1755" s="578">
        <v>42241</v>
      </c>
      <c r="R1755" s="578"/>
    </row>
    <row r="1756" spans="1:18" s="575" customFormat="1" x14ac:dyDescent="0.2">
      <c r="A1756" s="578">
        <v>41893</v>
      </c>
      <c r="B1756" s="640" t="s">
        <v>907</v>
      </c>
      <c r="C1756" s="597" t="s">
        <v>171</v>
      </c>
      <c r="E1756" s="637">
        <v>13</v>
      </c>
      <c r="F1756" s="600">
        <v>23396.5</v>
      </c>
      <c r="G1756" s="672">
        <f>F1756*2.2</f>
        <v>51472.3</v>
      </c>
      <c r="H1756" s="575" t="s">
        <v>330</v>
      </c>
      <c r="J1756" s="578">
        <v>41817</v>
      </c>
      <c r="K1756" s="696" t="s">
        <v>500</v>
      </c>
      <c r="L1756" s="578">
        <v>41878</v>
      </c>
      <c r="M1756" s="578">
        <v>41943</v>
      </c>
      <c r="O1756" s="578">
        <v>42066</v>
      </c>
      <c r="P1756" s="578">
        <v>42156</v>
      </c>
      <c r="Q1756" s="578">
        <v>42247</v>
      </c>
    </row>
    <row r="1758" spans="1:18" s="611" customFormat="1" ht="12" customHeight="1" x14ac:dyDescent="0.2">
      <c r="A1758" s="607"/>
      <c r="B1758" s="773"/>
      <c r="C1758" s="612"/>
      <c r="D1758" s="612"/>
      <c r="E1758" s="612"/>
      <c r="F1758" s="688"/>
      <c r="G1758" s="688"/>
      <c r="H1758" s="610"/>
      <c r="I1758" s="626"/>
      <c r="J1758" s="1020"/>
      <c r="K1758" s="688"/>
      <c r="L1758" s="1020"/>
      <c r="N1758" s="610"/>
      <c r="Q1758" s="607"/>
    </row>
    <row r="1759" spans="1:18" s="611" customFormat="1" ht="12" customHeight="1" x14ac:dyDescent="0.2">
      <c r="A1759" s="607"/>
      <c r="B1759" s="773"/>
      <c r="C1759" s="612"/>
      <c r="D1759" s="612"/>
      <c r="E1759" s="612"/>
      <c r="F1759" s="688"/>
      <c r="G1759" s="688"/>
      <c r="H1759" s="610"/>
      <c r="I1759" s="626"/>
      <c r="J1759" s="1020"/>
      <c r="K1759" s="688"/>
      <c r="L1759" s="1020"/>
      <c r="N1759" s="610"/>
      <c r="Q1759" s="607"/>
    </row>
    <row r="1760" spans="1:18" s="575" customFormat="1" x14ac:dyDescent="0.2">
      <c r="A1760" s="578"/>
      <c r="B1760" s="640"/>
      <c r="C1760" s="597"/>
      <c r="E1760" s="637"/>
      <c r="F1760" s="178" t="s">
        <v>888</v>
      </c>
      <c r="G1760" s="897">
        <f>+G1752+G1753+G1754+G1755+G1756</f>
        <v>259137.67340000003</v>
      </c>
      <c r="J1760" s="578"/>
      <c r="K1760" s="696"/>
      <c r="L1760" s="578"/>
      <c r="M1760" s="578"/>
      <c r="O1760" s="578"/>
      <c r="P1760" s="578"/>
      <c r="Q1760" s="578"/>
    </row>
    <row r="1761" spans="1:17" s="652" customFormat="1" x14ac:dyDescent="0.2">
      <c r="A1761" s="649"/>
      <c r="B1761" s="657"/>
      <c r="C1761" s="646"/>
      <c r="E1761" s="658"/>
      <c r="F1761" s="650"/>
      <c r="G1761" s="789"/>
      <c r="J1761" s="649"/>
      <c r="K1761" s="660"/>
      <c r="L1761" s="649"/>
      <c r="M1761" s="649"/>
      <c r="O1761" s="649"/>
      <c r="P1761" s="649"/>
      <c r="Q1761" s="649"/>
    </row>
    <row r="1764" spans="1:17" ht="20.25" x14ac:dyDescent="0.3">
      <c r="C1764" s="1812" t="s">
        <v>72</v>
      </c>
      <c r="D1764" s="1812"/>
      <c r="E1764" s="1812"/>
      <c r="F1764" s="1812"/>
    </row>
    <row r="1768" spans="1:17" x14ac:dyDescent="0.2">
      <c r="A1768" s="1" t="s">
        <v>947</v>
      </c>
    </row>
    <row r="1770" spans="1:17" s="575" customFormat="1" x14ac:dyDescent="0.2">
      <c r="A1770" s="578">
        <v>42117</v>
      </c>
      <c r="B1770" s="637">
        <v>856</v>
      </c>
      <c r="C1770" s="597" t="s">
        <v>836</v>
      </c>
      <c r="E1770" s="597">
        <v>2</v>
      </c>
      <c r="F1770" s="600">
        <v>29601.15</v>
      </c>
      <c r="G1770" s="601">
        <v>22000</v>
      </c>
      <c r="H1770" s="575" t="s">
        <v>72</v>
      </c>
      <c r="K1770" s="766" t="s">
        <v>938</v>
      </c>
      <c r="L1770" s="578"/>
      <c r="M1770" s="575" t="s">
        <v>719</v>
      </c>
      <c r="P1770" s="578">
        <v>42216</v>
      </c>
      <c r="Q1770" s="578">
        <v>42222</v>
      </c>
    </row>
    <row r="1772" spans="1:17" x14ac:dyDescent="0.2">
      <c r="F1772" s="54" t="s">
        <v>888</v>
      </c>
      <c r="G1772" s="918">
        <f>+G1770</f>
        <v>22000</v>
      </c>
    </row>
    <row r="1774" spans="1:17" ht="20.25" x14ac:dyDescent="0.3">
      <c r="C1774" s="1812" t="s">
        <v>70</v>
      </c>
      <c r="D1774" s="1812"/>
      <c r="E1774" s="1812"/>
      <c r="F1774" s="1812"/>
    </row>
    <row r="1779" spans="1:17" x14ac:dyDescent="0.2">
      <c r="A1779" s="1" t="s">
        <v>948</v>
      </c>
    </row>
    <row r="1780" spans="1:17" s="575" customFormat="1" x14ac:dyDescent="0.2">
      <c r="A1780" s="578">
        <v>42196</v>
      </c>
      <c r="B1780" s="1044">
        <v>883</v>
      </c>
      <c r="C1780" s="597" t="s">
        <v>180</v>
      </c>
      <c r="F1780" s="600">
        <v>8053.71</v>
      </c>
      <c r="G1780" s="600">
        <f>+F1780*2.2</f>
        <v>17718.162</v>
      </c>
      <c r="H1780" s="575" t="s">
        <v>70</v>
      </c>
      <c r="J1780" s="578">
        <v>42164</v>
      </c>
      <c r="K1780" s="637" t="s">
        <v>500</v>
      </c>
      <c r="L1780" s="578">
        <v>42225</v>
      </c>
    </row>
    <row r="1781" spans="1:17" s="575" customFormat="1" x14ac:dyDescent="0.2">
      <c r="A1781" s="578"/>
      <c r="B1781" s="1044"/>
      <c r="C1781" s="597"/>
      <c r="F1781" s="600"/>
      <c r="G1781" s="600"/>
      <c r="J1781" s="578"/>
      <c r="K1781" s="637"/>
      <c r="L1781" s="578"/>
    </row>
    <row r="1782" spans="1:17" x14ac:dyDescent="0.2">
      <c r="F1782" s="54" t="s">
        <v>888</v>
      </c>
      <c r="G1782" s="918">
        <f>+G1780</f>
        <v>17718.162</v>
      </c>
    </row>
    <row r="1783" spans="1:17" x14ac:dyDescent="0.2">
      <c r="A1783" s="1" t="s">
        <v>947</v>
      </c>
    </row>
    <row r="1785" spans="1:17" s="575" customFormat="1" ht="12" customHeight="1" x14ac:dyDescent="0.2">
      <c r="A1785" s="578">
        <v>42117</v>
      </c>
      <c r="B1785" s="640" t="s">
        <v>1006</v>
      </c>
      <c r="C1785" s="597" t="s">
        <v>477</v>
      </c>
      <c r="D1785" s="597" t="s">
        <v>943</v>
      </c>
      <c r="E1785" s="597">
        <v>5</v>
      </c>
      <c r="F1785" s="600">
        <v>6232.38</v>
      </c>
      <c r="G1785" s="601">
        <f>+F1785*2.15</f>
        <v>13399.617</v>
      </c>
      <c r="H1785" s="656" t="s">
        <v>70</v>
      </c>
      <c r="K1785" s="96" t="s">
        <v>250</v>
      </c>
      <c r="Q1785" s="578">
        <v>42242</v>
      </c>
    </row>
    <row r="1787" spans="1:17" x14ac:dyDescent="0.2">
      <c r="F1787" s="54" t="s">
        <v>888</v>
      </c>
      <c r="G1787" s="918">
        <f>+G1785</f>
        <v>13399.617</v>
      </c>
    </row>
    <row r="1791" spans="1:17" x14ac:dyDescent="0.2">
      <c r="G1791" s="194"/>
    </row>
    <row r="1793" spans="1:17" x14ac:dyDescent="0.2">
      <c r="E1793" s="194"/>
      <c r="G1793" s="194"/>
    </row>
    <row r="1799" spans="1:17" x14ac:dyDescent="0.2">
      <c r="F1799" s="194"/>
    </row>
    <row r="1800" spans="1:17" ht="33" customHeight="1" x14ac:dyDescent="0.2">
      <c r="C1800" s="1815" t="s">
        <v>1047</v>
      </c>
      <c r="D1800" s="1815"/>
      <c r="E1800" s="1815"/>
      <c r="F1800" s="1815"/>
      <c r="G1800" s="1815"/>
    </row>
    <row r="1801" spans="1:17" ht="33" customHeight="1" x14ac:dyDescent="0.2">
      <c r="C1801" s="1055"/>
      <c r="D1801" s="1055"/>
      <c r="E1801" s="1055"/>
      <c r="F1801" s="1055"/>
      <c r="G1801" s="1055"/>
    </row>
    <row r="1803" spans="1:17" ht="20.25" x14ac:dyDescent="0.3">
      <c r="C1803" s="1812" t="s">
        <v>895</v>
      </c>
      <c r="D1803" s="1812"/>
      <c r="E1803" s="1812"/>
      <c r="F1803" s="1812"/>
    </row>
    <row r="1804" spans="1:17" x14ac:dyDescent="0.2">
      <c r="A1804" s="1"/>
    </row>
    <row r="1805" spans="1:17" s="652" customFormat="1" x14ac:dyDescent="0.2">
      <c r="A1805" s="649"/>
      <c r="B1805" s="658"/>
      <c r="C1805" s="646"/>
      <c r="E1805" s="646"/>
      <c r="F1805" s="719"/>
      <c r="G1805" s="917"/>
      <c r="J1805" s="649"/>
      <c r="K1805" s="646"/>
      <c r="L1805" s="649"/>
      <c r="M1805" s="684"/>
      <c r="P1805" s="649"/>
    </row>
    <row r="1806" spans="1:17" s="652" customFormat="1" x14ac:dyDescent="0.2">
      <c r="A1806" s="649"/>
      <c r="B1806" s="658"/>
      <c r="C1806" s="646"/>
      <c r="E1806" s="789"/>
      <c r="F1806" s="650"/>
      <c r="G1806" s="789"/>
      <c r="J1806" s="649"/>
      <c r="K1806" s="646"/>
      <c r="L1806" s="649"/>
      <c r="M1806" s="684"/>
      <c r="P1806" s="649"/>
    </row>
    <row r="1807" spans="1:17" s="652" customFormat="1" x14ac:dyDescent="0.2">
      <c r="A1807" s="1" t="s">
        <v>947</v>
      </c>
      <c r="B1807" s="752"/>
      <c r="C1807" s="646"/>
      <c r="D1807" s="646"/>
      <c r="E1807" s="646"/>
      <c r="F1807" s="650"/>
      <c r="G1807" s="659"/>
      <c r="H1807" s="573"/>
      <c r="I1807" s="573"/>
      <c r="J1807" s="573"/>
      <c r="K1807" s="646"/>
      <c r="L1807" s="573"/>
      <c r="M1807" s="649"/>
      <c r="N1807" s="573"/>
      <c r="P1807" s="649"/>
    </row>
    <row r="1808" spans="1:17" s="603" customFormat="1" x14ac:dyDescent="0.2">
      <c r="A1808" s="607"/>
      <c r="B1808" s="637"/>
      <c r="C1808" s="612"/>
      <c r="D1808" s="612"/>
      <c r="E1808" s="612"/>
      <c r="F1808" s="600"/>
      <c r="G1808" s="600"/>
      <c r="H1808" s="611"/>
      <c r="I1808" s="599"/>
      <c r="J1808" s="639"/>
      <c r="K1808" s="612"/>
      <c r="L1808" s="639"/>
      <c r="N1808" s="606"/>
      <c r="Q1808" s="578"/>
    </row>
    <row r="1809" spans="1:17" s="575" customFormat="1" x14ac:dyDescent="0.2">
      <c r="A1809" s="578">
        <v>42200</v>
      </c>
      <c r="B1809" s="640">
        <v>884</v>
      </c>
      <c r="C1809" s="597" t="s">
        <v>166</v>
      </c>
      <c r="E1809" s="597">
        <v>37</v>
      </c>
      <c r="F1809" s="600">
        <v>74599.3</v>
      </c>
      <c r="G1809" s="601">
        <f>F1809*2.2</f>
        <v>164118.46000000002</v>
      </c>
      <c r="H1809" s="575" t="s">
        <v>113</v>
      </c>
      <c r="K1809" s="96" t="s">
        <v>250</v>
      </c>
      <c r="L1809" s="578"/>
      <c r="Q1809" s="578">
        <v>42275</v>
      </c>
    </row>
    <row r="1810" spans="1:17" s="603" customFormat="1" x14ac:dyDescent="0.2">
      <c r="A1810" s="602"/>
      <c r="B1810" s="637"/>
      <c r="C1810" s="597"/>
      <c r="D1810" s="597"/>
      <c r="E1810" s="612"/>
      <c r="F1810" s="688"/>
      <c r="G1810" s="688"/>
      <c r="H1810" s="610"/>
      <c r="I1810" s="599"/>
      <c r="J1810" s="602"/>
      <c r="K1810" s="597"/>
      <c r="L1810" s="602"/>
      <c r="N1810" s="606"/>
      <c r="P1810" s="578"/>
    </row>
    <row r="1811" spans="1:17" s="603" customFormat="1" x14ac:dyDescent="0.2">
      <c r="A1811" s="602"/>
      <c r="B1811" s="637"/>
      <c r="C1811" s="597"/>
      <c r="D1811" s="597"/>
      <c r="E1811" s="612"/>
      <c r="F1811" s="625" t="s">
        <v>888</v>
      </c>
      <c r="G1811" s="625">
        <f>G1809</f>
        <v>164118.46000000002</v>
      </c>
      <c r="H1811" s="610"/>
      <c r="I1811" s="599"/>
      <c r="J1811" s="602"/>
      <c r="K1811" s="597"/>
      <c r="L1811" s="602"/>
      <c r="N1811" s="606"/>
      <c r="P1811" s="578"/>
    </row>
    <row r="1812" spans="1:17" s="603" customFormat="1" x14ac:dyDescent="0.2">
      <c r="A1812" s="602"/>
      <c r="B1812" s="637"/>
      <c r="C1812" s="597"/>
      <c r="D1812" s="597"/>
      <c r="E1812" s="612"/>
      <c r="F1812" s="688"/>
      <c r="G1812" s="688"/>
      <c r="H1812" s="610"/>
      <c r="I1812" s="599"/>
      <c r="J1812" s="602"/>
      <c r="K1812" s="597"/>
      <c r="L1812" s="602"/>
      <c r="N1812" s="606"/>
      <c r="P1812" s="578"/>
    </row>
    <row r="1813" spans="1:17" s="611" customFormat="1" x14ac:dyDescent="0.2">
      <c r="A1813" s="607"/>
      <c r="B1813" s="628"/>
      <c r="C1813" s="612"/>
      <c r="E1813" s="612"/>
      <c r="F1813" s="688"/>
      <c r="G1813" s="774"/>
      <c r="J1813" s="607"/>
      <c r="K1813" s="628"/>
      <c r="L1813" s="607"/>
      <c r="P1813" s="607"/>
    </row>
    <row r="1814" spans="1:17" s="611" customFormat="1" x14ac:dyDescent="0.2">
      <c r="A1814" s="607"/>
      <c r="B1814" s="628"/>
      <c r="C1814" s="612"/>
      <c r="E1814" s="612"/>
      <c r="F1814" s="688"/>
      <c r="G1814" s="774"/>
      <c r="J1814" s="607"/>
      <c r="K1814" s="628"/>
      <c r="L1814" s="607"/>
      <c r="P1814" s="607"/>
    </row>
    <row r="1815" spans="1:17" s="611" customFormat="1" ht="20.25" x14ac:dyDescent="0.3">
      <c r="A1815" s="607"/>
      <c r="B1815" s="628"/>
      <c r="C1815" s="1812" t="s">
        <v>330</v>
      </c>
      <c r="D1815" s="1812"/>
      <c r="E1815" s="1812"/>
      <c r="F1815" s="1812"/>
      <c r="G1815" s="774"/>
      <c r="J1815" s="607"/>
      <c r="K1815" s="628"/>
      <c r="L1815" s="607"/>
      <c r="P1815" s="607"/>
    </row>
    <row r="1816" spans="1:17" s="611" customFormat="1" x14ac:dyDescent="0.2">
      <c r="A1816" s="607"/>
      <c r="B1816" s="628"/>
      <c r="C1816" s="612"/>
      <c r="E1816" s="612"/>
      <c r="F1816" s="688"/>
      <c r="G1816" s="774"/>
      <c r="J1816" s="607"/>
      <c r="K1816" s="628"/>
      <c r="L1816" s="607"/>
      <c r="P1816" s="607"/>
    </row>
    <row r="1817" spans="1:17" s="611" customFormat="1" x14ac:dyDescent="0.2">
      <c r="A1817" s="1" t="s">
        <v>948</v>
      </c>
      <c r="B1817" s="628"/>
      <c r="C1817" s="612"/>
      <c r="E1817" s="612"/>
      <c r="F1817" s="688"/>
      <c r="G1817" s="774"/>
      <c r="J1817" s="607"/>
      <c r="K1817" s="628"/>
      <c r="L1817" s="607"/>
      <c r="P1817" s="607"/>
    </row>
    <row r="1818" spans="1:17" s="611" customFormat="1" x14ac:dyDescent="0.2">
      <c r="A1818" s="1"/>
      <c r="B1818" s="628"/>
      <c r="C1818" s="612"/>
      <c r="E1818" s="612"/>
      <c r="F1818" s="688"/>
      <c r="G1818" s="774"/>
      <c r="J1818" s="607"/>
      <c r="K1818" s="628"/>
      <c r="L1818" s="607"/>
      <c r="P1818" s="607"/>
    </row>
    <row r="1819" spans="1:17" s="575" customFormat="1" x14ac:dyDescent="0.2">
      <c r="A1819" s="578">
        <v>42196</v>
      </c>
      <c r="B1819" s="640">
        <v>882</v>
      </c>
      <c r="C1819" s="597" t="s">
        <v>248</v>
      </c>
      <c r="D1819" s="597"/>
      <c r="E1819" s="597">
        <v>10</v>
      </c>
      <c r="F1819" s="600">
        <v>16010.7</v>
      </c>
      <c r="G1819" s="600">
        <f>F1819*2.2</f>
        <v>35223.54</v>
      </c>
      <c r="H1819" s="485" t="s">
        <v>330</v>
      </c>
      <c r="I1819" s="577"/>
      <c r="J1819" s="639">
        <v>42167</v>
      </c>
      <c r="K1819" s="597" t="s">
        <v>384</v>
      </c>
      <c r="L1819" s="639">
        <v>42259</v>
      </c>
      <c r="N1819" s="485"/>
      <c r="Q1819" s="578">
        <v>42259</v>
      </c>
    </row>
    <row r="1820" spans="1:17" s="575" customFormat="1" x14ac:dyDescent="0.2">
      <c r="A1820" s="578">
        <v>42195</v>
      </c>
      <c r="B1820" s="1044">
        <v>881</v>
      </c>
      <c r="C1820" s="597" t="s">
        <v>748</v>
      </c>
      <c r="E1820" s="597">
        <v>22</v>
      </c>
      <c r="F1820" s="600">
        <v>13290.08</v>
      </c>
      <c r="G1820" s="600">
        <f>+F1820*2.2</f>
        <v>29238.176000000003</v>
      </c>
      <c r="H1820" s="575" t="s">
        <v>330</v>
      </c>
      <c r="J1820" s="696">
        <v>42182</v>
      </c>
      <c r="K1820" s="597" t="s">
        <v>384</v>
      </c>
      <c r="L1820" s="696">
        <v>42274</v>
      </c>
      <c r="Q1820" s="578">
        <v>42274</v>
      </c>
    </row>
    <row r="1821" spans="1:17" s="575" customFormat="1" x14ac:dyDescent="0.2">
      <c r="A1821" s="578">
        <v>42206</v>
      </c>
      <c r="B1821" s="640">
        <v>887</v>
      </c>
      <c r="C1821" s="597" t="s">
        <v>478</v>
      </c>
      <c r="D1821" s="597"/>
      <c r="E1821" s="597">
        <v>10</v>
      </c>
      <c r="F1821" s="600">
        <v>5249.48</v>
      </c>
      <c r="G1821" s="600">
        <f>+F1821*2.15</f>
        <v>11286.381999999998</v>
      </c>
      <c r="H1821" s="485" t="s">
        <v>330</v>
      </c>
      <c r="I1821" s="577"/>
      <c r="J1821" s="639">
        <v>42185</v>
      </c>
      <c r="K1821" s="597" t="s">
        <v>384</v>
      </c>
      <c r="L1821" s="639">
        <v>42277</v>
      </c>
      <c r="N1821" s="485"/>
      <c r="Q1821" s="578">
        <v>42277</v>
      </c>
    </row>
    <row r="1822" spans="1:17" s="575" customFormat="1" x14ac:dyDescent="0.2">
      <c r="A1822" s="578"/>
      <c r="B1822" s="1044"/>
      <c r="C1822" s="597"/>
      <c r="E1822" s="597"/>
      <c r="F1822" s="600"/>
      <c r="G1822" s="600"/>
      <c r="J1822" s="696"/>
      <c r="K1822" s="597"/>
      <c r="L1822" s="696"/>
      <c r="Q1822" s="578"/>
    </row>
    <row r="1823" spans="1:17" s="611" customFormat="1" x14ac:dyDescent="0.2">
      <c r="A1823" s="607"/>
      <c r="B1823" s="773"/>
      <c r="C1823" s="612"/>
      <c r="D1823" s="609"/>
      <c r="E1823" s="612"/>
      <c r="F1823" s="688"/>
      <c r="G1823" s="774"/>
      <c r="H1823" s="610"/>
      <c r="I1823" s="626"/>
      <c r="J1823" s="627"/>
      <c r="K1823" s="612"/>
      <c r="L1823" s="627"/>
      <c r="N1823" s="610"/>
      <c r="P1823" s="607"/>
    </row>
    <row r="1824" spans="1:17" s="611" customFormat="1" x14ac:dyDescent="0.2">
      <c r="A1824" s="607"/>
      <c r="B1824" s="628"/>
      <c r="C1824" s="612"/>
      <c r="E1824" s="612"/>
      <c r="F1824" s="625" t="s">
        <v>888</v>
      </c>
      <c r="G1824" s="772">
        <f>G1819+G1820+G1821</f>
        <v>75748.097999999998</v>
      </c>
      <c r="J1824" s="607"/>
      <c r="K1824" s="612"/>
      <c r="L1824" s="607"/>
    </row>
    <row r="1826" spans="1:17" s="652" customFormat="1" x14ac:dyDescent="0.2">
      <c r="A1826" s="649"/>
      <c r="B1826" s="658"/>
      <c r="C1826" s="646"/>
      <c r="E1826" s="646"/>
      <c r="F1826" s="650"/>
      <c r="G1826" s="789"/>
      <c r="J1826" s="649"/>
      <c r="K1826" s="646"/>
      <c r="L1826" s="649"/>
      <c r="M1826" s="684"/>
      <c r="P1826" s="649"/>
    </row>
    <row r="1827" spans="1:17" s="652" customFormat="1" x14ac:dyDescent="0.2">
      <c r="A1827" s="649"/>
      <c r="B1827" s="658"/>
      <c r="C1827" s="646"/>
      <c r="E1827" s="646"/>
      <c r="F1827" s="650"/>
      <c r="G1827" s="789"/>
      <c r="J1827" s="649"/>
      <c r="K1827" s="646"/>
      <c r="L1827" s="649"/>
      <c r="M1827" s="684"/>
      <c r="P1827" s="649"/>
    </row>
    <row r="1828" spans="1:17" s="652" customFormat="1" x14ac:dyDescent="0.2">
      <c r="A1828" s="1" t="s">
        <v>947</v>
      </c>
      <c r="B1828" s="658"/>
      <c r="C1828" s="646"/>
      <c r="E1828" s="646"/>
      <c r="F1828" s="650"/>
      <c r="G1828" s="789"/>
      <c r="J1828" s="649"/>
      <c r="K1828" s="646"/>
      <c r="L1828" s="649"/>
      <c r="M1828" s="684"/>
      <c r="P1828" s="649"/>
    </row>
    <row r="1829" spans="1:17" s="652" customFormat="1" x14ac:dyDescent="0.2">
      <c r="A1829" s="1"/>
      <c r="B1829" s="658"/>
      <c r="C1829" s="646"/>
      <c r="E1829" s="646"/>
      <c r="F1829" s="650"/>
      <c r="G1829" s="789"/>
      <c r="J1829" s="649"/>
      <c r="K1829" s="646"/>
      <c r="L1829" s="649"/>
      <c r="M1829" s="684"/>
      <c r="P1829" s="649"/>
    </row>
    <row r="1830" spans="1:17" s="575" customFormat="1" x14ac:dyDescent="0.2">
      <c r="A1830" s="578">
        <v>42137</v>
      </c>
      <c r="B1830" s="637">
        <v>865</v>
      </c>
      <c r="C1830" s="597" t="s">
        <v>379</v>
      </c>
      <c r="D1830" s="597"/>
      <c r="E1830" s="597">
        <v>11</v>
      </c>
      <c r="F1830" s="600">
        <v>10619.85</v>
      </c>
      <c r="G1830" s="601">
        <f>+F1830*2.2</f>
        <v>23363.670000000002</v>
      </c>
      <c r="H1830" s="575" t="s">
        <v>330</v>
      </c>
      <c r="J1830" s="696">
        <v>42116</v>
      </c>
      <c r="K1830" s="597" t="s">
        <v>500</v>
      </c>
      <c r="L1830" s="696">
        <v>42177</v>
      </c>
      <c r="P1830" s="578">
        <v>42177</v>
      </c>
      <c r="Q1830" s="578">
        <v>42262</v>
      </c>
    </row>
    <row r="1831" spans="1:17" s="575" customFormat="1" x14ac:dyDescent="0.2">
      <c r="A1831" s="578">
        <v>41851</v>
      </c>
      <c r="B1831" s="640" t="s">
        <v>880</v>
      </c>
      <c r="C1831" s="597" t="s">
        <v>688</v>
      </c>
      <c r="D1831" s="96"/>
      <c r="E1831" s="96">
        <v>3</v>
      </c>
      <c r="F1831" s="600">
        <v>38231.919999999998</v>
      </c>
      <c r="G1831" s="601">
        <f>F1831*2.24</f>
        <v>85639.500800000009</v>
      </c>
      <c r="H1831" s="485" t="s">
        <v>330</v>
      </c>
      <c r="I1831" s="577"/>
      <c r="J1831" s="579">
        <v>41829</v>
      </c>
      <c r="K1831" s="96" t="s">
        <v>384</v>
      </c>
      <c r="L1831" s="579">
        <v>41921</v>
      </c>
      <c r="M1831" s="578">
        <v>41982</v>
      </c>
      <c r="N1831" s="485"/>
      <c r="O1831" s="578">
        <v>42087</v>
      </c>
      <c r="P1831" s="578">
        <v>42177</v>
      </c>
      <c r="Q1831" s="578">
        <v>42268</v>
      </c>
    </row>
    <row r="1832" spans="1:17" s="575" customFormat="1" x14ac:dyDescent="0.2">
      <c r="A1832" s="578">
        <v>42102</v>
      </c>
      <c r="B1832" s="640" t="s">
        <v>1011</v>
      </c>
      <c r="C1832" s="597" t="s">
        <v>748</v>
      </c>
      <c r="D1832" s="597" t="s">
        <v>87</v>
      </c>
      <c r="E1832" s="597">
        <v>20</v>
      </c>
      <c r="F1832" s="600">
        <v>7796.39</v>
      </c>
      <c r="G1832" s="600">
        <f>+F1832*2.15</f>
        <v>16762.238499999999</v>
      </c>
      <c r="H1832" s="575" t="s">
        <v>330</v>
      </c>
      <c r="I1832" s="577"/>
      <c r="J1832" s="602">
        <v>42089</v>
      </c>
      <c r="K1832" s="597" t="s">
        <v>500</v>
      </c>
      <c r="L1832" s="602">
        <v>42150</v>
      </c>
      <c r="N1832" s="485"/>
      <c r="P1832" s="578">
        <v>42150</v>
      </c>
      <c r="Q1832" s="578">
        <v>42269</v>
      </c>
    </row>
    <row r="1833" spans="1:17" s="575" customFormat="1" ht="15.75" customHeight="1" x14ac:dyDescent="0.2">
      <c r="A1833" s="578">
        <v>42118</v>
      </c>
      <c r="B1833" s="640" t="s">
        <v>1007</v>
      </c>
      <c r="C1833" s="597" t="s">
        <v>173</v>
      </c>
      <c r="D1833" s="597" t="s">
        <v>87</v>
      </c>
      <c r="E1833" s="597">
        <v>17</v>
      </c>
      <c r="F1833" s="600">
        <v>5228.43</v>
      </c>
      <c r="G1833" s="600">
        <f>F1833*2.13</f>
        <v>11136.555899999999</v>
      </c>
      <c r="H1833" s="485" t="s">
        <v>330</v>
      </c>
      <c r="I1833" s="577"/>
      <c r="J1833" s="1056" t="s">
        <v>1008</v>
      </c>
      <c r="K1833" s="600" t="s">
        <v>698</v>
      </c>
      <c r="L1833" s="1056" t="s">
        <v>1009</v>
      </c>
      <c r="N1833" s="485"/>
      <c r="P1833" s="578">
        <v>42183</v>
      </c>
      <c r="Q1833" s="578">
        <v>42277</v>
      </c>
    </row>
    <row r="1834" spans="1:17" s="611" customFormat="1" ht="12" customHeight="1" x14ac:dyDescent="0.2">
      <c r="A1834" s="607"/>
      <c r="B1834" s="773"/>
      <c r="C1834" s="612"/>
      <c r="D1834" s="612"/>
      <c r="E1834" s="612"/>
      <c r="F1834" s="688"/>
      <c r="G1834" s="688"/>
      <c r="H1834" s="610"/>
      <c r="I1834" s="626"/>
      <c r="J1834" s="1020"/>
      <c r="K1834" s="688"/>
      <c r="L1834" s="1020"/>
      <c r="N1834" s="610"/>
      <c r="Q1834" s="607"/>
    </row>
    <row r="1835" spans="1:17" s="611" customFormat="1" ht="12" customHeight="1" x14ac:dyDescent="0.2">
      <c r="A1835" s="607"/>
      <c r="B1835" s="773"/>
      <c r="C1835" s="612"/>
      <c r="D1835" s="612"/>
      <c r="E1835" s="612"/>
      <c r="F1835" s="688"/>
      <c r="G1835" s="688"/>
      <c r="H1835" s="610"/>
      <c r="I1835" s="626"/>
      <c r="J1835" s="1020"/>
      <c r="K1835" s="688"/>
      <c r="L1835" s="1020"/>
      <c r="N1835" s="610"/>
      <c r="Q1835" s="607"/>
    </row>
    <row r="1836" spans="1:17" s="575" customFormat="1" x14ac:dyDescent="0.2">
      <c r="A1836" s="578"/>
      <c r="B1836" s="640"/>
      <c r="C1836" s="597"/>
      <c r="E1836" s="637"/>
      <c r="F1836" s="178" t="s">
        <v>888</v>
      </c>
      <c r="G1836" s="897">
        <f>G1830+G1831+G1832+G1833</f>
        <v>136901.96520000001</v>
      </c>
      <c r="J1836" s="578"/>
      <c r="K1836" s="696"/>
      <c r="L1836" s="578"/>
      <c r="M1836" s="578"/>
      <c r="O1836" s="578"/>
      <c r="P1836" s="578"/>
      <c r="Q1836" s="578"/>
    </row>
    <row r="1837" spans="1:17" s="652" customFormat="1" x14ac:dyDescent="0.2">
      <c r="A1837" s="649"/>
      <c r="B1837" s="657"/>
      <c r="C1837" s="646"/>
      <c r="E1837" s="658"/>
      <c r="F1837" s="650"/>
      <c r="G1837" s="789"/>
      <c r="J1837" s="649"/>
      <c r="K1837" s="660"/>
      <c r="L1837" s="649"/>
      <c r="M1837" s="649"/>
      <c r="O1837" s="649"/>
      <c r="P1837" s="649"/>
      <c r="Q1837" s="649"/>
    </row>
    <row r="1840" spans="1:17" ht="20.25" x14ac:dyDescent="0.3">
      <c r="C1840" s="1812" t="s">
        <v>72</v>
      </c>
      <c r="D1840" s="1812"/>
      <c r="E1840" s="1812"/>
      <c r="F1840" s="1812"/>
    </row>
    <row r="1843" spans="1:17" x14ac:dyDescent="0.2">
      <c r="A1843" s="1" t="s">
        <v>948</v>
      </c>
    </row>
    <row r="1844" spans="1:17" s="575" customFormat="1" x14ac:dyDescent="0.2">
      <c r="A1844" s="578">
        <v>42228</v>
      </c>
      <c r="B1844" s="1044">
        <v>893</v>
      </c>
      <c r="C1844" s="597" t="s">
        <v>177</v>
      </c>
      <c r="D1844" s="597"/>
      <c r="E1844" s="597"/>
      <c r="F1844" s="600">
        <v>4303.72</v>
      </c>
      <c r="G1844" s="600">
        <f>+F1844*2.2</f>
        <v>9468.1840000000011</v>
      </c>
      <c r="H1844" s="485" t="s">
        <v>72</v>
      </c>
      <c r="I1844" s="577"/>
      <c r="J1844" s="639">
        <v>42187</v>
      </c>
      <c r="K1844" s="597" t="s">
        <v>500</v>
      </c>
      <c r="L1844" s="639">
        <v>42249</v>
      </c>
      <c r="N1844" s="485"/>
      <c r="Q1844" s="578">
        <v>42249</v>
      </c>
    </row>
    <row r="1846" spans="1:17" x14ac:dyDescent="0.2">
      <c r="F1846" s="178" t="s">
        <v>888</v>
      </c>
      <c r="G1846" s="49">
        <f>G1844</f>
        <v>9468.1840000000011</v>
      </c>
    </row>
    <row r="1847" spans="1:17" x14ac:dyDescent="0.2">
      <c r="A1847" s="1"/>
    </row>
    <row r="1851" spans="1:17" x14ac:dyDescent="0.2">
      <c r="F1851" s="54"/>
      <c r="G1851" s="918"/>
    </row>
    <row r="1853" spans="1:17" ht="20.25" x14ac:dyDescent="0.3">
      <c r="C1853" s="1812" t="s">
        <v>70</v>
      </c>
      <c r="D1853" s="1812"/>
      <c r="E1853" s="1812"/>
      <c r="F1853" s="1812"/>
    </row>
    <row r="1858" spans="1:17" x14ac:dyDescent="0.2">
      <c r="A1858" s="1" t="s">
        <v>948</v>
      </c>
    </row>
    <row r="1859" spans="1:17" s="575" customFormat="1" x14ac:dyDescent="0.2">
      <c r="A1859" s="578">
        <v>42217</v>
      </c>
      <c r="B1859" s="640">
        <v>889</v>
      </c>
      <c r="C1859" s="597" t="s">
        <v>341</v>
      </c>
      <c r="D1859" s="597" t="s">
        <v>86</v>
      </c>
      <c r="E1859" s="597">
        <v>6</v>
      </c>
      <c r="F1859" s="600">
        <v>6431.2</v>
      </c>
      <c r="G1859" s="600">
        <f>+F1859*2.2</f>
        <v>14148.640000000001</v>
      </c>
      <c r="H1859" s="485" t="s">
        <v>70</v>
      </c>
      <c r="I1859" s="577"/>
      <c r="J1859" s="639">
        <v>42189</v>
      </c>
      <c r="K1859" s="96" t="s">
        <v>500</v>
      </c>
      <c r="L1859" s="639">
        <v>42251</v>
      </c>
      <c r="N1859" s="485"/>
      <c r="Q1859" s="578">
        <v>42251</v>
      </c>
    </row>
    <row r="1860" spans="1:17" s="575" customFormat="1" x14ac:dyDescent="0.2">
      <c r="A1860" s="578"/>
      <c r="B1860" s="1044"/>
      <c r="C1860" s="597"/>
      <c r="F1860" s="600"/>
      <c r="G1860" s="600"/>
      <c r="J1860" s="578"/>
      <c r="K1860" s="637"/>
      <c r="L1860" s="578"/>
    </row>
    <row r="1861" spans="1:17" x14ac:dyDescent="0.2">
      <c r="F1861" s="54" t="s">
        <v>888</v>
      </c>
      <c r="G1861" s="918">
        <f>+G1859</f>
        <v>14148.640000000001</v>
      </c>
    </row>
    <row r="1862" spans="1:17" x14ac:dyDescent="0.2">
      <c r="F1862" s="54"/>
      <c r="G1862" s="918"/>
    </row>
    <row r="1863" spans="1:17" x14ac:dyDescent="0.2">
      <c r="F1863" s="54"/>
      <c r="G1863" s="918"/>
    </row>
    <row r="1864" spans="1:17" x14ac:dyDescent="0.2">
      <c r="F1864" s="54"/>
      <c r="G1864" s="918"/>
    </row>
    <row r="1865" spans="1:17" x14ac:dyDescent="0.2">
      <c r="F1865" s="54"/>
      <c r="G1865" s="918"/>
    </row>
    <row r="1866" spans="1:17" x14ac:dyDescent="0.2">
      <c r="F1866" s="54"/>
      <c r="G1866" s="918"/>
    </row>
    <row r="1867" spans="1:17" x14ac:dyDescent="0.2">
      <c r="F1867" s="54"/>
      <c r="G1867" s="918"/>
    </row>
    <row r="1868" spans="1:17" x14ac:dyDescent="0.2">
      <c r="F1868" s="54"/>
      <c r="G1868" s="918"/>
    </row>
    <row r="1869" spans="1:17" x14ac:dyDescent="0.2">
      <c r="F1869" s="54"/>
      <c r="G1869" s="918"/>
    </row>
    <row r="1870" spans="1:17" x14ac:dyDescent="0.2">
      <c r="F1870" s="54"/>
      <c r="G1870" s="918"/>
    </row>
    <row r="1871" spans="1:17" x14ac:dyDescent="0.2">
      <c r="F1871" s="54"/>
      <c r="G1871" s="918"/>
    </row>
    <row r="1872" spans="1:17" x14ac:dyDescent="0.2">
      <c r="F1872" s="54"/>
      <c r="G1872" s="918"/>
    </row>
    <row r="1873" spans="1:19" x14ac:dyDescent="0.2">
      <c r="F1873" s="54"/>
      <c r="G1873" s="918"/>
    </row>
    <row r="1874" spans="1:19" x14ac:dyDescent="0.2">
      <c r="F1874" s="54"/>
      <c r="G1874" s="918"/>
    </row>
    <row r="1875" spans="1:19" x14ac:dyDescent="0.2">
      <c r="F1875" s="54"/>
      <c r="G1875" s="918"/>
    </row>
    <row r="1876" spans="1:19" s="1177" customFormat="1" ht="25.5" x14ac:dyDescent="0.35">
      <c r="C1876" s="1819" t="s">
        <v>1174</v>
      </c>
      <c r="D1876" s="1819"/>
      <c r="E1876" s="1819"/>
      <c r="F1876" s="1819"/>
      <c r="G1876" s="1819"/>
      <c r="H1876" s="1819"/>
      <c r="I1876" s="1819"/>
    </row>
    <row r="1877" spans="1:19" x14ac:dyDescent="0.2">
      <c r="F1877" s="54"/>
      <c r="G1877" s="918"/>
    </row>
    <row r="1878" spans="1:19" x14ac:dyDescent="0.2">
      <c r="F1878" s="54"/>
      <c r="G1878" s="918"/>
    </row>
    <row r="1879" spans="1:19" x14ac:dyDescent="0.2">
      <c r="F1879" s="54"/>
      <c r="G1879" s="918"/>
    </row>
    <row r="1880" spans="1:19" x14ac:dyDescent="0.2">
      <c r="F1880" s="54"/>
      <c r="G1880" s="918"/>
    </row>
    <row r="1881" spans="1:19" x14ac:dyDescent="0.2">
      <c r="F1881" s="54"/>
      <c r="G1881" s="918"/>
    </row>
    <row r="1882" spans="1:19" x14ac:dyDescent="0.2">
      <c r="F1882" s="54"/>
      <c r="G1882" s="918"/>
    </row>
    <row r="1883" spans="1:19" x14ac:dyDescent="0.2">
      <c r="F1883" s="54"/>
      <c r="G1883" s="918"/>
    </row>
    <row r="1884" spans="1:19" s="1164" customFormat="1" ht="23.25" x14ac:dyDescent="0.35">
      <c r="D1884" s="1816" t="s">
        <v>1170</v>
      </c>
      <c r="E1884" s="1817"/>
      <c r="F1884" s="1817"/>
      <c r="G1884" s="1818"/>
    </row>
    <row r="1887" spans="1:19" x14ac:dyDescent="0.2">
      <c r="A1887" s="578">
        <v>42230</v>
      </c>
      <c r="B1887" s="1044">
        <v>896</v>
      </c>
      <c r="C1887" s="597" t="s">
        <v>145</v>
      </c>
      <c r="D1887" s="575"/>
      <c r="E1887" s="637">
        <v>27</v>
      </c>
      <c r="F1887" s="600">
        <v>17843.48</v>
      </c>
      <c r="G1887" s="600">
        <f>+F1887*2.2</f>
        <v>39255.656000000003</v>
      </c>
      <c r="H1887" s="575" t="s">
        <v>70</v>
      </c>
      <c r="I1887" s="575"/>
      <c r="J1887" s="578">
        <v>42196</v>
      </c>
      <c r="K1887" s="96" t="s">
        <v>384</v>
      </c>
      <c r="L1887" s="578">
        <v>42288</v>
      </c>
      <c r="M1887" s="575"/>
      <c r="N1887" s="575"/>
      <c r="O1887" s="575"/>
      <c r="P1887" s="575"/>
      <c r="Q1887" s="575"/>
      <c r="R1887" s="578">
        <v>42288</v>
      </c>
      <c r="S1887" s="575"/>
    </row>
    <row r="1888" spans="1:19" x14ac:dyDescent="0.2">
      <c r="A1888" s="578">
        <v>42227</v>
      </c>
      <c r="B1888" s="1044">
        <v>894</v>
      </c>
      <c r="C1888" s="597" t="s">
        <v>604</v>
      </c>
      <c r="D1888" s="575"/>
      <c r="E1888" s="637">
        <v>7</v>
      </c>
      <c r="F1888" s="600">
        <v>21567.040000000001</v>
      </c>
      <c r="G1888" s="600">
        <f>+F1888*2.2</f>
        <v>47447.488000000005</v>
      </c>
      <c r="H1888" s="575" t="s">
        <v>70</v>
      </c>
      <c r="I1888" s="575"/>
      <c r="J1888" s="578">
        <v>42200</v>
      </c>
      <c r="K1888" s="637" t="s">
        <v>384</v>
      </c>
      <c r="L1888" s="578">
        <v>42292</v>
      </c>
      <c r="M1888" s="575"/>
      <c r="N1888" s="575"/>
      <c r="O1888" s="575"/>
      <c r="P1888" s="575"/>
      <c r="Q1888" s="575"/>
      <c r="R1888" s="578">
        <v>42292</v>
      </c>
      <c r="S1888" s="575"/>
    </row>
    <row r="1889" spans="1:19" x14ac:dyDescent="0.2">
      <c r="A1889" s="578">
        <v>42293</v>
      </c>
      <c r="B1889" s="640">
        <v>908</v>
      </c>
      <c r="C1889" s="637" t="s">
        <v>192</v>
      </c>
      <c r="D1889" s="597"/>
      <c r="E1889" s="597">
        <v>27</v>
      </c>
      <c r="F1889" s="600">
        <v>16756.48</v>
      </c>
      <c r="G1889" s="601">
        <f>F1889*2.2</f>
        <v>36864.256000000001</v>
      </c>
      <c r="H1889" s="485" t="s">
        <v>70</v>
      </c>
      <c r="I1889" s="577"/>
      <c r="J1889" s="96"/>
      <c r="K1889" s="96" t="s">
        <v>250</v>
      </c>
      <c r="L1889" s="984">
        <v>42308</v>
      </c>
      <c r="M1889" s="575"/>
      <c r="N1889" s="485"/>
      <c r="O1889" s="575"/>
      <c r="P1889" s="575"/>
      <c r="Q1889" s="575"/>
      <c r="R1889" s="575"/>
      <c r="S1889" s="575"/>
    </row>
    <row r="1890" spans="1:19" s="401" customFormat="1" ht="15.75" x14ac:dyDescent="0.25">
      <c r="A1890" s="1165"/>
      <c r="B1890" s="1166"/>
      <c r="C1890" s="1167"/>
      <c r="D1890" s="1168"/>
      <c r="E1890" s="1168"/>
      <c r="F1890" s="1176" t="s">
        <v>888</v>
      </c>
      <c r="G1890" s="1175">
        <f>SUM(G1887:G1889)</f>
        <v>123567.4</v>
      </c>
      <c r="H1890" s="1169"/>
      <c r="I1890" s="1170"/>
      <c r="J1890" s="1161"/>
      <c r="K1890" s="1161"/>
      <c r="L1890" s="1171"/>
      <c r="M1890" s="1172"/>
      <c r="N1890" s="1169"/>
      <c r="O1890" s="1172"/>
      <c r="P1890" s="1172"/>
      <c r="Q1890" s="1172"/>
      <c r="R1890" s="1172"/>
      <c r="S1890" s="1172"/>
    </row>
    <row r="1891" spans="1:19" s="401" customFormat="1" ht="15.75" x14ac:dyDescent="0.25">
      <c r="A1891" s="1165"/>
      <c r="B1891" s="1166"/>
      <c r="C1891" s="1167"/>
      <c r="D1891" s="1168"/>
      <c r="E1891" s="1168"/>
      <c r="F1891" s="1173"/>
      <c r="G1891" s="1174"/>
      <c r="H1891" s="1169"/>
      <c r="I1891" s="1170"/>
      <c r="J1891" s="1161"/>
      <c r="K1891" s="1161"/>
      <c r="L1891" s="1171"/>
      <c r="M1891" s="1172"/>
      <c r="N1891" s="1169"/>
      <c r="O1891" s="1172"/>
      <c r="P1891" s="1172"/>
      <c r="Q1891" s="1172"/>
      <c r="R1891" s="1172"/>
      <c r="S1891" s="1172"/>
    </row>
    <row r="1892" spans="1:19" s="401" customFormat="1" ht="15.75" x14ac:dyDescent="0.25">
      <c r="A1892" s="1165"/>
      <c r="B1892" s="1166"/>
      <c r="C1892" s="1167"/>
      <c r="D1892" s="1168"/>
      <c r="E1892" s="1168"/>
      <c r="F1892" s="1173"/>
      <c r="G1892" s="1174"/>
      <c r="H1892" s="1169"/>
      <c r="I1892" s="1170"/>
      <c r="J1892" s="1161"/>
      <c r="K1892" s="1161"/>
      <c r="L1892" s="1171"/>
      <c r="M1892" s="1172"/>
      <c r="N1892" s="1169"/>
      <c r="O1892" s="1172"/>
      <c r="P1892" s="1172"/>
      <c r="Q1892" s="1172"/>
      <c r="R1892" s="1172"/>
      <c r="S1892" s="1172"/>
    </row>
    <row r="1893" spans="1:19" x14ac:dyDescent="0.2">
      <c r="A1893" s="578"/>
      <c r="B1893" s="640"/>
      <c r="C1893" s="637"/>
      <c r="D1893" s="597"/>
      <c r="E1893" s="597"/>
      <c r="F1893" s="600"/>
      <c r="G1893" s="601"/>
      <c r="H1893" s="485"/>
      <c r="I1893" s="577"/>
      <c r="J1893" s="96"/>
      <c r="K1893" s="96"/>
      <c r="L1893" s="984"/>
      <c r="M1893" s="575"/>
      <c r="N1893" s="485"/>
      <c r="O1893" s="575"/>
      <c r="P1893" s="575"/>
      <c r="Q1893" s="575"/>
      <c r="R1893" s="575"/>
      <c r="S1893" s="575"/>
    </row>
    <row r="1894" spans="1:19" x14ac:dyDescent="0.2">
      <c r="A1894" s="578"/>
      <c r="B1894" s="640"/>
      <c r="C1894" s="637"/>
      <c r="D1894" s="597"/>
      <c r="E1894" s="597"/>
      <c r="F1894" s="600"/>
      <c r="G1894" s="601"/>
      <c r="H1894" s="485"/>
      <c r="I1894" s="577"/>
      <c r="J1894" s="96"/>
      <c r="K1894" s="96"/>
      <c r="L1894" s="984"/>
      <c r="M1894" s="575"/>
      <c r="N1894" s="485"/>
      <c r="O1894" s="575"/>
      <c r="P1894" s="575"/>
      <c r="Q1894" s="575"/>
      <c r="R1894" s="575"/>
      <c r="S1894" s="575"/>
    </row>
    <row r="1895" spans="1:19" x14ac:dyDescent="0.2">
      <c r="A1895" s="578"/>
      <c r="B1895" s="640"/>
      <c r="C1895" s="637"/>
      <c r="D1895" s="597"/>
      <c r="E1895" s="597"/>
      <c r="F1895" s="600"/>
      <c r="G1895" s="601"/>
      <c r="H1895" s="485"/>
      <c r="I1895" s="577"/>
      <c r="J1895" s="96"/>
      <c r="K1895" s="96"/>
      <c r="L1895" s="984"/>
      <c r="M1895" s="575"/>
      <c r="N1895" s="485"/>
      <c r="O1895" s="575"/>
      <c r="P1895" s="575"/>
      <c r="Q1895" s="575"/>
      <c r="R1895" s="575"/>
      <c r="S1895" s="575"/>
    </row>
    <row r="1896" spans="1:19" s="1164" customFormat="1" ht="23.25" x14ac:dyDescent="0.35">
      <c r="D1896" s="1816" t="s">
        <v>1171</v>
      </c>
      <c r="E1896" s="1817"/>
      <c r="F1896" s="1817"/>
      <c r="G1896" s="1818"/>
    </row>
    <row r="1898" spans="1:19" x14ac:dyDescent="0.2">
      <c r="A1898" s="578"/>
      <c r="B1898" s="1044"/>
      <c r="C1898" s="597"/>
      <c r="D1898" s="575"/>
      <c r="E1898" s="637"/>
      <c r="F1898" s="600"/>
      <c r="G1898" s="600"/>
      <c r="H1898" s="575"/>
      <c r="I1898" s="575"/>
      <c r="J1898" s="578"/>
      <c r="K1898" s="96"/>
      <c r="L1898" s="578"/>
      <c r="M1898" s="575"/>
      <c r="N1898" s="575"/>
      <c r="O1898" s="575"/>
      <c r="P1898" s="575"/>
      <c r="Q1898" s="575"/>
      <c r="R1898" s="578"/>
      <c r="S1898" s="575"/>
    </row>
    <row r="1899" spans="1:19" x14ac:dyDescent="0.2">
      <c r="A1899" s="569">
        <v>42221</v>
      </c>
      <c r="B1899" s="568">
        <v>891</v>
      </c>
      <c r="C1899" s="597" t="s">
        <v>142</v>
      </c>
      <c r="D1899" s="483"/>
      <c r="E1899" s="597">
        <v>12</v>
      </c>
      <c r="F1899" s="600">
        <v>19317.5</v>
      </c>
      <c r="G1899" s="600">
        <f>+F1899*2.2</f>
        <v>42498.5</v>
      </c>
      <c r="H1899" s="575" t="s">
        <v>72</v>
      </c>
      <c r="I1899" s="483"/>
      <c r="J1899" s="1051">
        <v>42200</v>
      </c>
      <c r="K1899" s="597" t="s">
        <v>384</v>
      </c>
      <c r="L1899" s="1051">
        <v>42292</v>
      </c>
      <c r="M1899" s="483"/>
      <c r="N1899" s="483"/>
      <c r="O1899" s="483"/>
      <c r="P1899" s="483"/>
      <c r="Q1899" s="483"/>
      <c r="R1899" s="569">
        <v>42292</v>
      </c>
      <c r="S1899" s="483"/>
    </row>
    <row r="1900" spans="1:19" s="401" customFormat="1" ht="15.75" x14ac:dyDescent="0.25">
      <c r="A1900" s="1165"/>
      <c r="B1900" s="1166"/>
      <c r="C1900" s="1167"/>
      <c r="D1900" s="1168"/>
      <c r="E1900" s="1168"/>
      <c r="F1900" s="1176" t="s">
        <v>888</v>
      </c>
      <c r="G1900" s="1175">
        <f>SUM(G1899)</f>
        <v>42498.5</v>
      </c>
      <c r="H1900" s="1169"/>
      <c r="I1900" s="1170"/>
      <c r="J1900" s="1161"/>
      <c r="K1900" s="1161"/>
      <c r="L1900" s="1171"/>
      <c r="M1900" s="1172"/>
      <c r="N1900" s="1169"/>
      <c r="O1900" s="1172"/>
      <c r="P1900" s="1172"/>
      <c r="Q1900" s="1172"/>
      <c r="R1900" s="1172"/>
      <c r="S1900" s="1172"/>
    </row>
    <row r="1901" spans="1:19" s="401" customFormat="1" ht="15.75" x14ac:dyDescent="0.25">
      <c r="A1901" s="1165"/>
      <c r="B1901" s="1166"/>
      <c r="C1901" s="1167"/>
      <c r="D1901" s="1168"/>
      <c r="E1901" s="1168"/>
      <c r="F1901" s="1173"/>
      <c r="G1901" s="1174"/>
      <c r="H1901" s="1169"/>
      <c r="I1901" s="1170"/>
      <c r="J1901" s="1161"/>
      <c r="K1901" s="1161"/>
      <c r="L1901" s="1171"/>
      <c r="M1901" s="1172"/>
      <c r="N1901" s="1169"/>
      <c r="O1901" s="1172"/>
      <c r="P1901" s="1172"/>
      <c r="Q1901" s="1172"/>
      <c r="R1901" s="1172"/>
      <c r="S1901" s="1172"/>
    </row>
    <row r="1902" spans="1:19" s="401" customFormat="1" ht="15.75" x14ac:dyDescent="0.25">
      <c r="A1902" s="1165"/>
      <c r="B1902" s="1166"/>
      <c r="C1902" s="1167"/>
      <c r="D1902" s="1168"/>
      <c r="E1902" s="1168"/>
      <c r="F1902" s="1173"/>
      <c r="G1902" s="1174"/>
      <c r="H1902" s="1169"/>
      <c r="I1902" s="1170"/>
      <c r="J1902" s="1161"/>
      <c r="K1902" s="1161"/>
      <c r="L1902" s="1171"/>
      <c r="M1902" s="1172"/>
      <c r="N1902" s="1169"/>
      <c r="O1902" s="1172"/>
      <c r="P1902" s="1172"/>
      <c r="Q1902" s="1172"/>
      <c r="R1902" s="1172"/>
      <c r="S1902" s="1172"/>
    </row>
    <row r="1903" spans="1:19" s="401" customFormat="1" ht="15.75" x14ac:dyDescent="0.25">
      <c r="A1903" s="1165"/>
      <c r="B1903" s="1166"/>
      <c r="C1903" s="1167"/>
      <c r="D1903" s="1168"/>
      <c r="E1903" s="1168"/>
      <c r="F1903" s="1173"/>
      <c r="G1903" s="1174"/>
      <c r="H1903" s="1169"/>
      <c r="I1903" s="1170"/>
      <c r="J1903" s="1161"/>
      <c r="K1903" s="1161"/>
      <c r="L1903" s="1171"/>
      <c r="M1903" s="1172"/>
      <c r="N1903" s="1169"/>
      <c r="O1903" s="1172"/>
      <c r="P1903" s="1172"/>
      <c r="Q1903" s="1172"/>
      <c r="R1903" s="1172"/>
      <c r="S1903" s="1172"/>
    </row>
    <row r="1904" spans="1:19" s="401" customFormat="1" ht="15.75" x14ac:dyDescent="0.25">
      <c r="A1904" s="1165"/>
      <c r="B1904" s="1166"/>
      <c r="C1904" s="1167"/>
      <c r="D1904" s="1168"/>
      <c r="E1904" s="1168"/>
      <c r="F1904" s="1173"/>
      <c r="G1904" s="1174"/>
      <c r="H1904" s="1169"/>
      <c r="I1904" s="1170"/>
      <c r="J1904" s="1161"/>
      <c r="K1904" s="1161"/>
      <c r="L1904" s="1171"/>
      <c r="M1904" s="1172"/>
      <c r="N1904" s="1169"/>
      <c r="O1904" s="1172"/>
      <c r="P1904" s="1172"/>
      <c r="Q1904" s="1172"/>
      <c r="R1904" s="1172"/>
      <c r="S1904" s="1172"/>
    </row>
    <row r="1905" spans="1:19" s="401" customFormat="1" ht="15.75" x14ac:dyDescent="0.25">
      <c r="A1905" s="1165"/>
      <c r="B1905" s="1166"/>
      <c r="C1905" s="1167"/>
      <c r="D1905" s="1168"/>
      <c r="E1905" s="1168"/>
      <c r="F1905" s="1173"/>
      <c r="G1905" s="1174"/>
      <c r="H1905" s="1169"/>
      <c r="I1905" s="1170"/>
      <c r="J1905" s="1161"/>
      <c r="K1905" s="1161"/>
      <c r="L1905" s="1171"/>
      <c r="M1905" s="1172"/>
      <c r="N1905" s="1169"/>
      <c r="O1905" s="1172"/>
      <c r="P1905" s="1172"/>
      <c r="Q1905" s="1172"/>
      <c r="R1905" s="1172"/>
      <c r="S1905" s="1172"/>
    </row>
    <row r="1906" spans="1:19" s="1164" customFormat="1" ht="23.25" x14ac:dyDescent="0.35">
      <c r="D1906" s="1816" t="s">
        <v>1172</v>
      </c>
      <c r="E1906" s="1817"/>
      <c r="F1906" s="1817"/>
      <c r="G1906" s="1818"/>
    </row>
    <row r="1907" spans="1:19" s="401" customFormat="1" ht="15.75" x14ac:dyDescent="0.25">
      <c r="A1907" s="1165"/>
      <c r="B1907" s="1166"/>
      <c r="C1907" s="1167"/>
      <c r="D1907" s="1168"/>
      <c r="E1907" s="1168"/>
      <c r="F1907" s="1173"/>
      <c r="G1907" s="1174"/>
      <c r="H1907" s="1169"/>
      <c r="I1907" s="1170"/>
      <c r="J1907" s="1161"/>
      <c r="K1907" s="1161"/>
      <c r="L1907" s="1171"/>
      <c r="M1907" s="1172"/>
      <c r="N1907" s="1169"/>
      <c r="O1907" s="1172"/>
      <c r="P1907" s="1172"/>
      <c r="Q1907" s="1172"/>
      <c r="R1907" s="1172"/>
      <c r="S1907" s="1172"/>
    </row>
    <row r="1908" spans="1:19" x14ac:dyDescent="0.2">
      <c r="A1908" s="569"/>
      <c r="B1908" s="568"/>
      <c r="C1908" s="597"/>
      <c r="D1908" s="483"/>
      <c r="E1908" s="597"/>
      <c r="F1908" s="600"/>
      <c r="G1908" s="600"/>
      <c r="H1908" s="575"/>
      <c r="I1908" s="483"/>
      <c r="J1908" s="1051"/>
      <c r="K1908" s="597"/>
      <c r="L1908" s="1051"/>
      <c r="M1908" s="483"/>
      <c r="N1908" s="483"/>
      <c r="O1908" s="483"/>
      <c r="P1908" s="483"/>
      <c r="Q1908" s="483"/>
      <c r="R1908" s="569"/>
      <c r="S1908" s="483"/>
    </row>
    <row r="1909" spans="1:19" x14ac:dyDescent="0.2">
      <c r="A1909" s="578">
        <v>42252</v>
      </c>
      <c r="B1909" s="637">
        <v>902</v>
      </c>
      <c r="C1909" s="597" t="s">
        <v>172</v>
      </c>
      <c r="D1909" s="612"/>
      <c r="E1909" s="612">
        <v>23</v>
      </c>
      <c r="F1909" s="600">
        <v>12597.37</v>
      </c>
      <c r="G1909" s="600">
        <f>F1909*2.2</f>
        <v>27714.214000000004</v>
      </c>
      <c r="H1909" s="485" t="s">
        <v>113</v>
      </c>
      <c r="I1909" s="599"/>
      <c r="J1909" s="1018">
        <v>42224</v>
      </c>
      <c r="K1909" s="597" t="s">
        <v>384</v>
      </c>
      <c r="L1909" s="1018">
        <v>42316</v>
      </c>
      <c r="M1909" s="603"/>
      <c r="N1909" s="606"/>
      <c r="O1909" s="603"/>
      <c r="P1909" s="603"/>
      <c r="Q1909" s="603"/>
      <c r="R1909" s="578">
        <v>42316</v>
      </c>
      <c r="S1909" s="603"/>
    </row>
    <row r="1910" spans="1:19" s="401" customFormat="1" ht="15.75" x14ac:dyDescent="0.25">
      <c r="A1910" s="1165"/>
      <c r="B1910" s="1166"/>
      <c r="C1910" s="1167"/>
      <c r="D1910" s="1168"/>
      <c r="E1910" s="1168"/>
      <c r="F1910" s="1176" t="s">
        <v>888</v>
      </c>
      <c r="G1910" s="1175">
        <f>SUM(G1909)</f>
        <v>27714.214000000004</v>
      </c>
      <c r="H1910" s="1169"/>
      <c r="I1910" s="1170"/>
      <c r="J1910" s="1161"/>
      <c r="K1910" s="1161"/>
      <c r="L1910" s="1171"/>
      <c r="M1910" s="1172"/>
      <c r="N1910" s="1169"/>
      <c r="O1910" s="1172"/>
      <c r="P1910" s="1172"/>
      <c r="Q1910" s="1172"/>
      <c r="R1910" s="1172"/>
      <c r="S1910" s="1172"/>
    </row>
    <row r="1911" spans="1:19" s="401" customFormat="1" ht="15.75" x14ac:dyDescent="0.25">
      <c r="A1911" s="1165"/>
      <c r="B1911" s="1166"/>
      <c r="C1911" s="1167"/>
      <c r="D1911" s="1168"/>
      <c r="E1911" s="1168"/>
      <c r="F1911" s="1173"/>
      <c r="G1911" s="1174"/>
      <c r="H1911" s="1169"/>
      <c r="I1911" s="1170"/>
      <c r="J1911" s="1161"/>
      <c r="K1911" s="1161"/>
      <c r="L1911" s="1171"/>
      <c r="M1911" s="1172"/>
      <c r="N1911" s="1169"/>
      <c r="O1911" s="1172"/>
      <c r="P1911" s="1172"/>
      <c r="Q1911" s="1172"/>
      <c r="R1911" s="1172"/>
      <c r="S1911" s="1172"/>
    </row>
    <row r="1912" spans="1:19" s="401" customFormat="1" ht="15.75" x14ac:dyDescent="0.25">
      <c r="A1912" s="1165"/>
      <c r="B1912" s="1166"/>
      <c r="C1912" s="1167"/>
      <c r="D1912" s="1168"/>
      <c r="E1912" s="1168"/>
      <c r="F1912" s="1173"/>
      <c r="G1912" s="1174"/>
      <c r="H1912" s="1169"/>
      <c r="I1912" s="1170"/>
      <c r="J1912" s="1161"/>
      <c r="K1912" s="1161"/>
      <c r="L1912" s="1171"/>
      <c r="M1912" s="1172"/>
      <c r="N1912" s="1169"/>
      <c r="O1912" s="1172"/>
      <c r="P1912" s="1172"/>
      <c r="Q1912" s="1172"/>
      <c r="R1912" s="1172"/>
      <c r="S1912" s="1172"/>
    </row>
    <row r="1913" spans="1:19" s="401" customFormat="1" ht="15.75" x14ac:dyDescent="0.25">
      <c r="A1913" s="1165"/>
      <c r="B1913" s="1166"/>
      <c r="C1913" s="1167"/>
      <c r="D1913" s="1168"/>
      <c r="E1913" s="1168"/>
      <c r="F1913" s="1173"/>
      <c r="G1913" s="1174"/>
      <c r="H1913" s="1169"/>
      <c r="I1913" s="1170"/>
      <c r="J1913" s="1161"/>
      <c r="K1913" s="1161"/>
      <c r="L1913" s="1171"/>
      <c r="M1913" s="1172"/>
      <c r="N1913" s="1169"/>
      <c r="O1913" s="1172"/>
      <c r="P1913" s="1172"/>
      <c r="Q1913" s="1172"/>
      <c r="R1913" s="1172"/>
      <c r="S1913" s="1172"/>
    </row>
    <row r="1914" spans="1:19" s="401" customFormat="1" ht="15.75" x14ac:dyDescent="0.25">
      <c r="A1914" s="1165"/>
      <c r="B1914" s="1166"/>
      <c r="C1914" s="1167"/>
      <c r="D1914" s="1168"/>
      <c r="E1914" s="1168"/>
      <c r="F1914" s="1173"/>
      <c r="G1914" s="1174"/>
      <c r="H1914" s="1169"/>
      <c r="I1914" s="1170"/>
      <c r="J1914" s="1161"/>
      <c r="K1914" s="1161"/>
      <c r="L1914" s="1171"/>
      <c r="M1914" s="1172"/>
      <c r="N1914" s="1169"/>
      <c r="O1914" s="1172"/>
      <c r="P1914" s="1172"/>
      <c r="Q1914" s="1172"/>
      <c r="R1914" s="1172"/>
      <c r="S1914" s="1172"/>
    </row>
    <row r="1915" spans="1:19" s="401" customFormat="1" ht="15.75" x14ac:dyDescent="0.25">
      <c r="A1915" s="1165"/>
      <c r="B1915" s="1166"/>
      <c r="C1915" s="1167"/>
      <c r="D1915" s="1168"/>
      <c r="E1915" s="1168"/>
      <c r="F1915" s="1173"/>
      <c r="G1915" s="1174"/>
      <c r="H1915" s="1169"/>
      <c r="I1915" s="1170"/>
      <c r="J1915" s="1161"/>
      <c r="K1915" s="1161"/>
      <c r="L1915" s="1171"/>
      <c r="M1915" s="1172"/>
      <c r="N1915" s="1169"/>
      <c r="O1915" s="1172"/>
      <c r="P1915" s="1172"/>
      <c r="Q1915" s="1172"/>
      <c r="R1915" s="1172"/>
      <c r="S1915" s="1172"/>
    </row>
    <row r="1916" spans="1:19" s="1164" customFormat="1" ht="23.25" x14ac:dyDescent="0.35">
      <c r="D1916" s="1816" t="s">
        <v>1173</v>
      </c>
      <c r="E1916" s="1817"/>
      <c r="F1916" s="1817"/>
      <c r="G1916" s="1818"/>
    </row>
    <row r="1917" spans="1:19" s="401" customFormat="1" ht="15.75" x14ac:dyDescent="0.25">
      <c r="A1917" s="1165"/>
      <c r="B1917" s="1166"/>
      <c r="C1917" s="1167"/>
      <c r="D1917" s="1168"/>
      <c r="E1917" s="1168"/>
      <c r="F1917" s="1173"/>
      <c r="G1917" s="1174"/>
      <c r="H1917" s="1169"/>
      <c r="I1917" s="1170"/>
      <c r="J1917" s="1161"/>
      <c r="K1917" s="1161"/>
      <c r="L1917" s="1171"/>
      <c r="M1917" s="1172"/>
      <c r="N1917" s="1169"/>
      <c r="O1917" s="1172"/>
      <c r="P1917" s="1172"/>
      <c r="Q1917" s="1172"/>
      <c r="R1917" s="1172"/>
      <c r="S1917" s="1172"/>
    </row>
    <row r="1918" spans="1:19" x14ac:dyDescent="0.2">
      <c r="A1918" s="578"/>
      <c r="B1918" s="637"/>
      <c r="C1918" s="597"/>
      <c r="D1918" s="612"/>
      <c r="E1918" s="612"/>
      <c r="F1918" s="600"/>
      <c r="G1918" s="600"/>
      <c r="H1918" s="485"/>
      <c r="I1918" s="599"/>
      <c r="J1918" s="639"/>
      <c r="K1918" s="597"/>
      <c r="L1918" s="639"/>
      <c r="M1918" s="603"/>
      <c r="N1918" s="606"/>
      <c r="O1918" s="603"/>
      <c r="P1918" s="603"/>
      <c r="Q1918" s="603"/>
      <c r="R1918" s="578"/>
      <c r="S1918" s="603"/>
    </row>
    <row r="1919" spans="1:19" x14ac:dyDescent="0.2">
      <c r="A1919" s="578">
        <v>42262</v>
      </c>
      <c r="B1919" s="1044">
        <v>906</v>
      </c>
      <c r="C1919" s="597" t="s">
        <v>139</v>
      </c>
      <c r="D1919" s="597"/>
      <c r="E1919" s="597"/>
      <c r="F1919" s="600">
        <v>10196.49</v>
      </c>
      <c r="G1919" s="601">
        <f>+F1919*2.2</f>
        <v>22432.278000000002</v>
      </c>
      <c r="H1919" s="485" t="s">
        <v>330</v>
      </c>
      <c r="I1919" s="577"/>
      <c r="J1919" s="1018">
        <v>42225</v>
      </c>
      <c r="K1919" s="597" t="s">
        <v>384</v>
      </c>
      <c r="L1919" s="1018">
        <v>42317</v>
      </c>
      <c r="M1919" s="575"/>
      <c r="N1919" s="485"/>
      <c r="O1919" s="575"/>
      <c r="P1919" s="575"/>
      <c r="Q1919" s="575"/>
      <c r="R1919" s="578">
        <v>42317</v>
      </c>
      <c r="S1919" s="575"/>
    </row>
    <row r="1920" spans="1:19" s="401" customFormat="1" ht="15.75" x14ac:dyDescent="0.25">
      <c r="A1920" s="1165"/>
      <c r="B1920" s="1166"/>
      <c r="C1920" s="1167"/>
      <c r="D1920" s="1168"/>
      <c r="E1920" s="1168"/>
      <c r="F1920" s="1176" t="s">
        <v>888</v>
      </c>
      <c r="G1920" s="1175">
        <f>SUM(G1919)</f>
        <v>22432.278000000002</v>
      </c>
      <c r="H1920" s="1169"/>
      <c r="I1920" s="1170"/>
      <c r="J1920" s="1161"/>
      <c r="K1920" s="1161"/>
      <c r="L1920" s="1171"/>
      <c r="M1920" s="1172"/>
      <c r="N1920" s="1169"/>
      <c r="O1920" s="1172"/>
      <c r="P1920" s="1172"/>
      <c r="Q1920" s="1172"/>
      <c r="R1920" s="1172"/>
      <c r="S1920" s="1172"/>
    </row>
    <row r="1921" spans="1:19" s="401" customFormat="1" ht="15.75" x14ac:dyDescent="0.25">
      <c r="A1921" s="1165"/>
      <c r="B1921" s="1166"/>
      <c r="C1921" s="1167"/>
      <c r="D1921" s="1168"/>
      <c r="E1921" s="1168"/>
      <c r="F1921" s="1173"/>
      <c r="G1921" s="1174"/>
      <c r="H1921" s="1169"/>
      <c r="I1921" s="1170"/>
      <c r="J1921" s="1161"/>
      <c r="K1921" s="1161"/>
      <c r="L1921" s="1171"/>
      <c r="M1921" s="1172"/>
      <c r="N1921" s="1169"/>
      <c r="O1921" s="1172"/>
      <c r="P1921" s="1172"/>
      <c r="Q1921" s="1172"/>
      <c r="R1921" s="1172"/>
      <c r="S1921" s="1172"/>
    </row>
    <row r="1922" spans="1:19" s="401" customFormat="1" ht="15.75" x14ac:dyDescent="0.25">
      <c r="A1922" s="1165"/>
      <c r="B1922" s="1166"/>
      <c r="C1922" s="1167"/>
      <c r="D1922" s="1168"/>
      <c r="E1922" s="1168"/>
      <c r="F1922" s="1173"/>
      <c r="G1922" s="1174"/>
      <c r="H1922" s="1169"/>
      <c r="I1922" s="1170"/>
      <c r="J1922" s="1161"/>
      <c r="K1922" s="1161"/>
      <c r="L1922" s="1171"/>
      <c r="M1922" s="1172"/>
      <c r="N1922" s="1169"/>
      <c r="O1922" s="1172"/>
      <c r="P1922" s="1172"/>
      <c r="Q1922" s="1172"/>
      <c r="R1922" s="1172"/>
      <c r="S1922" s="1172"/>
    </row>
    <row r="1923" spans="1:19" s="401" customFormat="1" ht="15.75" x14ac:dyDescent="0.25">
      <c r="A1923" s="1165"/>
      <c r="B1923" s="1166"/>
      <c r="C1923" s="1167"/>
      <c r="D1923" s="1168"/>
      <c r="E1923" s="1168"/>
      <c r="F1923" s="1176" t="s">
        <v>1175</v>
      </c>
      <c r="G1923" s="1175">
        <f>+G1890+G1900+G1910+G1920</f>
        <v>216212.39199999999</v>
      </c>
      <c r="H1923" s="1169"/>
      <c r="I1923" s="1170"/>
      <c r="J1923" s="1161"/>
      <c r="K1923" s="1161"/>
      <c r="L1923" s="1171"/>
      <c r="M1923" s="1172"/>
      <c r="N1923" s="1169"/>
      <c r="O1923" s="1172"/>
      <c r="P1923" s="1172"/>
      <c r="Q1923" s="1172"/>
      <c r="R1923" s="1172"/>
      <c r="S1923" s="1172"/>
    </row>
    <row r="1924" spans="1:19" s="401" customFormat="1" ht="15.75" x14ac:dyDescent="0.25">
      <c r="A1924" s="1165"/>
      <c r="B1924" s="1166"/>
      <c r="C1924" s="1167"/>
      <c r="D1924" s="1168"/>
      <c r="E1924" s="1168"/>
      <c r="F1924" s="1173"/>
      <c r="G1924" s="1174"/>
      <c r="H1924" s="1169"/>
      <c r="I1924" s="1170"/>
      <c r="J1924" s="1161"/>
      <c r="K1924" s="1161"/>
      <c r="L1924" s="1171"/>
      <c r="M1924" s="1172"/>
      <c r="N1924" s="1169"/>
      <c r="O1924" s="1172"/>
      <c r="P1924" s="1172"/>
      <c r="Q1924" s="1172"/>
      <c r="R1924" s="1172"/>
      <c r="S1924" s="1172"/>
    </row>
    <row r="1925" spans="1:19" s="401" customFormat="1" ht="15.75" x14ac:dyDescent="0.25">
      <c r="A1925" s="1165"/>
      <c r="B1925" s="1166"/>
      <c r="C1925" s="1167"/>
      <c r="D1925" s="1168"/>
      <c r="E1925" s="1168"/>
      <c r="F1925" s="1173"/>
      <c r="G1925" s="1174"/>
      <c r="H1925" s="1169"/>
      <c r="I1925" s="1170"/>
      <c r="J1925" s="1161"/>
      <c r="K1925" s="1161"/>
      <c r="L1925" s="1171"/>
      <c r="M1925" s="1172"/>
      <c r="N1925" s="1169"/>
      <c r="O1925" s="1172"/>
      <c r="P1925" s="1172"/>
      <c r="Q1925" s="1172"/>
      <c r="R1925" s="1172"/>
      <c r="S1925" s="1172"/>
    </row>
    <row r="1926" spans="1:19" s="401" customFormat="1" ht="15.75" x14ac:dyDescent="0.25">
      <c r="A1926" s="1165"/>
      <c r="B1926" s="1166"/>
      <c r="C1926" s="1167"/>
      <c r="D1926" s="1168"/>
      <c r="E1926" s="1168"/>
      <c r="F1926" s="1173"/>
      <c r="G1926" s="1174"/>
      <c r="H1926" s="1169"/>
      <c r="I1926" s="1170"/>
      <c r="J1926" s="1161"/>
      <c r="K1926" s="1161"/>
      <c r="L1926" s="1171"/>
      <c r="M1926" s="1172"/>
      <c r="N1926" s="1169"/>
      <c r="O1926" s="1172"/>
      <c r="P1926" s="1172"/>
      <c r="Q1926" s="1172"/>
      <c r="R1926" s="1172"/>
      <c r="S1926" s="1172"/>
    </row>
    <row r="1927" spans="1:19" x14ac:dyDescent="0.2">
      <c r="A1927" s="578"/>
      <c r="B1927" s="1044"/>
      <c r="C1927" s="597"/>
      <c r="D1927" s="597"/>
      <c r="E1927" s="597"/>
      <c r="F1927" s="600"/>
      <c r="G1927" s="601"/>
      <c r="H1927" s="485"/>
      <c r="I1927" s="577"/>
      <c r="J1927" s="1018"/>
      <c r="K1927" s="597"/>
      <c r="L1927" s="1018"/>
      <c r="M1927" s="575"/>
      <c r="N1927" s="485"/>
      <c r="O1927" s="575"/>
      <c r="P1927" s="575"/>
      <c r="Q1927" s="575"/>
      <c r="R1927" s="578"/>
      <c r="S1927" s="575"/>
    </row>
    <row r="1928" spans="1:19" x14ac:dyDescent="0.2">
      <c r="A1928" s="578"/>
      <c r="B1928" s="1044"/>
      <c r="C1928" s="597"/>
      <c r="D1928" s="597"/>
      <c r="E1928" s="597"/>
      <c r="F1928" s="600"/>
      <c r="G1928" s="601"/>
      <c r="H1928" s="485"/>
      <c r="I1928" s="577"/>
      <c r="J1928" s="1018"/>
      <c r="K1928" s="597"/>
      <c r="L1928" s="1018"/>
      <c r="M1928" s="575"/>
      <c r="N1928" s="485"/>
      <c r="O1928" s="575"/>
      <c r="P1928" s="575"/>
      <c r="Q1928" s="575"/>
      <c r="R1928" s="578"/>
      <c r="S1928" s="575"/>
    </row>
    <row r="1929" spans="1:19" x14ac:dyDescent="0.2">
      <c r="A1929" s="649">
        <v>41984</v>
      </c>
      <c r="B1929" s="658">
        <v>821</v>
      </c>
      <c r="C1929" s="646" t="s">
        <v>145</v>
      </c>
      <c r="D1929" s="652"/>
      <c r="E1929" s="646">
        <v>26</v>
      </c>
      <c r="F1929" s="650">
        <v>12884.86</v>
      </c>
      <c r="G1929" s="789">
        <f>F1929*2.24</f>
        <v>28862.086400000004</v>
      </c>
      <c r="H1929" s="652" t="s">
        <v>330</v>
      </c>
      <c r="I1929" s="652"/>
      <c r="J1929" s="1162">
        <v>41925</v>
      </c>
      <c r="K1929" s="658" t="s">
        <v>384</v>
      </c>
      <c r="L1929" s="649"/>
      <c r="M1929" s="652"/>
      <c r="N1929" s="652"/>
      <c r="O1929" s="649">
        <v>42017</v>
      </c>
      <c r="P1929" s="649">
        <v>42122</v>
      </c>
      <c r="Q1929" s="649">
        <v>42241</v>
      </c>
      <c r="R1929" s="649">
        <v>42331</v>
      </c>
      <c r="S1929" s="652"/>
    </row>
    <row r="1930" spans="1:19" x14ac:dyDescent="0.2">
      <c r="A1930" s="649">
        <v>42117</v>
      </c>
      <c r="B1930" s="657" t="s">
        <v>1006</v>
      </c>
      <c r="C1930" s="646" t="s">
        <v>477</v>
      </c>
      <c r="D1930" s="646" t="s">
        <v>943</v>
      </c>
      <c r="E1930" s="646">
        <v>5</v>
      </c>
      <c r="F1930" s="650">
        <v>6232.38</v>
      </c>
      <c r="G1930" s="659">
        <f>+F1930*2.15</f>
        <v>13399.617</v>
      </c>
      <c r="H1930" s="717" t="s">
        <v>70</v>
      </c>
      <c r="I1930" s="652"/>
      <c r="J1930" s="1163"/>
      <c r="K1930" s="564" t="s">
        <v>250</v>
      </c>
      <c r="L1930" s="652"/>
      <c r="M1930" s="652"/>
      <c r="N1930" s="652"/>
      <c r="O1930" s="652"/>
      <c r="P1930" s="652"/>
      <c r="Q1930" s="649">
        <v>42242</v>
      </c>
      <c r="R1930" s="649">
        <v>42334</v>
      </c>
      <c r="S1930" s="652"/>
    </row>
    <row r="1931" spans="1:19" x14ac:dyDescent="0.2">
      <c r="A1931" s="649">
        <v>41893</v>
      </c>
      <c r="B1931" s="657" t="s">
        <v>907</v>
      </c>
      <c r="C1931" s="646" t="s">
        <v>171</v>
      </c>
      <c r="D1931" s="652"/>
      <c r="E1931" s="658">
        <v>13</v>
      </c>
      <c r="F1931" s="650">
        <v>23396.5</v>
      </c>
      <c r="G1931" s="789">
        <f>F1931*2.2</f>
        <v>51472.3</v>
      </c>
      <c r="H1931" s="652" t="s">
        <v>330</v>
      </c>
      <c r="I1931" s="652"/>
      <c r="J1931" s="1162">
        <v>41817</v>
      </c>
      <c r="K1931" s="660" t="s">
        <v>500</v>
      </c>
      <c r="L1931" s="649">
        <v>41878</v>
      </c>
      <c r="M1931" s="649">
        <v>41943</v>
      </c>
      <c r="N1931" s="652"/>
      <c r="O1931" s="649">
        <v>42066</v>
      </c>
      <c r="P1931" s="649">
        <v>42156</v>
      </c>
      <c r="Q1931" s="649">
        <v>42338</v>
      </c>
      <c r="R1931" s="649">
        <v>42338</v>
      </c>
      <c r="S1931" s="652"/>
    </row>
    <row r="1932" spans="1:19" x14ac:dyDescent="0.2">
      <c r="F1932" s="54"/>
      <c r="G1932" s="918"/>
    </row>
    <row r="1933" spans="1:19" x14ac:dyDescent="0.2">
      <c r="F1933" s="54"/>
      <c r="G1933" s="918"/>
    </row>
    <row r="1934" spans="1:19" x14ac:dyDescent="0.2">
      <c r="F1934" s="54"/>
      <c r="G1934" s="918"/>
    </row>
    <row r="1935" spans="1:19" x14ac:dyDescent="0.2">
      <c r="F1935" s="54"/>
      <c r="G1935" s="918"/>
    </row>
    <row r="1936" spans="1:19" x14ac:dyDescent="0.2">
      <c r="A1936" s="1"/>
    </row>
    <row r="1938" spans="1:17" s="575" customFormat="1" ht="12" customHeight="1" x14ac:dyDescent="0.2">
      <c r="A1938" s="578"/>
      <c r="B1938" s="640"/>
      <c r="C1938" s="597"/>
      <c r="D1938" s="597"/>
      <c r="E1938" s="597"/>
      <c r="F1938" s="600"/>
      <c r="G1938" s="601"/>
      <c r="H1938" s="656"/>
      <c r="K1938" s="96"/>
      <c r="Q1938" s="578"/>
    </row>
    <row r="1940" spans="1:17" x14ac:dyDescent="0.2">
      <c r="F1940" s="54"/>
      <c r="G1940" s="918"/>
    </row>
    <row r="1950" spans="1:17" ht="33" customHeight="1" x14ac:dyDescent="0.2">
      <c r="C1950" s="1815" t="s">
        <v>1047</v>
      </c>
      <c r="D1950" s="1815"/>
      <c r="E1950" s="1815"/>
      <c r="F1950" s="1815"/>
      <c r="G1950" s="1815"/>
    </row>
    <row r="1951" spans="1:17" ht="33" customHeight="1" x14ac:dyDescent="0.2">
      <c r="C1951" s="1072"/>
      <c r="D1951" s="1072"/>
      <c r="E1951" s="1072"/>
      <c r="F1951" s="1072"/>
      <c r="G1951" s="1072"/>
    </row>
    <row r="1953" spans="1:17" ht="20.25" x14ac:dyDescent="0.3">
      <c r="C1953" s="1812" t="s">
        <v>895</v>
      </c>
      <c r="D1953" s="1812"/>
      <c r="E1953" s="1812"/>
      <c r="F1953" s="1812"/>
    </row>
    <row r="1954" spans="1:17" x14ac:dyDescent="0.2">
      <c r="A1954" s="1"/>
    </row>
    <row r="1955" spans="1:17" s="652" customFormat="1" x14ac:dyDescent="0.2">
      <c r="A1955" s="649"/>
      <c r="B1955" s="658"/>
      <c r="C1955" s="646"/>
      <c r="E1955" s="646"/>
      <c r="F1955" s="719"/>
      <c r="G1955" s="917"/>
      <c r="J1955" s="649"/>
      <c r="K1955" s="646"/>
      <c r="L1955" s="649"/>
      <c r="M1955" s="684"/>
      <c r="P1955" s="649"/>
    </row>
    <row r="1956" spans="1:17" s="652" customFormat="1" x14ac:dyDescent="0.2">
      <c r="A1956" s="649"/>
      <c r="B1956" s="658"/>
      <c r="C1956" s="646"/>
      <c r="E1956" s="789"/>
      <c r="F1956" s="650"/>
      <c r="G1956" s="789"/>
      <c r="J1956" s="649"/>
      <c r="K1956" s="646"/>
      <c r="L1956" s="649"/>
      <c r="M1956" s="684"/>
      <c r="P1956" s="649"/>
    </row>
    <row r="1957" spans="1:17" s="652" customFormat="1" x14ac:dyDescent="0.2">
      <c r="A1957" s="1" t="s">
        <v>947</v>
      </c>
      <c r="B1957" s="752"/>
      <c r="C1957" s="646"/>
      <c r="D1957" s="646"/>
      <c r="E1957" s="646"/>
      <c r="F1957" s="650"/>
      <c r="G1957" s="659"/>
      <c r="H1957" s="573"/>
      <c r="I1957" s="573"/>
      <c r="J1957" s="573"/>
      <c r="K1957" s="646"/>
      <c r="L1957" s="573"/>
      <c r="M1957" s="649"/>
      <c r="N1957" s="573"/>
      <c r="P1957" s="649"/>
    </row>
    <row r="1958" spans="1:17" s="603" customFormat="1" x14ac:dyDescent="0.2">
      <c r="A1958" s="607"/>
      <c r="B1958" s="637"/>
      <c r="C1958" s="612"/>
      <c r="D1958" s="612"/>
      <c r="E1958" s="612"/>
      <c r="F1958" s="600"/>
      <c r="G1958" s="600"/>
      <c r="H1958" s="611"/>
      <c r="I1958" s="599"/>
      <c r="J1958" s="639"/>
      <c r="K1958" s="612"/>
      <c r="L1958" s="639"/>
      <c r="N1958" s="606"/>
      <c r="Q1958" s="578"/>
    </row>
    <row r="1959" spans="1:17" s="575" customFormat="1" x14ac:dyDescent="0.2">
      <c r="A1959" s="578">
        <v>42200</v>
      </c>
      <c r="B1959" s="640">
        <v>884</v>
      </c>
      <c r="C1959" s="597" t="s">
        <v>166</v>
      </c>
      <c r="E1959" s="597">
        <v>37</v>
      </c>
      <c r="F1959" s="600">
        <v>74599.3</v>
      </c>
      <c r="G1959" s="601">
        <f>F1959*2.2</f>
        <v>164118.46000000002</v>
      </c>
      <c r="H1959" s="575" t="s">
        <v>113</v>
      </c>
      <c r="K1959" s="96" t="s">
        <v>250</v>
      </c>
      <c r="L1959" s="578"/>
      <c r="Q1959" s="578">
        <v>42275</v>
      </c>
    </row>
    <row r="1960" spans="1:17" s="575" customFormat="1" x14ac:dyDescent="0.2">
      <c r="A1960" s="578"/>
      <c r="B1960" s="640"/>
      <c r="C1960" s="597"/>
      <c r="E1960" s="597"/>
      <c r="F1960" s="600"/>
      <c r="G1960" s="601"/>
      <c r="K1960" s="96"/>
      <c r="L1960" s="578"/>
      <c r="Q1960" s="578"/>
    </row>
    <row r="1961" spans="1:17" s="603" customFormat="1" x14ac:dyDescent="0.2">
      <c r="A1961" s="602"/>
      <c r="B1961" s="637"/>
      <c r="C1961" s="597"/>
      <c r="D1961" s="597"/>
      <c r="E1961" s="612"/>
      <c r="F1961" s="688"/>
      <c r="G1961" s="688"/>
      <c r="H1961" s="610"/>
      <c r="I1961" s="599"/>
      <c r="J1961" s="602"/>
      <c r="K1961" s="597"/>
      <c r="L1961" s="602"/>
      <c r="N1961" s="606"/>
      <c r="P1961" s="578"/>
    </row>
    <row r="1962" spans="1:17" s="603" customFormat="1" x14ac:dyDescent="0.2">
      <c r="A1962" s="602"/>
      <c r="B1962" s="637"/>
      <c r="C1962" s="597"/>
      <c r="D1962" s="597"/>
      <c r="E1962" s="612"/>
      <c r="F1962" s="625" t="s">
        <v>888</v>
      </c>
      <c r="G1962" s="625">
        <f>G1959</f>
        <v>164118.46000000002</v>
      </c>
      <c r="H1962" s="610"/>
      <c r="I1962" s="599"/>
      <c r="J1962" s="602"/>
      <c r="K1962" s="597"/>
      <c r="L1962" s="602"/>
      <c r="N1962" s="606"/>
      <c r="P1962" s="578"/>
    </row>
    <row r="1963" spans="1:17" s="603" customFormat="1" x14ac:dyDescent="0.2">
      <c r="A1963" s="602"/>
      <c r="B1963" s="637"/>
      <c r="C1963" s="597"/>
      <c r="D1963" s="597"/>
      <c r="E1963" s="612"/>
      <c r="F1963" s="688"/>
      <c r="G1963" s="688"/>
      <c r="H1963" s="610"/>
      <c r="I1963" s="599"/>
      <c r="J1963" s="602"/>
      <c r="K1963" s="597"/>
      <c r="L1963" s="602"/>
      <c r="N1963" s="606"/>
      <c r="P1963" s="578"/>
    </row>
    <row r="1964" spans="1:17" s="611" customFormat="1" x14ac:dyDescent="0.2">
      <c r="A1964" s="607"/>
      <c r="B1964" s="628"/>
      <c r="C1964" s="612"/>
      <c r="E1964" s="612"/>
      <c r="F1964" s="688"/>
      <c r="G1964" s="774"/>
      <c r="J1964" s="607"/>
      <c r="K1964" s="628"/>
      <c r="L1964" s="607"/>
      <c r="P1964" s="607"/>
    </row>
    <row r="1965" spans="1:17" s="611" customFormat="1" x14ac:dyDescent="0.2">
      <c r="A1965" s="607"/>
      <c r="B1965" s="628"/>
      <c r="C1965" s="612"/>
      <c r="E1965" s="612"/>
      <c r="F1965" s="688"/>
      <c r="G1965" s="774"/>
      <c r="J1965" s="607"/>
      <c r="K1965" s="628"/>
      <c r="L1965" s="607"/>
      <c r="P1965" s="607"/>
    </row>
    <row r="1966" spans="1:17" s="611" customFormat="1" ht="20.25" x14ac:dyDescent="0.3">
      <c r="A1966" s="607"/>
      <c r="B1966" s="628"/>
      <c r="C1966" s="1812" t="s">
        <v>330</v>
      </c>
      <c r="D1966" s="1812"/>
      <c r="E1966" s="1812"/>
      <c r="F1966" s="1812"/>
      <c r="G1966" s="774"/>
      <c r="J1966" s="607"/>
      <c r="K1966" s="628"/>
      <c r="L1966" s="607"/>
      <c r="P1966" s="607"/>
    </row>
    <row r="1967" spans="1:17" s="611" customFormat="1" x14ac:dyDescent="0.2">
      <c r="A1967" s="607"/>
      <c r="B1967" s="628"/>
      <c r="C1967" s="612"/>
      <c r="E1967" s="612"/>
      <c r="F1967" s="688"/>
      <c r="G1967" s="774"/>
      <c r="J1967" s="607"/>
      <c r="K1967" s="628"/>
      <c r="L1967" s="607"/>
      <c r="P1967" s="607"/>
    </row>
    <row r="1968" spans="1:17" s="611" customFormat="1" x14ac:dyDescent="0.2">
      <c r="A1968" s="1" t="s">
        <v>948</v>
      </c>
      <c r="B1968" s="628"/>
      <c r="C1968" s="612"/>
      <c r="E1968" s="612"/>
      <c r="F1968" s="688"/>
      <c r="G1968" s="774"/>
      <c r="J1968" s="607"/>
      <c r="K1968" s="628"/>
      <c r="L1968" s="607"/>
      <c r="P1968" s="607"/>
    </row>
    <row r="1969" spans="1:17" s="611" customFormat="1" x14ac:dyDescent="0.2">
      <c r="A1969" s="1"/>
      <c r="B1969" s="628"/>
      <c r="C1969" s="612"/>
      <c r="E1969" s="612"/>
      <c r="F1969" s="688"/>
      <c r="G1969" s="774"/>
      <c r="J1969" s="607"/>
      <c r="K1969" s="628"/>
      <c r="L1969" s="607"/>
      <c r="P1969" s="607"/>
    </row>
    <row r="1970" spans="1:17" s="575" customFormat="1" x14ac:dyDescent="0.2">
      <c r="A1970" s="578">
        <v>42195</v>
      </c>
      <c r="B1970" s="1044">
        <v>881</v>
      </c>
      <c r="C1970" s="597" t="s">
        <v>748</v>
      </c>
      <c r="E1970" s="597">
        <v>22</v>
      </c>
      <c r="F1970" s="600">
        <v>13290.08</v>
      </c>
      <c r="G1970" s="600">
        <f>+F1970*2.2</f>
        <v>29238.176000000003</v>
      </c>
      <c r="H1970" s="575" t="s">
        <v>330</v>
      </c>
      <c r="J1970" s="696">
        <v>42182</v>
      </c>
      <c r="K1970" s="597" t="s">
        <v>384</v>
      </c>
      <c r="L1970" s="696">
        <v>42274</v>
      </c>
      <c r="Q1970" s="578">
        <v>42274</v>
      </c>
    </row>
    <row r="1971" spans="1:17" s="575" customFormat="1" x14ac:dyDescent="0.2">
      <c r="A1971" s="578">
        <v>42206</v>
      </c>
      <c r="B1971" s="640">
        <v>887</v>
      </c>
      <c r="C1971" s="597" t="s">
        <v>478</v>
      </c>
      <c r="D1971" s="597"/>
      <c r="E1971" s="597">
        <v>10</v>
      </c>
      <c r="F1971" s="600">
        <v>5249.48</v>
      </c>
      <c r="G1971" s="600">
        <f>+F1971*2.2</f>
        <v>11548.856</v>
      </c>
      <c r="H1971" s="485" t="s">
        <v>330</v>
      </c>
      <c r="I1971" s="577"/>
      <c r="J1971" s="639">
        <v>42185</v>
      </c>
      <c r="K1971" s="597" t="s">
        <v>384</v>
      </c>
      <c r="L1971" s="639">
        <v>42277</v>
      </c>
      <c r="N1971" s="485"/>
      <c r="Q1971" s="578">
        <v>42277</v>
      </c>
    </row>
    <row r="1972" spans="1:17" s="575" customFormat="1" x14ac:dyDescent="0.2">
      <c r="A1972" s="578"/>
      <c r="B1972" s="1044"/>
      <c r="C1972" s="597"/>
      <c r="E1972" s="597"/>
      <c r="F1972" s="600"/>
      <c r="G1972" s="600"/>
      <c r="J1972" s="696"/>
      <c r="K1972" s="597"/>
      <c r="L1972" s="696"/>
      <c r="Q1972" s="578"/>
    </row>
    <row r="1973" spans="1:17" s="611" customFormat="1" x14ac:dyDescent="0.2">
      <c r="A1973" s="607"/>
      <c r="B1973" s="773"/>
      <c r="C1973" s="612"/>
      <c r="D1973" s="609"/>
      <c r="E1973" s="612"/>
      <c r="F1973" s="688"/>
      <c r="G1973" s="774"/>
      <c r="H1973" s="610"/>
      <c r="I1973" s="626"/>
      <c r="J1973" s="627"/>
      <c r="K1973" s="612"/>
      <c r="L1973" s="627"/>
      <c r="N1973" s="610"/>
      <c r="P1973" s="607"/>
    </row>
    <row r="1974" spans="1:17" s="611" customFormat="1" x14ac:dyDescent="0.2">
      <c r="A1974" s="607"/>
      <c r="B1974" s="628"/>
      <c r="C1974" s="612"/>
      <c r="E1974" s="612"/>
      <c r="F1974" s="625" t="s">
        <v>888</v>
      </c>
      <c r="G1974" s="772">
        <f>SUM(G1970:G1973)</f>
        <v>40787.032000000007</v>
      </c>
      <c r="J1974" s="607"/>
      <c r="K1974" s="612"/>
      <c r="L1974" s="607"/>
    </row>
    <row r="1976" spans="1:17" s="652" customFormat="1" x14ac:dyDescent="0.2">
      <c r="A1976" s="649"/>
      <c r="B1976" s="658"/>
      <c r="C1976" s="646"/>
      <c r="E1976" s="646"/>
      <c r="F1976" s="650"/>
      <c r="G1976" s="789"/>
      <c r="J1976" s="649"/>
      <c r="K1976" s="646"/>
      <c r="L1976" s="649"/>
      <c r="M1976" s="684"/>
      <c r="P1976" s="649"/>
    </row>
    <row r="1977" spans="1:17" s="652" customFormat="1" x14ac:dyDescent="0.2">
      <c r="A1977" s="649"/>
      <c r="B1977" s="658"/>
      <c r="C1977" s="646"/>
      <c r="E1977" s="646"/>
      <c r="F1977" s="650"/>
      <c r="G1977" s="789"/>
      <c r="J1977" s="649"/>
      <c r="K1977" s="646"/>
      <c r="L1977" s="649"/>
      <c r="M1977" s="684"/>
      <c r="P1977" s="649"/>
    </row>
    <row r="1978" spans="1:17" s="652" customFormat="1" x14ac:dyDescent="0.2">
      <c r="A1978" s="1" t="s">
        <v>947</v>
      </c>
      <c r="B1978" s="658"/>
      <c r="C1978" s="646"/>
      <c r="E1978" s="646"/>
      <c r="F1978" s="650"/>
      <c r="G1978" s="789"/>
      <c r="J1978" s="649"/>
      <c r="K1978" s="646"/>
      <c r="L1978" s="649"/>
      <c r="M1978" s="684"/>
      <c r="P1978" s="649"/>
    </row>
    <row r="1979" spans="1:17" s="652" customFormat="1" x14ac:dyDescent="0.2">
      <c r="A1979" s="1"/>
      <c r="B1979" s="658"/>
      <c r="C1979" s="646"/>
      <c r="E1979" s="646"/>
      <c r="F1979" s="650"/>
      <c r="G1979" s="789"/>
      <c r="J1979" s="649"/>
      <c r="K1979" s="646"/>
      <c r="L1979" s="649"/>
      <c r="M1979" s="684"/>
      <c r="P1979" s="649"/>
    </row>
    <row r="1980" spans="1:17" s="575" customFormat="1" x14ac:dyDescent="0.2">
      <c r="A1980" s="578">
        <v>41851</v>
      </c>
      <c r="B1980" s="640" t="s">
        <v>880</v>
      </c>
      <c r="C1980" s="597" t="s">
        <v>688</v>
      </c>
      <c r="D1980" s="96"/>
      <c r="E1980" s="96">
        <v>3</v>
      </c>
      <c r="F1980" s="600">
        <v>38231.919999999998</v>
      </c>
      <c r="G1980" s="601">
        <f>F1980*2.3</f>
        <v>87933.415999999983</v>
      </c>
      <c r="H1980" s="485" t="s">
        <v>330</v>
      </c>
      <c r="I1980" s="577"/>
      <c r="J1980" s="579">
        <v>41829</v>
      </c>
      <c r="K1980" s="96" t="s">
        <v>384</v>
      </c>
      <c r="L1980" s="579">
        <v>41921</v>
      </c>
      <c r="M1980" s="578">
        <v>41982</v>
      </c>
      <c r="N1980" s="485"/>
      <c r="O1980" s="578">
        <v>42087</v>
      </c>
      <c r="P1980" s="578">
        <v>42177</v>
      </c>
      <c r="Q1980" s="578">
        <v>42268</v>
      </c>
    </row>
    <row r="1981" spans="1:17" s="611" customFormat="1" ht="12" customHeight="1" x14ac:dyDescent="0.2">
      <c r="A1981" s="607"/>
      <c r="B1981" s="773"/>
      <c r="C1981" s="612"/>
      <c r="D1981" s="612"/>
      <c r="E1981" s="612"/>
      <c r="F1981" s="688"/>
      <c r="G1981" s="688"/>
      <c r="H1981" s="610"/>
      <c r="I1981" s="626"/>
      <c r="J1981" s="1020"/>
      <c r="K1981" s="688"/>
      <c r="L1981" s="1020"/>
      <c r="N1981" s="610"/>
      <c r="Q1981" s="607"/>
    </row>
    <row r="1982" spans="1:17" s="611" customFormat="1" ht="12" customHeight="1" x14ac:dyDescent="0.2">
      <c r="A1982" s="607"/>
      <c r="B1982" s="773"/>
      <c r="C1982" s="612"/>
      <c r="D1982" s="612"/>
      <c r="E1982" s="612"/>
      <c r="F1982" s="688"/>
      <c r="G1982" s="688"/>
      <c r="H1982" s="610"/>
      <c r="I1982" s="626"/>
      <c r="J1982" s="1020"/>
      <c r="K1982" s="688"/>
      <c r="L1982" s="1020"/>
      <c r="N1982" s="610"/>
      <c r="Q1982" s="607"/>
    </row>
    <row r="1983" spans="1:17" s="575" customFormat="1" x14ac:dyDescent="0.2">
      <c r="A1983" s="578"/>
      <c r="B1983" s="640"/>
      <c r="C1983" s="597"/>
      <c r="E1983" s="637"/>
      <c r="F1983" s="178" t="s">
        <v>888</v>
      </c>
      <c r="G1983" s="897">
        <f>SUM(G1980:G1982)</f>
        <v>87933.415999999983</v>
      </c>
      <c r="J1983" s="578"/>
      <c r="K1983" s="696"/>
      <c r="L1983" s="578"/>
      <c r="M1983" s="578"/>
      <c r="O1983" s="578"/>
      <c r="P1983" s="578"/>
      <c r="Q1983" s="578"/>
    </row>
    <row r="1984" spans="1:17" s="652" customFormat="1" x14ac:dyDescent="0.2">
      <c r="A1984" s="649"/>
      <c r="B1984" s="657"/>
      <c r="C1984" s="646"/>
      <c r="E1984" s="658"/>
      <c r="F1984" s="650"/>
      <c r="G1984" s="789"/>
      <c r="J1984" s="649"/>
      <c r="K1984" s="660"/>
      <c r="L1984" s="649"/>
      <c r="M1984" s="649"/>
      <c r="O1984" s="649"/>
      <c r="P1984" s="649"/>
      <c r="Q1984" s="649"/>
    </row>
    <row r="1987" spans="7:8" x14ac:dyDescent="0.2">
      <c r="G1987" s="160" t="s">
        <v>1071</v>
      </c>
      <c r="H1987" s="160">
        <f>+G1970+G1971</f>
        <v>40787.032000000007</v>
      </c>
    </row>
    <row r="1988" spans="7:8" x14ac:dyDescent="0.2">
      <c r="G1988" s="1" t="s">
        <v>1072</v>
      </c>
      <c r="H1988" s="1073">
        <f>+G1959+G1980</f>
        <v>252051.87599999999</v>
      </c>
    </row>
    <row r="2005" spans="1:18" ht="33" customHeight="1" x14ac:dyDescent="0.2">
      <c r="C2005" s="1815" t="s">
        <v>1070</v>
      </c>
      <c r="D2005" s="1815"/>
      <c r="E2005" s="1815"/>
      <c r="F2005" s="1815"/>
      <c r="G2005" s="1815"/>
    </row>
    <row r="2006" spans="1:18" ht="33" customHeight="1" x14ac:dyDescent="0.2">
      <c r="C2006" s="1072"/>
      <c r="D2006" s="1072"/>
      <c r="E2006" s="1072"/>
      <c r="F2006" s="1072"/>
      <c r="G2006" s="1072"/>
    </row>
    <row r="2008" spans="1:18" ht="20.25" x14ac:dyDescent="0.3">
      <c r="C2008" s="1812" t="s">
        <v>895</v>
      </c>
      <c r="D2008" s="1812"/>
      <c r="E2008" s="1812"/>
      <c r="F2008" s="1812"/>
    </row>
    <row r="2009" spans="1:18" x14ac:dyDescent="0.2">
      <c r="A2009" s="1"/>
    </row>
    <row r="2010" spans="1:18" s="652" customFormat="1" x14ac:dyDescent="0.2">
      <c r="A2010" s="649"/>
      <c r="B2010" s="658"/>
      <c r="C2010" s="646"/>
      <c r="E2010" s="646"/>
      <c r="F2010" s="719"/>
      <c r="G2010" s="917"/>
      <c r="J2010" s="649"/>
      <c r="K2010" s="646"/>
      <c r="L2010" s="649"/>
      <c r="M2010" s="684"/>
      <c r="P2010" s="649"/>
    </row>
    <row r="2011" spans="1:18" s="652" customFormat="1" x14ac:dyDescent="0.2">
      <c r="A2011" s="649"/>
      <c r="B2011" s="658"/>
      <c r="C2011" s="646"/>
      <c r="E2011" s="789"/>
      <c r="F2011" s="650"/>
      <c r="G2011" s="789"/>
      <c r="J2011" s="649"/>
      <c r="K2011" s="646"/>
      <c r="L2011" s="649"/>
      <c r="M2011" s="684"/>
      <c r="P2011" s="649"/>
    </row>
    <row r="2012" spans="1:18" s="652" customFormat="1" x14ac:dyDescent="0.2">
      <c r="A2012" s="1" t="s">
        <v>947</v>
      </c>
      <c r="B2012" s="752"/>
      <c r="C2012" s="646"/>
      <c r="D2012" s="646"/>
      <c r="E2012" s="646"/>
      <c r="F2012" s="650"/>
      <c r="G2012" s="659"/>
      <c r="H2012" s="573"/>
      <c r="I2012" s="573"/>
      <c r="J2012" s="573"/>
      <c r="K2012" s="646"/>
      <c r="L2012" s="573"/>
      <c r="M2012" s="649"/>
      <c r="N2012" s="573"/>
      <c r="P2012" s="649"/>
    </row>
    <row r="2013" spans="1:18" s="603" customFormat="1" x14ac:dyDescent="0.2">
      <c r="A2013" s="607"/>
      <c r="B2013" s="637"/>
      <c r="C2013" s="612"/>
      <c r="D2013" s="612"/>
      <c r="E2013" s="612"/>
      <c r="F2013" s="600"/>
      <c r="G2013" s="600"/>
      <c r="H2013" s="611"/>
      <c r="I2013" s="599"/>
      <c r="J2013" s="639"/>
      <c r="K2013" s="612"/>
      <c r="L2013" s="639"/>
      <c r="N2013" s="606"/>
      <c r="Q2013" s="578"/>
    </row>
    <row r="2014" spans="1:18" s="575" customFormat="1" x14ac:dyDescent="0.2">
      <c r="A2014" s="578">
        <v>42102</v>
      </c>
      <c r="B2014" s="639"/>
      <c r="C2014" s="597" t="s">
        <v>956</v>
      </c>
      <c r="D2014" s="597" t="s">
        <v>963</v>
      </c>
      <c r="E2014" s="597">
        <v>1</v>
      </c>
      <c r="F2014" s="600">
        <v>19710.84</v>
      </c>
      <c r="G2014" s="600">
        <f>F2014*1.9</f>
        <v>37450.595999999998</v>
      </c>
      <c r="H2014" s="575" t="s">
        <v>113</v>
      </c>
      <c r="I2014" s="577"/>
      <c r="J2014" s="577"/>
      <c r="K2014" s="597" t="s">
        <v>839</v>
      </c>
      <c r="L2014" s="577"/>
      <c r="N2014" s="485"/>
      <c r="R2014" s="578">
        <v>42278</v>
      </c>
    </row>
    <row r="2015" spans="1:18" s="575" customFormat="1" x14ac:dyDescent="0.2">
      <c r="A2015" s="578"/>
      <c r="B2015" s="640"/>
      <c r="C2015" s="597"/>
      <c r="E2015" s="597"/>
      <c r="F2015" s="600"/>
      <c r="G2015" s="601"/>
      <c r="K2015" s="96"/>
      <c r="L2015" s="578"/>
      <c r="Q2015" s="578"/>
    </row>
    <row r="2016" spans="1:18" s="603" customFormat="1" x14ac:dyDescent="0.2">
      <c r="A2016" s="602"/>
      <c r="B2016" s="637"/>
      <c r="C2016" s="597"/>
      <c r="D2016" s="597"/>
      <c r="E2016" s="612"/>
      <c r="F2016" s="688"/>
      <c r="G2016" s="688"/>
      <c r="H2016" s="610"/>
      <c r="I2016" s="599"/>
      <c r="J2016" s="602"/>
      <c r="K2016" s="597"/>
      <c r="L2016" s="602"/>
      <c r="N2016" s="606"/>
      <c r="P2016" s="578"/>
    </row>
    <row r="2017" spans="1:18" s="603" customFormat="1" x14ac:dyDescent="0.2">
      <c r="A2017" s="602"/>
      <c r="B2017" s="637"/>
      <c r="C2017" s="597"/>
      <c r="D2017" s="597"/>
      <c r="E2017" s="612"/>
      <c r="F2017" s="625" t="s">
        <v>888</v>
      </c>
      <c r="G2017" s="625">
        <f>SUM(G2014:G2016)</f>
        <v>37450.595999999998</v>
      </c>
      <c r="H2017" s="610"/>
      <c r="I2017" s="599"/>
      <c r="J2017" s="602"/>
      <c r="K2017" s="597"/>
      <c r="L2017" s="602"/>
      <c r="N2017" s="606"/>
      <c r="P2017" s="578"/>
    </row>
    <row r="2018" spans="1:18" s="603" customFormat="1" x14ac:dyDescent="0.2">
      <c r="A2018" s="602"/>
      <c r="B2018" s="637"/>
      <c r="C2018" s="597"/>
      <c r="D2018" s="597"/>
      <c r="E2018" s="612"/>
      <c r="F2018" s="625"/>
      <c r="G2018" s="625"/>
      <c r="H2018" s="610"/>
      <c r="I2018" s="599"/>
      <c r="J2018" s="602"/>
      <c r="K2018" s="597"/>
      <c r="L2018" s="602"/>
      <c r="N2018" s="606"/>
      <c r="P2018" s="578"/>
    </row>
    <row r="2019" spans="1:18" s="603" customFormat="1" x14ac:dyDescent="0.2">
      <c r="A2019" s="602"/>
      <c r="B2019" s="637"/>
      <c r="C2019" s="597"/>
      <c r="D2019" s="597"/>
      <c r="E2019" s="612"/>
      <c r="F2019" s="625"/>
      <c r="G2019" s="625"/>
      <c r="H2019" s="610"/>
      <c r="I2019" s="599"/>
      <c r="J2019" s="602"/>
      <c r="K2019" s="597"/>
      <c r="L2019" s="602"/>
      <c r="N2019" s="606"/>
      <c r="P2019" s="578"/>
    </row>
    <row r="2020" spans="1:18" s="611" customFormat="1" x14ac:dyDescent="0.2">
      <c r="A2020" s="1" t="s">
        <v>948</v>
      </c>
      <c r="B2020" s="628"/>
      <c r="C2020" s="612"/>
      <c r="E2020" s="612"/>
      <c r="F2020" s="688"/>
      <c r="G2020" s="774"/>
      <c r="J2020" s="607"/>
      <c r="K2020" s="628"/>
      <c r="L2020" s="607"/>
      <c r="P2020" s="607"/>
    </row>
    <row r="2021" spans="1:18" s="611" customFormat="1" x14ac:dyDescent="0.2">
      <c r="A2021" s="1"/>
      <c r="B2021" s="628"/>
      <c r="C2021" s="612"/>
      <c r="E2021" s="612"/>
      <c r="F2021" s="688"/>
      <c r="G2021" s="774"/>
      <c r="J2021" s="607"/>
      <c r="K2021" s="628"/>
      <c r="L2021" s="607"/>
      <c r="P2021" s="607"/>
    </row>
    <row r="2023" spans="1:18" s="575" customFormat="1" x14ac:dyDescent="0.2">
      <c r="A2023" s="578">
        <v>42249</v>
      </c>
      <c r="B2023" s="1044">
        <v>901</v>
      </c>
      <c r="C2023" s="597" t="s">
        <v>69</v>
      </c>
      <c r="F2023" s="600">
        <v>17594.169999999998</v>
      </c>
      <c r="G2023" s="600">
        <f>F2023*2.2</f>
        <v>38707.173999999999</v>
      </c>
      <c r="H2023" s="485" t="s">
        <v>113</v>
      </c>
      <c r="J2023" s="578">
        <v>42212</v>
      </c>
      <c r="K2023" s="96" t="s">
        <v>384</v>
      </c>
      <c r="L2023" s="578">
        <v>42304</v>
      </c>
      <c r="R2023" s="578">
        <v>42304</v>
      </c>
    </row>
    <row r="2024" spans="1:18" s="575" customFormat="1" x14ac:dyDescent="0.2">
      <c r="A2024" s="578">
        <v>42242</v>
      </c>
      <c r="B2024" s="637">
        <v>898</v>
      </c>
      <c r="C2024" s="597" t="s">
        <v>603</v>
      </c>
      <c r="E2024" s="597">
        <v>9</v>
      </c>
      <c r="F2024" s="600">
        <v>7634.01</v>
      </c>
      <c r="G2024" s="600">
        <f>+F2024*2.2</f>
        <v>16794.822</v>
      </c>
      <c r="H2024" s="575" t="s">
        <v>113</v>
      </c>
      <c r="J2024" s="578">
        <v>42213</v>
      </c>
      <c r="K2024" s="96" t="s">
        <v>384</v>
      </c>
      <c r="L2024" s="578">
        <v>42305</v>
      </c>
      <c r="R2024" s="578">
        <v>42305</v>
      </c>
    </row>
    <row r="2025" spans="1:18" s="611" customFormat="1" x14ac:dyDescent="0.2">
      <c r="A2025" s="607"/>
      <c r="B2025" s="773"/>
      <c r="C2025" s="612"/>
      <c r="D2025" s="609"/>
      <c r="E2025" s="612"/>
      <c r="F2025" s="688"/>
      <c r="G2025" s="774"/>
      <c r="H2025" s="610"/>
      <c r="I2025" s="626"/>
      <c r="J2025" s="627"/>
      <c r="K2025" s="612"/>
      <c r="L2025" s="627"/>
      <c r="N2025" s="610"/>
      <c r="P2025" s="607"/>
    </row>
    <row r="2026" spans="1:18" s="611" customFormat="1" x14ac:dyDescent="0.2">
      <c r="A2026" s="607"/>
      <c r="B2026" s="628"/>
      <c r="C2026" s="612"/>
      <c r="E2026" s="612"/>
      <c r="F2026" s="625" t="s">
        <v>888</v>
      </c>
      <c r="G2026" s="772">
        <f>SUM(G2022:G2025)</f>
        <v>55501.995999999999</v>
      </c>
      <c r="J2026" s="607"/>
      <c r="K2026" s="612"/>
      <c r="L2026" s="607"/>
    </row>
    <row r="2027" spans="1:18" s="603" customFormat="1" x14ac:dyDescent="0.2">
      <c r="A2027" s="602"/>
      <c r="B2027" s="637"/>
      <c r="C2027" s="597"/>
      <c r="D2027" s="597"/>
      <c r="E2027" s="612"/>
      <c r="F2027" s="688"/>
      <c r="G2027" s="688"/>
      <c r="H2027" s="610"/>
      <c r="I2027" s="599"/>
      <c r="J2027" s="602"/>
      <c r="K2027" s="597"/>
      <c r="L2027" s="602"/>
      <c r="N2027" s="606"/>
      <c r="P2027" s="578"/>
    </row>
    <row r="2028" spans="1:18" s="611" customFormat="1" x14ac:dyDescent="0.2">
      <c r="A2028" s="607"/>
      <c r="B2028" s="628"/>
      <c r="C2028" s="612"/>
      <c r="E2028" s="612"/>
      <c r="F2028" s="688"/>
      <c r="G2028" s="774"/>
      <c r="J2028" s="607"/>
      <c r="K2028" s="628"/>
      <c r="L2028" s="607"/>
      <c r="P2028" s="607"/>
    </row>
    <row r="2029" spans="1:18" s="611" customFormat="1" x14ac:dyDescent="0.2">
      <c r="A2029" s="607"/>
      <c r="B2029" s="628"/>
      <c r="C2029" s="612"/>
      <c r="E2029" s="612"/>
      <c r="F2029" s="688"/>
      <c r="G2029" s="774"/>
      <c r="J2029" s="607"/>
      <c r="K2029" s="628"/>
      <c r="L2029" s="607"/>
      <c r="P2029" s="607"/>
    </row>
    <row r="2030" spans="1:18" s="611" customFormat="1" ht="20.25" x14ac:dyDescent="0.3">
      <c r="A2030" s="607"/>
      <c r="B2030" s="628"/>
      <c r="C2030" s="1812" t="s">
        <v>330</v>
      </c>
      <c r="D2030" s="1812"/>
      <c r="E2030" s="1812"/>
      <c r="F2030" s="1812"/>
      <c r="G2030" s="774"/>
      <c r="J2030" s="607"/>
      <c r="K2030" s="628"/>
      <c r="L2030" s="607"/>
      <c r="P2030" s="607"/>
    </row>
    <row r="2031" spans="1:18" s="611" customFormat="1" x14ac:dyDescent="0.2">
      <c r="A2031" s="607"/>
      <c r="B2031" s="628"/>
      <c r="C2031" s="612"/>
      <c r="E2031" s="612"/>
      <c r="F2031" s="688"/>
      <c r="G2031" s="774"/>
      <c r="J2031" s="607"/>
      <c r="K2031" s="628"/>
      <c r="L2031" s="607"/>
      <c r="P2031" s="607"/>
    </row>
    <row r="2032" spans="1:18" s="611" customFormat="1" x14ac:dyDescent="0.2">
      <c r="A2032" s="1" t="s">
        <v>948</v>
      </c>
      <c r="B2032" s="628"/>
      <c r="C2032" s="612"/>
      <c r="E2032" s="612"/>
      <c r="F2032" s="688"/>
      <c r="G2032" s="774"/>
      <c r="J2032" s="607"/>
      <c r="K2032" s="628"/>
      <c r="L2032" s="607"/>
      <c r="P2032" s="607"/>
    </row>
    <row r="2033" spans="1:18" s="611" customFormat="1" x14ac:dyDescent="0.2">
      <c r="A2033" s="1"/>
      <c r="B2033" s="628"/>
      <c r="C2033" s="612"/>
      <c r="E2033" s="612"/>
      <c r="F2033" s="688"/>
      <c r="G2033" s="774"/>
      <c r="J2033" s="607"/>
      <c r="K2033" s="628"/>
      <c r="L2033" s="607"/>
      <c r="P2033" s="607"/>
    </row>
    <row r="2034" spans="1:18" s="603" customFormat="1" x14ac:dyDescent="0.2">
      <c r="A2034" s="607">
        <v>42242</v>
      </c>
      <c r="B2034" s="1026">
        <v>897</v>
      </c>
      <c r="C2034" s="597" t="s">
        <v>223</v>
      </c>
      <c r="D2034" s="612"/>
      <c r="E2034" s="612"/>
      <c r="F2034" s="600">
        <v>20241.37</v>
      </c>
      <c r="G2034" s="601">
        <f>F2034*2.2</f>
        <v>44531.014000000003</v>
      </c>
      <c r="H2034" s="485" t="s">
        <v>330</v>
      </c>
      <c r="I2034" s="599"/>
      <c r="J2034" s="602">
        <v>42220</v>
      </c>
      <c r="K2034" s="597" t="s">
        <v>500</v>
      </c>
      <c r="L2034" s="602">
        <v>42281</v>
      </c>
      <c r="N2034" s="606"/>
      <c r="R2034" s="578">
        <v>42281</v>
      </c>
    </row>
    <row r="2035" spans="1:18" s="575" customFormat="1" x14ac:dyDescent="0.2">
      <c r="A2035" s="578">
        <v>42244</v>
      </c>
      <c r="B2035" s="597">
        <v>899</v>
      </c>
      <c r="C2035" s="597" t="s">
        <v>208</v>
      </c>
      <c r="E2035" s="637">
        <v>15</v>
      </c>
      <c r="F2035" s="600">
        <v>10888.76</v>
      </c>
      <c r="G2035" s="600">
        <f>+F2035*2.2</f>
        <v>23955.272000000001</v>
      </c>
      <c r="H2035" s="575" t="s">
        <v>330</v>
      </c>
      <c r="J2035" s="578">
        <v>42221</v>
      </c>
      <c r="K2035" s="637" t="s">
        <v>500</v>
      </c>
      <c r="L2035" s="696">
        <v>42282</v>
      </c>
      <c r="R2035" s="578">
        <v>42282</v>
      </c>
    </row>
    <row r="2036" spans="1:18" s="575" customFormat="1" x14ac:dyDescent="0.2">
      <c r="A2036" s="578"/>
      <c r="B2036" s="1044"/>
      <c r="C2036" s="597"/>
      <c r="E2036" s="597"/>
      <c r="F2036" s="600"/>
      <c r="G2036" s="600"/>
      <c r="J2036" s="696"/>
      <c r="K2036" s="597"/>
      <c r="L2036" s="696"/>
      <c r="Q2036" s="578"/>
    </row>
    <row r="2037" spans="1:18" s="611" customFormat="1" x14ac:dyDescent="0.2">
      <c r="A2037" s="607"/>
      <c r="B2037" s="773"/>
      <c r="C2037" s="612"/>
      <c r="D2037" s="609"/>
      <c r="E2037" s="612"/>
      <c r="F2037" s="688"/>
      <c r="G2037" s="774"/>
      <c r="H2037" s="610"/>
      <c r="I2037" s="626"/>
      <c r="J2037" s="627"/>
      <c r="K2037" s="612"/>
      <c r="L2037" s="627"/>
      <c r="N2037" s="610"/>
      <c r="P2037" s="607"/>
    </row>
    <row r="2038" spans="1:18" s="611" customFormat="1" x14ac:dyDescent="0.2">
      <c r="A2038" s="607"/>
      <c r="B2038" s="628"/>
      <c r="C2038" s="612"/>
      <c r="E2038" s="612"/>
      <c r="F2038" s="625" t="s">
        <v>888</v>
      </c>
      <c r="G2038" s="772">
        <f>SUM(G2034:G2037)</f>
        <v>68486.286000000007</v>
      </c>
      <c r="J2038" s="607"/>
      <c r="K2038" s="612"/>
      <c r="L2038" s="607"/>
    </row>
    <row r="2040" spans="1:18" s="652" customFormat="1" x14ac:dyDescent="0.2">
      <c r="A2040" s="649"/>
      <c r="B2040" s="658"/>
      <c r="C2040" s="646"/>
      <c r="E2040" s="646"/>
      <c r="F2040" s="650"/>
      <c r="G2040" s="789"/>
      <c r="J2040" s="649"/>
      <c r="K2040" s="646"/>
      <c r="L2040" s="649"/>
      <c r="M2040" s="684"/>
      <c r="P2040" s="649"/>
    </row>
    <row r="2041" spans="1:18" s="652" customFormat="1" x14ac:dyDescent="0.2">
      <c r="A2041" s="649"/>
      <c r="B2041" s="658"/>
      <c r="C2041" s="646"/>
      <c r="E2041" s="646"/>
      <c r="F2041" s="650"/>
      <c r="G2041" s="789"/>
      <c r="J2041" s="649"/>
      <c r="K2041" s="646"/>
      <c r="L2041" s="649"/>
      <c r="M2041" s="684"/>
      <c r="P2041" s="649"/>
    </row>
    <row r="2042" spans="1:18" s="652" customFormat="1" x14ac:dyDescent="0.2">
      <c r="A2042" s="649"/>
      <c r="B2042" s="657"/>
      <c r="C2042" s="646"/>
      <c r="E2042" s="658"/>
      <c r="F2042" s="650"/>
      <c r="G2042" s="789"/>
      <c r="J2042" s="649"/>
      <c r="K2042" s="660"/>
      <c r="L2042" s="649"/>
      <c r="M2042" s="649"/>
      <c r="O2042" s="649"/>
      <c r="P2042" s="649"/>
      <c r="Q2042" s="649"/>
    </row>
    <row r="2045" spans="1:18" ht="20.25" x14ac:dyDescent="0.3">
      <c r="C2045" s="1812" t="s">
        <v>72</v>
      </c>
      <c r="D2045" s="1812"/>
      <c r="E2045" s="1812"/>
      <c r="F2045" s="1812"/>
    </row>
    <row r="2048" spans="1:18" x14ac:dyDescent="0.2">
      <c r="A2048" s="1" t="s">
        <v>948</v>
      </c>
    </row>
    <row r="2049" spans="1:18" s="575" customFormat="1" x14ac:dyDescent="0.2">
      <c r="A2049" s="578"/>
      <c r="B2049" s="1044"/>
      <c r="C2049" s="597"/>
      <c r="D2049" s="597"/>
      <c r="E2049" s="597"/>
      <c r="F2049" s="600"/>
      <c r="G2049" s="600"/>
      <c r="H2049" s="485"/>
      <c r="I2049" s="577"/>
      <c r="J2049" s="639"/>
      <c r="K2049" s="597"/>
      <c r="L2049" s="639"/>
      <c r="N2049" s="485"/>
      <c r="Q2049" s="578"/>
    </row>
    <row r="2050" spans="1:18" s="603" customFormat="1" x14ac:dyDescent="0.2">
      <c r="A2050" s="607">
        <v>42217</v>
      </c>
      <c r="B2050" s="1026">
        <v>890</v>
      </c>
      <c r="C2050" s="597" t="s">
        <v>174</v>
      </c>
      <c r="D2050" s="612"/>
      <c r="E2050" s="612">
        <v>6</v>
      </c>
      <c r="F2050" s="600">
        <v>3673.7</v>
      </c>
      <c r="G2050" s="600">
        <f>+F2050*2.2</f>
        <v>8082.14</v>
      </c>
      <c r="H2050" s="485" t="s">
        <v>72</v>
      </c>
      <c r="I2050" s="599"/>
      <c r="J2050" s="602">
        <v>42196</v>
      </c>
      <c r="K2050" s="597" t="s">
        <v>384</v>
      </c>
      <c r="L2050" s="602">
        <v>42288</v>
      </c>
      <c r="N2050" s="606"/>
      <c r="R2050" s="578">
        <v>42288</v>
      </c>
    </row>
    <row r="2051" spans="1:18" s="483" customFormat="1" x14ac:dyDescent="0.2">
      <c r="A2051" s="569">
        <v>42221</v>
      </c>
      <c r="B2051" s="568">
        <v>891</v>
      </c>
      <c r="C2051" s="597" t="s">
        <v>142</v>
      </c>
      <c r="E2051" s="597">
        <v>12</v>
      </c>
      <c r="F2051" s="600">
        <v>19317.5</v>
      </c>
      <c r="G2051" s="600">
        <f>+F2051*2.2</f>
        <v>42498.5</v>
      </c>
      <c r="H2051" s="575" t="s">
        <v>72</v>
      </c>
      <c r="J2051" s="1051">
        <v>42200</v>
      </c>
      <c r="K2051" s="597" t="s">
        <v>384</v>
      </c>
      <c r="L2051" s="1051">
        <v>42292</v>
      </c>
      <c r="R2051" s="569">
        <v>42292</v>
      </c>
    </row>
    <row r="2052" spans="1:18" s="603" customFormat="1" x14ac:dyDescent="0.2">
      <c r="A2052" s="607"/>
      <c r="B2052" s="1026"/>
      <c r="C2052" s="597"/>
      <c r="D2052" s="612"/>
      <c r="E2052" s="612"/>
      <c r="F2052" s="600"/>
      <c r="G2052" s="600"/>
      <c r="H2052" s="485"/>
      <c r="I2052" s="599"/>
      <c r="J2052" s="602"/>
      <c r="K2052" s="597"/>
      <c r="L2052" s="602"/>
      <c r="N2052" s="606"/>
      <c r="R2052" s="578"/>
    </row>
    <row r="2053" spans="1:18" x14ac:dyDescent="0.2">
      <c r="F2053" s="178" t="s">
        <v>888</v>
      </c>
      <c r="G2053" s="49">
        <f>SUM(G2050:G2052)</f>
        <v>50580.639999999999</v>
      </c>
    </row>
    <row r="2054" spans="1:18" x14ac:dyDescent="0.2">
      <c r="A2054" s="1"/>
    </row>
    <row r="2058" spans="1:18" x14ac:dyDescent="0.2">
      <c r="F2058" s="54"/>
      <c r="G2058" s="918"/>
    </row>
    <row r="2060" spans="1:18" ht="20.25" x14ac:dyDescent="0.3">
      <c r="C2060" s="1812" t="s">
        <v>70</v>
      </c>
      <c r="D2060" s="1812"/>
      <c r="E2060" s="1812"/>
      <c r="F2060" s="1812"/>
    </row>
    <row r="2065" spans="1:18" x14ac:dyDescent="0.2">
      <c r="A2065" s="1" t="s">
        <v>948</v>
      </c>
    </row>
    <row r="2066" spans="1:18" s="575" customFormat="1" x14ac:dyDescent="0.2">
      <c r="A2066" s="578"/>
      <c r="B2066" s="640"/>
      <c r="C2066" s="597"/>
      <c r="D2066" s="597"/>
      <c r="E2066" s="597"/>
      <c r="F2066" s="600"/>
      <c r="G2066" s="600"/>
      <c r="H2066" s="485"/>
      <c r="I2066" s="577"/>
      <c r="J2066" s="639"/>
      <c r="K2066" s="96"/>
      <c r="L2066" s="639"/>
      <c r="N2066" s="485"/>
      <c r="Q2066" s="578"/>
    </row>
    <row r="2067" spans="1:18" s="575" customFormat="1" x14ac:dyDescent="0.2">
      <c r="A2067" s="578">
        <v>42230</v>
      </c>
      <c r="B2067" s="1044">
        <v>896</v>
      </c>
      <c r="C2067" s="597" t="s">
        <v>145</v>
      </c>
      <c r="E2067" s="637">
        <v>27</v>
      </c>
      <c r="F2067" s="600">
        <v>17843.48</v>
      </c>
      <c r="G2067" s="600">
        <f>+F2067*2.2</f>
        <v>39255.656000000003</v>
      </c>
      <c r="H2067" s="575" t="s">
        <v>70</v>
      </c>
      <c r="J2067" s="578">
        <v>42196</v>
      </c>
      <c r="K2067" s="96" t="s">
        <v>384</v>
      </c>
      <c r="L2067" s="578">
        <v>42288</v>
      </c>
      <c r="R2067" s="578">
        <v>42288</v>
      </c>
    </row>
    <row r="2068" spans="1:18" s="575" customFormat="1" x14ac:dyDescent="0.2">
      <c r="A2068" s="578">
        <v>42227</v>
      </c>
      <c r="B2068" s="1044">
        <v>894</v>
      </c>
      <c r="C2068" s="597" t="s">
        <v>604</v>
      </c>
      <c r="E2068" s="575">
        <v>7</v>
      </c>
      <c r="F2068" s="600">
        <v>21567.040000000001</v>
      </c>
      <c r="G2068" s="600">
        <f>+F2068*2.2</f>
        <v>47447.488000000005</v>
      </c>
      <c r="H2068" s="575" t="s">
        <v>70</v>
      </c>
      <c r="J2068" s="578">
        <v>42200</v>
      </c>
      <c r="K2068" s="637" t="s">
        <v>384</v>
      </c>
      <c r="L2068" s="578">
        <v>42292</v>
      </c>
      <c r="R2068" s="578">
        <v>42292</v>
      </c>
    </row>
    <row r="2069" spans="1:18" s="603" customFormat="1" x14ac:dyDescent="0.2">
      <c r="A2069" s="607">
        <v>42258</v>
      </c>
      <c r="B2069" s="767"/>
      <c r="C2069" s="661" t="s">
        <v>192</v>
      </c>
      <c r="D2069" s="612">
        <v>10</v>
      </c>
      <c r="E2069" s="612"/>
      <c r="F2069" s="600">
        <v>16814.12</v>
      </c>
      <c r="G2069" s="601">
        <f>F2069*2.2</f>
        <v>36991.063999999998</v>
      </c>
      <c r="H2069" s="485" t="s">
        <v>70</v>
      </c>
      <c r="I2069" s="599"/>
      <c r="J2069" s="599"/>
      <c r="K2069" s="96" t="s">
        <v>250</v>
      </c>
      <c r="L2069" s="602">
        <v>42292</v>
      </c>
      <c r="N2069" s="606"/>
    </row>
    <row r="2070" spans="1:18" s="603" customFormat="1" x14ac:dyDescent="0.2">
      <c r="A2070" s="607"/>
      <c r="B2070" s="767"/>
      <c r="C2070" s="661"/>
      <c r="D2070" s="612"/>
      <c r="E2070" s="612"/>
      <c r="F2070" s="600"/>
      <c r="G2070" s="601"/>
      <c r="H2070" s="485"/>
      <c r="I2070" s="599"/>
      <c r="J2070" s="599"/>
      <c r="K2070" s="96"/>
      <c r="L2070" s="602"/>
      <c r="N2070" s="606"/>
    </row>
    <row r="2071" spans="1:18" x14ac:dyDescent="0.2">
      <c r="F2071" s="54" t="s">
        <v>888</v>
      </c>
      <c r="G2071" s="918">
        <f>SUM(G2067:G2070)</f>
        <v>123694.208</v>
      </c>
    </row>
    <row r="2072" spans="1:18" x14ac:dyDescent="0.2">
      <c r="A2072" s="1"/>
    </row>
    <row r="2075" spans="1:18" s="652" customFormat="1" x14ac:dyDescent="0.2">
      <c r="A2075" s="1" t="s">
        <v>947</v>
      </c>
      <c r="B2075" s="658"/>
      <c r="C2075" s="646"/>
      <c r="E2075" s="646"/>
      <c r="F2075" s="650"/>
      <c r="G2075" s="789"/>
      <c r="J2075" s="649"/>
      <c r="K2075" s="646"/>
      <c r="L2075" s="649"/>
      <c r="M2075" s="684"/>
      <c r="P2075" s="649"/>
    </row>
    <row r="2077" spans="1:18" s="575" customFormat="1" x14ac:dyDescent="0.2">
      <c r="A2077" s="578">
        <v>41921</v>
      </c>
      <c r="B2077" s="1044">
        <v>805</v>
      </c>
      <c r="C2077" s="597" t="s">
        <v>712</v>
      </c>
      <c r="E2077" s="637">
        <v>3</v>
      </c>
      <c r="F2077" s="600">
        <v>57942.46</v>
      </c>
      <c r="G2077" s="601">
        <f>+F2077*2.3</f>
        <v>133267.658</v>
      </c>
      <c r="H2077" s="575" t="s">
        <v>70</v>
      </c>
      <c r="K2077" s="637" t="s">
        <v>250</v>
      </c>
      <c r="L2077" s="1074">
        <v>42009</v>
      </c>
      <c r="M2077" s="575" t="s">
        <v>719</v>
      </c>
      <c r="O2077" s="578">
        <v>42009</v>
      </c>
      <c r="P2077" s="578">
        <v>42100</v>
      </c>
      <c r="Q2077" s="578">
        <v>42191</v>
      </c>
      <c r="R2077" s="578">
        <v>42282</v>
      </c>
    </row>
    <row r="2078" spans="1:18" s="575" customFormat="1" x14ac:dyDescent="0.2">
      <c r="A2078" s="578">
        <v>42200</v>
      </c>
      <c r="B2078" s="640">
        <v>886</v>
      </c>
      <c r="C2078" s="597" t="s">
        <v>338</v>
      </c>
      <c r="D2078" s="597"/>
      <c r="E2078" s="597">
        <v>9</v>
      </c>
      <c r="F2078" s="600">
        <v>21030.41</v>
      </c>
      <c r="G2078" s="600">
        <f>+F2078*2.2</f>
        <v>46266.902000000002</v>
      </c>
      <c r="H2078" s="575" t="s">
        <v>70</v>
      </c>
      <c r="I2078" s="577"/>
      <c r="J2078" s="577"/>
      <c r="K2078" s="96" t="s">
        <v>944</v>
      </c>
      <c r="L2078" s="577"/>
      <c r="N2078" s="485"/>
      <c r="Q2078" s="578"/>
      <c r="R2078" s="578">
        <v>42304</v>
      </c>
    </row>
    <row r="2080" spans="1:18" x14ac:dyDescent="0.2">
      <c r="F2080" s="54" t="s">
        <v>888</v>
      </c>
      <c r="G2080" s="918">
        <f>SUM(G2077:G2078)</f>
        <v>179534.56</v>
      </c>
    </row>
    <row r="2086" spans="6:7" x14ac:dyDescent="0.2">
      <c r="F2086" s="483" t="s">
        <v>1071</v>
      </c>
      <c r="G2086" s="194">
        <f>+G2026+G2038+G2053+G2071</f>
        <v>298263.13</v>
      </c>
    </row>
    <row r="2087" spans="6:7" x14ac:dyDescent="0.2">
      <c r="F2087" s="483" t="s">
        <v>1072</v>
      </c>
      <c r="G2087" s="194">
        <f>+G2017+G2080</f>
        <v>216985.15599999999</v>
      </c>
    </row>
    <row r="2097" spans="1:18" s="652" customFormat="1" x14ac:dyDescent="0.2">
      <c r="A2097" s="649">
        <v>42016</v>
      </c>
      <c r="B2097" s="564">
        <v>824</v>
      </c>
      <c r="C2097" s="646" t="s">
        <v>139</v>
      </c>
      <c r="D2097" s="646"/>
      <c r="E2097" s="646">
        <v>28</v>
      </c>
      <c r="F2097" s="650">
        <v>16311.85</v>
      </c>
      <c r="G2097" s="659">
        <f>F2097*2.3</f>
        <v>37517.254999999997</v>
      </c>
      <c r="H2097" s="573" t="s">
        <v>330</v>
      </c>
      <c r="I2097" s="720"/>
      <c r="J2097" s="720" t="s">
        <v>937</v>
      </c>
      <c r="K2097" s="564" t="s">
        <v>384</v>
      </c>
      <c r="L2097" s="718">
        <v>42049</v>
      </c>
      <c r="N2097" s="573"/>
      <c r="P2097" s="649">
        <v>42139</v>
      </c>
      <c r="Q2097" s="649">
        <v>42230</v>
      </c>
      <c r="R2097" s="649">
        <v>42320</v>
      </c>
    </row>
    <row r="2098" spans="1:18" s="652" customFormat="1" x14ac:dyDescent="0.2">
      <c r="A2098" s="649">
        <v>42030</v>
      </c>
      <c r="B2098" s="637">
        <v>869</v>
      </c>
      <c r="C2098" s="646" t="s">
        <v>166</v>
      </c>
      <c r="D2098" s="564"/>
      <c r="E2098" s="646"/>
      <c r="F2098" s="650">
        <v>54790.6</v>
      </c>
      <c r="G2098" s="659">
        <f>F2098*2.16</f>
        <v>118347.69600000001</v>
      </c>
      <c r="H2098" s="652" t="s">
        <v>330</v>
      </c>
      <c r="I2098" s="720"/>
      <c r="J2098" s="720"/>
      <c r="K2098" s="564" t="s">
        <v>250</v>
      </c>
      <c r="L2098" s="720"/>
      <c r="N2098" s="573"/>
      <c r="Q2098" s="649">
        <v>42233</v>
      </c>
      <c r="R2098" s="649">
        <v>42324</v>
      </c>
    </row>
    <row r="2099" spans="1:18" s="652" customFormat="1" x14ac:dyDescent="0.2">
      <c r="A2099" s="649">
        <v>41984</v>
      </c>
      <c r="B2099" s="658">
        <v>821</v>
      </c>
      <c r="C2099" s="646" t="s">
        <v>145</v>
      </c>
      <c r="E2099" s="646">
        <v>26</v>
      </c>
      <c r="F2099" s="650">
        <v>12884.86</v>
      </c>
      <c r="G2099" s="789">
        <f>F2099*2.24</f>
        <v>28862.086400000004</v>
      </c>
      <c r="H2099" s="652" t="s">
        <v>330</v>
      </c>
      <c r="J2099" s="649">
        <v>41925</v>
      </c>
      <c r="K2099" s="658" t="s">
        <v>384</v>
      </c>
      <c r="L2099" s="649"/>
      <c r="O2099" s="649">
        <v>42017</v>
      </c>
      <c r="P2099" s="649">
        <v>42122</v>
      </c>
      <c r="Q2099" s="649">
        <v>42241</v>
      </c>
      <c r="R2099" s="649">
        <v>42331</v>
      </c>
    </row>
    <row r="2100" spans="1:18" s="652" customFormat="1" ht="12" customHeight="1" x14ac:dyDescent="0.2">
      <c r="A2100" s="649">
        <v>42117</v>
      </c>
      <c r="B2100" s="657" t="s">
        <v>1006</v>
      </c>
      <c r="C2100" s="646" t="s">
        <v>477</v>
      </c>
      <c r="D2100" s="646" t="s">
        <v>943</v>
      </c>
      <c r="E2100" s="646">
        <v>5</v>
      </c>
      <c r="F2100" s="650">
        <v>6232.38</v>
      </c>
      <c r="G2100" s="659">
        <f>+F2100*2.15</f>
        <v>13399.617</v>
      </c>
      <c r="H2100" s="717" t="s">
        <v>70</v>
      </c>
      <c r="K2100" s="564" t="s">
        <v>250</v>
      </c>
      <c r="Q2100" s="649">
        <v>42242</v>
      </c>
      <c r="R2100" s="649">
        <v>42334</v>
      </c>
    </row>
    <row r="2101" spans="1:18" s="652" customFormat="1" x14ac:dyDescent="0.2">
      <c r="A2101" s="649">
        <v>42231</v>
      </c>
      <c r="B2101" s="775">
        <v>895</v>
      </c>
      <c r="C2101" s="646" t="s">
        <v>171</v>
      </c>
      <c r="E2101" s="652">
        <v>15</v>
      </c>
      <c r="F2101" s="650">
        <v>22735</v>
      </c>
      <c r="G2101" s="650">
        <f>+F2101*2.2</f>
        <v>50017.000000000007</v>
      </c>
      <c r="H2101" s="573" t="s">
        <v>330</v>
      </c>
      <c r="J2101" s="649">
        <v>42189</v>
      </c>
      <c r="K2101" s="564" t="s">
        <v>500</v>
      </c>
      <c r="L2101" s="649">
        <v>42251</v>
      </c>
      <c r="Q2101" s="649">
        <v>42251</v>
      </c>
      <c r="R2101" s="649">
        <v>42335</v>
      </c>
    </row>
    <row r="2102" spans="1:18" s="652" customFormat="1" x14ac:dyDescent="0.2">
      <c r="A2102" s="649">
        <v>41893</v>
      </c>
      <c r="B2102" s="657" t="s">
        <v>907</v>
      </c>
      <c r="C2102" s="646" t="s">
        <v>171</v>
      </c>
      <c r="E2102" s="658">
        <v>13</v>
      </c>
      <c r="F2102" s="650">
        <v>23396.5</v>
      </c>
      <c r="G2102" s="789">
        <f>F2102*2.2</f>
        <v>51472.3</v>
      </c>
      <c r="H2102" s="652" t="s">
        <v>330</v>
      </c>
      <c r="J2102" s="649">
        <v>41817</v>
      </c>
      <c r="K2102" s="660" t="s">
        <v>500</v>
      </c>
      <c r="L2102" s="649">
        <v>41878</v>
      </c>
      <c r="M2102" s="649">
        <v>41943</v>
      </c>
      <c r="O2102" s="649">
        <v>42066</v>
      </c>
      <c r="P2102" s="649">
        <v>42156</v>
      </c>
      <c r="Q2102" s="649">
        <v>42338</v>
      </c>
      <c r="R2102" s="649">
        <v>42338</v>
      </c>
    </row>
    <row r="2114" spans="1:18" ht="33" customHeight="1" x14ac:dyDescent="0.2">
      <c r="C2114" s="1815" t="s">
        <v>1073</v>
      </c>
      <c r="D2114" s="1815"/>
      <c r="E2114" s="1815"/>
      <c r="F2114" s="1815"/>
      <c r="G2114" s="1815"/>
    </row>
    <row r="2115" spans="1:18" ht="33" customHeight="1" x14ac:dyDescent="0.2">
      <c r="C2115" s="1072"/>
      <c r="D2115" s="1072"/>
      <c r="E2115" s="1072"/>
      <c r="F2115" s="1072"/>
      <c r="G2115" s="1072"/>
    </row>
    <row r="2117" spans="1:18" s="611" customFormat="1" x14ac:dyDescent="0.2">
      <c r="A2117" s="607"/>
      <c r="B2117" s="628"/>
      <c r="C2117" s="612"/>
      <c r="E2117" s="612"/>
      <c r="F2117" s="688"/>
      <c r="G2117" s="774"/>
      <c r="J2117" s="607"/>
      <c r="K2117" s="628"/>
      <c r="L2117" s="607"/>
      <c r="P2117" s="607"/>
    </row>
    <row r="2118" spans="1:18" s="611" customFormat="1" ht="20.25" x14ac:dyDescent="0.3">
      <c r="A2118" s="607"/>
      <c r="B2118" s="628"/>
      <c r="C2118" s="1812" t="s">
        <v>330</v>
      </c>
      <c r="D2118" s="1812"/>
      <c r="E2118" s="1812"/>
      <c r="F2118" s="1812"/>
      <c r="G2118" s="774"/>
      <c r="J2118" s="607"/>
      <c r="K2118" s="628"/>
      <c r="L2118" s="607"/>
      <c r="P2118" s="607"/>
    </row>
    <row r="2119" spans="1:18" s="611" customFormat="1" x14ac:dyDescent="0.2">
      <c r="A2119" s="607"/>
      <c r="B2119" s="628"/>
      <c r="C2119" s="612"/>
      <c r="E2119" s="612"/>
      <c r="F2119" s="688"/>
      <c r="G2119" s="774"/>
      <c r="J2119" s="607"/>
      <c r="K2119" s="628"/>
      <c r="L2119" s="607"/>
      <c r="P2119" s="607"/>
    </row>
    <row r="2120" spans="1:18" s="611" customFormat="1" x14ac:dyDescent="0.2">
      <c r="A2120" s="1" t="s">
        <v>947</v>
      </c>
      <c r="B2120" s="628"/>
      <c r="C2120" s="612"/>
      <c r="E2120" s="612"/>
      <c r="F2120" s="688"/>
      <c r="G2120" s="774"/>
      <c r="J2120" s="607"/>
      <c r="K2120" s="628"/>
      <c r="L2120" s="607"/>
      <c r="P2120" s="607"/>
    </row>
    <row r="2121" spans="1:18" s="611" customFormat="1" x14ac:dyDescent="0.2">
      <c r="A2121" s="1"/>
      <c r="B2121" s="628"/>
      <c r="C2121" s="612"/>
      <c r="E2121" s="612"/>
      <c r="F2121" s="688"/>
      <c r="G2121" s="774"/>
      <c r="J2121" s="607"/>
      <c r="K2121" s="628"/>
      <c r="L2121" s="607"/>
      <c r="P2121" s="607"/>
    </row>
    <row r="2122" spans="1:18" s="652" customFormat="1" x14ac:dyDescent="0.2">
      <c r="A2122" s="649">
        <v>42016</v>
      </c>
      <c r="B2122" s="646">
        <v>824</v>
      </c>
      <c r="C2122" s="646" t="s">
        <v>139</v>
      </c>
      <c r="D2122" s="646"/>
      <c r="E2122" s="646">
        <v>28</v>
      </c>
      <c r="F2122" s="650">
        <v>16311.85</v>
      </c>
      <c r="G2122" s="659">
        <f>F2122*2.3</f>
        <v>37517.254999999997</v>
      </c>
      <c r="H2122" s="573" t="s">
        <v>330</v>
      </c>
      <c r="I2122" s="720"/>
      <c r="J2122" s="646" t="s">
        <v>937</v>
      </c>
      <c r="K2122" s="564" t="s">
        <v>384</v>
      </c>
      <c r="L2122" s="1075">
        <v>42049</v>
      </c>
      <c r="N2122" s="573"/>
      <c r="P2122" s="649">
        <v>42139</v>
      </c>
      <c r="Q2122" s="649">
        <v>42230</v>
      </c>
      <c r="R2122" s="649">
        <v>42320</v>
      </c>
    </row>
    <row r="2123" spans="1:18" s="652" customFormat="1" x14ac:dyDescent="0.2">
      <c r="A2123" s="649">
        <v>42030</v>
      </c>
      <c r="B2123" s="658">
        <v>869</v>
      </c>
      <c r="C2123" s="646" t="s">
        <v>166</v>
      </c>
      <c r="D2123" s="564"/>
      <c r="E2123" s="646"/>
      <c r="F2123" s="650">
        <v>54790.6</v>
      </c>
      <c r="G2123" s="659">
        <f>F2123*2.16</f>
        <v>118347.69600000001</v>
      </c>
      <c r="H2123" s="652" t="s">
        <v>330</v>
      </c>
      <c r="I2123" s="720"/>
      <c r="J2123" s="720"/>
      <c r="K2123" s="564" t="s">
        <v>250</v>
      </c>
      <c r="L2123" s="720"/>
      <c r="N2123" s="573"/>
      <c r="Q2123" s="649">
        <v>42233</v>
      </c>
      <c r="R2123" s="649">
        <v>42324</v>
      </c>
    </row>
    <row r="2124" spans="1:18" s="652" customFormat="1" x14ac:dyDescent="0.2">
      <c r="A2124" s="649">
        <v>41984</v>
      </c>
      <c r="B2124" s="658">
        <v>821</v>
      </c>
      <c r="C2124" s="646" t="s">
        <v>145</v>
      </c>
      <c r="E2124" s="646">
        <v>26</v>
      </c>
      <c r="F2124" s="650">
        <v>12884.86</v>
      </c>
      <c r="G2124" s="659">
        <f>F2124*2.24</f>
        <v>28862.086400000004</v>
      </c>
      <c r="H2124" s="652" t="s">
        <v>330</v>
      </c>
      <c r="J2124" s="649">
        <v>41925</v>
      </c>
      <c r="K2124" s="658" t="s">
        <v>384</v>
      </c>
      <c r="L2124" s="649"/>
      <c r="O2124" s="649">
        <v>42017</v>
      </c>
      <c r="P2124" s="649">
        <v>42122</v>
      </c>
      <c r="Q2124" s="649">
        <v>42241</v>
      </c>
      <c r="R2124" s="649">
        <v>42331</v>
      </c>
    </row>
    <row r="2125" spans="1:18" s="652" customFormat="1" x14ac:dyDescent="0.2">
      <c r="A2125" s="649">
        <v>42231</v>
      </c>
      <c r="B2125" s="775">
        <v>895</v>
      </c>
      <c r="C2125" s="646" t="s">
        <v>171</v>
      </c>
      <c r="E2125" s="652">
        <v>15</v>
      </c>
      <c r="F2125" s="650">
        <v>22735</v>
      </c>
      <c r="G2125" s="659">
        <f>F2125*2.15</f>
        <v>48880.25</v>
      </c>
      <c r="H2125" s="573" t="s">
        <v>330</v>
      </c>
      <c r="J2125" s="649">
        <v>42189</v>
      </c>
      <c r="K2125" s="564" t="s">
        <v>500</v>
      </c>
      <c r="L2125" s="649">
        <v>42251</v>
      </c>
      <c r="Q2125" s="649">
        <v>42251</v>
      </c>
      <c r="R2125" s="649">
        <v>42335</v>
      </c>
    </row>
    <row r="2126" spans="1:18" s="652" customFormat="1" x14ac:dyDescent="0.2">
      <c r="A2126" s="649">
        <v>41893</v>
      </c>
      <c r="B2126" s="657" t="s">
        <v>907</v>
      </c>
      <c r="C2126" s="646" t="s">
        <v>171</v>
      </c>
      <c r="E2126" s="658">
        <v>13</v>
      </c>
      <c r="F2126" s="650">
        <v>23396.5</v>
      </c>
      <c r="G2126" s="659">
        <f>F2126*2.2</f>
        <v>51472.3</v>
      </c>
      <c r="H2126" s="652" t="s">
        <v>330</v>
      </c>
      <c r="J2126" s="649">
        <v>41817</v>
      </c>
      <c r="K2126" s="660" t="s">
        <v>500</v>
      </c>
      <c r="L2126" s="649">
        <v>41878</v>
      </c>
      <c r="M2126" s="649">
        <v>41943</v>
      </c>
      <c r="O2126" s="649">
        <v>42066</v>
      </c>
      <c r="P2126" s="649">
        <v>42156</v>
      </c>
      <c r="Q2126" s="649">
        <v>42338</v>
      </c>
      <c r="R2126" s="649">
        <v>42338</v>
      </c>
    </row>
    <row r="2127" spans="1:18" s="652" customFormat="1" x14ac:dyDescent="0.2">
      <c r="A2127" s="649"/>
      <c r="B2127" s="658"/>
      <c r="C2127" s="646"/>
      <c r="E2127" s="646"/>
      <c r="F2127" s="650"/>
      <c r="G2127" s="789"/>
      <c r="J2127" s="649"/>
      <c r="K2127" s="646"/>
      <c r="L2127" s="649"/>
      <c r="M2127" s="684"/>
      <c r="P2127" s="649"/>
    </row>
    <row r="2128" spans="1:18" s="652" customFormat="1" x14ac:dyDescent="0.2">
      <c r="A2128" s="649"/>
      <c r="B2128" s="658"/>
      <c r="C2128" s="646"/>
      <c r="E2128" s="646"/>
      <c r="F2128" s="54" t="s">
        <v>888</v>
      </c>
      <c r="G2128" s="918">
        <f>SUM(G2122:G2127)</f>
        <v>285079.58740000002</v>
      </c>
      <c r="J2128" s="649"/>
      <c r="K2128" s="646"/>
      <c r="L2128" s="649"/>
      <c r="M2128" s="684"/>
      <c r="P2128" s="649"/>
    </row>
    <row r="2129" spans="1:18" s="652" customFormat="1" x14ac:dyDescent="0.2">
      <c r="A2129" s="649"/>
      <c r="B2129" s="658"/>
      <c r="C2129" s="646"/>
      <c r="E2129" s="646"/>
      <c r="F2129" s="54"/>
      <c r="G2129" s="918"/>
      <c r="J2129" s="649"/>
      <c r="K2129" s="646"/>
      <c r="L2129" s="649"/>
      <c r="M2129" s="684"/>
      <c r="P2129" s="649"/>
    </row>
    <row r="2130" spans="1:18" x14ac:dyDescent="0.2">
      <c r="A2130" s="1" t="s">
        <v>948</v>
      </c>
    </row>
    <row r="2131" spans="1:18" s="575" customFormat="1" x14ac:dyDescent="0.2">
      <c r="A2131" s="578"/>
      <c r="B2131" s="640"/>
      <c r="C2131" s="597"/>
      <c r="D2131" s="597"/>
      <c r="E2131" s="597"/>
      <c r="F2131" s="600"/>
      <c r="G2131" s="600"/>
      <c r="H2131" s="485"/>
      <c r="I2131" s="577"/>
      <c r="J2131" s="639"/>
      <c r="K2131" s="96"/>
      <c r="L2131" s="639"/>
      <c r="N2131" s="485"/>
      <c r="Q2131" s="578"/>
    </row>
    <row r="2132" spans="1:18" s="575" customFormat="1" x14ac:dyDescent="0.2">
      <c r="A2132" s="578">
        <v>42180</v>
      </c>
      <c r="B2132" s="578"/>
      <c r="C2132" s="597" t="s">
        <v>139</v>
      </c>
      <c r="D2132" s="597"/>
      <c r="E2132" s="597"/>
      <c r="F2132" s="600">
        <v>10196.49</v>
      </c>
      <c r="G2132" s="601">
        <f>+F2132*2.2</f>
        <v>22432.278000000002</v>
      </c>
      <c r="H2132" s="485" t="s">
        <v>330</v>
      </c>
      <c r="I2132" s="577"/>
      <c r="J2132" s="602">
        <v>42217</v>
      </c>
      <c r="K2132" s="597" t="s">
        <v>384</v>
      </c>
      <c r="L2132" s="1076">
        <v>42309</v>
      </c>
      <c r="N2132" s="485"/>
      <c r="R2132" s="578">
        <v>42309</v>
      </c>
    </row>
    <row r="2133" spans="1:18" s="575" customFormat="1" x14ac:dyDescent="0.2">
      <c r="A2133" s="578"/>
      <c r="B2133" s="1044"/>
      <c r="C2133" s="597"/>
      <c r="E2133" s="637"/>
      <c r="F2133" s="600"/>
      <c r="G2133" s="600"/>
      <c r="J2133" s="578"/>
      <c r="K2133" s="637"/>
      <c r="L2133" s="578"/>
      <c r="R2133" s="578"/>
    </row>
    <row r="2134" spans="1:18" s="575" customFormat="1" x14ac:dyDescent="0.2">
      <c r="A2134" s="578"/>
      <c r="B2134" s="1044"/>
      <c r="C2134" s="597"/>
      <c r="E2134" s="637"/>
      <c r="F2134" s="54" t="s">
        <v>888</v>
      </c>
      <c r="G2134" s="918">
        <f>SUM(G2132:G2133)</f>
        <v>22432.278000000002</v>
      </c>
      <c r="J2134" s="578"/>
      <c r="K2134" s="637"/>
      <c r="L2134" s="578"/>
      <c r="R2134" s="578"/>
    </row>
    <row r="2135" spans="1:18" s="575" customFormat="1" x14ac:dyDescent="0.2">
      <c r="A2135" s="578"/>
      <c r="B2135" s="1044"/>
      <c r="C2135" s="597"/>
      <c r="E2135" s="637"/>
      <c r="F2135" s="54"/>
      <c r="G2135" s="918"/>
      <c r="J2135" s="578"/>
      <c r="K2135" s="637"/>
      <c r="L2135" s="578"/>
      <c r="R2135" s="578"/>
    </row>
    <row r="2136" spans="1:18" x14ac:dyDescent="0.2">
      <c r="F2136" s="54"/>
      <c r="G2136" s="918"/>
    </row>
    <row r="2138" spans="1:18" ht="20.25" x14ac:dyDescent="0.3">
      <c r="C2138" s="1812" t="s">
        <v>70</v>
      </c>
      <c r="D2138" s="1812"/>
      <c r="E2138" s="1812"/>
      <c r="F2138" s="1812"/>
    </row>
    <row r="2142" spans="1:18" x14ac:dyDescent="0.2">
      <c r="G2142" s="194"/>
    </row>
    <row r="2145" spans="1:18" s="652" customFormat="1" x14ac:dyDescent="0.2">
      <c r="A2145" s="1" t="s">
        <v>947</v>
      </c>
      <c r="B2145" s="658"/>
      <c r="C2145" s="646"/>
      <c r="E2145" s="646"/>
      <c r="F2145" s="650"/>
      <c r="G2145" s="789"/>
      <c r="J2145" s="649"/>
      <c r="K2145" s="646"/>
      <c r="L2145" s="649"/>
      <c r="M2145" s="684"/>
      <c r="P2145" s="649"/>
    </row>
    <row r="2147" spans="1:18" s="652" customFormat="1" ht="12" customHeight="1" x14ac:dyDescent="0.2">
      <c r="A2147" s="649">
        <v>42117</v>
      </c>
      <c r="B2147" s="657" t="s">
        <v>1006</v>
      </c>
      <c r="C2147" s="646" t="s">
        <v>477</v>
      </c>
      <c r="D2147" s="646" t="s">
        <v>943</v>
      </c>
      <c r="E2147" s="646">
        <v>5</v>
      </c>
      <c r="F2147" s="650">
        <v>6232.38</v>
      </c>
      <c r="G2147" s="659">
        <f>+F2147*2.3</f>
        <v>14334.473999999998</v>
      </c>
      <c r="H2147" s="717" t="s">
        <v>70</v>
      </c>
      <c r="K2147" s="564" t="s">
        <v>250</v>
      </c>
      <c r="Q2147" s="649">
        <v>42242</v>
      </c>
      <c r="R2147" s="649">
        <v>42334</v>
      </c>
    </row>
    <row r="2148" spans="1:18" s="575" customFormat="1" x14ac:dyDescent="0.2">
      <c r="A2148" s="578"/>
      <c r="B2148" s="640"/>
      <c r="C2148" s="597"/>
      <c r="D2148" s="597"/>
      <c r="E2148" s="597"/>
      <c r="F2148" s="600"/>
      <c r="G2148" s="600"/>
      <c r="I2148" s="577"/>
      <c r="J2148" s="577"/>
      <c r="K2148" s="96"/>
      <c r="L2148" s="577"/>
      <c r="N2148" s="485"/>
      <c r="Q2148" s="578"/>
      <c r="R2148" s="578"/>
    </row>
    <row r="2149" spans="1:18" x14ac:dyDescent="0.2">
      <c r="F2149" s="54" t="s">
        <v>888</v>
      </c>
      <c r="G2149" s="918">
        <f>SUM(G2147:G2148)</f>
        <v>14334.473999999998</v>
      </c>
    </row>
    <row r="2150" spans="1:18" x14ac:dyDescent="0.2">
      <c r="F2150" s="54"/>
      <c r="G2150" s="918"/>
    </row>
    <row r="2151" spans="1:18" s="575" customFormat="1" x14ac:dyDescent="0.2">
      <c r="A2151" s="578"/>
      <c r="B2151" s="1044"/>
      <c r="C2151" s="597"/>
      <c r="F2151" s="600"/>
      <c r="G2151" s="600"/>
      <c r="J2151" s="578"/>
      <c r="K2151" s="637"/>
      <c r="L2151" s="578"/>
      <c r="R2151" s="578"/>
    </row>
    <row r="2152" spans="1:18" s="575" customFormat="1" x14ac:dyDescent="0.2">
      <c r="A2152" s="578"/>
      <c r="B2152" s="1044"/>
      <c r="C2152" s="597"/>
      <c r="F2152" s="600"/>
      <c r="G2152" s="600"/>
      <c r="J2152" s="578"/>
      <c r="K2152" s="637"/>
      <c r="L2152" s="578"/>
      <c r="R2152" s="578"/>
    </row>
    <row r="2160" spans="1:18" s="611" customFormat="1" ht="20.25" x14ac:dyDescent="0.3">
      <c r="A2160" s="607"/>
      <c r="B2160" s="628"/>
      <c r="C2160" s="1812" t="s">
        <v>895</v>
      </c>
      <c r="D2160" s="1812"/>
      <c r="E2160" s="1812"/>
      <c r="F2160" s="1812"/>
      <c r="G2160" s="774"/>
      <c r="J2160" s="607"/>
      <c r="K2160" s="628"/>
      <c r="L2160" s="607"/>
      <c r="P2160" s="607"/>
    </row>
    <row r="2161" spans="1:18" s="611" customFormat="1" x14ac:dyDescent="0.2">
      <c r="A2161" s="607"/>
      <c r="B2161" s="628"/>
      <c r="C2161" s="612"/>
      <c r="E2161" s="612"/>
      <c r="F2161" s="688"/>
      <c r="G2161" s="774"/>
      <c r="J2161" s="607"/>
      <c r="K2161" s="628"/>
      <c r="L2161" s="607"/>
      <c r="P2161" s="607"/>
    </row>
    <row r="2162" spans="1:18" s="652" customFormat="1" x14ac:dyDescent="0.2">
      <c r="A2162" s="649"/>
      <c r="B2162" s="658"/>
      <c r="C2162" s="646"/>
      <c r="E2162" s="646"/>
      <c r="F2162" s="54"/>
      <c r="G2162" s="918"/>
      <c r="J2162" s="649"/>
      <c r="K2162" s="646"/>
      <c r="L2162" s="649"/>
      <c r="M2162" s="684"/>
      <c r="P2162" s="649"/>
    </row>
    <row r="2163" spans="1:18" x14ac:dyDescent="0.2">
      <c r="A2163" s="1" t="s">
        <v>948</v>
      </c>
    </row>
    <row r="2164" spans="1:18" s="575" customFormat="1" x14ac:dyDescent="0.2">
      <c r="A2164" s="578"/>
      <c r="B2164" s="640"/>
      <c r="C2164" s="597"/>
      <c r="D2164" s="597"/>
      <c r="E2164" s="597"/>
      <c r="F2164" s="600"/>
      <c r="G2164" s="600"/>
      <c r="H2164" s="485"/>
      <c r="I2164" s="577"/>
      <c r="J2164" s="639"/>
      <c r="K2164" s="96"/>
      <c r="L2164" s="639"/>
      <c r="N2164" s="485"/>
      <c r="Q2164" s="578"/>
    </row>
    <row r="2165" spans="1:18" s="603" customFormat="1" x14ac:dyDescent="0.2">
      <c r="A2165" s="578">
        <v>42252</v>
      </c>
      <c r="B2165" s="637">
        <v>902</v>
      </c>
      <c r="C2165" s="597" t="s">
        <v>172</v>
      </c>
      <c r="D2165" s="612"/>
      <c r="E2165" s="612">
        <v>23</v>
      </c>
      <c r="F2165" s="600">
        <v>12597.37</v>
      </c>
      <c r="G2165" s="600">
        <f>F2165*2.2</f>
        <v>27714.214000000004</v>
      </c>
      <c r="H2165" s="485" t="s">
        <v>113</v>
      </c>
      <c r="I2165" s="599"/>
      <c r="J2165" s="639">
        <v>42224</v>
      </c>
      <c r="K2165" s="96" t="s">
        <v>384</v>
      </c>
      <c r="L2165" s="639">
        <v>42316</v>
      </c>
      <c r="N2165" s="606"/>
      <c r="R2165" s="578">
        <v>42316</v>
      </c>
    </row>
    <row r="2166" spans="1:18" s="575" customFormat="1" x14ac:dyDescent="0.2">
      <c r="A2166" s="578"/>
      <c r="B2166" s="1044"/>
      <c r="C2166" s="597"/>
      <c r="E2166" s="637"/>
      <c r="F2166" s="600"/>
      <c r="G2166" s="600"/>
      <c r="J2166" s="578"/>
      <c r="K2166" s="637"/>
      <c r="L2166" s="578"/>
      <c r="R2166" s="578"/>
    </row>
    <row r="2167" spans="1:18" s="575" customFormat="1" x14ac:dyDescent="0.2">
      <c r="A2167" s="578"/>
      <c r="B2167" s="1044"/>
      <c r="C2167" s="597"/>
      <c r="E2167" s="637"/>
      <c r="F2167" s="54" t="s">
        <v>888</v>
      </c>
      <c r="G2167" s="918">
        <f>SUM(G2165:G2166)</f>
        <v>27714.214000000004</v>
      </c>
      <c r="J2167" s="578"/>
      <c r="K2167" s="637"/>
      <c r="L2167" s="578"/>
      <c r="R2167" s="578"/>
    </row>
    <row r="2168" spans="1:18" s="575" customFormat="1" x14ac:dyDescent="0.2">
      <c r="A2168" s="578"/>
      <c r="B2168" s="1044"/>
      <c r="C2168" s="597"/>
      <c r="E2168" s="637"/>
      <c r="F2168" s="54"/>
      <c r="G2168" s="918"/>
      <c r="J2168" s="578"/>
      <c r="K2168" s="637"/>
      <c r="L2168" s="578"/>
      <c r="R2168" s="578"/>
    </row>
    <row r="2172" spans="1:18" x14ac:dyDescent="0.2">
      <c r="F2172" s="483" t="s">
        <v>1072</v>
      </c>
      <c r="G2172" s="194">
        <f>G2128+G2149</f>
        <v>299414.06140000001</v>
      </c>
    </row>
    <row r="2173" spans="1:18" x14ac:dyDescent="0.2">
      <c r="F2173" s="483" t="s">
        <v>1071</v>
      </c>
      <c r="G2173" s="194">
        <f>+G2132+G2165</f>
        <v>50146.492000000006</v>
      </c>
    </row>
    <row r="2183" spans="1:18" x14ac:dyDescent="0.2">
      <c r="A2183" s="649">
        <v>42137</v>
      </c>
      <c r="B2183" s="658">
        <v>865</v>
      </c>
      <c r="C2183" s="646" t="s">
        <v>379</v>
      </c>
      <c r="D2183" s="646"/>
      <c r="E2183" s="646">
        <v>11</v>
      </c>
      <c r="F2183" s="650">
        <v>10619.85</v>
      </c>
      <c r="G2183" s="659">
        <f>+F2183*2.2</f>
        <v>23363.670000000002</v>
      </c>
      <c r="H2183" s="652" t="s">
        <v>330</v>
      </c>
      <c r="I2183" s="652"/>
      <c r="J2183" s="660">
        <v>42116</v>
      </c>
      <c r="K2183" s="646" t="s">
        <v>500</v>
      </c>
      <c r="L2183" s="660">
        <v>42177</v>
      </c>
      <c r="M2183" s="652"/>
      <c r="N2183" s="652"/>
      <c r="O2183" s="652"/>
      <c r="P2183" s="649">
        <v>42177</v>
      </c>
      <c r="Q2183" s="649">
        <v>42262</v>
      </c>
      <c r="R2183" s="649">
        <v>42353</v>
      </c>
    </row>
    <row r="2184" spans="1:18" x14ac:dyDescent="0.2">
      <c r="A2184" s="649">
        <v>42102</v>
      </c>
      <c r="B2184" s="657" t="s">
        <v>1011</v>
      </c>
      <c r="C2184" s="646" t="s">
        <v>748</v>
      </c>
      <c r="D2184" s="646" t="s">
        <v>87</v>
      </c>
      <c r="E2184" s="646">
        <v>20</v>
      </c>
      <c r="F2184" s="650">
        <v>7796.39</v>
      </c>
      <c r="G2184" s="650">
        <f>+F2184*2.15</f>
        <v>16762.238499999999</v>
      </c>
      <c r="H2184" s="652" t="s">
        <v>330</v>
      </c>
      <c r="I2184" s="720"/>
      <c r="J2184" s="651">
        <v>42089</v>
      </c>
      <c r="K2184" s="646" t="s">
        <v>500</v>
      </c>
      <c r="L2184" s="651">
        <v>42150</v>
      </c>
      <c r="M2184" s="652"/>
      <c r="N2184" s="573"/>
      <c r="O2184" s="652"/>
      <c r="P2184" s="649">
        <v>42150</v>
      </c>
      <c r="Q2184" s="649">
        <v>42269</v>
      </c>
      <c r="R2184" s="649">
        <v>42360</v>
      </c>
    </row>
    <row r="2185" spans="1:18" x14ac:dyDescent="0.2">
      <c r="A2185" s="649">
        <v>42118</v>
      </c>
      <c r="B2185" s="657" t="s">
        <v>1007</v>
      </c>
      <c r="C2185" s="646" t="s">
        <v>173</v>
      </c>
      <c r="D2185" s="646" t="s">
        <v>87</v>
      </c>
      <c r="E2185" s="646">
        <v>17</v>
      </c>
      <c r="F2185" s="650">
        <v>5228.43</v>
      </c>
      <c r="G2185" s="650">
        <f>F2185*2.13</f>
        <v>11136.555899999999</v>
      </c>
      <c r="H2185" s="573" t="s">
        <v>330</v>
      </c>
      <c r="I2185" s="720"/>
      <c r="J2185" s="1021" t="s">
        <v>1008</v>
      </c>
      <c r="K2185" s="650" t="s">
        <v>698</v>
      </c>
      <c r="L2185" s="1021" t="s">
        <v>1009</v>
      </c>
      <c r="M2185" s="652"/>
      <c r="N2185" s="573"/>
      <c r="O2185" s="652"/>
      <c r="P2185" s="649">
        <v>42183</v>
      </c>
      <c r="Q2185" s="649">
        <v>42277</v>
      </c>
      <c r="R2185" s="649">
        <v>42368</v>
      </c>
    </row>
    <row r="2196" spans="1:18" ht="33" customHeight="1" x14ac:dyDescent="0.2">
      <c r="C2196" s="1815" t="s">
        <v>1074</v>
      </c>
      <c r="D2196" s="1815"/>
      <c r="E2196" s="1815"/>
      <c r="F2196" s="1815"/>
      <c r="G2196" s="1815"/>
    </row>
    <row r="2197" spans="1:18" ht="33" customHeight="1" x14ac:dyDescent="0.2">
      <c r="C2197" s="1072"/>
      <c r="D2197" s="1072"/>
      <c r="E2197" s="1072"/>
      <c r="F2197" s="1072"/>
      <c r="G2197" s="1072"/>
    </row>
    <row r="2199" spans="1:18" s="611" customFormat="1" x14ac:dyDescent="0.2">
      <c r="A2199" s="607"/>
      <c r="B2199" s="628"/>
      <c r="C2199" s="612"/>
      <c r="E2199" s="612"/>
      <c r="F2199" s="688"/>
      <c r="G2199" s="774"/>
      <c r="J2199" s="607"/>
      <c r="K2199" s="628"/>
      <c r="L2199" s="607"/>
      <c r="P2199" s="607"/>
    </row>
    <row r="2200" spans="1:18" s="611" customFormat="1" ht="20.25" x14ac:dyDescent="0.3">
      <c r="A2200" s="607"/>
      <c r="B2200" s="628"/>
      <c r="C2200" s="1812" t="s">
        <v>330</v>
      </c>
      <c r="D2200" s="1812"/>
      <c r="E2200" s="1812"/>
      <c r="F2200" s="1812"/>
      <c r="G2200" s="774"/>
      <c r="J2200" s="607"/>
      <c r="K2200" s="628"/>
      <c r="L2200" s="607"/>
      <c r="P2200" s="607"/>
    </row>
    <row r="2201" spans="1:18" s="611" customFormat="1" x14ac:dyDescent="0.2">
      <c r="A2201" s="607"/>
      <c r="B2201" s="628"/>
      <c r="C2201" s="612"/>
      <c r="E2201" s="612"/>
      <c r="F2201" s="688"/>
      <c r="G2201" s="774"/>
      <c r="J2201" s="607"/>
      <c r="K2201" s="628"/>
      <c r="L2201" s="607"/>
      <c r="P2201" s="607"/>
    </row>
    <row r="2202" spans="1:18" s="611" customFormat="1" x14ac:dyDescent="0.2">
      <c r="A2202" s="1" t="s">
        <v>947</v>
      </c>
      <c r="B2202" s="628"/>
      <c r="C2202" s="612"/>
      <c r="E2202" s="612"/>
      <c r="F2202" s="688"/>
      <c r="G2202" s="774"/>
      <c r="J2202" s="607"/>
      <c r="K2202" s="628"/>
      <c r="L2202" s="607"/>
      <c r="P2202" s="607"/>
    </row>
    <row r="2203" spans="1:18" s="611" customFormat="1" x14ac:dyDescent="0.2">
      <c r="A2203" s="1"/>
      <c r="B2203" s="628"/>
      <c r="C2203" s="612"/>
      <c r="E2203" s="612"/>
      <c r="F2203" s="688"/>
      <c r="G2203" s="774"/>
      <c r="J2203" s="607"/>
      <c r="K2203" s="628"/>
      <c r="L2203" s="607"/>
      <c r="P2203" s="607"/>
    </row>
    <row r="2204" spans="1:18" x14ac:dyDescent="0.2">
      <c r="A2204" s="649">
        <v>42137</v>
      </c>
      <c r="B2204" s="658">
        <v>865</v>
      </c>
      <c r="C2204" s="646" t="s">
        <v>379</v>
      </c>
      <c r="D2204" s="646"/>
      <c r="E2204" s="646">
        <v>11</v>
      </c>
      <c r="F2204" s="650">
        <v>10619.85</v>
      </c>
      <c r="G2204" s="659">
        <f>+F2204*2.2</f>
        <v>23363.670000000002</v>
      </c>
      <c r="H2204" s="652" t="s">
        <v>330</v>
      </c>
      <c r="I2204" s="652"/>
      <c r="J2204" s="660">
        <v>42116</v>
      </c>
      <c r="K2204" s="646" t="s">
        <v>500</v>
      </c>
      <c r="L2204" s="660">
        <v>42177</v>
      </c>
      <c r="M2204" s="652"/>
      <c r="N2204" s="652"/>
      <c r="O2204" s="652"/>
      <c r="P2204" s="649">
        <v>42177</v>
      </c>
      <c r="Q2204" s="649">
        <v>42262</v>
      </c>
      <c r="R2204" s="649">
        <v>42353</v>
      </c>
    </row>
    <row r="2205" spans="1:18" x14ac:dyDescent="0.2">
      <c r="A2205" s="649">
        <v>42102</v>
      </c>
      <c r="B2205" s="657" t="s">
        <v>1011</v>
      </c>
      <c r="C2205" s="646" t="s">
        <v>748</v>
      </c>
      <c r="D2205" s="646" t="s">
        <v>87</v>
      </c>
      <c r="E2205" s="646">
        <v>20</v>
      </c>
      <c r="F2205" s="650">
        <v>7796.39</v>
      </c>
      <c r="G2205" s="650">
        <f>+F2205*2.15</f>
        <v>16762.238499999999</v>
      </c>
      <c r="H2205" s="652" t="s">
        <v>330</v>
      </c>
      <c r="I2205" s="720"/>
      <c r="J2205" s="651">
        <v>42089</v>
      </c>
      <c r="K2205" s="646" t="s">
        <v>500</v>
      </c>
      <c r="L2205" s="651">
        <v>42150</v>
      </c>
      <c r="M2205" s="652"/>
      <c r="N2205" s="573"/>
      <c r="O2205" s="652"/>
      <c r="P2205" s="649">
        <v>42150</v>
      </c>
      <c r="Q2205" s="649">
        <v>42269</v>
      </c>
      <c r="R2205" s="649">
        <v>42360</v>
      </c>
    </row>
    <row r="2206" spans="1:18" x14ac:dyDescent="0.2">
      <c r="A2206" s="649">
        <v>42118</v>
      </c>
      <c r="B2206" s="657" t="s">
        <v>1007</v>
      </c>
      <c r="C2206" s="646" t="s">
        <v>173</v>
      </c>
      <c r="D2206" s="646" t="s">
        <v>87</v>
      </c>
      <c r="E2206" s="646">
        <v>17</v>
      </c>
      <c r="F2206" s="650">
        <v>5228.43</v>
      </c>
      <c r="G2206" s="650">
        <f>F2206*2.13</f>
        <v>11136.555899999999</v>
      </c>
      <c r="H2206" s="573" t="s">
        <v>330</v>
      </c>
      <c r="I2206" s="720"/>
      <c r="J2206" s="1021" t="s">
        <v>1008</v>
      </c>
      <c r="K2206" s="650" t="s">
        <v>698</v>
      </c>
      <c r="L2206" s="1021" t="s">
        <v>1009</v>
      </c>
      <c r="M2206" s="652"/>
      <c r="N2206" s="573"/>
      <c r="O2206" s="652"/>
      <c r="P2206" s="649">
        <v>42183</v>
      </c>
      <c r="Q2206" s="649">
        <v>42277</v>
      </c>
      <c r="R2206" s="649">
        <v>42368</v>
      </c>
    </row>
    <row r="2207" spans="1:18" s="652" customFormat="1" x14ac:dyDescent="0.2">
      <c r="A2207" s="649"/>
      <c r="B2207" s="658"/>
      <c r="C2207" s="646"/>
      <c r="E2207" s="646"/>
      <c r="F2207" s="650"/>
      <c r="G2207" s="789"/>
      <c r="J2207" s="649"/>
      <c r="K2207" s="646"/>
      <c r="L2207" s="649"/>
      <c r="M2207" s="684"/>
      <c r="P2207" s="649"/>
    </row>
    <row r="2208" spans="1:18" s="652" customFormat="1" x14ac:dyDescent="0.2">
      <c r="A2208" s="649"/>
      <c r="B2208" s="658"/>
      <c r="C2208" s="646"/>
      <c r="E2208" s="646"/>
      <c r="F2208" s="54" t="s">
        <v>888</v>
      </c>
      <c r="G2208" s="918">
        <f>SUM(G2204:G2207)</f>
        <v>51262.464400000004</v>
      </c>
      <c r="J2208" s="649"/>
      <c r="K2208" s="646"/>
      <c r="L2208" s="649"/>
      <c r="M2208" s="684"/>
      <c r="P2208" s="649"/>
    </row>
    <row r="2209" spans="1:22" s="652" customFormat="1" x14ac:dyDescent="0.2">
      <c r="A2209" s="649"/>
      <c r="B2209" s="658"/>
      <c r="C2209" s="646"/>
      <c r="E2209" s="646"/>
      <c r="F2209" s="54"/>
      <c r="G2209" s="918"/>
      <c r="J2209" s="649"/>
      <c r="K2209" s="646"/>
      <c r="L2209" s="649"/>
      <c r="M2209" s="684"/>
      <c r="P2209" s="649"/>
    </row>
    <row r="2217" spans="1:22" x14ac:dyDescent="0.2">
      <c r="A2217" s="649"/>
      <c r="B2217" s="657"/>
      <c r="C2217" s="646"/>
      <c r="D2217" s="652"/>
      <c r="E2217" s="658"/>
      <c r="F2217" s="650"/>
      <c r="G2217" s="789"/>
      <c r="H2217" s="789"/>
      <c r="I2217" s="789"/>
      <c r="J2217" s="649"/>
      <c r="K2217" s="660"/>
      <c r="L2217" s="649"/>
      <c r="M2217" s="649"/>
      <c r="N2217" s="652"/>
      <c r="O2217" s="649"/>
      <c r="P2217" s="649"/>
      <c r="Q2217" s="649"/>
      <c r="R2217" s="649"/>
      <c r="S2217" s="652"/>
      <c r="T2217" s="652"/>
      <c r="U2217" s="652"/>
      <c r="V2217" s="652"/>
    </row>
    <row r="2218" spans="1:22" x14ac:dyDescent="0.2">
      <c r="A2218" s="649">
        <v>42102</v>
      </c>
      <c r="B2218" s="657" t="s">
        <v>1011</v>
      </c>
      <c r="C2218" s="646" t="s">
        <v>748</v>
      </c>
      <c r="D2218" s="646" t="s">
        <v>87</v>
      </c>
      <c r="E2218" s="646">
        <v>20</v>
      </c>
      <c r="F2218" s="650">
        <v>7796.39</v>
      </c>
      <c r="G2218" s="650">
        <f>+F2218*2.15</f>
        <v>16762.238499999999</v>
      </c>
      <c r="H2218" s="652" t="s">
        <v>330</v>
      </c>
      <c r="I2218" s="720"/>
      <c r="J2218" s="651">
        <v>42089</v>
      </c>
      <c r="K2218" s="646" t="s">
        <v>500</v>
      </c>
      <c r="L2218" s="651">
        <v>42150</v>
      </c>
      <c r="M2218" s="652"/>
      <c r="N2218" s="573"/>
      <c r="O2218" s="652"/>
      <c r="P2218" s="649">
        <v>42150</v>
      </c>
      <c r="Q2218" s="649">
        <v>42269</v>
      </c>
      <c r="R2218" s="649">
        <v>42359</v>
      </c>
      <c r="S2218" s="649"/>
      <c r="T2218" s="652"/>
      <c r="U2218" s="652"/>
      <c r="V2218" s="652"/>
    </row>
    <row r="2219" spans="1:22" x14ac:dyDescent="0.2">
      <c r="A2219" s="649">
        <v>42118</v>
      </c>
      <c r="B2219" s="657" t="s">
        <v>1007</v>
      </c>
      <c r="C2219" s="646" t="s">
        <v>173</v>
      </c>
      <c r="D2219" s="646" t="s">
        <v>87</v>
      </c>
      <c r="E2219" s="646">
        <v>17</v>
      </c>
      <c r="F2219" s="650">
        <v>5228.43</v>
      </c>
      <c r="G2219" s="650">
        <f>F2219*2.13</f>
        <v>11136.555899999999</v>
      </c>
      <c r="H2219" s="573" t="s">
        <v>330</v>
      </c>
      <c r="I2219" s="720"/>
      <c r="J2219" s="1021" t="s">
        <v>1008</v>
      </c>
      <c r="K2219" s="650" t="s">
        <v>698</v>
      </c>
      <c r="L2219" s="1021" t="s">
        <v>1009</v>
      </c>
      <c r="M2219" s="652"/>
      <c r="N2219" s="573"/>
      <c r="O2219" s="652"/>
      <c r="P2219" s="649">
        <v>42183</v>
      </c>
      <c r="Q2219" s="649">
        <v>42277</v>
      </c>
      <c r="R2219" s="649">
        <v>42367</v>
      </c>
      <c r="S2219" s="652"/>
      <c r="T2219" s="652"/>
      <c r="U2219" s="652"/>
      <c r="V2219" s="652"/>
    </row>
    <row r="2220" spans="1:22" x14ac:dyDescent="0.2">
      <c r="A2220" s="649">
        <v>42252</v>
      </c>
      <c r="B2220" s="775">
        <v>903</v>
      </c>
      <c r="C2220" s="646" t="s">
        <v>956</v>
      </c>
      <c r="D2220" s="646" t="s">
        <v>963</v>
      </c>
      <c r="E2220" s="646">
        <v>1</v>
      </c>
      <c r="F2220" s="650">
        <v>19710.84</v>
      </c>
      <c r="G2220" s="650">
        <f>F2220*1.9</f>
        <v>37450.595999999998</v>
      </c>
      <c r="H2220" s="652" t="s">
        <v>113</v>
      </c>
      <c r="I2220" s="720"/>
      <c r="J2220" s="720"/>
      <c r="K2220" s="646" t="s">
        <v>839</v>
      </c>
      <c r="L2220" s="720"/>
      <c r="M2220" s="652"/>
      <c r="N2220" s="573"/>
      <c r="O2220" s="652"/>
      <c r="P2220" s="652"/>
      <c r="Q2220" s="652"/>
      <c r="R2220" s="649">
        <v>42373</v>
      </c>
      <c r="S2220" s="652"/>
      <c r="T2220" s="652"/>
      <c r="U2220" s="652"/>
      <c r="V2220" s="652"/>
    </row>
    <row r="2221" spans="1:22" x14ac:dyDescent="0.2">
      <c r="A2221" s="649">
        <v>42242</v>
      </c>
      <c r="B2221" s="775">
        <v>897</v>
      </c>
      <c r="C2221" s="646" t="s">
        <v>223</v>
      </c>
      <c r="D2221" s="646"/>
      <c r="E2221" s="646"/>
      <c r="F2221" s="650">
        <v>20241.37</v>
      </c>
      <c r="G2221" s="659">
        <f>F2221*2.2</f>
        <v>44531.014000000003</v>
      </c>
      <c r="H2221" s="573" t="s">
        <v>330</v>
      </c>
      <c r="I2221" s="720"/>
      <c r="J2221" s="651">
        <v>42220</v>
      </c>
      <c r="K2221" s="646" t="s">
        <v>500</v>
      </c>
      <c r="L2221" s="651">
        <v>42281</v>
      </c>
      <c r="M2221" s="652"/>
      <c r="N2221" s="573"/>
      <c r="O2221" s="652"/>
      <c r="P2221" s="652"/>
      <c r="Q2221" s="649">
        <v>42281</v>
      </c>
      <c r="R2221" s="649">
        <v>42373</v>
      </c>
      <c r="S2221" s="660"/>
      <c r="T2221" s="652"/>
      <c r="U2221" s="652"/>
      <c r="V2221" s="652"/>
    </row>
    <row r="2222" spans="1:22" x14ac:dyDescent="0.2">
      <c r="A2222" s="649">
        <v>42296</v>
      </c>
      <c r="B2222" s="775">
        <v>911</v>
      </c>
      <c r="C2222" s="646" t="s">
        <v>848</v>
      </c>
      <c r="D2222" s="646"/>
      <c r="E2222" s="646">
        <v>38</v>
      </c>
      <c r="F2222" s="650">
        <v>115210.76</v>
      </c>
      <c r="G2222" s="650">
        <f>F2222*2.208</f>
        <v>254385.35808000001</v>
      </c>
      <c r="H2222" s="573" t="s">
        <v>113</v>
      </c>
      <c r="I2222" s="720"/>
      <c r="J2222" s="720"/>
      <c r="K2222" s="564" t="s">
        <v>250</v>
      </c>
      <c r="L2222" s="651">
        <v>42374</v>
      </c>
      <c r="M2222" s="652"/>
      <c r="N2222" s="573"/>
      <c r="O2222" s="652"/>
      <c r="P2222" s="652"/>
      <c r="Q2222" s="652"/>
      <c r="R2222" s="649">
        <v>42380</v>
      </c>
      <c r="S2222" s="652"/>
      <c r="T2222" s="652"/>
      <c r="U2222" s="652"/>
      <c r="V2222" s="652"/>
    </row>
    <row r="2223" spans="1:22" x14ac:dyDescent="0.2">
      <c r="A2223" s="649">
        <v>42249</v>
      </c>
      <c r="B2223" s="775">
        <v>901</v>
      </c>
      <c r="C2223" s="646" t="s">
        <v>69</v>
      </c>
      <c r="D2223" s="652"/>
      <c r="E2223" s="652"/>
      <c r="F2223" s="650">
        <v>17594.169999999998</v>
      </c>
      <c r="G2223" s="650">
        <f>F2223*2.2</f>
        <v>38707.173999999999</v>
      </c>
      <c r="H2223" s="573" t="s">
        <v>113</v>
      </c>
      <c r="I2223" s="652"/>
      <c r="J2223" s="649">
        <v>42212</v>
      </c>
      <c r="K2223" s="564" t="s">
        <v>384</v>
      </c>
      <c r="L2223" s="649">
        <v>42304</v>
      </c>
      <c r="M2223" s="652"/>
      <c r="N2223" s="652"/>
      <c r="O2223" s="652"/>
      <c r="P2223" s="652"/>
      <c r="Q2223" s="649">
        <v>42304</v>
      </c>
      <c r="R2223" s="649">
        <v>42384</v>
      </c>
      <c r="S2223" s="649"/>
      <c r="T2223" s="652"/>
      <c r="U2223" s="652"/>
      <c r="V2223" s="652"/>
    </row>
    <row r="2224" spans="1:22" x14ac:dyDescent="0.2">
      <c r="A2224" s="649">
        <v>42030</v>
      </c>
      <c r="B2224" s="658">
        <v>869</v>
      </c>
      <c r="C2224" s="646" t="s">
        <v>166</v>
      </c>
      <c r="D2224" s="564"/>
      <c r="E2224" s="646"/>
      <c r="F2224" s="650">
        <v>54790.6</v>
      </c>
      <c r="G2224" s="659">
        <v>59175</v>
      </c>
      <c r="H2224" s="652" t="s">
        <v>330</v>
      </c>
      <c r="I2224" s="720"/>
      <c r="J2224" s="720"/>
      <c r="K2224" s="564" t="s">
        <v>250</v>
      </c>
      <c r="L2224" s="720"/>
      <c r="M2224" s="652"/>
      <c r="N2224" s="573"/>
      <c r="O2224" s="652"/>
      <c r="P2224" s="652"/>
      <c r="Q2224" s="649">
        <v>42233</v>
      </c>
      <c r="R2224" s="649">
        <v>42385</v>
      </c>
      <c r="S2224" s="652"/>
      <c r="T2224" s="652"/>
      <c r="U2224" s="652"/>
      <c r="V2224" s="652"/>
    </row>
    <row r="2225" spans="1:22" x14ac:dyDescent="0.2">
      <c r="A2225" s="649">
        <v>42242</v>
      </c>
      <c r="B2225" s="658">
        <v>898</v>
      </c>
      <c r="C2225" s="646" t="s">
        <v>603</v>
      </c>
      <c r="D2225" s="652"/>
      <c r="E2225" s="646">
        <v>9</v>
      </c>
      <c r="F2225" s="650">
        <v>7634.01</v>
      </c>
      <c r="G2225" s="650">
        <f>+F2225*2.2</f>
        <v>16794.822</v>
      </c>
      <c r="H2225" s="652" t="s">
        <v>113</v>
      </c>
      <c r="I2225" s="652"/>
      <c r="J2225" s="649">
        <v>42213</v>
      </c>
      <c r="K2225" s="564" t="s">
        <v>384</v>
      </c>
      <c r="L2225" s="649">
        <v>42305</v>
      </c>
      <c r="M2225" s="652"/>
      <c r="N2225" s="652"/>
      <c r="O2225" s="652"/>
      <c r="P2225" s="652"/>
      <c r="Q2225" s="649">
        <v>42305</v>
      </c>
      <c r="R2225" s="649">
        <v>42394</v>
      </c>
      <c r="S2225" s="649"/>
      <c r="T2225" s="652"/>
      <c r="U2225" s="652"/>
      <c r="V2225" s="652"/>
    </row>
    <row r="2226" spans="1:22" x14ac:dyDescent="0.2">
      <c r="A2226" s="649">
        <v>42200</v>
      </c>
      <c r="B2226" s="657">
        <v>886</v>
      </c>
      <c r="C2226" s="646" t="s">
        <v>338</v>
      </c>
      <c r="D2226" s="646"/>
      <c r="E2226" s="646">
        <v>9</v>
      </c>
      <c r="F2226" s="650">
        <v>21030.41</v>
      </c>
      <c r="G2226" s="650">
        <f>+F2226*2.2</f>
        <v>46266.902000000002</v>
      </c>
      <c r="H2226" s="652" t="s">
        <v>70</v>
      </c>
      <c r="I2226" s="720"/>
      <c r="J2226" s="720"/>
      <c r="K2226" s="564" t="s">
        <v>944</v>
      </c>
      <c r="L2226" s="720"/>
      <c r="M2226" s="652"/>
      <c r="N2226" s="573"/>
      <c r="O2226" s="652"/>
      <c r="P2226" s="652"/>
      <c r="Q2226" s="649"/>
      <c r="R2226" s="649">
        <v>42396</v>
      </c>
      <c r="S2226" s="649"/>
      <c r="T2226" s="652"/>
      <c r="U2226" s="652"/>
      <c r="V2226" s="652"/>
    </row>
    <row r="2227" spans="1:22" x14ac:dyDescent="0.2">
      <c r="A2227" s="649">
        <v>42030</v>
      </c>
      <c r="B2227" s="658">
        <v>869</v>
      </c>
      <c r="C2227" s="646" t="s">
        <v>166</v>
      </c>
      <c r="D2227" s="564"/>
      <c r="E2227" s="646"/>
      <c r="F2227" s="650">
        <v>54790.6</v>
      </c>
      <c r="G2227" s="659">
        <v>59175</v>
      </c>
      <c r="H2227" s="652" t="s">
        <v>330</v>
      </c>
      <c r="I2227" s="720"/>
      <c r="J2227" s="720"/>
      <c r="K2227" s="564" t="s">
        <v>250</v>
      </c>
      <c r="L2227" s="720"/>
      <c r="M2227" s="652"/>
      <c r="N2227" s="573"/>
      <c r="O2227" s="652"/>
      <c r="P2227" s="652"/>
      <c r="Q2227" s="652"/>
      <c r="R2227" s="649">
        <v>42233</v>
      </c>
      <c r="S2227" s="649">
        <v>42416</v>
      </c>
      <c r="T2227" s="652"/>
      <c r="U2227" s="652"/>
      <c r="V2227" s="652"/>
    </row>
    <row r="2228" spans="1:22" x14ac:dyDescent="0.2">
      <c r="A2228" s="649">
        <v>42293</v>
      </c>
      <c r="B2228" s="657">
        <v>908</v>
      </c>
      <c r="C2228" s="658" t="s">
        <v>192</v>
      </c>
      <c r="D2228" s="646"/>
      <c r="E2228" s="646">
        <v>27</v>
      </c>
      <c r="F2228" s="650">
        <v>16756.48</v>
      </c>
      <c r="G2228" s="659">
        <f>F2228*2.2</f>
        <v>36864.256000000001</v>
      </c>
      <c r="H2228" s="573" t="s">
        <v>70</v>
      </c>
      <c r="I2228" s="720"/>
      <c r="J2228" s="564"/>
      <c r="K2228" s="564" t="s">
        <v>250</v>
      </c>
      <c r="L2228" s="1183">
        <v>42308</v>
      </c>
      <c r="M2228" s="652"/>
      <c r="N2228" s="573"/>
      <c r="O2228" s="652"/>
      <c r="P2228" s="652"/>
      <c r="Q2228" s="652"/>
      <c r="R2228" s="652"/>
      <c r="S2228" s="649">
        <v>42422</v>
      </c>
      <c r="T2228" s="652"/>
      <c r="U2228" s="652"/>
      <c r="V2228" s="652"/>
    </row>
    <row r="2229" spans="1:22" x14ac:dyDescent="0.2">
      <c r="A2229" s="649">
        <v>42227</v>
      </c>
      <c r="B2229" s="775">
        <v>894</v>
      </c>
      <c r="C2229" s="646" t="s">
        <v>604</v>
      </c>
      <c r="D2229" s="652"/>
      <c r="E2229" s="658">
        <v>7</v>
      </c>
      <c r="F2229" s="650">
        <v>21567.040000000001</v>
      </c>
      <c r="G2229" s="650">
        <f>+F2229*2.2</f>
        <v>47447.488000000005</v>
      </c>
      <c r="H2229" s="652" t="s">
        <v>70</v>
      </c>
      <c r="I2229" s="652"/>
      <c r="J2229" s="649">
        <v>42200</v>
      </c>
      <c r="K2229" s="658" t="s">
        <v>384</v>
      </c>
      <c r="L2229" s="649">
        <v>42292</v>
      </c>
      <c r="M2229" s="652"/>
      <c r="N2229" s="652"/>
      <c r="O2229" s="652"/>
      <c r="P2229" s="652"/>
      <c r="Q2229" s="652"/>
      <c r="R2229" s="649">
        <v>42292</v>
      </c>
      <c r="S2229" s="649">
        <v>42424</v>
      </c>
      <c r="T2229" s="652"/>
      <c r="U2229" s="652"/>
      <c r="V2229" s="652"/>
    </row>
    <row r="2230" spans="1:22" x14ac:dyDescent="0.2">
      <c r="A2230" s="649">
        <v>42230</v>
      </c>
      <c r="B2230" s="775">
        <v>896</v>
      </c>
      <c r="C2230" s="646" t="s">
        <v>145</v>
      </c>
      <c r="D2230" s="652"/>
      <c r="E2230" s="658">
        <v>27</v>
      </c>
      <c r="F2230" s="650">
        <v>17843.48</v>
      </c>
      <c r="G2230" s="650">
        <f>+F2230*2.2</f>
        <v>39255.656000000003</v>
      </c>
      <c r="H2230" s="652" t="s">
        <v>70</v>
      </c>
      <c r="I2230" s="652"/>
      <c r="J2230" s="649">
        <v>42196</v>
      </c>
      <c r="K2230" s="564" t="s">
        <v>384</v>
      </c>
      <c r="L2230" s="649">
        <v>42288</v>
      </c>
      <c r="M2230" s="652"/>
      <c r="N2230" s="652"/>
      <c r="O2230" s="652"/>
      <c r="P2230" s="652"/>
      <c r="Q2230" s="652"/>
      <c r="R2230" s="649">
        <v>42288</v>
      </c>
      <c r="S2230" s="649">
        <v>42429</v>
      </c>
      <c r="T2230" s="652"/>
      <c r="U2230" s="652"/>
      <c r="V2230" s="652"/>
    </row>
    <row r="2231" spans="1:22" x14ac:dyDescent="0.2">
      <c r="A2231" s="649">
        <v>42244</v>
      </c>
      <c r="B2231" s="646">
        <v>899</v>
      </c>
      <c r="C2231" s="646" t="s">
        <v>208</v>
      </c>
      <c r="D2231" s="652"/>
      <c r="E2231" s="658">
        <v>15</v>
      </c>
      <c r="F2231" s="650">
        <v>10888.76</v>
      </c>
      <c r="G2231" s="650">
        <f>+F2231*2.2</f>
        <v>23955.272000000001</v>
      </c>
      <c r="H2231" s="652" t="s">
        <v>330</v>
      </c>
      <c r="I2231" s="652"/>
      <c r="J2231" s="649">
        <v>42221</v>
      </c>
      <c r="K2231" s="658" t="s">
        <v>500</v>
      </c>
      <c r="L2231" s="660">
        <v>42282</v>
      </c>
      <c r="M2231" s="652"/>
      <c r="N2231" s="652"/>
      <c r="O2231" s="652"/>
      <c r="P2231" s="652"/>
      <c r="Q2231" s="649">
        <v>42282</v>
      </c>
      <c r="R2231" s="649">
        <v>42345</v>
      </c>
      <c r="S2231" s="649">
        <v>42430</v>
      </c>
      <c r="T2231" s="652"/>
      <c r="U2231" s="652"/>
      <c r="V2231" s="652"/>
    </row>
    <row r="2232" spans="1:22" x14ac:dyDescent="0.2">
      <c r="A2232" s="649"/>
      <c r="B2232" s="684"/>
      <c r="C2232" s="658" t="s">
        <v>836</v>
      </c>
      <c r="D2232" s="646">
        <v>10</v>
      </c>
      <c r="E2232" s="646"/>
      <c r="F2232" s="650">
        <v>32668.15</v>
      </c>
      <c r="G2232" s="659">
        <f>+F2232*2.2</f>
        <v>71869.930000000008</v>
      </c>
      <c r="H2232" s="573" t="s">
        <v>72</v>
      </c>
      <c r="I2232" s="720"/>
      <c r="J2232" s="720"/>
      <c r="K2232" s="564" t="s">
        <v>272</v>
      </c>
      <c r="L2232" s="718"/>
      <c r="M2232" s="649"/>
      <c r="N2232" s="573"/>
      <c r="O2232" s="649"/>
      <c r="P2232" s="652"/>
      <c r="Q2232" s="652"/>
      <c r="R2232" s="652"/>
      <c r="S2232" s="649">
        <v>42432</v>
      </c>
      <c r="T2232" s="649"/>
      <c r="U2232" s="652"/>
      <c r="V2232" s="652"/>
    </row>
    <row r="2233" spans="1:22" x14ac:dyDescent="0.2">
      <c r="A2233" s="649">
        <v>42231</v>
      </c>
      <c r="B2233" s="775">
        <v>895</v>
      </c>
      <c r="C2233" s="646" t="s">
        <v>171</v>
      </c>
      <c r="D2233" s="652"/>
      <c r="E2233" s="658">
        <v>15</v>
      </c>
      <c r="F2233" s="650">
        <v>22735</v>
      </c>
      <c r="G2233" s="650">
        <f>+F2233*2.2</f>
        <v>50017.000000000007</v>
      </c>
      <c r="H2233" s="573" t="s">
        <v>330</v>
      </c>
      <c r="I2233" s="652"/>
      <c r="J2233" s="649">
        <v>42189</v>
      </c>
      <c r="K2233" s="564" t="s">
        <v>500</v>
      </c>
      <c r="L2233" s="649">
        <v>42251</v>
      </c>
      <c r="M2233" s="652"/>
      <c r="N2233" s="652"/>
      <c r="O2233" s="652"/>
      <c r="P2233" s="652"/>
      <c r="Q2233" s="649">
        <v>42251</v>
      </c>
      <c r="R2233" s="649">
        <v>42345</v>
      </c>
      <c r="S2233" s="649">
        <v>42436</v>
      </c>
      <c r="T2233" s="652"/>
      <c r="U2233" s="652"/>
      <c r="V2233" s="652"/>
    </row>
    <row r="2234" spans="1:22" x14ac:dyDescent="0.2">
      <c r="A2234" s="649">
        <v>42139</v>
      </c>
      <c r="B2234" s="652"/>
      <c r="C2234" s="646" t="s">
        <v>324</v>
      </c>
      <c r="D2234" s="646"/>
      <c r="E2234" s="646">
        <v>5</v>
      </c>
      <c r="F2234" s="650">
        <v>21057</v>
      </c>
      <c r="G2234" s="650">
        <f>+F2234*1.95</f>
        <v>41061.15</v>
      </c>
      <c r="H2234" s="573" t="s">
        <v>72</v>
      </c>
      <c r="I2234" s="720"/>
      <c r="J2234" s="720"/>
      <c r="K2234" s="564" t="s">
        <v>250</v>
      </c>
      <c r="L2234" s="684">
        <v>42436</v>
      </c>
      <c r="M2234" s="652"/>
      <c r="N2234" s="573"/>
      <c r="O2234" s="652"/>
      <c r="P2234" s="652"/>
      <c r="Q2234" s="652"/>
      <c r="R2234" s="652"/>
      <c r="S2234" s="649">
        <v>42443</v>
      </c>
      <c r="T2234" s="652" t="s">
        <v>1203</v>
      </c>
      <c r="U2234" s="652"/>
      <c r="V2234" s="652"/>
    </row>
    <row r="2235" spans="1:22" x14ac:dyDescent="0.2">
      <c r="A2235" s="649">
        <v>42137</v>
      </c>
      <c r="B2235" s="658">
        <v>865</v>
      </c>
      <c r="C2235" s="646" t="s">
        <v>379</v>
      </c>
      <c r="D2235" s="646"/>
      <c r="E2235" s="646">
        <v>11</v>
      </c>
      <c r="F2235" s="650">
        <v>10619.85</v>
      </c>
      <c r="G2235" s="659">
        <f>+F2235*2.2</f>
        <v>23363.670000000002</v>
      </c>
      <c r="H2235" s="652" t="s">
        <v>330</v>
      </c>
      <c r="I2235" s="652"/>
      <c r="J2235" s="660">
        <v>42116</v>
      </c>
      <c r="K2235" s="646" t="s">
        <v>500</v>
      </c>
      <c r="L2235" s="660">
        <v>42177</v>
      </c>
      <c r="M2235" s="652"/>
      <c r="N2235" s="652"/>
      <c r="O2235" s="652"/>
      <c r="P2235" s="649">
        <v>42177</v>
      </c>
      <c r="Q2235" s="649">
        <v>42262</v>
      </c>
      <c r="R2235" s="649">
        <v>42352</v>
      </c>
      <c r="S2235" s="649">
        <v>42443</v>
      </c>
      <c r="T2235" s="652"/>
      <c r="U2235" s="652"/>
      <c r="V2235" s="652"/>
    </row>
    <row r="2236" spans="1:22" x14ac:dyDescent="0.2">
      <c r="A2236" s="649"/>
      <c r="B2236" s="775"/>
      <c r="C2236" s="646"/>
      <c r="D2236" s="652"/>
      <c r="E2236" s="658"/>
      <c r="F2236" s="650"/>
      <c r="G2236" s="650"/>
      <c r="H2236" s="652"/>
      <c r="I2236" s="652"/>
      <c r="J2236" s="649"/>
      <c r="K2236" s="564"/>
      <c r="L2236" s="649"/>
      <c r="M2236" s="652"/>
      <c r="N2236" s="652"/>
      <c r="O2236" s="652"/>
      <c r="P2236" s="652"/>
      <c r="Q2236" s="652"/>
      <c r="R2236" s="649"/>
      <c r="S2236" s="649"/>
      <c r="T2236" s="652"/>
      <c r="U2236" s="652"/>
      <c r="V2236" s="652"/>
    </row>
    <row r="2237" spans="1:22" x14ac:dyDescent="0.2">
      <c r="A2237" s="649"/>
      <c r="B2237" s="775"/>
      <c r="C2237" s="646"/>
      <c r="D2237" s="652"/>
      <c r="E2237" s="658"/>
      <c r="F2237" s="650"/>
      <c r="G2237" s="650"/>
      <c r="H2237" s="652"/>
      <c r="I2237" s="652"/>
      <c r="J2237" s="649"/>
      <c r="K2237" s="564"/>
      <c r="L2237" s="649"/>
      <c r="M2237" s="652"/>
      <c r="N2237" s="652"/>
      <c r="O2237" s="652"/>
      <c r="P2237" s="652"/>
      <c r="Q2237" s="652"/>
      <c r="R2237" s="649"/>
      <c r="S2237" s="649"/>
      <c r="T2237" s="652"/>
      <c r="U2237" s="652"/>
      <c r="V2237" s="652"/>
    </row>
    <row r="2238" spans="1:22" x14ac:dyDescent="0.2">
      <c r="A2238" s="649"/>
      <c r="B2238" s="657"/>
      <c r="C2238" s="646"/>
      <c r="D2238" s="646"/>
      <c r="E2238" s="646"/>
      <c r="F2238" s="650"/>
      <c r="G2238" s="650"/>
      <c r="H2238" s="652"/>
      <c r="I2238" s="720"/>
      <c r="J2238" s="720"/>
      <c r="K2238" s="564"/>
      <c r="L2238" s="720"/>
      <c r="M2238" s="652"/>
      <c r="N2238" s="573"/>
      <c r="O2238" s="652"/>
      <c r="P2238" s="652"/>
      <c r="Q2238" s="649"/>
      <c r="R2238" s="649"/>
      <c r="S2238" s="649"/>
      <c r="T2238" s="652"/>
      <c r="U2238" s="652"/>
      <c r="V2238" s="652"/>
    </row>
    <row r="2269" spans="4:6" ht="23.25" x14ac:dyDescent="0.35">
      <c r="D2269" s="1821" t="s">
        <v>1228</v>
      </c>
      <c r="E2269" s="1821"/>
      <c r="F2269" s="1821"/>
    </row>
    <row r="2271" spans="4:6" x14ac:dyDescent="0.2">
      <c r="E2271" s="483"/>
    </row>
    <row r="2272" spans="4:6" x14ac:dyDescent="0.2">
      <c r="E2272" s="483" t="s">
        <v>1248</v>
      </c>
    </row>
    <row r="2274" spans="1:19" s="603" customFormat="1" x14ac:dyDescent="0.2">
      <c r="A2274" s="607">
        <v>42326</v>
      </c>
      <c r="B2274" s="773">
        <v>915</v>
      </c>
      <c r="C2274" s="637" t="s">
        <v>172</v>
      </c>
      <c r="D2274" s="612"/>
      <c r="E2274" s="612"/>
      <c r="F2274" s="600">
        <v>3754.22</v>
      </c>
      <c r="G2274" s="601">
        <f>+F2274*2.2</f>
        <v>8259.2839999999997</v>
      </c>
      <c r="H2274" s="485" t="s">
        <v>113</v>
      </c>
      <c r="I2274" s="599"/>
      <c r="J2274" s="602">
        <v>42312</v>
      </c>
      <c r="K2274" s="639" t="s">
        <v>384</v>
      </c>
      <c r="L2274" s="602">
        <v>42404</v>
      </c>
      <c r="N2274" s="606"/>
      <c r="S2274" s="578">
        <v>42404</v>
      </c>
    </row>
    <row r="2275" spans="1:19" s="603" customFormat="1" x14ac:dyDescent="0.2">
      <c r="A2275" s="607">
        <v>42329</v>
      </c>
      <c r="B2275" s="773">
        <v>918</v>
      </c>
      <c r="C2275" s="637" t="s">
        <v>707</v>
      </c>
      <c r="D2275" s="612"/>
      <c r="E2275" s="612"/>
      <c r="F2275" s="600">
        <v>6482.28</v>
      </c>
      <c r="G2275" s="601">
        <f>+F2275*2.2</f>
        <v>14261.016000000001</v>
      </c>
      <c r="H2275" s="485" t="s">
        <v>70</v>
      </c>
      <c r="I2275" s="599"/>
      <c r="J2275" s="984">
        <v>42313</v>
      </c>
      <c r="K2275" s="597" t="s">
        <v>384</v>
      </c>
      <c r="L2275" s="984">
        <v>42405</v>
      </c>
      <c r="N2275" s="606"/>
      <c r="S2275" s="578">
        <v>42405</v>
      </c>
    </row>
    <row r="2276" spans="1:19" s="575" customFormat="1" x14ac:dyDescent="0.2">
      <c r="A2276" s="578">
        <v>42360</v>
      </c>
      <c r="B2276" s="640">
        <v>925</v>
      </c>
      <c r="C2276" s="637" t="s">
        <v>935</v>
      </c>
      <c r="D2276" s="597"/>
      <c r="E2276" s="597"/>
      <c r="F2276" s="600">
        <v>5909.9</v>
      </c>
      <c r="G2276" s="601">
        <f>+F2276*2.2</f>
        <v>13001.78</v>
      </c>
      <c r="H2276" s="485" t="s">
        <v>72</v>
      </c>
      <c r="I2276" s="577"/>
      <c r="J2276" s="602">
        <v>42348</v>
      </c>
      <c r="K2276" s="597" t="s">
        <v>500</v>
      </c>
      <c r="L2276" s="602">
        <v>42410</v>
      </c>
      <c r="N2276" s="485"/>
      <c r="S2276" s="578">
        <v>42410</v>
      </c>
    </row>
    <row r="2277" spans="1:19" s="575" customFormat="1" x14ac:dyDescent="0.2">
      <c r="A2277" s="578">
        <v>42360</v>
      </c>
      <c r="B2277" s="640">
        <v>926</v>
      </c>
      <c r="C2277" s="637" t="s">
        <v>198</v>
      </c>
      <c r="D2277" s="597"/>
      <c r="E2277" s="597"/>
      <c r="F2277" s="600">
        <v>6086.88</v>
      </c>
      <c r="G2277" s="601">
        <f>+F2277*2.2</f>
        <v>13391.136</v>
      </c>
      <c r="H2277" s="485" t="s">
        <v>72</v>
      </c>
      <c r="I2277" s="485"/>
      <c r="J2277" s="602">
        <v>42348</v>
      </c>
      <c r="K2277" s="597" t="s">
        <v>500</v>
      </c>
      <c r="L2277" s="1018">
        <v>42410</v>
      </c>
      <c r="N2277" s="485"/>
      <c r="S2277" s="578">
        <v>42410</v>
      </c>
    </row>
    <row r="2278" spans="1:19" s="603" customFormat="1" x14ac:dyDescent="0.2">
      <c r="A2278" s="607">
        <v>42318</v>
      </c>
      <c r="B2278" s="767"/>
      <c r="C2278" s="1423" t="s">
        <v>846</v>
      </c>
      <c r="D2278" s="612"/>
      <c r="E2278" s="612"/>
      <c r="F2278" s="600">
        <v>3150.58</v>
      </c>
      <c r="G2278" s="601">
        <f>+F2278*2.2</f>
        <v>6931.2760000000007</v>
      </c>
      <c r="H2278" s="485" t="s">
        <v>72</v>
      </c>
      <c r="I2278" s="599"/>
      <c r="J2278" s="599"/>
      <c r="K2278" s="96" t="s">
        <v>250</v>
      </c>
      <c r="L2278" s="602"/>
      <c r="N2278" s="606"/>
      <c r="S2278" s="578">
        <v>42415</v>
      </c>
    </row>
    <row r="2279" spans="1:19" s="575" customFormat="1" x14ac:dyDescent="0.2">
      <c r="A2279" s="578">
        <v>42293</v>
      </c>
      <c r="B2279" s="637">
        <v>910</v>
      </c>
      <c r="C2279" s="597" t="s">
        <v>173</v>
      </c>
      <c r="D2279" s="597"/>
      <c r="E2279" s="597"/>
      <c r="F2279" s="600">
        <v>4005.6</v>
      </c>
      <c r="G2279" s="600">
        <f>F2279*2.2</f>
        <v>8812.32</v>
      </c>
      <c r="H2279" s="485" t="s">
        <v>70</v>
      </c>
      <c r="I2279" s="577"/>
      <c r="J2279" s="1018">
        <v>42334</v>
      </c>
      <c r="K2279" s="597" t="s">
        <v>384</v>
      </c>
      <c r="L2279" s="655"/>
      <c r="N2279" s="485"/>
      <c r="S2279" s="578">
        <v>42426</v>
      </c>
    </row>
    <row r="2280" spans="1:19" x14ac:dyDescent="0.2">
      <c r="A2280" s="607">
        <v>42290</v>
      </c>
      <c r="B2280" s="767"/>
      <c r="C2280" s="1424" t="s">
        <v>171</v>
      </c>
      <c r="D2280" s="612"/>
      <c r="E2280" s="612"/>
      <c r="F2280" s="600">
        <v>23462.7</v>
      </c>
      <c r="G2280" s="601">
        <f>+F2280*2.2</f>
        <v>51617.94</v>
      </c>
      <c r="H2280" s="635" t="s">
        <v>330</v>
      </c>
      <c r="I2280" s="599"/>
      <c r="J2280" s="762">
        <v>42348</v>
      </c>
      <c r="K2280" s="759" t="s">
        <v>500</v>
      </c>
      <c r="L2280" s="1425">
        <v>42410</v>
      </c>
      <c r="M2280" s="603"/>
    </row>
    <row r="2281" spans="1:19" x14ac:dyDescent="0.2">
      <c r="A2281" s="607">
        <v>42277</v>
      </c>
      <c r="B2281" s="767"/>
      <c r="C2281" s="1424" t="s">
        <v>341</v>
      </c>
      <c r="D2281" s="612"/>
      <c r="E2281" s="612"/>
      <c r="F2281" s="600">
        <v>5481.63</v>
      </c>
      <c r="G2281" s="601">
        <f>+F2281*2.2</f>
        <v>12059.586000000001</v>
      </c>
      <c r="H2281" s="1068" t="s">
        <v>72</v>
      </c>
      <c r="I2281" s="599"/>
      <c r="J2281" s="762">
        <v>42349</v>
      </c>
      <c r="K2281" s="759" t="s">
        <v>500</v>
      </c>
      <c r="L2281" s="1425">
        <v>42411</v>
      </c>
      <c r="M2281" s="603"/>
    </row>
    <row r="2282" spans="1:19" x14ac:dyDescent="0.2">
      <c r="A2282" s="607"/>
      <c r="B2282" s="767"/>
      <c r="C2282" s="1424"/>
      <c r="D2282" s="612"/>
      <c r="E2282" s="612"/>
      <c r="F2282" s="1439" t="s">
        <v>888</v>
      </c>
      <c r="G2282" s="1440">
        <f>+G2274+G2275+G2276+G2277+G2278+G2279+G2280+G2281</f>
        <v>128334.338</v>
      </c>
      <c r="H2282" s="1068"/>
      <c r="I2282" s="599"/>
      <c r="J2282" s="762"/>
      <c r="K2282" s="759"/>
      <c r="L2282" s="1425"/>
      <c r="M2282" s="603"/>
    </row>
    <row r="2283" spans="1:19" x14ac:dyDescent="0.2">
      <c r="A2283" s="607"/>
      <c r="B2283" s="767"/>
      <c r="C2283" s="1424"/>
      <c r="D2283" s="612"/>
      <c r="E2283" s="612"/>
      <c r="F2283" s="600"/>
      <c r="G2283" s="601"/>
      <c r="H2283" s="1068"/>
      <c r="I2283" s="599"/>
      <c r="J2283" s="762"/>
      <c r="K2283" s="759"/>
      <c r="L2283" s="1425"/>
      <c r="M2283" s="603"/>
    </row>
    <row r="2284" spans="1:19" x14ac:dyDescent="0.2">
      <c r="A2284" s="607"/>
      <c r="B2284" s="767"/>
      <c r="C2284" s="1424"/>
      <c r="D2284" s="612"/>
      <c r="E2284" s="612"/>
      <c r="F2284" s="600"/>
      <c r="G2284" s="601"/>
      <c r="H2284" s="1068"/>
      <c r="I2284" s="599"/>
      <c r="J2284" s="762"/>
      <c r="K2284" s="759"/>
      <c r="L2284" s="1425"/>
      <c r="M2284" s="603"/>
    </row>
    <row r="2285" spans="1:19" x14ac:dyDescent="0.2">
      <c r="A2285" s="607"/>
      <c r="B2285" s="767"/>
      <c r="C2285" s="1424"/>
      <c r="D2285" s="612"/>
      <c r="E2285" s="612"/>
      <c r="F2285" s="600"/>
      <c r="G2285" s="601"/>
      <c r="H2285" s="1068"/>
      <c r="I2285" s="599"/>
      <c r="J2285" s="762"/>
      <c r="K2285" s="759"/>
      <c r="L2285" s="1425"/>
      <c r="M2285" s="603"/>
    </row>
    <row r="2286" spans="1:19" x14ac:dyDescent="0.2">
      <c r="E2286" s="483" t="s">
        <v>1249</v>
      </c>
    </row>
    <row r="2287" spans="1:19" s="652" customFormat="1" x14ac:dyDescent="0.2">
      <c r="A2287" s="649"/>
      <c r="B2287" s="775"/>
      <c r="C2287" s="646"/>
      <c r="E2287" s="658"/>
      <c r="F2287" s="650"/>
      <c r="G2287" s="650"/>
      <c r="J2287" s="649"/>
      <c r="K2287" s="564"/>
      <c r="L2287" s="649"/>
      <c r="R2287" s="649"/>
      <c r="S2287" s="649"/>
    </row>
    <row r="2288" spans="1:19" s="652" customFormat="1" x14ac:dyDescent="0.2">
      <c r="A2288" s="649">
        <v>42030</v>
      </c>
      <c r="B2288" s="658">
        <v>869</v>
      </c>
      <c r="C2288" s="646" t="s">
        <v>166</v>
      </c>
      <c r="D2288" s="564"/>
      <c r="E2288" s="646"/>
      <c r="F2288" s="650">
        <v>54790.6</v>
      </c>
      <c r="G2288" s="659">
        <f>F2288*2.2</f>
        <v>120539.32</v>
      </c>
      <c r="H2288" s="652" t="s">
        <v>330</v>
      </c>
      <c r="I2288" s="720"/>
      <c r="J2288" s="720"/>
      <c r="K2288" s="564" t="s">
        <v>250</v>
      </c>
      <c r="L2288" s="720"/>
      <c r="N2288" s="573"/>
      <c r="R2288" s="649">
        <v>42233</v>
      </c>
      <c r="S2288" s="649">
        <v>42416</v>
      </c>
    </row>
    <row r="2289" spans="1:19" s="652" customFormat="1" x14ac:dyDescent="0.2">
      <c r="A2289" s="649"/>
      <c r="B2289" s="658"/>
      <c r="C2289" s="646"/>
      <c r="D2289" s="564"/>
      <c r="E2289" s="646"/>
      <c r="F2289" s="650"/>
      <c r="G2289" s="659"/>
      <c r="I2289" s="720"/>
      <c r="J2289" s="720"/>
      <c r="K2289" s="564"/>
      <c r="L2289" s="720"/>
      <c r="N2289" s="573"/>
      <c r="R2289" s="649"/>
      <c r="S2289" s="649"/>
    </row>
    <row r="2290" spans="1:19" s="652" customFormat="1" x14ac:dyDescent="0.2">
      <c r="A2290" s="649"/>
      <c r="B2290" s="658"/>
      <c r="C2290" s="646"/>
      <c r="D2290" s="564"/>
      <c r="E2290" s="1822" t="s">
        <v>1250</v>
      </c>
      <c r="F2290" s="1822"/>
      <c r="G2290" s="659"/>
      <c r="I2290" s="720"/>
      <c r="J2290" s="720"/>
      <c r="K2290" s="564"/>
      <c r="L2290" s="720"/>
      <c r="N2290" s="573"/>
      <c r="R2290" s="649"/>
      <c r="S2290" s="649"/>
    </row>
    <row r="2291" spans="1:19" s="652" customFormat="1" x14ac:dyDescent="0.2">
      <c r="A2291" s="649"/>
      <c r="B2291" s="775"/>
      <c r="C2291" s="646"/>
      <c r="E2291" s="658"/>
      <c r="F2291" s="650"/>
      <c r="G2291" s="650"/>
      <c r="J2291" s="649"/>
      <c r="K2291" s="564"/>
      <c r="L2291" s="649"/>
      <c r="R2291" s="649"/>
      <c r="S2291" s="649"/>
    </row>
    <row r="2292" spans="1:19" s="652" customFormat="1" x14ac:dyDescent="0.2">
      <c r="A2292" s="649">
        <v>42296</v>
      </c>
      <c r="B2292" s="775">
        <v>911</v>
      </c>
      <c r="C2292" s="646" t="s">
        <v>848</v>
      </c>
      <c r="D2292" s="646"/>
      <c r="E2292" s="646">
        <v>38</v>
      </c>
      <c r="F2292" s="650">
        <v>115210.76</v>
      </c>
      <c r="G2292" s="650">
        <f>F2292*2.208/3</f>
        <v>84795.119359999997</v>
      </c>
      <c r="H2292" s="573" t="s">
        <v>113</v>
      </c>
      <c r="I2292" s="720"/>
      <c r="J2292" s="720"/>
      <c r="K2292" s="564" t="s">
        <v>250</v>
      </c>
      <c r="L2292" s="651">
        <v>42374</v>
      </c>
      <c r="N2292" s="573"/>
      <c r="R2292" s="649">
        <v>42380</v>
      </c>
      <c r="S2292" s="649">
        <v>42411</v>
      </c>
    </row>
    <row r="2293" spans="1:19" s="652" customFormat="1" x14ac:dyDescent="0.2">
      <c r="A2293" s="649">
        <v>42293</v>
      </c>
      <c r="B2293" s="657">
        <v>908</v>
      </c>
      <c r="C2293" s="658" t="s">
        <v>192</v>
      </c>
      <c r="D2293" s="646"/>
      <c r="E2293" s="646">
        <v>27</v>
      </c>
      <c r="F2293" s="650">
        <v>16756.48</v>
      </c>
      <c r="G2293" s="659">
        <f>F2293*2.2</f>
        <v>36864.256000000001</v>
      </c>
      <c r="H2293" s="573" t="s">
        <v>70</v>
      </c>
      <c r="I2293" s="720"/>
      <c r="J2293" s="564"/>
      <c r="K2293" s="564" t="s">
        <v>250</v>
      </c>
      <c r="L2293" s="1183">
        <v>42308</v>
      </c>
      <c r="N2293" s="573"/>
      <c r="S2293" s="649">
        <v>42422</v>
      </c>
    </row>
    <row r="2294" spans="1:19" s="652" customFormat="1" x14ac:dyDescent="0.2">
      <c r="A2294" s="649">
        <v>42227</v>
      </c>
      <c r="B2294" s="775">
        <v>894</v>
      </c>
      <c r="C2294" s="646" t="s">
        <v>604</v>
      </c>
      <c r="E2294" s="658">
        <v>7</v>
      </c>
      <c r="F2294" s="650">
        <v>21567.040000000001</v>
      </c>
      <c r="G2294" s="650">
        <f>+F2294*2.2</f>
        <v>47447.488000000005</v>
      </c>
      <c r="H2294" s="652" t="s">
        <v>70</v>
      </c>
      <c r="J2294" s="649">
        <v>42200</v>
      </c>
      <c r="K2294" s="658" t="s">
        <v>384</v>
      </c>
      <c r="L2294" s="649">
        <v>42292</v>
      </c>
      <c r="R2294" s="649">
        <v>42292</v>
      </c>
      <c r="S2294" s="649">
        <v>42424</v>
      </c>
    </row>
    <row r="2295" spans="1:19" s="652" customFormat="1" x14ac:dyDescent="0.2">
      <c r="A2295" s="649">
        <v>42230</v>
      </c>
      <c r="B2295" s="775">
        <v>896</v>
      </c>
      <c r="C2295" s="646" t="s">
        <v>145</v>
      </c>
      <c r="E2295" s="658">
        <v>27</v>
      </c>
      <c r="F2295" s="650">
        <v>17843.48</v>
      </c>
      <c r="G2295" s="650">
        <f>+F2295*2.2</f>
        <v>39255.656000000003</v>
      </c>
      <c r="H2295" s="652" t="s">
        <v>70</v>
      </c>
      <c r="J2295" s="649">
        <v>42196</v>
      </c>
      <c r="K2295" s="564" t="s">
        <v>384</v>
      </c>
      <c r="L2295" s="649">
        <v>42288</v>
      </c>
      <c r="R2295" s="649">
        <v>42288</v>
      </c>
      <c r="S2295" s="649">
        <v>42429</v>
      </c>
    </row>
    <row r="2296" spans="1:19" s="652" customFormat="1" x14ac:dyDescent="0.2">
      <c r="A2296" s="649"/>
      <c r="B2296" s="775"/>
      <c r="C2296" s="646"/>
      <c r="E2296" s="658"/>
      <c r="F2296" s="650"/>
      <c r="G2296" s="650"/>
      <c r="J2296" s="649"/>
      <c r="K2296" s="564"/>
      <c r="L2296" s="649"/>
      <c r="R2296" s="649"/>
      <c r="S2296" s="649"/>
    </row>
    <row r="2297" spans="1:19" s="652" customFormat="1" x14ac:dyDescent="0.2">
      <c r="A2297" s="649"/>
      <c r="B2297" s="775"/>
      <c r="C2297" s="646"/>
      <c r="E2297" s="658"/>
      <c r="F2297" s="650"/>
      <c r="G2297" s="650"/>
      <c r="J2297" s="649"/>
      <c r="K2297" s="564"/>
      <c r="L2297" s="649"/>
      <c r="R2297" s="649"/>
      <c r="S2297" s="649"/>
    </row>
    <row r="2298" spans="1:19" s="652" customFormat="1" x14ac:dyDescent="0.2">
      <c r="A2298" s="649"/>
      <c r="B2298" s="775"/>
      <c r="C2298" s="646"/>
      <c r="E2298" s="658"/>
      <c r="F2298" s="650"/>
      <c r="G2298" s="650"/>
      <c r="J2298" s="649"/>
      <c r="K2298" s="564"/>
      <c r="L2298" s="649"/>
      <c r="R2298" s="649"/>
      <c r="S2298" s="649"/>
    </row>
    <row r="2299" spans="1:19" s="652" customFormat="1" x14ac:dyDescent="0.2">
      <c r="A2299" s="649"/>
      <c r="B2299" s="775"/>
      <c r="C2299" s="646"/>
      <c r="E2299" s="1820" t="s">
        <v>1251</v>
      </c>
      <c r="F2299" s="1820"/>
      <c r="G2299" s="650"/>
      <c r="J2299" s="649"/>
      <c r="K2299" s="564"/>
      <c r="L2299" s="649"/>
      <c r="R2299" s="649"/>
      <c r="S2299" s="649"/>
    </row>
    <row r="2300" spans="1:19" s="1437" customFormat="1" x14ac:dyDescent="0.2">
      <c r="A2300" s="1428">
        <v>42343</v>
      </c>
      <c r="B2300" s="1429">
        <v>920</v>
      </c>
      <c r="C2300" s="1430" t="s">
        <v>145</v>
      </c>
      <c r="D2300" s="744">
        <v>28</v>
      </c>
      <c r="E2300" s="744"/>
      <c r="F2300" s="1431">
        <v>19275.72</v>
      </c>
      <c r="G2300" s="1432">
        <f>+F2300*2.2</f>
        <v>42406.584000000003</v>
      </c>
      <c r="H2300" s="1433" t="s">
        <v>330</v>
      </c>
      <c r="I2300" s="1434"/>
      <c r="J2300" s="1435">
        <v>42327</v>
      </c>
      <c r="K2300" s="744" t="s">
        <v>384</v>
      </c>
      <c r="L2300" s="1436">
        <v>42419</v>
      </c>
      <c r="N2300" s="1438"/>
      <c r="S2300" s="1428">
        <v>42419</v>
      </c>
    </row>
    <row r="2301" spans="1:19" s="1437" customFormat="1" x14ac:dyDescent="0.2">
      <c r="A2301" s="1428"/>
      <c r="B2301" s="1429"/>
      <c r="C2301" s="1430" t="s">
        <v>712</v>
      </c>
      <c r="D2301" s="744"/>
      <c r="E2301" s="744"/>
      <c r="F2301" s="1431">
        <v>31000</v>
      </c>
      <c r="G2301" s="1432">
        <f>+F2301*2.2</f>
        <v>68200</v>
      </c>
      <c r="H2301" s="1433" t="s">
        <v>330</v>
      </c>
      <c r="I2301" s="1434"/>
      <c r="J2301" s="1435"/>
      <c r="K2301" s="744"/>
      <c r="L2301" s="1436"/>
      <c r="N2301" s="1438"/>
      <c r="S2301" s="1428"/>
    </row>
    <row r="2302" spans="1:19" s="1437" customFormat="1" x14ac:dyDescent="0.2">
      <c r="A2302" s="1428"/>
      <c r="B2302" s="1429"/>
      <c r="C2302" s="1430"/>
      <c r="D2302" s="744"/>
      <c r="E2302" s="744"/>
      <c r="F2302" s="1431"/>
      <c r="G2302" s="1432"/>
      <c r="H2302" s="1433"/>
      <c r="I2302" s="1434"/>
      <c r="J2302" s="1435"/>
      <c r="K2302" s="744"/>
      <c r="L2302" s="1436"/>
      <c r="N2302" s="1438"/>
      <c r="S2302" s="1428"/>
    </row>
    <row r="2303" spans="1:19" s="1437" customFormat="1" x14ac:dyDescent="0.2">
      <c r="A2303" s="1428"/>
      <c r="B2303" s="1429"/>
      <c r="C2303" s="1430"/>
      <c r="D2303" s="744"/>
      <c r="E2303" s="744"/>
      <c r="F2303" s="1431"/>
      <c r="G2303" s="1432"/>
      <c r="H2303" s="1433"/>
      <c r="I2303" s="1434"/>
      <c r="J2303" s="1435"/>
      <c r="K2303" s="744"/>
      <c r="L2303" s="1436"/>
      <c r="N2303" s="1438"/>
      <c r="S2303" s="1428"/>
    </row>
    <row r="2304" spans="1:19" s="1437" customFormat="1" ht="12" customHeight="1" x14ac:dyDescent="0.2">
      <c r="A2304" s="1428"/>
      <c r="B2304" s="1429"/>
      <c r="C2304" s="1430"/>
      <c r="D2304" s="744"/>
      <c r="E2304" s="744"/>
      <c r="F2304" s="1431"/>
      <c r="G2304" s="1432"/>
      <c r="H2304" s="1433"/>
      <c r="I2304" s="1434"/>
      <c r="J2304" s="1435"/>
      <c r="K2304" s="744"/>
      <c r="L2304" s="1436"/>
      <c r="N2304" s="1438"/>
      <c r="S2304" s="1428"/>
    </row>
    <row r="2305" spans="1:19" s="652" customFormat="1" x14ac:dyDescent="0.2">
      <c r="A2305" s="649"/>
      <c r="B2305" s="775"/>
      <c r="C2305" s="646"/>
      <c r="E2305" s="658"/>
      <c r="F2305" s="650"/>
      <c r="G2305" s="650"/>
      <c r="J2305" s="649"/>
      <c r="K2305" s="564"/>
      <c r="L2305" s="649"/>
      <c r="R2305" s="649"/>
      <c r="S2305" s="649"/>
    </row>
    <row r="2306" spans="1:19" s="652" customFormat="1" ht="23.25" x14ac:dyDescent="0.35">
      <c r="A2306" s="649"/>
      <c r="B2306" s="775"/>
      <c r="C2306" s="646"/>
      <c r="D2306" s="1821" t="s">
        <v>1256</v>
      </c>
      <c r="E2306" s="1821"/>
      <c r="F2306" s="1821"/>
      <c r="G2306" s="650"/>
      <c r="J2306" s="649"/>
      <c r="K2306" s="564"/>
      <c r="L2306" s="649"/>
      <c r="R2306" s="649"/>
      <c r="S2306" s="649"/>
    </row>
    <row r="2307" spans="1:19" s="652" customFormat="1" ht="23.25" x14ac:dyDescent="0.35">
      <c r="A2307" s="649"/>
      <c r="B2307" s="775"/>
      <c r="C2307" s="646"/>
      <c r="D2307" s="1441"/>
      <c r="E2307" s="1441"/>
      <c r="F2307" s="1441"/>
      <c r="G2307" s="650"/>
      <c r="J2307" s="649"/>
      <c r="K2307" s="564"/>
      <c r="L2307" s="649"/>
      <c r="R2307" s="649"/>
      <c r="S2307" s="649"/>
    </row>
    <row r="2308" spans="1:19" s="652" customFormat="1" ht="23.25" x14ac:dyDescent="0.35">
      <c r="A2308" s="649"/>
      <c r="B2308" s="775"/>
      <c r="C2308" s="646"/>
      <c r="D2308" s="1441"/>
      <c r="E2308" s="1441"/>
      <c r="F2308" s="1441"/>
      <c r="G2308" s="650"/>
      <c r="J2308" s="649"/>
      <c r="K2308" s="564"/>
      <c r="L2308" s="649"/>
      <c r="R2308" s="649"/>
      <c r="S2308" s="649"/>
    </row>
    <row r="2309" spans="1:19" x14ac:dyDescent="0.2">
      <c r="E2309" s="483" t="s">
        <v>1248</v>
      </c>
    </row>
    <row r="2311" spans="1:19" s="603" customFormat="1" x14ac:dyDescent="0.2">
      <c r="A2311" s="607">
        <v>42355</v>
      </c>
      <c r="B2311" s="773">
        <v>922</v>
      </c>
      <c r="C2311" s="637" t="s">
        <v>49</v>
      </c>
      <c r="D2311" s="612"/>
      <c r="E2311" s="612"/>
      <c r="F2311" s="600">
        <v>7886.14</v>
      </c>
      <c r="G2311" s="601">
        <f t="shared" ref="G2311:G2316" si="35">+F2311*2.2</f>
        <v>17349.508000000002</v>
      </c>
      <c r="H2311" s="610" t="s">
        <v>330</v>
      </c>
      <c r="I2311" s="599"/>
      <c r="J2311" s="639">
        <v>42341</v>
      </c>
      <c r="K2311" s="597" t="s">
        <v>384</v>
      </c>
      <c r="L2311" s="639"/>
      <c r="N2311" s="606"/>
      <c r="S2311" s="578">
        <v>42432</v>
      </c>
    </row>
    <row r="2312" spans="1:19" s="575" customFormat="1" x14ac:dyDescent="0.2">
      <c r="A2312" s="578">
        <v>42361</v>
      </c>
      <c r="B2312" s="640">
        <v>927</v>
      </c>
      <c r="C2312" s="637" t="s">
        <v>603</v>
      </c>
      <c r="D2312" s="597"/>
      <c r="E2312" s="597"/>
      <c r="F2312" s="600">
        <v>5455.94</v>
      </c>
      <c r="G2312" s="601">
        <f t="shared" si="35"/>
        <v>12003.067999999999</v>
      </c>
      <c r="H2312" s="485" t="s">
        <v>70</v>
      </c>
      <c r="I2312" s="485"/>
      <c r="J2312" s="602">
        <v>42348</v>
      </c>
      <c r="K2312" s="597" t="s">
        <v>384</v>
      </c>
      <c r="L2312" s="602">
        <v>42439</v>
      </c>
      <c r="N2312" s="485"/>
      <c r="S2312" s="578">
        <v>42439</v>
      </c>
    </row>
    <row r="2313" spans="1:19" ht="15.75" customHeight="1" x14ac:dyDescent="0.2">
      <c r="A2313" s="607">
        <v>42305</v>
      </c>
      <c r="B2313" s="767"/>
      <c r="C2313" s="1424" t="s">
        <v>478</v>
      </c>
      <c r="D2313" s="612"/>
      <c r="E2313" s="612"/>
      <c r="F2313" s="600">
        <v>2619.3000000000002</v>
      </c>
      <c r="G2313" s="601">
        <f t="shared" si="35"/>
        <v>5762.4600000000009</v>
      </c>
      <c r="H2313" s="610" t="s">
        <v>70</v>
      </c>
      <c r="I2313" s="599"/>
      <c r="J2313" s="762">
        <v>42348</v>
      </c>
      <c r="K2313" s="759" t="s">
        <v>384</v>
      </c>
      <c r="L2313" s="762">
        <v>42439</v>
      </c>
      <c r="M2313" s="603"/>
      <c r="S2313" s="94">
        <v>42439</v>
      </c>
    </row>
    <row r="2314" spans="1:19" x14ac:dyDescent="0.2">
      <c r="A2314" s="607">
        <v>42311</v>
      </c>
      <c r="B2314" s="767"/>
      <c r="C2314" s="1424" t="s">
        <v>187</v>
      </c>
      <c r="D2314" s="612"/>
      <c r="E2314" s="612"/>
      <c r="F2314" s="600">
        <v>3746.76</v>
      </c>
      <c r="G2314" s="601">
        <f t="shared" si="35"/>
        <v>8242.8720000000012</v>
      </c>
      <c r="H2314" s="485" t="s">
        <v>330</v>
      </c>
      <c r="I2314" s="599"/>
      <c r="J2314" s="762">
        <v>42350</v>
      </c>
      <c r="K2314" s="759" t="s">
        <v>384</v>
      </c>
      <c r="L2314" s="762">
        <v>42441</v>
      </c>
      <c r="M2314" s="603"/>
      <c r="S2314" s="569">
        <v>42441</v>
      </c>
    </row>
    <row r="2315" spans="1:19" x14ac:dyDescent="0.2">
      <c r="A2315" s="607">
        <v>42363</v>
      </c>
      <c r="B2315" s="767"/>
      <c r="C2315" s="637" t="s">
        <v>177</v>
      </c>
      <c r="D2315" s="612" t="s">
        <v>1226</v>
      </c>
      <c r="E2315" s="612"/>
      <c r="F2315" s="600">
        <v>4809.8500000000004</v>
      </c>
      <c r="G2315" s="600">
        <f t="shared" si="35"/>
        <v>10581.670000000002</v>
      </c>
      <c r="H2315" s="606"/>
      <c r="I2315" s="599"/>
      <c r="J2315" s="1069">
        <v>42384</v>
      </c>
      <c r="K2315" s="598" t="s">
        <v>500</v>
      </c>
      <c r="L2315" s="1069">
        <v>42444</v>
      </c>
      <c r="M2315" s="603"/>
      <c r="S2315" s="94">
        <v>42444</v>
      </c>
    </row>
    <row r="2316" spans="1:19" x14ac:dyDescent="0.2">
      <c r="A2316" s="607">
        <v>42334</v>
      </c>
      <c r="B2316" s="767"/>
      <c r="C2316" s="637" t="s">
        <v>223</v>
      </c>
      <c r="D2316" s="612"/>
      <c r="E2316" s="612"/>
      <c r="F2316" s="600">
        <v>14269.24</v>
      </c>
      <c r="G2316" s="600">
        <f t="shared" si="35"/>
        <v>31392.328000000001</v>
      </c>
      <c r="H2316" s="606"/>
      <c r="I2316" s="599"/>
      <c r="J2316" s="1069">
        <v>42400</v>
      </c>
      <c r="K2316" s="598" t="s">
        <v>500</v>
      </c>
      <c r="L2316" s="1069">
        <v>42460</v>
      </c>
      <c r="M2316" s="603"/>
      <c r="S2316" s="94">
        <v>42460</v>
      </c>
    </row>
    <row r="2317" spans="1:19" x14ac:dyDescent="0.2">
      <c r="F2317" s="1439" t="s">
        <v>888</v>
      </c>
      <c r="G2317" s="1440">
        <f>+G2309+G2310+G2311+G2312+G2313+G2314+G2315+G2316</f>
        <v>85331.906000000017</v>
      </c>
    </row>
    <row r="2319" spans="1:19" s="652" customFormat="1" x14ac:dyDescent="0.2">
      <c r="A2319" s="649"/>
      <c r="B2319" s="658"/>
      <c r="C2319" s="646"/>
      <c r="D2319" s="646"/>
      <c r="E2319" s="646"/>
      <c r="F2319" s="650"/>
      <c r="G2319" s="659"/>
      <c r="J2319" s="660"/>
      <c r="K2319" s="646"/>
      <c r="L2319" s="660"/>
      <c r="P2319" s="649"/>
      <c r="Q2319" s="649"/>
      <c r="R2319" s="649"/>
      <c r="S2319" s="649"/>
    </row>
    <row r="2320" spans="1:19" s="652" customFormat="1" x14ac:dyDescent="0.2">
      <c r="A2320" s="649"/>
      <c r="B2320" s="658"/>
      <c r="C2320" s="646"/>
      <c r="D2320" s="646"/>
      <c r="E2320" s="646"/>
      <c r="F2320" s="650"/>
      <c r="G2320" s="659"/>
      <c r="J2320" s="660"/>
      <c r="K2320" s="646"/>
      <c r="L2320" s="660"/>
      <c r="P2320" s="649"/>
      <c r="Q2320" s="649"/>
      <c r="R2320" s="649"/>
      <c r="S2320" s="649"/>
    </row>
    <row r="2321" spans="1:20" s="652" customFormat="1" x14ac:dyDescent="0.2">
      <c r="A2321" s="649"/>
      <c r="B2321" s="658"/>
      <c r="C2321" s="646"/>
      <c r="D2321" s="646"/>
      <c r="E2321" s="483" t="s">
        <v>1249</v>
      </c>
      <c r="F2321" s="650"/>
      <c r="G2321" s="659"/>
      <c r="I2321" s="789"/>
      <c r="J2321" s="660"/>
      <c r="K2321" s="646"/>
      <c r="L2321" s="660"/>
      <c r="P2321" s="649"/>
      <c r="Q2321" s="649"/>
      <c r="R2321" s="649"/>
      <c r="S2321" s="649"/>
    </row>
    <row r="2322" spans="1:20" s="652" customFormat="1" x14ac:dyDescent="0.2">
      <c r="A2322" s="649"/>
      <c r="B2322" s="658"/>
      <c r="C2322" s="646"/>
      <c r="D2322" s="646"/>
      <c r="E2322" s="646"/>
      <c r="F2322" s="650"/>
      <c r="G2322" s="659"/>
      <c r="J2322" s="660"/>
      <c r="K2322" s="646"/>
      <c r="L2322" s="660"/>
      <c r="P2322" s="649"/>
      <c r="Q2322" s="649"/>
      <c r="R2322" s="649"/>
      <c r="S2322" s="649"/>
    </row>
    <row r="2323" spans="1:20" s="652" customFormat="1" x14ac:dyDescent="0.2">
      <c r="A2323" s="649">
        <v>42137</v>
      </c>
      <c r="B2323" s="658">
        <v>865</v>
      </c>
      <c r="C2323" s="646" t="s">
        <v>379</v>
      </c>
      <c r="D2323" s="646"/>
      <c r="E2323" s="646">
        <v>11</v>
      </c>
      <c r="F2323" s="650">
        <v>10619.85</v>
      </c>
      <c r="G2323" s="659">
        <f>+F2323*2.2</f>
        <v>23363.670000000002</v>
      </c>
      <c r="H2323" s="652" t="s">
        <v>330</v>
      </c>
      <c r="J2323" s="660">
        <v>42116</v>
      </c>
      <c r="K2323" s="646" t="s">
        <v>500</v>
      </c>
      <c r="L2323" s="660">
        <v>42177</v>
      </c>
      <c r="P2323" s="649">
        <v>42177</v>
      </c>
      <c r="Q2323" s="649">
        <v>42262</v>
      </c>
      <c r="R2323" s="649">
        <v>42352</v>
      </c>
      <c r="S2323" s="649">
        <v>42443</v>
      </c>
    </row>
    <row r="2326" spans="1:20" x14ac:dyDescent="0.2">
      <c r="E2326" s="1822" t="s">
        <v>1250</v>
      </c>
      <c r="F2326" s="1822"/>
    </row>
    <row r="2328" spans="1:20" s="652" customFormat="1" x14ac:dyDescent="0.2">
      <c r="A2328" s="649">
        <v>42244</v>
      </c>
      <c r="B2328" s="646">
        <v>899</v>
      </c>
      <c r="C2328" s="646" t="s">
        <v>208</v>
      </c>
      <c r="E2328" s="658">
        <v>15</v>
      </c>
      <c r="F2328" s="650">
        <v>10888.76</v>
      </c>
      <c r="G2328" s="650">
        <f>+F2328*2.2</f>
        <v>23955.272000000001</v>
      </c>
      <c r="H2328" s="652" t="s">
        <v>330</v>
      </c>
      <c r="J2328" s="649">
        <v>42221</v>
      </c>
      <c r="K2328" s="658" t="s">
        <v>500</v>
      </c>
      <c r="L2328" s="660">
        <v>42282</v>
      </c>
      <c r="Q2328" s="649">
        <v>42282</v>
      </c>
      <c r="R2328" s="649">
        <v>42345</v>
      </c>
      <c r="S2328" s="649">
        <v>42430</v>
      </c>
    </row>
    <row r="2329" spans="1:20" s="652" customFormat="1" x14ac:dyDescent="0.2">
      <c r="A2329" s="649">
        <v>42343</v>
      </c>
      <c r="B2329" s="657">
        <v>921</v>
      </c>
      <c r="C2329" s="658" t="s">
        <v>836</v>
      </c>
      <c r="D2329" s="646">
        <v>3</v>
      </c>
      <c r="E2329" s="646"/>
      <c r="F2329" s="650">
        <v>32668.33</v>
      </c>
      <c r="G2329" s="659">
        <f>+F2329*2.2</f>
        <v>71870.326000000015</v>
      </c>
      <c r="H2329" s="573" t="s">
        <v>72</v>
      </c>
      <c r="I2329" s="720"/>
      <c r="J2329" s="720"/>
      <c r="K2329" s="564" t="s">
        <v>272</v>
      </c>
      <c r="L2329" s="718"/>
      <c r="M2329" s="649"/>
      <c r="N2329" s="573"/>
      <c r="O2329" s="649"/>
      <c r="S2329" s="649">
        <v>42432</v>
      </c>
      <c r="T2329" s="649"/>
    </row>
    <row r="2330" spans="1:20" s="652" customFormat="1" x14ac:dyDescent="0.2">
      <c r="A2330" s="649">
        <v>42231</v>
      </c>
      <c r="B2330" s="775">
        <v>895</v>
      </c>
      <c r="C2330" s="646" t="s">
        <v>171</v>
      </c>
      <c r="E2330" s="658">
        <v>15</v>
      </c>
      <c r="F2330" s="650">
        <v>22735</v>
      </c>
      <c r="G2330" s="650">
        <f>+F2330*2.2</f>
        <v>50017.000000000007</v>
      </c>
      <c r="H2330" s="573" t="s">
        <v>330</v>
      </c>
      <c r="J2330" s="649">
        <v>42189</v>
      </c>
      <c r="K2330" s="564" t="s">
        <v>500</v>
      </c>
      <c r="L2330" s="649">
        <v>42251</v>
      </c>
      <c r="Q2330" s="649">
        <v>42251</v>
      </c>
      <c r="R2330" s="649">
        <v>42345</v>
      </c>
      <c r="S2330" s="649">
        <v>42436</v>
      </c>
    </row>
    <row r="2331" spans="1:20" s="652" customFormat="1" x14ac:dyDescent="0.2">
      <c r="A2331" s="649">
        <v>42296</v>
      </c>
      <c r="B2331" s="775">
        <v>911</v>
      </c>
      <c r="C2331" s="646" t="s">
        <v>848</v>
      </c>
      <c r="D2331" s="646"/>
      <c r="E2331" s="646">
        <v>38</v>
      </c>
      <c r="F2331" s="650">
        <v>115210.76</v>
      </c>
      <c r="G2331" s="650">
        <f>F2331*2.208/3</f>
        <v>84795.119359999997</v>
      </c>
      <c r="H2331" s="573" t="s">
        <v>113</v>
      </c>
      <c r="I2331" s="720"/>
      <c r="J2331" s="720"/>
      <c r="K2331" s="564" t="s">
        <v>250</v>
      </c>
      <c r="L2331" s="651">
        <v>42374</v>
      </c>
      <c r="N2331" s="573"/>
      <c r="R2331" s="649">
        <v>42380</v>
      </c>
      <c r="S2331" s="649">
        <v>42440</v>
      </c>
    </row>
    <row r="2332" spans="1:20" s="652" customFormat="1" x14ac:dyDescent="0.2">
      <c r="A2332" s="649">
        <v>42361</v>
      </c>
      <c r="B2332" s="658">
        <v>928</v>
      </c>
      <c r="C2332" s="646" t="s">
        <v>324</v>
      </c>
      <c r="D2332" s="646"/>
      <c r="E2332" s="646">
        <v>5</v>
      </c>
      <c r="F2332" s="650">
        <v>21057</v>
      </c>
      <c r="G2332" s="650">
        <v>25000</v>
      </c>
      <c r="H2332" s="573" t="s">
        <v>72</v>
      </c>
      <c r="I2332" s="720"/>
      <c r="J2332" s="720"/>
      <c r="K2332" s="564" t="s">
        <v>250</v>
      </c>
      <c r="L2332" s="684">
        <v>42436</v>
      </c>
      <c r="N2332" s="573"/>
      <c r="S2332" s="649">
        <v>42443</v>
      </c>
      <c r="T2332" s="652" t="s">
        <v>1203</v>
      </c>
    </row>
    <row r="2334" spans="1:20" x14ac:dyDescent="0.2">
      <c r="E2334" s="1820"/>
      <c r="F2334" s="1820"/>
    </row>
    <row r="2343" spans="1:13" x14ac:dyDescent="0.2">
      <c r="A2343" s="649">
        <v>42360</v>
      </c>
      <c r="B2343" s="684"/>
      <c r="C2343" s="658" t="s">
        <v>166</v>
      </c>
      <c r="D2343" s="646"/>
      <c r="E2343" s="646"/>
      <c r="F2343" s="650">
        <v>51220.800000000003</v>
      </c>
      <c r="G2343" s="659">
        <f>+F2343*2.2</f>
        <v>112685.76000000001</v>
      </c>
      <c r="H2343" s="573" t="s">
        <v>330</v>
      </c>
      <c r="I2343" s="720"/>
      <c r="J2343" s="720"/>
      <c r="K2343" s="564" t="s">
        <v>250</v>
      </c>
      <c r="L2343" s="721">
        <v>42397</v>
      </c>
      <c r="M2343" s="652"/>
    </row>
    <row r="2344" spans="1:13" x14ac:dyDescent="0.2">
      <c r="A2344" s="649">
        <v>42360</v>
      </c>
      <c r="B2344" s="684"/>
      <c r="C2344" s="658" t="s">
        <v>166</v>
      </c>
      <c r="D2344" s="646"/>
      <c r="E2344" s="646"/>
      <c r="F2344" s="650">
        <v>50542.84</v>
      </c>
      <c r="G2344" s="659">
        <f>+F2344*2.2</f>
        <v>111194.24800000001</v>
      </c>
      <c r="H2344" s="573" t="s">
        <v>113</v>
      </c>
      <c r="I2344" s="720"/>
      <c r="J2344" s="720"/>
      <c r="K2344" s="564" t="s">
        <v>250</v>
      </c>
      <c r="L2344" s="721">
        <v>42415</v>
      </c>
      <c r="M2344" s="652"/>
    </row>
    <row r="2345" spans="1:13" x14ac:dyDescent="0.2">
      <c r="A2345" s="607">
        <v>42359</v>
      </c>
      <c r="B2345" s="767"/>
      <c r="C2345" s="637" t="s">
        <v>174</v>
      </c>
      <c r="D2345" s="612" t="s">
        <v>1225</v>
      </c>
      <c r="E2345" s="612"/>
      <c r="F2345" s="600">
        <v>4659</v>
      </c>
      <c r="G2345" s="601">
        <f>+F2345*2.2</f>
        <v>10249.800000000001</v>
      </c>
      <c r="H2345" s="606"/>
      <c r="I2345" s="599"/>
      <c r="J2345" s="1069">
        <v>42384</v>
      </c>
      <c r="K2345" s="598" t="s">
        <v>384</v>
      </c>
      <c r="L2345" s="1069">
        <v>42475</v>
      </c>
      <c r="M2345" s="603"/>
    </row>
    <row r="2346" spans="1:13" x14ac:dyDescent="0.2">
      <c r="A2346" s="607">
        <v>42361</v>
      </c>
      <c r="B2346" s="767"/>
      <c r="C2346" s="637" t="s">
        <v>173</v>
      </c>
      <c r="D2346" s="612" t="s">
        <v>1225</v>
      </c>
      <c r="E2346" s="612"/>
      <c r="F2346" s="600">
        <v>3263.09</v>
      </c>
      <c r="G2346" s="600">
        <f>+F2346*2.2</f>
        <v>7178.7980000000007</v>
      </c>
      <c r="H2346" s="606"/>
      <c r="I2346" s="599"/>
      <c r="J2346" s="1069">
        <v>42384</v>
      </c>
      <c r="K2346" s="598" t="s">
        <v>384</v>
      </c>
      <c r="L2346" s="1069">
        <v>42475</v>
      </c>
      <c r="M2346" s="603"/>
    </row>
    <row r="2347" spans="1:13" x14ac:dyDescent="0.2">
      <c r="A2347" s="607">
        <v>42368</v>
      </c>
      <c r="B2347" s="767"/>
      <c r="C2347" s="637" t="s">
        <v>172</v>
      </c>
      <c r="D2347" s="612">
        <v>25</v>
      </c>
      <c r="E2347" s="612"/>
      <c r="F2347" s="600">
        <v>4218.4799999999996</v>
      </c>
      <c r="G2347" s="600">
        <f>+F2347*1.95</f>
        <v>8226.0359999999982</v>
      </c>
      <c r="H2347" s="606"/>
      <c r="I2347" s="599"/>
      <c r="J2347" s="1069">
        <v>42394</v>
      </c>
      <c r="K2347" s="598" t="s">
        <v>384</v>
      </c>
      <c r="L2347" s="1069">
        <v>42485</v>
      </c>
      <c r="M2347" s="603"/>
    </row>
    <row r="2348" spans="1:13" x14ac:dyDescent="0.2">
      <c r="A2348" s="607">
        <v>42318</v>
      </c>
      <c r="B2348" s="767"/>
      <c r="C2348" s="637" t="s">
        <v>1165</v>
      </c>
      <c r="D2348" s="612"/>
      <c r="E2348" s="612"/>
      <c r="F2348" s="600">
        <v>2336.4</v>
      </c>
      <c r="G2348" s="601">
        <f>+F2348*2.2</f>
        <v>5140.0800000000008</v>
      </c>
      <c r="H2348" s="606"/>
      <c r="I2348" s="599"/>
      <c r="J2348" s="1069">
        <v>42415</v>
      </c>
      <c r="K2348" s="598" t="s">
        <v>500</v>
      </c>
      <c r="L2348" s="1069">
        <v>42475</v>
      </c>
      <c r="M2348" s="603"/>
    </row>
    <row r="2349" spans="1:13" x14ac:dyDescent="0.2">
      <c r="A2349" s="607">
        <v>42335</v>
      </c>
      <c r="B2349" s="767"/>
      <c r="C2349" s="637" t="s">
        <v>139</v>
      </c>
      <c r="D2349" s="612"/>
      <c r="E2349" s="612"/>
      <c r="F2349" s="600">
        <v>8160.94</v>
      </c>
      <c r="G2349" s="601">
        <f>+F2349*2.2</f>
        <v>17954.067999999999</v>
      </c>
      <c r="H2349" s="606"/>
      <c r="I2349" s="599"/>
      <c r="J2349" s="1069">
        <v>42405</v>
      </c>
      <c r="K2349" s="598" t="s">
        <v>384</v>
      </c>
      <c r="L2349" s="1069">
        <v>42495</v>
      </c>
      <c r="M2349" s="603"/>
    </row>
    <row r="2350" spans="1:13" x14ac:dyDescent="0.2">
      <c r="A2350" s="607">
        <v>42378</v>
      </c>
      <c r="B2350" s="767"/>
      <c r="C2350" s="637" t="s">
        <v>713</v>
      </c>
      <c r="D2350" s="612"/>
      <c r="E2350" s="612"/>
      <c r="F2350" s="600">
        <v>5440.66</v>
      </c>
      <c r="G2350" s="601">
        <f>+F2350*2.2</f>
        <v>11969.452000000001</v>
      </c>
      <c r="H2350" s="606"/>
      <c r="I2350" s="599"/>
      <c r="J2350" s="1069">
        <v>42405</v>
      </c>
      <c r="K2350" s="598" t="s">
        <v>384</v>
      </c>
      <c r="L2350" s="1069">
        <v>42495</v>
      </c>
      <c r="M2350" s="603"/>
    </row>
    <row r="2351" spans="1:13" x14ac:dyDescent="0.2">
      <c r="A2351" s="607"/>
      <c r="B2351" s="767"/>
      <c r="C2351" s="637"/>
      <c r="D2351" s="612"/>
      <c r="E2351" s="612"/>
      <c r="F2351" s="604"/>
      <c r="G2351" s="605"/>
      <c r="H2351" s="606"/>
      <c r="I2351" s="599"/>
      <c r="J2351" s="599"/>
      <c r="K2351" s="598"/>
      <c r="L2351" s="599"/>
      <c r="M2351" s="603"/>
    </row>
    <row r="2370" spans="1:19" x14ac:dyDescent="0.2">
      <c r="A2370" s="607">
        <v>42464</v>
      </c>
      <c r="B2370" s="773">
        <v>957</v>
      </c>
      <c r="C2370" s="637" t="s">
        <v>478</v>
      </c>
      <c r="D2370" s="612"/>
      <c r="E2370" s="612"/>
      <c r="F2370" s="600">
        <v>5287.35</v>
      </c>
      <c r="G2370" s="601">
        <f>+F2370*2.25</f>
        <v>11896.5375</v>
      </c>
      <c r="H2370" s="485" t="s">
        <v>113</v>
      </c>
      <c r="I2370" s="485"/>
      <c r="J2370" s="602">
        <v>42452</v>
      </c>
      <c r="K2370" s="597" t="s">
        <v>384</v>
      </c>
      <c r="L2370" s="602">
        <v>42544</v>
      </c>
      <c r="M2370" s="603"/>
      <c r="N2370" s="606"/>
      <c r="O2370" s="603"/>
      <c r="P2370" s="603"/>
      <c r="Q2370" s="603"/>
      <c r="R2370" s="603"/>
      <c r="S2370" s="578">
        <v>42544</v>
      </c>
    </row>
    <row r="2371" spans="1:19" x14ac:dyDescent="0.2">
      <c r="A2371" s="94">
        <v>42503</v>
      </c>
      <c r="B2371" s="934">
        <v>973</v>
      </c>
      <c r="C2371" s="637" t="s">
        <v>185</v>
      </c>
      <c r="F2371" s="600">
        <v>4070.47</v>
      </c>
      <c r="G2371" s="601">
        <f>+F2371*2.25</f>
        <v>9158.557499999999</v>
      </c>
      <c r="H2371" s="483" t="s">
        <v>113</v>
      </c>
      <c r="J2371" s="94">
        <v>42486</v>
      </c>
      <c r="K2371" s="568" t="s">
        <v>500</v>
      </c>
      <c r="L2371" s="793">
        <v>42547</v>
      </c>
      <c r="S2371" s="94">
        <v>42547</v>
      </c>
    </row>
    <row r="2372" spans="1:19" x14ac:dyDescent="0.2">
      <c r="A2372" s="94"/>
      <c r="B2372" s="934"/>
      <c r="C2372" s="637"/>
      <c r="F2372" s="600"/>
      <c r="G2372" s="601"/>
      <c r="H2372" s="483"/>
      <c r="J2372" s="94"/>
      <c r="K2372" s="568"/>
      <c r="L2372" s="793"/>
      <c r="S2372" s="94"/>
    </row>
    <row r="2373" spans="1:19" x14ac:dyDescent="0.2">
      <c r="A2373" s="94"/>
      <c r="B2373" s="934"/>
      <c r="C2373" s="637"/>
      <c r="F2373" s="600"/>
      <c r="G2373" s="601"/>
      <c r="H2373" s="483"/>
      <c r="J2373" s="94"/>
      <c r="K2373" s="568"/>
      <c r="L2373" s="793"/>
      <c r="S2373" s="94"/>
    </row>
    <row r="2374" spans="1:19" x14ac:dyDescent="0.2">
      <c r="A2374" s="94"/>
      <c r="B2374" s="934"/>
      <c r="C2374" s="637"/>
      <c r="F2374" s="600"/>
      <c r="G2374" s="601"/>
      <c r="H2374" s="483"/>
      <c r="J2374" s="94"/>
      <c r="K2374" s="568"/>
      <c r="L2374" s="793"/>
    </row>
    <row r="2375" spans="1:19" x14ac:dyDescent="0.2">
      <c r="A2375" s="649"/>
      <c r="B2375" s="658"/>
      <c r="C2375" s="646"/>
      <c r="D2375" s="646"/>
      <c r="E2375" s="646"/>
      <c r="F2375" s="650"/>
      <c r="G2375" s="650"/>
      <c r="H2375" s="812"/>
      <c r="I2375" s="1498"/>
      <c r="J2375" s="1450"/>
      <c r="K2375" s="564"/>
      <c r="L2375" s="1075"/>
      <c r="M2375" s="652"/>
      <c r="N2375" s="573"/>
      <c r="O2375" s="652"/>
      <c r="P2375" s="652"/>
      <c r="Q2375" s="652"/>
      <c r="R2375" s="649"/>
      <c r="S2375" s="649"/>
    </row>
    <row r="2376" spans="1:19" x14ac:dyDescent="0.2">
      <c r="A2376" s="569">
        <v>42476</v>
      </c>
      <c r="B2376" s="568">
        <v>964</v>
      </c>
      <c r="C2376" s="637" t="s">
        <v>49</v>
      </c>
      <c r="D2376" s="483"/>
      <c r="E2376" s="483"/>
      <c r="F2376" s="600">
        <v>14206.08</v>
      </c>
      <c r="G2376" s="601">
        <f>+F2376*2.25</f>
        <v>31963.68</v>
      </c>
      <c r="H2376" s="483" t="s">
        <v>113</v>
      </c>
      <c r="I2376" s="483"/>
      <c r="J2376" s="569">
        <v>42463</v>
      </c>
      <c r="K2376" s="597" t="s">
        <v>700</v>
      </c>
      <c r="L2376" s="569">
        <v>42554</v>
      </c>
      <c r="M2376" s="483"/>
      <c r="N2376" s="483"/>
      <c r="O2376" s="483"/>
      <c r="P2376" s="483"/>
      <c r="Q2376" s="483"/>
      <c r="R2376" s="483"/>
      <c r="S2376" s="569">
        <v>42554</v>
      </c>
    </row>
    <row r="2377" spans="1:19" x14ac:dyDescent="0.2">
      <c r="A2377" s="578">
        <v>42518</v>
      </c>
      <c r="B2377" s="640">
        <v>979</v>
      </c>
      <c r="C2377" s="637" t="s">
        <v>198</v>
      </c>
      <c r="D2377" s="483"/>
      <c r="E2377" s="483"/>
      <c r="F2377" s="600">
        <v>6300</v>
      </c>
      <c r="G2377" s="601">
        <f>+F2377*2.4</f>
        <v>15120</v>
      </c>
      <c r="H2377" s="485" t="s">
        <v>330</v>
      </c>
      <c r="I2377" s="483"/>
      <c r="J2377" s="857">
        <v>42496</v>
      </c>
      <c r="K2377" s="597" t="s">
        <v>500</v>
      </c>
      <c r="L2377" s="569">
        <v>42557</v>
      </c>
      <c r="M2377" s="483"/>
      <c r="N2377" s="483"/>
      <c r="O2377" s="483"/>
      <c r="P2377" s="483"/>
      <c r="Q2377" s="483"/>
      <c r="R2377" s="483"/>
      <c r="S2377" s="569">
        <v>42557</v>
      </c>
    </row>
    <row r="2378" spans="1:19" x14ac:dyDescent="0.2">
      <c r="A2378" s="569">
        <v>42530</v>
      </c>
      <c r="B2378" s="568">
        <v>980</v>
      </c>
      <c r="C2378" s="637" t="s">
        <v>352</v>
      </c>
      <c r="D2378" s="483"/>
      <c r="E2378" s="483"/>
      <c r="F2378" s="600">
        <v>11280</v>
      </c>
      <c r="G2378" s="601">
        <f>+F2378*2.43</f>
        <v>27410.400000000001</v>
      </c>
      <c r="H2378" s="485" t="s">
        <v>70</v>
      </c>
      <c r="I2378" s="483"/>
      <c r="J2378" s="569">
        <v>42500</v>
      </c>
      <c r="K2378" s="597" t="s">
        <v>500</v>
      </c>
      <c r="L2378" s="569">
        <v>42561</v>
      </c>
      <c r="M2378" s="483"/>
      <c r="N2378" s="483"/>
      <c r="O2378" s="483"/>
      <c r="P2378" s="483"/>
      <c r="Q2378" s="483"/>
      <c r="R2378" s="483"/>
      <c r="S2378" s="569">
        <v>42561</v>
      </c>
    </row>
    <row r="2379" spans="1:19" x14ac:dyDescent="0.2">
      <c r="A2379" s="649">
        <v>42296</v>
      </c>
      <c r="B2379" s="775" t="s">
        <v>1300</v>
      </c>
      <c r="C2379" s="646" t="s">
        <v>848</v>
      </c>
      <c r="D2379" s="646"/>
      <c r="E2379" s="646"/>
      <c r="F2379" s="650">
        <v>115210.76</v>
      </c>
      <c r="G2379" s="650">
        <f>F2379*2.208/3</f>
        <v>84795.119359999997</v>
      </c>
      <c r="H2379" s="573" t="s">
        <v>113</v>
      </c>
      <c r="I2379" s="720"/>
      <c r="J2379" s="1450"/>
      <c r="K2379" s="564" t="s">
        <v>250</v>
      </c>
      <c r="L2379" s="1075">
        <v>42374</v>
      </c>
      <c r="M2379" s="652"/>
      <c r="N2379" s="573"/>
      <c r="O2379" s="652"/>
      <c r="P2379" s="652"/>
      <c r="Q2379" s="652"/>
      <c r="R2379" s="649">
        <v>42380</v>
      </c>
      <c r="S2379" s="649">
        <v>42562</v>
      </c>
    </row>
    <row r="2380" spans="1:19" x14ac:dyDescent="0.2">
      <c r="A2380" s="578">
        <v>42488</v>
      </c>
      <c r="B2380" s="640">
        <v>970</v>
      </c>
      <c r="C2380" s="637" t="s">
        <v>285</v>
      </c>
      <c r="D2380" s="597"/>
      <c r="E2380" s="597"/>
      <c r="F2380" s="600">
        <v>4149.16</v>
      </c>
      <c r="G2380" s="601">
        <f>+F2380*2.25</f>
        <v>9335.61</v>
      </c>
      <c r="H2380" s="485" t="s">
        <v>72</v>
      </c>
      <c r="I2380" s="577"/>
      <c r="J2380" s="639">
        <v>42476</v>
      </c>
      <c r="K2380" s="597" t="s">
        <v>384</v>
      </c>
      <c r="L2380" s="639">
        <v>42567</v>
      </c>
      <c r="M2380" s="575"/>
      <c r="N2380" s="485"/>
      <c r="O2380" s="575"/>
      <c r="P2380" s="575"/>
      <c r="Q2380" s="575"/>
      <c r="R2380" s="575"/>
      <c r="S2380" s="578">
        <v>42567</v>
      </c>
    </row>
    <row r="2381" spans="1:19" x14ac:dyDescent="0.2">
      <c r="A2381" s="649">
        <v>42397</v>
      </c>
      <c r="B2381" s="775">
        <v>935</v>
      </c>
      <c r="C2381" s="658" t="s">
        <v>166</v>
      </c>
      <c r="D2381" s="646"/>
      <c r="E2381" s="646"/>
      <c r="F2381" s="650">
        <v>51220.800000000003</v>
      </c>
      <c r="G2381" s="659">
        <f>+F2381*2.22</f>
        <v>113710.17600000002</v>
      </c>
      <c r="H2381" s="573" t="s">
        <v>330</v>
      </c>
      <c r="I2381" s="720"/>
      <c r="J2381" s="1450"/>
      <c r="K2381" s="564" t="s">
        <v>250</v>
      </c>
      <c r="L2381" s="855">
        <v>42397</v>
      </c>
      <c r="M2381" s="652"/>
      <c r="N2381" s="573"/>
      <c r="O2381" s="652"/>
      <c r="P2381" s="652"/>
      <c r="Q2381" s="652"/>
      <c r="R2381" s="649">
        <v>42488</v>
      </c>
      <c r="S2381" s="649">
        <v>42578</v>
      </c>
    </row>
    <row r="2382" spans="1:19" x14ac:dyDescent="0.2">
      <c r="A2382" s="94">
        <v>42515</v>
      </c>
      <c r="B2382" s="934">
        <v>976</v>
      </c>
      <c r="C2382" s="637" t="s">
        <v>173</v>
      </c>
      <c r="F2382" s="600">
        <v>4445.1499999999996</v>
      </c>
      <c r="G2382" s="601">
        <f>+F2382*2.32</f>
        <v>10312.747999999998</v>
      </c>
      <c r="H2382" s="483" t="s">
        <v>330</v>
      </c>
      <c r="J2382" s="793">
        <v>42490</v>
      </c>
      <c r="K2382" s="934" t="s">
        <v>384</v>
      </c>
      <c r="L2382" s="793">
        <v>42581</v>
      </c>
      <c r="S2382" s="94">
        <v>42581</v>
      </c>
    </row>
    <row r="2383" spans="1:19" x14ac:dyDescent="0.2">
      <c r="A2383" s="94"/>
      <c r="B2383" s="934"/>
      <c r="C2383" s="637"/>
      <c r="F2383" s="600"/>
      <c r="G2383" s="601"/>
      <c r="H2383" s="483"/>
      <c r="J2383" s="793"/>
      <c r="K2383" s="934"/>
      <c r="L2383" s="793"/>
      <c r="S2383" s="94"/>
    </row>
    <row r="2384" spans="1:19" x14ac:dyDescent="0.2">
      <c r="A2384" s="94"/>
      <c r="B2384" s="934"/>
      <c r="C2384" s="637"/>
      <c r="F2384" s="600"/>
      <c r="G2384" s="601"/>
      <c r="H2384" s="483"/>
      <c r="J2384" s="793"/>
      <c r="K2384" s="934"/>
      <c r="L2384" s="793"/>
      <c r="S2384" s="94"/>
    </row>
    <row r="2385" spans="1:19" x14ac:dyDescent="0.2">
      <c r="A2385" s="94"/>
      <c r="B2385" s="934"/>
      <c r="C2385" s="637"/>
      <c r="F2385" s="600"/>
      <c r="G2385" s="601"/>
      <c r="H2385" s="483"/>
      <c r="J2385" s="793"/>
      <c r="K2385" s="934"/>
      <c r="L2385" s="793"/>
      <c r="S2385" s="94"/>
    </row>
    <row r="2386" spans="1:19" x14ac:dyDescent="0.2">
      <c r="A2386" s="94"/>
      <c r="B2386" s="934"/>
      <c r="C2386" s="637"/>
      <c r="F2386" s="600"/>
      <c r="G2386" s="601"/>
      <c r="H2386" s="483"/>
      <c r="J2386" s="793"/>
      <c r="K2386" s="934"/>
      <c r="L2386" s="793"/>
      <c r="S2386" s="94"/>
    </row>
    <row r="2387" spans="1:19" x14ac:dyDescent="0.2">
      <c r="A2387" s="94"/>
      <c r="B2387" s="934"/>
      <c r="C2387" s="637"/>
      <c r="F2387" s="600"/>
      <c r="G2387" s="601"/>
      <c r="H2387" s="483"/>
      <c r="J2387" s="793"/>
      <c r="K2387" s="934"/>
      <c r="L2387" s="793"/>
      <c r="S2387" s="94"/>
    </row>
    <row r="2388" spans="1:19" x14ac:dyDescent="0.2">
      <c r="A2388" s="94"/>
      <c r="B2388" s="934"/>
      <c r="C2388" s="637"/>
      <c r="F2388" s="600"/>
      <c r="G2388" s="601"/>
      <c r="H2388" s="483"/>
      <c r="J2388" s="793"/>
      <c r="K2388" s="934"/>
      <c r="L2388" s="793"/>
      <c r="S2388" s="94"/>
    </row>
    <row r="2389" spans="1:19" x14ac:dyDescent="0.2">
      <c r="A2389" s="94"/>
      <c r="B2389" s="934"/>
      <c r="C2389" s="637"/>
      <c r="F2389" s="600"/>
      <c r="G2389" s="601"/>
      <c r="H2389" s="483"/>
      <c r="J2389" s="793"/>
      <c r="K2389" s="934"/>
      <c r="L2389" s="793"/>
      <c r="S2389" s="94"/>
    </row>
    <row r="2390" spans="1:19" x14ac:dyDescent="0.2">
      <c r="A2390" s="94"/>
      <c r="B2390" s="934"/>
      <c r="C2390" s="637"/>
      <c r="F2390" s="600"/>
      <c r="G2390" s="601"/>
      <c r="H2390" s="483"/>
      <c r="J2390" s="793"/>
      <c r="K2390" s="934"/>
      <c r="L2390" s="793"/>
      <c r="S2390" s="94"/>
    </row>
    <row r="2391" spans="1:19" x14ac:dyDescent="0.2">
      <c r="A2391" s="94"/>
      <c r="B2391" s="934"/>
      <c r="C2391" s="637"/>
      <c r="F2391" s="600"/>
      <c r="G2391" s="601"/>
      <c r="H2391" s="483"/>
      <c r="J2391" s="793"/>
      <c r="K2391" s="934"/>
      <c r="L2391" s="793"/>
      <c r="S2391" s="94"/>
    </row>
    <row r="2392" spans="1:19" x14ac:dyDescent="0.2">
      <c r="A2392" s="94"/>
      <c r="B2392" s="934"/>
      <c r="C2392" s="637"/>
      <c r="F2392" s="600"/>
      <c r="G2392" s="601"/>
      <c r="H2392" s="483"/>
      <c r="J2392" s="793"/>
      <c r="K2392" s="934"/>
      <c r="L2392" s="793"/>
      <c r="S2392" s="94"/>
    </row>
    <row r="2393" spans="1:19" x14ac:dyDescent="0.2">
      <c r="A2393" s="649"/>
      <c r="B2393" s="658"/>
      <c r="C2393" s="646"/>
      <c r="D2393" s="646"/>
      <c r="E2393" s="646"/>
      <c r="F2393" s="650"/>
      <c r="G2393" s="650"/>
      <c r="H2393" s="812"/>
      <c r="I2393" s="720"/>
      <c r="J2393" s="1450"/>
      <c r="K2393" s="564"/>
      <c r="L2393" s="1075"/>
      <c r="M2393" s="652"/>
      <c r="N2393" s="573"/>
      <c r="O2393" s="652"/>
      <c r="P2393" s="652"/>
      <c r="Q2393" s="652"/>
      <c r="R2393" s="649"/>
      <c r="S2393" s="649"/>
    </row>
    <row r="2394" spans="1:19" x14ac:dyDescent="0.2">
      <c r="A2394" s="649"/>
      <c r="B2394" s="658"/>
      <c r="C2394" s="646"/>
      <c r="D2394" s="646"/>
      <c r="E2394" s="646"/>
      <c r="F2394" s="650"/>
      <c r="G2394" s="650"/>
      <c r="H2394" s="573"/>
      <c r="I2394" s="720"/>
      <c r="J2394" s="1450"/>
      <c r="K2394" s="564"/>
      <c r="L2394" s="1075"/>
      <c r="M2394" s="652"/>
      <c r="N2394" s="573"/>
      <c r="O2394" s="652"/>
      <c r="P2394" s="652"/>
      <c r="Q2394" s="652"/>
      <c r="R2394" s="649"/>
      <c r="S2394" s="649"/>
    </row>
    <row r="2395" spans="1:19" x14ac:dyDescent="0.2">
      <c r="A2395" s="649"/>
      <c r="B2395" s="658"/>
      <c r="C2395" s="646"/>
      <c r="D2395" s="646"/>
      <c r="E2395" s="646"/>
      <c r="F2395" s="650"/>
      <c r="G2395" s="650"/>
      <c r="H2395" s="573"/>
      <c r="I2395" s="720"/>
      <c r="J2395" s="1450"/>
      <c r="K2395" s="564"/>
      <c r="L2395" s="1075"/>
      <c r="M2395" s="652"/>
      <c r="N2395" s="573"/>
      <c r="O2395" s="652"/>
      <c r="P2395" s="652"/>
      <c r="Q2395" s="652"/>
      <c r="R2395" s="649"/>
      <c r="S2395" s="649"/>
    </row>
    <row r="2396" spans="1:19" x14ac:dyDescent="0.2">
      <c r="A2396" s="649"/>
      <c r="B2396" s="658"/>
      <c r="C2396" s="646"/>
      <c r="D2396" s="646"/>
      <c r="E2396" s="646"/>
      <c r="F2396" s="650"/>
      <c r="G2396" s="650"/>
      <c r="H2396" s="573"/>
      <c r="I2396" s="720"/>
      <c r="J2396" s="1450"/>
      <c r="K2396" s="564"/>
      <c r="L2396" s="1075"/>
      <c r="M2396" s="652"/>
      <c r="N2396" s="573"/>
      <c r="O2396" s="652"/>
      <c r="P2396" s="652"/>
      <c r="Q2396" s="652"/>
      <c r="R2396" s="649"/>
      <c r="S2396" s="649"/>
    </row>
    <row r="2398" spans="1:19" x14ac:dyDescent="0.2">
      <c r="A2398" s="649">
        <v>42404</v>
      </c>
      <c r="B2398" s="775">
        <v>940</v>
      </c>
      <c r="C2398" s="658" t="s">
        <v>166</v>
      </c>
      <c r="D2398" s="646"/>
      <c r="E2398" s="646"/>
      <c r="F2398" s="650">
        <v>54548.6</v>
      </c>
      <c r="G2398" s="659">
        <f>+F2398*2.22</f>
        <v>121097.89200000001</v>
      </c>
      <c r="H2398" s="573" t="s">
        <v>113</v>
      </c>
      <c r="I2398" s="720"/>
      <c r="J2398" s="1450"/>
      <c r="K2398" s="564" t="s">
        <v>250</v>
      </c>
      <c r="L2398" s="855"/>
      <c r="M2398" s="652"/>
      <c r="N2398" s="573"/>
      <c r="O2398" s="652"/>
      <c r="P2398" s="652"/>
      <c r="Q2398" s="652"/>
      <c r="R2398" s="649">
        <v>42492</v>
      </c>
      <c r="S2398" s="649">
        <v>42583</v>
      </c>
    </row>
    <row r="2399" spans="1:19" x14ac:dyDescent="0.2">
      <c r="A2399" s="1553"/>
      <c r="B2399" s="934">
        <v>977</v>
      </c>
      <c r="C2399" s="637" t="s">
        <v>145</v>
      </c>
      <c r="F2399" s="600">
        <v>16768.3</v>
      </c>
      <c r="G2399" s="601">
        <f>+F2399*2.32</f>
        <v>38902.455999999998</v>
      </c>
      <c r="H2399" s="483" t="s">
        <v>330</v>
      </c>
      <c r="J2399" s="793">
        <v>42492</v>
      </c>
      <c r="K2399" s="934" t="s">
        <v>384</v>
      </c>
      <c r="L2399" s="94">
        <v>42584</v>
      </c>
      <c r="S2399" s="94">
        <v>42584</v>
      </c>
    </row>
    <row r="2400" spans="1:19" x14ac:dyDescent="0.2">
      <c r="A2400" s="94">
        <v>42539</v>
      </c>
      <c r="B2400" s="934">
        <v>983</v>
      </c>
      <c r="C2400" s="637" t="s">
        <v>177</v>
      </c>
      <c r="F2400" s="600">
        <v>5222.3</v>
      </c>
      <c r="G2400" s="601">
        <f>+F2400*2.47</f>
        <v>12899.081000000002</v>
      </c>
      <c r="H2400" s="483" t="s">
        <v>895</v>
      </c>
      <c r="J2400" s="793">
        <v>42524</v>
      </c>
      <c r="K2400" s="568" t="s">
        <v>500</v>
      </c>
      <c r="L2400" s="793">
        <v>42585</v>
      </c>
      <c r="S2400" s="94">
        <v>42585</v>
      </c>
    </row>
    <row r="2401" spans="1:19" x14ac:dyDescent="0.2">
      <c r="A2401" s="562">
        <v>42471</v>
      </c>
      <c r="B2401" s="648">
        <v>962</v>
      </c>
      <c r="C2401" s="658" t="s">
        <v>338</v>
      </c>
      <c r="D2401" s="563"/>
      <c r="E2401" s="563"/>
      <c r="F2401" s="650">
        <v>18349.830000000002</v>
      </c>
      <c r="G2401" s="659">
        <f>+F2401*2.2</f>
        <v>40369.626000000004</v>
      </c>
      <c r="H2401" s="563" t="s">
        <v>330</v>
      </c>
      <c r="I2401" s="563"/>
      <c r="J2401" s="563"/>
      <c r="K2401" s="648" t="s">
        <v>1305</v>
      </c>
      <c r="L2401" s="563"/>
      <c r="M2401" s="563"/>
      <c r="N2401" s="563"/>
      <c r="O2401" s="563"/>
      <c r="P2401" s="563"/>
      <c r="Q2401" s="563"/>
      <c r="R2401" s="563"/>
      <c r="S2401" s="562">
        <v>42590</v>
      </c>
    </row>
    <row r="2402" spans="1:19" x14ac:dyDescent="0.2">
      <c r="A2402" s="649">
        <v>42376</v>
      </c>
      <c r="B2402" s="657">
        <v>931</v>
      </c>
      <c r="C2402" s="658" t="s">
        <v>192</v>
      </c>
      <c r="D2402" s="646"/>
      <c r="E2402" s="646"/>
      <c r="F2402" s="650">
        <v>11807.62</v>
      </c>
      <c r="G2402" s="659">
        <f>+F2402*2.2</f>
        <v>25976.764000000003</v>
      </c>
      <c r="H2402" s="573" t="s">
        <v>70</v>
      </c>
      <c r="I2402" s="720"/>
      <c r="J2402" s="1450"/>
      <c r="K2402" s="564" t="s">
        <v>250</v>
      </c>
      <c r="L2402" s="855">
        <v>42499</v>
      </c>
      <c r="M2402" s="652"/>
      <c r="N2402" s="573"/>
      <c r="O2402" s="652"/>
      <c r="P2402" s="652"/>
      <c r="Q2402" s="652"/>
      <c r="R2402" s="649">
        <v>42499</v>
      </c>
      <c r="S2402" s="649">
        <v>42591</v>
      </c>
    </row>
    <row r="2403" spans="1:19" x14ac:dyDescent="0.2">
      <c r="A2403" s="649">
        <v>42293</v>
      </c>
      <c r="B2403" s="657">
        <v>908</v>
      </c>
      <c r="C2403" s="658" t="s">
        <v>192</v>
      </c>
      <c r="D2403" s="646"/>
      <c r="E2403" s="646">
        <v>27</v>
      </c>
      <c r="F2403" s="650">
        <v>16756.48</v>
      </c>
      <c r="G2403" s="659">
        <f>F2403*2.2</f>
        <v>36864.256000000001</v>
      </c>
      <c r="H2403" s="573" t="s">
        <v>70</v>
      </c>
      <c r="I2403" s="720"/>
      <c r="J2403" s="564"/>
      <c r="K2403" s="564" t="s">
        <v>250</v>
      </c>
      <c r="L2403" s="1075">
        <v>42308</v>
      </c>
      <c r="M2403" s="652"/>
      <c r="N2403" s="573"/>
      <c r="O2403" s="652"/>
      <c r="P2403" s="652"/>
      <c r="Q2403" s="652"/>
      <c r="R2403" s="649">
        <v>42513</v>
      </c>
      <c r="S2403" s="649">
        <v>42605</v>
      </c>
    </row>
    <row r="2404" spans="1:19" x14ac:dyDescent="0.2">
      <c r="A2404" s="649">
        <v>42364</v>
      </c>
      <c r="B2404" s="684"/>
      <c r="C2404" s="658" t="s">
        <v>235</v>
      </c>
      <c r="D2404" s="646"/>
      <c r="E2404" s="646"/>
      <c r="F2404" s="650">
        <v>29024</v>
      </c>
      <c r="G2404" s="659">
        <f>+F2404*2</f>
        <v>58048</v>
      </c>
      <c r="H2404" s="573" t="s">
        <v>330</v>
      </c>
      <c r="I2404" s="720"/>
      <c r="J2404" s="720"/>
      <c r="K2404" s="646" t="s">
        <v>1224</v>
      </c>
      <c r="L2404" s="1450"/>
      <c r="M2404" s="652"/>
      <c r="N2404" s="573"/>
      <c r="O2404" s="652"/>
      <c r="P2404" s="652"/>
      <c r="Q2404" s="652"/>
      <c r="R2404" s="649">
        <v>42521</v>
      </c>
      <c r="S2404" s="1162">
        <v>42612</v>
      </c>
    </row>
    <row r="2405" spans="1:19" x14ac:dyDescent="0.2">
      <c r="A2405" s="649"/>
      <c r="B2405" s="657"/>
      <c r="C2405" s="658"/>
      <c r="D2405" s="646"/>
      <c r="E2405" s="646"/>
      <c r="F2405" s="650"/>
      <c r="G2405" s="659"/>
      <c r="H2405" s="573"/>
      <c r="I2405" s="720"/>
      <c r="J2405" s="564"/>
      <c r="K2405" s="564"/>
      <c r="L2405" s="1075"/>
      <c r="M2405" s="652"/>
      <c r="N2405" s="573"/>
      <c r="O2405" s="652"/>
      <c r="P2405" s="652"/>
      <c r="Q2405" s="652"/>
      <c r="R2405" s="649"/>
      <c r="S2405" s="649"/>
    </row>
    <row r="2406" spans="1:19" x14ac:dyDescent="0.2">
      <c r="A2406" s="649"/>
      <c r="B2406" s="657"/>
      <c r="C2406" s="658"/>
      <c r="D2406" s="646"/>
      <c r="E2406" s="646"/>
      <c r="F2406" s="650"/>
      <c r="G2406" s="659"/>
      <c r="H2406" s="573"/>
      <c r="I2406" s="720"/>
      <c r="J2406" s="564"/>
      <c r="K2406" s="564"/>
      <c r="L2406" s="1075"/>
      <c r="M2406" s="652"/>
      <c r="N2406" s="573"/>
      <c r="O2406" s="652"/>
      <c r="P2406" s="652"/>
      <c r="Q2406" s="652"/>
      <c r="R2406" s="649"/>
      <c r="S2406" s="649"/>
    </row>
    <row r="2407" spans="1:19" x14ac:dyDescent="0.2">
      <c r="A2407" s="649"/>
      <c r="B2407" s="657"/>
      <c r="C2407" s="658"/>
      <c r="D2407" s="646"/>
      <c r="E2407" s="646"/>
      <c r="F2407" s="650"/>
      <c r="G2407" s="659"/>
      <c r="H2407" s="573"/>
      <c r="I2407" s="720"/>
      <c r="J2407" s="564"/>
      <c r="K2407" s="564"/>
      <c r="L2407" s="1075"/>
      <c r="M2407" s="652"/>
      <c r="N2407" s="573"/>
      <c r="O2407" s="652"/>
      <c r="P2407" s="652"/>
      <c r="Q2407" s="652"/>
      <c r="R2407" s="649"/>
      <c r="S2407" s="649"/>
    </row>
    <row r="2408" spans="1:19" x14ac:dyDescent="0.2">
      <c r="A2408" s="649"/>
      <c r="B2408" s="658"/>
      <c r="C2408" s="646"/>
      <c r="D2408" s="646"/>
      <c r="E2408" s="646"/>
      <c r="F2408" s="650"/>
      <c r="G2408" s="650"/>
      <c r="H2408" s="573"/>
      <c r="I2408" s="720"/>
      <c r="J2408" s="1450"/>
      <c r="K2408" s="564"/>
      <c r="L2408" s="1075"/>
      <c r="M2408" s="652"/>
      <c r="N2408" s="573"/>
      <c r="O2408" s="652"/>
      <c r="P2408" s="652"/>
      <c r="Q2408" s="652"/>
      <c r="R2408" s="649"/>
      <c r="S2408" s="649"/>
    </row>
    <row r="2409" spans="1:19" x14ac:dyDescent="0.2">
      <c r="A2409" s="649"/>
      <c r="B2409" s="658"/>
      <c r="C2409" s="646"/>
      <c r="D2409" s="646"/>
      <c r="E2409" s="646"/>
      <c r="F2409" s="650"/>
      <c r="G2409" s="650"/>
      <c r="H2409" s="573"/>
      <c r="I2409" s="720"/>
      <c r="J2409" s="1450"/>
      <c r="K2409" s="564"/>
      <c r="L2409" s="1075"/>
      <c r="M2409" s="652"/>
      <c r="N2409" s="573"/>
      <c r="O2409" s="652"/>
      <c r="P2409" s="652"/>
      <c r="Q2409" s="652"/>
      <c r="R2409" s="649"/>
      <c r="S2409" s="649"/>
    </row>
    <row r="2410" spans="1:19" x14ac:dyDescent="0.2">
      <c r="A2410" s="649">
        <v>42343</v>
      </c>
      <c r="B2410" s="657">
        <v>921</v>
      </c>
      <c r="C2410" s="658" t="s">
        <v>836</v>
      </c>
      <c r="D2410" s="646">
        <v>3</v>
      </c>
      <c r="E2410" s="646"/>
      <c r="F2410" s="650">
        <v>32668.33</v>
      </c>
      <c r="G2410" s="659">
        <f>+F2410*2.2</f>
        <v>71870.326000000015</v>
      </c>
      <c r="H2410" s="573" t="s">
        <v>72</v>
      </c>
      <c r="I2410" s="720"/>
      <c r="J2410" s="1450"/>
      <c r="K2410" s="564" t="s">
        <v>272</v>
      </c>
      <c r="L2410" s="855"/>
      <c r="M2410" s="649"/>
      <c r="N2410" s="573"/>
      <c r="O2410" s="649"/>
      <c r="P2410" s="652"/>
      <c r="Q2410" s="652"/>
      <c r="R2410" s="649">
        <v>42524</v>
      </c>
      <c r="S2410" s="649">
        <v>42616</v>
      </c>
    </row>
    <row r="2411" spans="1:19" x14ac:dyDescent="0.2">
      <c r="A2411" s="562">
        <v>42445</v>
      </c>
      <c r="B2411" s="648">
        <v>952</v>
      </c>
      <c r="C2411" s="658" t="s">
        <v>142</v>
      </c>
      <c r="D2411" s="563"/>
      <c r="E2411" s="563"/>
      <c r="F2411" s="650">
        <v>19437.75</v>
      </c>
      <c r="G2411" s="659">
        <f>+F2411*2.22</f>
        <v>43151.805</v>
      </c>
      <c r="H2411" s="563" t="s">
        <v>330</v>
      </c>
      <c r="I2411" s="563"/>
      <c r="J2411" s="562">
        <v>42434</v>
      </c>
      <c r="K2411" s="648" t="s">
        <v>384</v>
      </c>
      <c r="L2411" s="562">
        <v>42526</v>
      </c>
      <c r="M2411" s="563"/>
      <c r="N2411" s="563"/>
      <c r="O2411" s="563"/>
      <c r="P2411" s="563"/>
      <c r="Q2411" s="563"/>
      <c r="R2411" s="562">
        <v>42526</v>
      </c>
      <c r="S2411" s="562">
        <v>42618</v>
      </c>
    </row>
    <row r="2412" spans="1:19" x14ac:dyDescent="0.2">
      <c r="A2412" s="649">
        <v>42343</v>
      </c>
      <c r="B2412" s="657">
        <v>920</v>
      </c>
      <c r="C2412" s="658" t="s">
        <v>145</v>
      </c>
      <c r="D2412" s="646">
        <v>28</v>
      </c>
      <c r="E2412" s="646"/>
      <c r="F2412" s="650">
        <v>19275.72</v>
      </c>
      <c r="G2412" s="659">
        <f>+F2412*2.2</f>
        <v>42406.584000000003</v>
      </c>
      <c r="H2412" s="1460" t="s">
        <v>330</v>
      </c>
      <c r="I2412" s="720"/>
      <c r="J2412" s="1075">
        <v>42327</v>
      </c>
      <c r="K2412" s="646" t="s">
        <v>384</v>
      </c>
      <c r="L2412" s="1075">
        <v>42419</v>
      </c>
      <c r="M2412" s="652"/>
      <c r="N2412" s="573"/>
      <c r="O2412" s="652"/>
      <c r="P2412" s="652"/>
      <c r="Q2412" s="652"/>
      <c r="R2412" s="649">
        <v>42534</v>
      </c>
      <c r="S2412" s="649">
        <v>42626</v>
      </c>
    </row>
    <row r="2413" spans="1:19" x14ac:dyDescent="0.2">
      <c r="A2413" s="649">
        <v>42458</v>
      </c>
      <c r="B2413" s="657">
        <v>955</v>
      </c>
      <c r="C2413" s="658" t="s">
        <v>69</v>
      </c>
      <c r="D2413" s="646"/>
      <c r="E2413" s="646"/>
      <c r="F2413" s="650">
        <v>11250.22</v>
      </c>
      <c r="G2413" s="659">
        <f>+F2413*2.25</f>
        <v>25312.994999999999</v>
      </c>
      <c r="H2413" s="573" t="s">
        <v>330</v>
      </c>
      <c r="I2413" s="573"/>
      <c r="J2413" s="651">
        <v>42443</v>
      </c>
      <c r="K2413" s="646" t="s">
        <v>384</v>
      </c>
      <c r="L2413" s="651">
        <v>42535</v>
      </c>
      <c r="M2413" s="652"/>
      <c r="N2413" s="573"/>
      <c r="O2413" s="652"/>
      <c r="P2413" s="652"/>
      <c r="Q2413" s="652"/>
      <c r="R2413" s="649">
        <v>42535</v>
      </c>
      <c r="S2413" s="649">
        <v>42627</v>
      </c>
    </row>
    <row r="2414" spans="1:19" x14ac:dyDescent="0.2">
      <c r="A2414" s="649">
        <v>42361</v>
      </c>
      <c r="B2414" s="658">
        <v>928</v>
      </c>
      <c r="C2414" s="646" t="s">
        <v>324</v>
      </c>
      <c r="D2414" s="646"/>
      <c r="E2414" s="646">
        <v>5</v>
      </c>
      <c r="F2414" s="650">
        <v>21057</v>
      </c>
      <c r="G2414" s="650">
        <f>+F2414*1.95</f>
        <v>41061.15</v>
      </c>
      <c r="H2414" s="573" t="s">
        <v>72</v>
      </c>
      <c r="I2414" s="720"/>
      <c r="J2414" s="1450"/>
      <c r="K2414" s="564" t="s">
        <v>250</v>
      </c>
      <c r="L2414" s="1075">
        <v>42436</v>
      </c>
      <c r="M2414" s="652"/>
      <c r="N2414" s="573"/>
      <c r="O2414" s="652"/>
      <c r="P2414" s="652"/>
      <c r="Q2414" s="652"/>
      <c r="R2414" s="649">
        <v>42535</v>
      </c>
      <c r="S2414" s="649">
        <v>42627</v>
      </c>
    </row>
    <row r="2415" spans="1:19" x14ac:dyDescent="0.2">
      <c r="A2415" s="562">
        <v>42495</v>
      </c>
      <c r="B2415" s="563"/>
      <c r="C2415" s="658" t="s">
        <v>848</v>
      </c>
      <c r="D2415" s="563"/>
      <c r="E2415" s="563"/>
      <c r="F2415" s="650">
        <v>57198.65</v>
      </c>
      <c r="G2415" s="659">
        <f>+F2415*2.25</f>
        <v>128696.96250000001</v>
      </c>
      <c r="H2415" s="563" t="s">
        <v>70</v>
      </c>
      <c r="I2415" s="563"/>
      <c r="J2415" s="563"/>
      <c r="K2415" s="1589" t="s">
        <v>250</v>
      </c>
      <c r="L2415" s="563"/>
      <c r="M2415" s="563"/>
      <c r="N2415" s="563"/>
      <c r="O2415" s="563"/>
      <c r="P2415" s="563"/>
      <c r="Q2415" s="563"/>
      <c r="R2415" s="563"/>
      <c r="S2415" s="562">
        <v>42633</v>
      </c>
    </row>
    <row r="2416" spans="1:19" x14ac:dyDescent="0.2">
      <c r="A2416" s="562"/>
      <c r="B2416" s="563"/>
      <c r="C2416" s="658"/>
      <c r="D2416" s="563"/>
      <c r="E2416" s="563"/>
      <c r="F2416" s="650"/>
      <c r="G2416" s="659"/>
      <c r="H2416" s="563"/>
      <c r="I2416" s="563"/>
      <c r="J2416" s="563"/>
      <c r="K2416" s="1589"/>
      <c r="L2416" s="563"/>
      <c r="M2416" s="563"/>
      <c r="N2416" s="563"/>
      <c r="O2416" s="563"/>
      <c r="P2416" s="563"/>
      <c r="Q2416" s="563"/>
      <c r="R2416" s="563"/>
      <c r="S2416" s="562"/>
    </row>
    <row r="2417" spans="1:19" x14ac:dyDescent="0.2">
      <c r="A2417" s="562"/>
      <c r="B2417" s="563"/>
      <c r="C2417" s="658"/>
      <c r="D2417" s="563"/>
      <c r="E2417" s="563"/>
      <c r="F2417" s="650"/>
      <c r="G2417" s="659"/>
      <c r="H2417" s="563"/>
      <c r="I2417" s="563"/>
      <c r="J2417" s="563"/>
      <c r="K2417" s="1589"/>
      <c r="L2417" s="563"/>
      <c r="M2417" s="563"/>
      <c r="N2417" s="563"/>
      <c r="O2417" s="563"/>
      <c r="P2417" s="563"/>
      <c r="Q2417" s="563"/>
      <c r="R2417" s="563"/>
      <c r="S2417" s="562"/>
    </row>
    <row r="2418" spans="1:19" x14ac:dyDescent="0.2">
      <c r="A2418" s="562"/>
      <c r="B2418" s="563"/>
      <c r="C2418" s="658"/>
      <c r="D2418" s="563"/>
      <c r="E2418" s="563"/>
      <c r="F2418" s="650"/>
      <c r="G2418" s="659"/>
      <c r="H2418" s="563"/>
      <c r="I2418" s="563"/>
      <c r="J2418" s="563"/>
      <c r="K2418" s="1589"/>
      <c r="L2418" s="563"/>
      <c r="M2418" s="563"/>
      <c r="N2418" s="563"/>
      <c r="O2418" s="563"/>
      <c r="P2418" s="563"/>
      <c r="Q2418" s="563"/>
      <c r="R2418" s="563"/>
      <c r="S2418" s="562"/>
    </row>
    <row r="2419" spans="1:19" x14ac:dyDescent="0.2">
      <c r="A2419" s="562"/>
      <c r="B2419" s="563"/>
      <c r="C2419" s="658"/>
      <c r="D2419" s="563"/>
      <c r="E2419" s="563"/>
      <c r="F2419" s="650"/>
      <c r="G2419" s="659"/>
      <c r="H2419" s="563"/>
      <c r="I2419" s="563"/>
      <c r="J2419" s="563"/>
      <c r="K2419" s="1589"/>
      <c r="L2419" s="563"/>
      <c r="M2419" s="563"/>
      <c r="N2419" s="563"/>
      <c r="O2419" s="563"/>
      <c r="P2419" s="563"/>
      <c r="Q2419" s="563"/>
      <c r="R2419" s="563"/>
      <c r="S2419" s="562"/>
    </row>
    <row r="2420" spans="1:19" x14ac:dyDescent="0.2">
      <c r="A2420" s="649">
        <v>42472</v>
      </c>
      <c r="B2420" s="657">
        <v>963</v>
      </c>
      <c r="C2420" s="658" t="s">
        <v>712</v>
      </c>
      <c r="D2420" s="646"/>
      <c r="E2420" s="646"/>
      <c r="F2420" s="650">
        <v>28223.85</v>
      </c>
      <c r="G2420" s="659">
        <f>+F2420*2.2</f>
        <v>62092.47</v>
      </c>
      <c r="H2420" s="573" t="s">
        <v>330</v>
      </c>
      <c r="I2420" s="573"/>
      <c r="J2420" s="573"/>
      <c r="K2420" s="646" t="s">
        <v>250</v>
      </c>
      <c r="L2420" s="651">
        <v>42557</v>
      </c>
      <c r="M2420" s="652"/>
      <c r="N2420" s="573"/>
      <c r="O2420" s="652"/>
      <c r="P2420" s="652"/>
      <c r="Q2420" s="652"/>
      <c r="R2420" s="652"/>
      <c r="S2420" s="649">
        <v>42649</v>
      </c>
    </row>
    <row r="2421" spans="1:19" x14ac:dyDescent="0.2">
      <c r="A2421" s="562"/>
      <c r="B2421" s="563"/>
      <c r="C2421" s="658"/>
      <c r="D2421" s="563"/>
      <c r="E2421" s="563"/>
      <c r="F2421" s="650"/>
      <c r="G2421" s="659"/>
      <c r="H2421" s="563"/>
      <c r="I2421" s="563"/>
      <c r="J2421" s="563"/>
      <c r="K2421" s="1589"/>
      <c r="L2421" s="563"/>
      <c r="M2421" s="563"/>
      <c r="N2421" s="563"/>
      <c r="O2421" s="563"/>
      <c r="P2421" s="563"/>
      <c r="Q2421" s="563"/>
      <c r="R2421" s="563"/>
      <c r="S2421" s="562"/>
    </row>
    <row r="2422" spans="1:19" x14ac:dyDescent="0.2">
      <c r="A2422" s="649"/>
      <c r="B2422" s="657"/>
      <c r="C2422" s="658"/>
      <c r="D2422" s="646"/>
      <c r="E2422" s="646"/>
      <c r="F2422" s="650"/>
      <c r="G2422" s="659"/>
      <c r="H2422" s="573"/>
      <c r="I2422" s="720"/>
      <c r="J2422" s="1450"/>
      <c r="K2422" s="564"/>
      <c r="L2422" s="855"/>
      <c r="M2422" s="649"/>
      <c r="N2422" s="573"/>
      <c r="O2422" s="649"/>
      <c r="P2422" s="652"/>
      <c r="Q2422" s="652"/>
      <c r="R2422" s="649"/>
      <c r="S2422" s="649"/>
    </row>
    <row r="2423" spans="1:19" x14ac:dyDescent="0.2">
      <c r="A2423" s="649"/>
      <c r="B2423" s="657"/>
      <c r="C2423" s="658"/>
      <c r="D2423" s="646"/>
      <c r="E2423" s="646"/>
      <c r="F2423" s="650"/>
      <c r="G2423" s="659"/>
      <c r="H2423" s="573"/>
      <c r="I2423" s="720"/>
      <c r="J2423" s="1450"/>
      <c r="K2423" s="564"/>
      <c r="L2423" s="855"/>
      <c r="M2423" s="649"/>
      <c r="N2423" s="573"/>
      <c r="O2423" s="649"/>
      <c r="P2423" s="652"/>
      <c r="Q2423" s="652"/>
      <c r="R2423" s="649"/>
      <c r="S2423" s="649"/>
    </row>
    <row r="2490" spans="1:22" x14ac:dyDescent="0.2">
      <c r="D2490" s="1502" t="s">
        <v>1324</v>
      </c>
      <c r="E2490" s="1502"/>
      <c r="F2490" s="1502"/>
      <c r="G2490" s="1502"/>
    </row>
    <row r="2493" spans="1:22" x14ac:dyDescent="0.2">
      <c r="A2493" s="578">
        <v>42411</v>
      </c>
      <c r="B2493" s="640">
        <v>938</v>
      </c>
      <c r="C2493" s="637" t="s">
        <v>713</v>
      </c>
      <c r="E2493" s="597"/>
      <c r="F2493" s="600">
        <v>5440.66</v>
      </c>
      <c r="G2493" s="601">
        <f>+F2493*2.2</f>
        <v>11969.452000000001</v>
      </c>
      <c r="H2493" s="485" t="s">
        <v>330</v>
      </c>
      <c r="I2493" s="485"/>
      <c r="J2493" s="602">
        <v>42406</v>
      </c>
      <c r="K2493" s="597" t="s">
        <v>384</v>
      </c>
      <c r="L2493" s="602">
        <v>42496</v>
      </c>
      <c r="M2493" s="575"/>
      <c r="N2493" s="485"/>
      <c r="O2493" s="575"/>
      <c r="P2493" s="575"/>
      <c r="Q2493" s="575"/>
      <c r="R2493" s="575"/>
      <c r="S2493" s="578">
        <v>42496</v>
      </c>
      <c r="T2493" s="575"/>
      <c r="U2493" s="575"/>
      <c r="V2493" s="575"/>
    </row>
    <row r="2494" spans="1:22" x14ac:dyDescent="0.2">
      <c r="A2494" s="649">
        <v>42376</v>
      </c>
      <c r="B2494" s="657">
        <v>931</v>
      </c>
      <c r="C2494" s="658" t="s">
        <v>192</v>
      </c>
      <c r="E2494" s="646"/>
      <c r="F2494" s="650">
        <v>11807.62</v>
      </c>
      <c r="G2494" s="659">
        <f>+F2494*2.2</f>
        <v>25976.764000000003</v>
      </c>
      <c r="H2494" s="573" t="s">
        <v>70</v>
      </c>
      <c r="I2494" s="720"/>
      <c r="J2494" s="1450"/>
      <c r="K2494" s="564" t="s">
        <v>250</v>
      </c>
      <c r="L2494" s="855">
        <v>42499</v>
      </c>
      <c r="M2494" s="652"/>
      <c r="N2494" s="573"/>
      <c r="O2494" s="652"/>
      <c r="P2494" s="652"/>
      <c r="Q2494" s="652"/>
      <c r="R2494" s="652"/>
      <c r="S2494" s="649">
        <v>42499</v>
      </c>
      <c r="T2494" s="652"/>
      <c r="U2494" s="652"/>
      <c r="V2494" s="652"/>
    </row>
    <row r="2495" spans="1:22" x14ac:dyDescent="0.2">
      <c r="A2495" s="649">
        <v>42296</v>
      </c>
      <c r="B2495" s="775">
        <v>911</v>
      </c>
      <c r="C2495" s="646" t="s">
        <v>848</v>
      </c>
      <c r="E2495" s="646"/>
      <c r="F2495" s="650">
        <v>115210.76</v>
      </c>
      <c r="G2495" s="650">
        <f>F2495*2.208/3</f>
        <v>84795.119359999997</v>
      </c>
      <c r="H2495" s="573" t="s">
        <v>113</v>
      </c>
      <c r="I2495" s="720"/>
      <c r="J2495" s="720"/>
      <c r="K2495" s="564" t="s">
        <v>250</v>
      </c>
      <c r="L2495" s="1075">
        <v>42374</v>
      </c>
      <c r="M2495" s="652"/>
      <c r="N2495" s="573"/>
      <c r="O2495" s="652"/>
      <c r="P2495" s="652"/>
      <c r="Q2495" s="652"/>
      <c r="R2495" s="649">
        <v>42380</v>
      </c>
      <c r="S2495" s="649">
        <v>42501</v>
      </c>
      <c r="T2495" s="652"/>
      <c r="U2495" s="652"/>
      <c r="V2495" s="652"/>
    </row>
    <row r="2496" spans="1:22" x14ac:dyDescent="0.2">
      <c r="A2496" s="607">
        <v>42429</v>
      </c>
      <c r="B2496" s="773">
        <v>945</v>
      </c>
      <c r="C2496" s="637" t="s">
        <v>173</v>
      </c>
      <c r="E2496" s="612"/>
      <c r="F2496" s="600">
        <v>2905.82</v>
      </c>
      <c r="G2496" s="600">
        <f>+F2496*2.2</f>
        <v>6392.804000000001</v>
      </c>
      <c r="H2496" s="485" t="s">
        <v>113</v>
      </c>
      <c r="I2496" s="485"/>
      <c r="J2496" s="602">
        <v>42411</v>
      </c>
      <c r="K2496" s="597" t="s">
        <v>384</v>
      </c>
      <c r="L2496" s="602">
        <v>42501</v>
      </c>
      <c r="M2496" s="603"/>
      <c r="N2496" s="606"/>
      <c r="O2496" s="603"/>
      <c r="P2496" s="603"/>
      <c r="Q2496" s="603"/>
      <c r="R2496" s="603"/>
      <c r="S2496" s="578">
        <v>42501</v>
      </c>
      <c r="T2496" s="603"/>
      <c r="U2496" s="603"/>
      <c r="V2496" s="603"/>
    </row>
    <row r="2497" spans="1:22" x14ac:dyDescent="0.2">
      <c r="A2497" s="569">
        <v>42426</v>
      </c>
      <c r="B2497" s="640">
        <v>944</v>
      </c>
      <c r="C2497" s="637" t="s">
        <v>814</v>
      </c>
      <c r="F2497" s="600">
        <v>6206.25</v>
      </c>
      <c r="G2497" s="601">
        <f>+F2497*2.22</f>
        <v>13777.875000000002</v>
      </c>
      <c r="H2497" s="483" t="s">
        <v>330</v>
      </c>
      <c r="I2497" s="483"/>
      <c r="J2497" s="569">
        <v>42415</v>
      </c>
      <c r="K2497" s="597" t="s">
        <v>384</v>
      </c>
      <c r="L2497" s="94">
        <v>42505</v>
      </c>
      <c r="S2497" s="94">
        <v>42505</v>
      </c>
    </row>
    <row r="2498" spans="1:22" x14ac:dyDescent="0.2">
      <c r="A2498" s="94">
        <v>42479</v>
      </c>
      <c r="B2498" s="934">
        <v>965</v>
      </c>
      <c r="C2498" s="637" t="s">
        <v>280</v>
      </c>
      <c r="F2498" s="600">
        <v>5850.76</v>
      </c>
      <c r="G2498" s="601">
        <f>+F2498*2.2</f>
        <v>12871.672000000002</v>
      </c>
      <c r="H2498" s="483" t="s">
        <v>330</v>
      </c>
      <c r="I2498" s="483"/>
      <c r="J2498" s="569">
        <v>42450</v>
      </c>
      <c r="K2498" s="568" t="s">
        <v>500</v>
      </c>
      <c r="L2498" s="94">
        <v>42511</v>
      </c>
      <c r="S2498" s="94">
        <v>42511</v>
      </c>
    </row>
    <row r="2499" spans="1:22" x14ac:dyDescent="0.2">
      <c r="A2499" s="649">
        <v>42293</v>
      </c>
      <c r="B2499" s="657">
        <v>908</v>
      </c>
      <c r="C2499" s="658" t="s">
        <v>192</v>
      </c>
      <c r="E2499" s="646"/>
      <c r="F2499" s="650">
        <v>16756.48</v>
      </c>
      <c r="G2499" s="659">
        <f>F2499*2.2</f>
        <v>36864.256000000001</v>
      </c>
      <c r="H2499" s="573" t="s">
        <v>70</v>
      </c>
      <c r="I2499" s="720"/>
      <c r="J2499" s="564"/>
      <c r="K2499" s="564" t="s">
        <v>250</v>
      </c>
      <c r="L2499" s="1075">
        <v>42308</v>
      </c>
      <c r="M2499" s="652"/>
      <c r="N2499" s="573"/>
      <c r="O2499" s="652"/>
      <c r="P2499" s="652"/>
      <c r="Q2499" s="652"/>
      <c r="R2499" s="652"/>
      <c r="S2499" s="649">
        <v>42513</v>
      </c>
      <c r="T2499" s="652"/>
      <c r="U2499" s="652"/>
      <c r="V2499" s="652"/>
    </row>
    <row r="2500" spans="1:22" x14ac:dyDescent="0.2">
      <c r="A2500" s="607">
        <v>42464</v>
      </c>
      <c r="B2500" s="773">
        <v>959</v>
      </c>
      <c r="C2500" s="637" t="s">
        <v>223</v>
      </c>
      <c r="E2500" s="612"/>
      <c r="F2500" s="600">
        <v>17898.3</v>
      </c>
      <c r="G2500" s="601">
        <f>+F2500*2.25</f>
        <v>40271.174999999996</v>
      </c>
      <c r="H2500" s="485" t="s">
        <v>330</v>
      </c>
      <c r="I2500" s="485"/>
      <c r="J2500" s="602">
        <v>42452</v>
      </c>
      <c r="K2500" s="597" t="s">
        <v>500</v>
      </c>
      <c r="L2500" s="602">
        <v>42513</v>
      </c>
      <c r="M2500" s="603"/>
      <c r="N2500" s="606"/>
      <c r="O2500" s="603"/>
      <c r="P2500" s="603"/>
      <c r="Q2500" s="603" t="s">
        <v>1321</v>
      </c>
      <c r="R2500" s="603"/>
      <c r="S2500" s="578">
        <v>42513</v>
      </c>
      <c r="T2500" s="603"/>
      <c r="U2500" s="603"/>
      <c r="V2500" s="603"/>
    </row>
    <row r="2501" spans="1:22" x14ac:dyDescent="0.2">
      <c r="A2501" s="569">
        <v>42464</v>
      </c>
      <c r="B2501" s="568">
        <v>958</v>
      </c>
      <c r="C2501" s="637" t="s">
        <v>809</v>
      </c>
      <c r="E2501" s="483"/>
      <c r="F2501" s="600">
        <v>1881.6</v>
      </c>
      <c r="G2501" s="601">
        <f>+F2501*2.25</f>
        <v>4233.5999999999995</v>
      </c>
      <c r="H2501" s="483" t="s">
        <v>72</v>
      </c>
      <c r="I2501" s="483"/>
      <c r="J2501" s="569">
        <v>42453</v>
      </c>
      <c r="K2501" s="597" t="s">
        <v>500</v>
      </c>
      <c r="L2501" s="569">
        <v>42514</v>
      </c>
      <c r="M2501" s="483"/>
      <c r="N2501" s="483"/>
      <c r="O2501" s="483"/>
      <c r="P2501" s="483"/>
      <c r="Q2501" s="483"/>
      <c r="R2501" s="483"/>
      <c r="S2501" s="569">
        <v>42514</v>
      </c>
      <c r="T2501" s="483"/>
      <c r="U2501" s="483"/>
      <c r="V2501" s="483"/>
    </row>
    <row r="2502" spans="1:22" x14ac:dyDescent="0.2">
      <c r="A2502" s="649">
        <v>42227</v>
      </c>
      <c r="B2502" s="775">
        <v>894</v>
      </c>
      <c r="C2502" s="646" t="s">
        <v>604</v>
      </c>
      <c r="E2502" s="658"/>
      <c r="F2502" s="650">
        <v>21567.040000000001</v>
      </c>
      <c r="G2502" s="650">
        <f>+F2502*2.2</f>
        <v>47447.488000000005</v>
      </c>
      <c r="H2502" s="652" t="s">
        <v>70</v>
      </c>
      <c r="I2502" s="652"/>
      <c r="J2502" s="1162">
        <v>42200</v>
      </c>
      <c r="K2502" s="658" t="s">
        <v>384</v>
      </c>
      <c r="L2502" s="1162">
        <v>42292</v>
      </c>
      <c r="M2502" s="652"/>
      <c r="N2502" s="652"/>
      <c r="O2502" s="652"/>
      <c r="P2502" s="652"/>
      <c r="Q2502" s="652"/>
      <c r="R2502" s="649">
        <v>42292</v>
      </c>
      <c r="S2502" s="649">
        <v>42515</v>
      </c>
      <c r="T2502" s="652"/>
      <c r="U2502" s="652"/>
      <c r="V2502" s="652"/>
    </row>
    <row r="2503" spans="1:22" x14ac:dyDescent="0.2">
      <c r="A2503" s="94">
        <v>42439</v>
      </c>
      <c r="B2503" s="934">
        <v>946</v>
      </c>
      <c r="C2503" s="637" t="s">
        <v>145</v>
      </c>
      <c r="F2503" s="600">
        <v>22084.83</v>
      </c>
      <c r="G2503" s="601">
        <f>+F2503*2.22</f>
        <v>49028.322600000007</v>
      </c>
      <c r="H2503" s="483" t="s">
        <v>72</v>
      </c>
      <c r="I2503" s="483"/>
      <c r="J2503" s="569">
        <v>42427</v>
      </c>
      <c r="K2503" s="597" t="s">
        <v>384</v>
      </c>
      <c r="L2503" s="94">
        <v>42517</v>
      </c>
      <c r="S2503" s="94">
        <v>42517</v>
      </c>
    </row>
    <row r="2504" spans="1:22" x14ac:dyDescent="0.2">
      <c r="A2504" s="94">
        <v>42444</v>
      </c>
      <c r="B2504" s="934">
        <v>948</v>
      </c>
      <c r="C2504" s="637" t="s">
        <v>212</v>
      </c>
      <c r="F2504" s="600">
        <v>10483.709999999999</v>
      </c>
      <c r="G2504" s="601">
        <f>+F2504*2.2</f>
        <v>23064.162</v>
      </c>
      <c r="H2504" s="483" t="s">
        <v>113</v>
      </c>
      <c r="I2504" s="483"/>
      <c r="J2504" s="569">
        <v>42427</v>
      </c>
      <c r="K2504" s="597" t="s">
        <v>384</v>
      </c>
      <c r="L2504" s="94">
        <v>42517</v>
      </c>
    </row>
    <row r="2505" spans="1:22" x14ac:dyDescent="0.2">
      <c r="A2505" s="649">
        <v>42244</v>
      </c>
      <c r="B2505" s="646">
        <v>899</v>
      </c>
      <c r="C2505" s="646" t="s">
        <v>208</v>
      </c>
      <c r="E2505" s="658"/>
      <c r="F2505" s="650">
        <v>10888.76</v>
      </c>
      <c r="G2505" s="650">
        <f>+F2505*2.2</f>
        <v>23955.272000000001</v>
      </c>
      <c r="H2505" s="652" t="s">
        <v>330</v>
      </c>
      <c r="I2505" s="652"/>
      <c r="J2505" s="1162">
        <v>42221</v>
      </c>
      <c r="K2505" s="658" t="s">
        <v>500</v>
      </c>
      <c r="L2505" s="1162">
        <v>42282</v>
      </c>
      <c r="M2505" s="652"/>
      <c r="N2505" s="652"/>
      <c r="O2505" s="652"/>
      <c r="P2505" s="649">
        <v>42282</v>
      </c>
      <c r="Q2505" s="649">
        <v>42345</v>
      </c>
      <c r="R2505" s="649">
        <v>42430</v>
      </c>
      <c r="S2505" s="649">
        <v>42520</v>
      </c>
      <c r="T2505" s="652"/>
      <c r="U2505" s="652"/>
      <c r="V2505" s="652"/>
    </row>
    <row r="2506" spans="1:22" x14ac:dyDescent="0.2">
      <c r="A2506" s="649">
        <v>42364</v>
      </c>
      <c r="B2506" s="684"/>
      <c r="C2506" s="658" t="s">
        <v>235</v>
      </c>
      <c r="E2506" s="646"/>
      <c r="F2506" s="650">
        <v>30077</v>
      </c>
      <c r="G2506" s="659">
        <f>+F2506*1.95</f>
        <v>58650.15</v>
      </c>
      <c r="H2506" s="573" t="s">
        <v>330</v>
      </c>
      <c r="I2506" s="720"/>
      <c r="J2506" s="720"/>
      <c r="K2506" s="646" t="s">
        <v>1224</v>
      </c>
      <c r="L2506" s="1450"/>
      <c r="M2506" s="652"/>
      <c r="N2506" s="573"/>
      <c r="O2506" s="652"/>
      <c r="P2506" s="652"/>
      <c r="Q2506" s="652"/>
      <c r="R2506" s="652"/>
      <c r="S2506" s="1162">
        <v>42521</v>
      </c>
      <c r="T2506" s="649"/>
      <c r="U2506" s="652"/>
      <c r="V2506" s="652"/>
    </row>
    <row r="2507" spans="1:22" x14ac:dyDescent="0.2">
      <c r="A2507" s="649"/>
      <c r="B2507" s="684"/>
      <c r="C2507" s="658"/>
      <c r="D2507" s="646"/>
      <c r="E2507" s="646"/>
      <c r="F2507" s="650"/>
      <c r="G2507" s="659"/>
      <c r="H2507" s="573"/>
      <c r="I2507" s="720"/>
      <c r="J2507" s="720"/>
      <c r="K2507" s="646"/>
      <c r="L2507" s="1450"/>
      <c r="M2507" s="652"/>
      <c r="N2507" s="573"/>
      <c r="O2507" s="652"/>
      <c r="P2507" s="652"/>
      <c r="Q2507" s="652"/>
      <c r="R2507" s="652"/>
      <c r="S2507" s="1162"/>
      <c r="T2507" s="649"/>
      <c r="U2507" s="652"/>
      <c r="V2507" s="652"/>
    </row>
    <row r="2508" spans="1:22" x14ac:dyDescent="0.2">
      <c r="A2508" s="649"/>
      <c r="B2508" s="684"/>
      <c r="C2508" s="658"/>
      <c r="D2508" s="646"/>
      <c r="E2508" s="646"/>
      <c r="F2508" s="650"/>
      <c r="G2508" s="659"/>
      <c r="H2508" s="573"/>
      <c r="I2508" s="720"/>
      <c r="J2508" s="720"/>
      <c r="K2508" s="646"/>
      <c r="L2508" s="1450"/>
      <c r="M2508" s="652"/>
      <c r="N2508" s="573"/>
      <c r="O2508" s="652"/>
      <c r="P2508" s="652"/>
      <c r="Q2508" s="652"/>
      <c r="R2508" s="652"/>
      <c r="S2508" s="1162"/>
      <c r="T2508" s="649"/>
      <c r="U2508" s="652"/>
      <c r="V2508" s="652"/>
    </row>
    <row r="2509" spans="1:22" x14ac:dyDescent="0.2">
      <c r="A2509" s="649"/>
      <c r="B2509" s="684"/>
      <c r="C2509" s="658"/>
      <c r="D2509" s="646"/>
      <c r="E2509" s="646"/>
      <c r="F2509" s="650"/>
      <c r="G2509" s="659"/>
      <c r="H2509" s="573"/>
      <c r="I2509" s="720"/>
      <c r="J2509" s="720"/>
      <c r="K2509" s="646"/>
      <c r="L2509" s="1450"/>
      <c r="M2509" s="652"/>
      <c r="N2509" s="573"/>
      <c r="O2509" s="652"/>
      <c r="P2509" s="652"/>
      <c r="Q2509" s="652"/>
      <c r="R2509" s="652"/>
      <c r="S2509" s="1162"/>
      <c r="T2509" s="649"/>
      <c r="U2509" s="652"/>
      <c r="V2509" s="652"/>
    </row>
    <row r="2510" spans="1:22" x14ac:dyDescent="0.2">
      <c r="A2510" s="649"/>
      <c r="B2510" s="684"/>
      <c r="C2510" s="658"/>
      <c r="D2510" s="646"/>
      <c r="E2510" s="646"/>
      <c r="F2510" s="650"/>
      <c r="G2510" s="659"/>
      <c r="H2510" s="573"/>
      <c r="I2510" s="720"/>
      <c r="J2510" s="720"/>
      <c r="K2510" s="646"/>
      <c r="L2510" s="1450"/>
      <c r="M2510" s="652"/>
      <c r="N2510" s="573"/>
      <c r="O2510" s="652"/>
      <c r="P2510" s="652"/>
      <c r="Q2510" s="652"/>
      <c r="R2510" s="652"/>
      <c r="S2510" s="1162"/>
      <c r="T2510" s="649"/>
      <c r="U2510" s="652"/>
      <c r="V2510" s="652"/>
    </row>
    <row r="2511" spans="1:22" x14ac:dyDescent="0.2">
      <c r="A2511" s="649"/>
      <c r="B2511" s="775"/>
      <c r="C2511" s="646"/>
      <c r="D2511" s="652"/>
      <c r="E2511" s="658"/>
      <c r="F2511" s="650"/>
      <c r="G2511" s="650"/>
      <c r="H2511" s="652"/>
      <c r="I2511" s="652"/>
      <c r="J2511" s="1162"/>
      <c r="K2511" s="564"/>
      <c r="L2511" s="1162"/>
      <c r="M2511" s="652"/>
      <c r="N2511" s="652"/>
      <c r="O2511" s="652"/>
      <c r="P2511" s="652"/>
      <c r="Q2511" s="649"/>
      <c r="R2511" s="649"/>
      <c r="S2511" s="649"/>
      <c r="T2511" s="652"/>
      <c r="U2511" s="652"/>
      <c r="V2511" s="652"/>
    </row>
    <row r="2512" spans="1:22" x14ac:dyDescent="0.2">
      <c r="A2512" s="649"/>
      <c r="B2512" s="775"/>
      <c r="C2512" s="646"/>
      <c r="D2512" s="652"/>
      <c r="E2512" s="658"/>
      <c r="F2512" s="650"/>
      <c r="G2512" s="650"/>
      <c r="H2512" s="652"/>
      <c r="I2512" s="652"/>
      <c r="J2512" s="1162"/>
      <c r="K2512" s="564"/>
      <c r="L2512" s="1162"/>
      <c r="M2512" s="652"/>
      <c r="N2512" s="652"/>
      <c r="O2512" s="652"/>
      <c r="P2512" s="652"/>
      <c r="Q2512" s="649"/>
      <c r="R2512" s="649"/>
      <c r="S2512" s="649"/>
      <c r="T2512" s="652"/>
      <c r="U2512" s="652"/>
      <c r="V2512" s="652"/>
    </row>
    <row r="2513" spans="1:22" x14ac:dyDescent="0.2">
      <c r="A2513" s="649"/>
      <c r="B2513" s="775"/>
      <c r="C2513" s="564"/>
      <c r="D2513" s="652"/>
      <c r="E2513" s="658"/>
      <c r="F2513" s="650"/>
      <c r="G2513" s="650"/>
      <c r="H2513" s="652"/>
      <c r="I2513" s="652"/>
      <c r="J2513" s="1162"/>
      <c r="K2513" s="564"/>
      <c r="L2513" s="1162"/>
      <c r="M2513" s="652"/>
      <c r="N2513" s="652"/>
      <c r="O2513" s="652"/>
      <c r="P2513" s="652"/>
      <c r="Q2513" s="649"/>
      <c r="R2513" s="649"/>
      <c r="S2513" s="649"/>
      <c r="T2513" s="652"/>
      <c r="U2513" s="652"/>
      <c r="V2513" s="652"/>
    </row>
    <row r="2514" spans="1:22" x14ac:dyDescent="0.2">
      <c r="A2514" s="578">
        <v>42452</v>
      </c>
      <c r="B2514" s="640">
        <v>953</v>
      </c>
      <c r="C2514" s="637" t="s">
        <v>172</v>
      </c>
      <c r="D2514" s="597"/>
      <c r="E2514" s="597"/>
      <c r="F2514" s="600">
        <v>9534.58</v>
      </c>
      <c r="G2514" s="601">
        <f>+F2514*2.25</f>
        <v>21452.805</v>
      </c>
      <c r="H2514" s="485" t="s">
        <v>113</v>
      </c>
      <c r="I2514" s="485"/>
      <c r="J2514" s="602">
        <v>42431</v>
      </c>
      <c r="K2514" s="597" t="s">
        <v>384</v>
      </c>
      <c r="L2514" s="602">
        <v>42523</v>
      </c>
      <c r="M2514" s="575"/>
      <c r="N2514" s="485"/>
      <c r="O2514" s="575"/>
      <c r="P2514" s="575"/>
      <c r="Q2514" s="575"/>
      <c r="R2514" s="575"/>
      <c r="S2514" s="578">
        <v>42523</v>
      </c>
      <c r="T2514" s="575"/>
      <c r="U2514" s="575"/>
      <c r="V2514" s="575"/>
    </row>
    <row r="2515" spans="1:22" x14ac:dyDescent="0.2">
      <c r="A2515" s="607">
        <v>42444</v>
      </c>
      <c r="B2515" s="773">
        <v>949</v>
      </c>
      <c r="C2515" s="637" t="s">
        <v>64</v>
      </c>
      <c r="D2515" s="612"/>
      <c r="E2515" s="612"/>
      <c r="F2515" s="600">
        <v>2854.55</v>
      </c>
      <c r="G2515" s="601">
        <f>+F2515*2.25</f>
        <v>6422.7375000000002</v>
      </c>
      <c r="H2515" s="485" t="s">
        <v>72</v>
      </c>
      <c r="I2515" s="485"/>
      <c r="J2515" s="602">
        <v>42432</v>
      </c>
      <c r="K2515" s="597" t="s">
        <v>384</v>
      </c>
      <c r="L2515" s="602">
        <v>42524</v>
      </c>
      <c r="M2515" s="603"/>
      <c r="N2515" s="606"/>
      <c r="O2515" s="603"/>
      <c r="P2515" s="603"/>
      <c r="Q2515" s="603"/>
      <c r="R2515" s="603"/>
      <c r="S2515" s="578">
        <v>42524</v>
      </c>
      <c r="T2515" s="603"/>
      <c r="U2515" s="603"/>
      <c r="V2515" s="603"/>
    </row>
    <row r="2516" spans="1:22" x14ac:dyDescent="0.2">
      <c r="A2516" s="649">
        <v>42343</v>
      </c>
      <c r="B2516" s="657">
        <v>921</v>
      </c>
      <c r="C2516" s="658" t="s">
        <v>836</v>
      </c>
      <c r="D2516" s="646">
        <v>3</v>
      </c>
      <c r="E2516" s="646"/>
      <c r="F2516" s="650">
        <v>32668.33</v>
      </c>
      <c r="G2516" s="659">
        <f>+F2516*2.2</f>
        <v>71870.326000000015</v>
      </c>
      <c r="H2516" s="573" t="s">
        <v>72</v>
      </c>
      <c r="I2516" s="720"/>
      <c r="J2516" s="1450"/>
      <c r="K2516" s="564" t="s">
        <v>272</v>
      </c>
      <c r="L2516" s="855"/>
      <c r="M2516" s="649"/>
      <c r="N2516" s="573"/>
      <c r="O2516" s="649"/>
      <c r="P2516" s="652"/>
      <c r="Q2516" s="652"/>
      <c r="R2516" s="649">
        <v>42432</v>
      </c>
      <c r="S2516" s="649">
        <v>42524</v>
      </c>
      <c r="T2516" s="649"/>
      <c r="U2516" s="652"/>
      <c r="V2516" s="652"/>
    </row>
    <row r="2517" spans="1:22" x14ac:dyDescent="0.2">
      <c r="A2517" s="94">
        <v>42445</v>
      </c>
      <c r="B2517" s="934">
        <v>952</v>
      </c>
      <c r="C2517" s="637" t="s">
        <v>142</v>
      </c>
      <c r="F2517" s="600">
        <v>19437.75</v>
      </c>
      <c r="G2517" s="601">
        <f>+F2517*2.22</f>
        <v>43151.805</v>
      </c>
      <c r="H2517" s="483" t="s">
        <v>330</v>
      </c>
      <c r="I2517" s="483"/>
      <c r="J2517" s="569">
        <v>42434</v>
      </c>
      <c r="K2517" s="568" t="s">
        <v>384</v>
      </c>
      <c r="L2517" s="94">
        <v>42526</v>
      </c>
      <c r="S2517" s="94">
        <v>42526</v>
      </c>
    </row>
    <row r="2518" spans="1:22" x14ac:dyDescent="0.2">
      <c r="A2518" s="649">
        <v>42231</v>
      </c>
      <c r="B2518" s="775">
        <v>895</v>
      </c>
      <c r="C2518" s="646" t="s">
        <v>171</v>
      </c>
      <c r="D2518" s="652"/>
      <c r="E2518" s="658">
        <v>15</v>
      </c>
      <c r="F2518" s="650">
        <v>22735</v>
      </c>
      <c r="G2518" s="650">
        <f>+F2518*2.2</f>
        <v>50017.000000000007</v>
      </c>
      <c r="H2518" s="573" t="s">
        <v>330</v>
      </c>
      <c r="I2518" s="652"/>
      <c r="J2518" s="1162">
        <v>42189</v>
      </c>
      <c r="K2518" s="564" t="s">
        <v>500</v>
      </c>
      <c r="L2518" s="1162">
        <v>42251</v>
      </c>
      <c r="M2518" s="652"/>
      <c r="N2518" s="652"/>
      <c r="O2518" s="652"/>
      <c r="P2518" s="652"/>
      <c r="Q2518" s="649">
        <v>42251</v>
      </c>
      <c r="R2518" s="649">
        <v>42436</v>
      </c>
      <c r="S2518" s="649">
        <v>42527</v>
      </c>
      <c r="T2518" s="652"/>
      <c r="U2518" s="652"/>
      <c r="V2518" s="652"/>
    </row>
    <row r="2519" spans="1:22" x14ac:dyDescent="0.2">
      <c r="A2519" s="607">
        <v>42483</v>
      </c>
      <c r="B2519" s="773">
        <v>968</v>
      </c>
      <c r="C2519" s="637" t="s">
        <v>66</v>
      </c>
      <c r="D2519" s="612"/>
      <c r="E2519" s="612"/>
      <c r="F2519" s="600">
        <v>9490</v>
      </c>
      <c r="G2519" s="601">
        <f>+F2519*2.25</f>
        <v>21352.5</v>
      </c>
      <c r="H2519" s="485" t="s">
        <v>72</v>
      </c>
      <c r="I2519" s="485"/>
      <c r="J2519" s="602">
        <v>42467</v>
      </c>
      <c r="K2519" s="597" t="s">
        <v>500</v>
      </c>
      <c r="L2519" s="602">
        <v>42528</v>
      </c>
      <c r="M2519" s="603"/>
      <c r="N2519" s="606"/>
      <c r="O2519" s="603"/>
      <c r="P2519" s="603"/>
      <c r="Q2519" s="603"/>
      <c r="R2519" s="603"/>
      <c r="S2519" s="578">
        <v>42528</v>
      </c>
      <c r="T2519" s="603"/>
      <c r="U2519" s="603"/>
      <c r="V2519" s="603"/>
    </row>
    <row r="2520" spans="1:22" x14ac:dyDescent="0.2">
      <c r="A2520" s="578">
        <v>42455</v>
      </c>
      <c r="B2520" s="640">
        <v>954</v>
      </c>
      <c r="C2520" s="637" t="s">
        <v>603</v>
      </c>
      <c r="D2520" s="597"/>
      <c r="E2520" s="597"/>
      <c r="F2520" s="600">
        <v>4275.59</v>
      </c>
      <c r="G2520" s="601">
        <f>+F2520*2.25</f>
        <v>9620.0774999999994</v>
      </c>
      <c r="H2520" s="485" t="s">
        <v>70</v>
      </c>
      <c r="I2520" s="485"/>
      <c r="J2520" s="602">
        <v>42439</v>
      </c>
      <c r="K2520" s="597" t="s">
        <v>384</v>
      </c>
      <c r="L2520" s="602">
        <v>42531</v>
      </c>
      <c r="M2520" s="575"/>
      <c r="N2520" s="485"/>
      <c r="O2520" s="575"/>
      <c r="P2520" s="575"/>
      <c r="Q2520" s="575"/>
      <c r="R2520" s="575"/>
      <c r="S2520" s="578">
        <v>43992</v>
      </c>
      <c r="T2520" s="575"/>
      <c r="U2520" s="575"/>
      <c r="V2520" s="575"/>
    </row>
    <row r="2521" spans="1:22" x14ac:dyDescent="0.2">
      <c r="A2521" s="569">
        <v>42480</v>
      </c>
      <c r="B2521" s="568">
        <v>967</v>
      </c>
      <c r="C2521" s="637" t="s">
        <v>946</v>
      </c>
      <c r="D2521" s="483"/>
      <c r="E2521" s="483"/>
      <c r="F2521" s="600">
        <v>10180.5</v>
      </c>
      <c r="G2521" s="601">
        <f>+F2521*2.25</f>
        <v>22906.125</v>
      </c>
      <c r="H2521" s="483" t="s">
        <v>72</v>
      </c>
      <c r="I2521" s="569"/>
      <c r="J2521" s="569">
        <v>42471</v>
      </c>
      <c r="K2521" s="597" t="s">
        <v>821</v>
      </c>
      <c r="L2521" s="569">
        <v>42532</v>
      </c>
      <c r="M2521" s="483"/>
      <c r="N2521" s="483"/>
      <c r="O2521" s="483"/>
      <c r="P2521" s="483"/>
      <c r="Q2521" s="483"/>
      <c r="R2521" s="483"/>
      <c r="S2521" s="569">
        <v>42532</v>
      </c>
      <c r="T2521" s="483"/>
      <c r="U2521" s="483"/>
      <c r="V2521" s="483"/>
    </row>
    <row r="2522" spans="1:22" x14ac:dyDescent="0.2">
      <c r="A2522" s="649">
        <v>42296</v>
      </c>
      <c r="B2522" s="775">
        <v>911</v>
      </c>
      <c r="C2522" s="646" t="s">
        <v>848</v>
      </c>
      <c r="D2522" s="646"/>
      <c r="E2522" s="646">
        <v>38</v>
      </c>
      <c r="F2522" s="650">
        <v>115210.76</v>
      </c>
      <c r="G2522" s="650">
        <f>F2522*2.208/3</f>
        <v>84795.119359999997</v>
      </c>
      <c r="H2522" s="573" t="s">
        <v>113</v>
      </c>
      <c r="I2522" s="720"/>
      <c r="J2522" s="1450"/>
      <c r="K2522" s="564" t="s">
        <v>250</v>
      </c>
      <c r="L2522" s="1075">
        <v>42374</v>
      </c>
      <c r="M2522" s="652"/>
      <c r="N2522" s="573"/>
      <c r="O2522" s="652"/>
      <c r="P2522" s="652"/>
      <c r="Q2522" s="652"/>
      <c r="R2522" s="649">
        <v>42380</v>
      </c>
      <c r="S2522" s="649">
        <v>42532</v>
      </c>
      <c r="T2522" s="652"/>
      <c r="U2522" s="652"/>
      <c r="V2522" s="652"/>
    </row>
    <row r="2523" spans="1:22" x14ac:dyDescent="0.2">
      <c r="A2523" s="649">
        <v>42343</v>
      </c>
      <c r="B2523" s="657">
        <v>920</v>
      </c>
      <c r="C2523" s="658" t="s">
        <v>145</v>
      </c>
      <c r="D2523" s="646">
        <v>28</v>
      </c>
      <c r="E2523" s="646"/>
      <c r="F2523" s="650">
        <v>19275.72</v>
      </c>
      <c r="G2523" s="659">
        <f>+F2523*2.2</f>
        <v>42406.584000000003</v>
      </c>
      <c r="H2523" s="1460" t="s">
        <v>330</v>
      </c>
      <c r="I2523" s="720"/>
      <c r="J2523" s="1075">
        <v>42327</v>
      </c>
      <c r="K2523" s="646" t="s">
        <v>384</v>
      </c>
      <c r="L2523" s="1075">
        <v>42419</v>
      </c>
      <c r="M2523" s="652"/>
      <c r="N2523" s="573"/>
      <c r="O2523" s="652"/>
      <c r="P2523" s="652"/>
      <c r="Q2523" s="652"/>
      <c r="R2523" s="649">
        <v>42419</v>
      </c>
      <c r="S2523" s="649">
        <v>42534</v>
      </c>
      <c r="T2523" s="652"/>
      <c r="U2523" s="652"/>
      <c r="V2523" s="652"/>
    </row>
    <row r="2524" spans="1:22" x14ac:dyDescent="0.2">
      <c r="A2524" s="649">
        <v>42361</v>
      </c>
      <c r="B2524" s="658">
        <v>928</v>
      </c>
      <c r="C2524" s="646" t="s">
        <v>324</v>
      </c>
      <c r="D2524" s="646"/>
      <c r="E2524" s="646">
        <v>5</v>
      </c>
      <c r="F2524" s="650">
        <v>21057</v>
      </c>
      <c r="G2524" s="650">
        <f>+F2524*1.95</f>
        <v>41061.15</v>
      </c>
      <c r="H2524" s="573" t="s">
        <v>72</v>
      </c>
      <c r="I2524" s="720"/>
      <c r="J2524" s="1450"/>
      <c r="K2524" s="564" t="s">
        <v>250</v>
      </c>
      <c r="L2524" s="1075">
        <v>42436</v>
      </c>
      <c r="M2524" s="652"/>
      <c r="N2524" s="573"/>
      <c r="O2524" s="652"/>
      <c r="P2524" s="652"/>
      <c r="Q2524" s="652"/>
      <c r="R2524" s="649">
        <v>42443</v>
      </c>
      <c r="S2524" s="649">
        <v>42535</v>
      </c>
      <c r="T2524" s="652" t="s">
        <v>1203</v>
      </c>
      <c r="U2524" s="652"/>
      <c r="V2524" s="652"/>
    </row>
    <row r="2525" spans="1:22" x14ac:dyDescent="0.2">
      <c r="A2525" s="607">
        <v>42458</v>
      </c>
      <c r="B2525" s="773">
        <v>955</v>
      </c>
      <c r="C2525" s="637" t="s">
        <v>69</v>
      </c>
      <c r="D2525" s="612"/>
      <c r="E2525" s="612"/>
      <c r="F2525" s="600">
        <v>11250.22</v>
      </c>
      <c r="G2525" s="601">
        <f>+F2525*2.25</f>
        <v>25312.994999999999</v>
      </c>
      <c r="H2525" s="485" t="s">
        <v>330</v>
      </c>
      <c r="I2525" s="485"/>
      <c r="J2525" s="602">
        <v>42443</v>
      </c>
      <c r="K2525" s="597" t="s">
        <v>384</v>
      </c>
      <c r="L2525" s="602">
        <v>42535</v>
      </c>
      <c r="M2525" s="603"/>
      <c r="N2525" s="606"/>
      <c r="O2525" s="603"/>
      <c r="P2525" s="603"/>
      <c r="Q2525" s="603"/>
      <c r="R2525" s="603"/>
      <c r="S2525" s="578">
        <v>42535</v>
      </c>
      <c r="T2525" s="603"/>
      <c r="U2525" s="603"/>
      <c r="V2525" s="603"/>
    </row>
    <row r="2526" spans="1:22" x14ac:dyDescent="0.2">
      <c r="A2526" s="607">
        <v>42471</v>
      </c>
      <c r="B2526" s="773">
        <v>961</v>
      </c>
      <c r="C2526" s="637" t="s">
        <v>139</v>
      </c>
      <c r="D2526" s="612"/>
      <c r="E2526" s="612"/>
      <c r="F2526" s="600">
        <v>7919.78</v>
      </c>
      <c r="G2526" s="601">
        <f>+F2526*2.2</f>
        <v>17423.516</v>
      </c>
      <c r="H2526" s="485" t="s">
        <v>72</v>
      </c>
      <c r="I2526" s="485"/>
      <c r="J2526" s="1018">
        <v>42446</v>
      </c>
      <c r="K2526" s="597" t="s">
        <v>384</v>
      </c>
      <c r="L2526" s="1495">
        <v>42538</v>
      </c>
      <c r="M2526" s="603"/>
      <c r="N2526" s="606"/>
      <c r="O2526" s="603"/>
      <c r="P2526" s="603"/>
      <c r="Q2526" s="603"/>
      <c r="R2526" s="603"/>
      <c r="S2526" s="578">
        <v>42538</v>
      </c>
      <c r="T2526" s="603"/>
      <c r="U2526" s="603"/>
      <c r="V2526" s="603"/>
    </row>
    <row r="2527" spans="1:22" x14ac:dyDescent="0.2">
      <c r="A2527" s="607">
        <v>42480</v>
      </c>
      <c r="B2527" s="773">
        <v>966</v>
      </c>
      <c r="C2527" s="637" t="s">
        <v>248</v>
      </c>
      <c r="D2527" s="612"/>
      <c r="E2527" s="612"/>
      <c r="F2527" s="600">
        <v>13357.7</v>
      </c>
      <c r="G2527" s="601">
        <f>+F2527*2.2</f>
        <v>29386.940000000002</v>
      </c>
      <c r="H2527" s="485" t="s">
        <v>113</v>
      </c>
      <c r="I2527" s="485"/>
      <c r="J2527" s="602">
        <v>42447</v>
      </c>
      <c r="K2527" s="597" t="s">
        <v>384</v>
      </c>
      <c r="L2527" s="1018">
        <v>42539</v>
      </c>
      <c r="M2527" s="603"/>
      <c r="N2527" s="606"/>
      <c r="O2527" s="603"/>
      <c r="P2527" s="603"/>
      <c r="Q2527" s="603"/>
      <c r="R2527" s="603"/>
      <c r="S2527" s="578">
        <v>42539</v>
      </c>
      <c r="T2527" s="603"/>
      <c r="U2527" s="603"/>
      <c r="V2527" s="603"/>
    </row>
    <row r="2528" spans="1:22" x14ac:dyDescent="0.2">
      <c r="A2528" s="607">
        <v>42464</v>
      </c>
      <c r="B2528" s="773">
        <v>957</v>
      </c>
      <c r="C2528" s="637" t="s">
        <v>478</v>
      </c>
      <c r="D2528" s="612"/>
      <c r="E2528" s="612"/>
      <c r="F2528" s="600">
        <v>5287.35</v>
      </c>
      <c r="G2528" s="601">
        <f>+F2528*2.25</f>
        <v>11896.5375</v>
      </c>
      <c r="H2528" s="485" t="s">
        <v>113</v>
      </c>
      <c r="I2528" s="485"/>
      <c r="J2528" s="602">
        <v>42452</v>
      </c>
      <c r="K2528" s="597" t="s">
        <v>384</v>
      </c>
      <c r="L2528" s="602">
        <v>42544</v>
      </c>
      <c r="M2528" s="603"/>
      <c r="N2528" s="606"/>
      <c r="O2528" s="603"/>
      <c r="P2528" s="603"/>
      <c r="Q2528" s="603"/>
      <c r="R2528" s="603"/>
      <c r="S2528" s="578">
        <v>42544</v>
      </c>
      <c r="T2528" s="603"/>
      <c r="U2528" s="603"/>
      <c r="V2528" s="603"/>
    </row>
    <row r="2529" spans="1:22" x14ac:dyDescent="0.2">
      <c r="A2529" s="649"/>
      <c r="B2529" s="658"/>
      <c r="C2529" s="646"/>
      <c r="D2529" s="646"/>
      <c r="E2529" s="646"/>
      <c r="F2529" s="650"/>
      <c r="G2529" s="650"/>
      <c r="H2529" s="573"/>
      <c r="I2529" s="720"/>
      <c r="J2529" s="1450"/>
      <c r="K2529" s="564"/>
      <c r="L2529" s="1075"/>
      <c r="M2529" s="652"/>
      <c r="N2529" s="573"/>
      <c r="O2529" s="652"/>
      <c r="P2529" s="652"/>
      <c r="Q2529" s="652"/>
      <c r="R2529" s="649"/>
      <c r="S2529" s="649"/>
      <c r="T2529" s="652"/>
      <c r="U2529" s="652"/>
      <c r="V2529" s="652"/>
    </row>
    <row r="2530" spans="1:22" x14ac:dyDescent="0.2">
      <c r="A2530" s="649"/>
      <c r="B2530" s="658"/>
      <c r="C2530" s="646"/>
      <c r="D2530" s="646"/>
      <c r="E2530" s="646"/>
      <c r="F2530" s="650"/>
      <c r="G2530" s="650"/>
      <c r="H2530" s="812">
        <f>G2516+G2518+G2522+25000</f>
        <v>231682.44536000001</v>
      </c>
      <c r="I2530" s="1498">
        <f>G2514+G2515+G2517+G2520+G2525+G2526+G2528</f>
        <v>135280.47349999999</v>
      </c>
      <c r="J2530" s="1450"/>
      <c r="K2530" s="564"/>
      <c r="L2530" s="1075"/>
      <c r="M2530" s="652"/>
      <c r="N2530" s="573"/>
      <c r="O2530" s="652"/>
      <c r="P2530" s="652"/>
      <c r="Q2530" s="652"/>
      <c r="R2530" s="649"/>
      <c r="S2530" s="649"/>
      <c r="T2530" s="652"/>
      <c r="U2530" s="652"/>
      <c r="V2530" s="652"/>
    </row>
    <row r="2531" spans="1:22" x14ac:dyDescent="0.2">
      <c r="A2531" s="649"/>
      <c r="B2531" s="658"/>
      <c r="C2531" s="646"/>
      <c r="D2531" s="646"/>
      <c r="E2531" s="646"/>
      <c r="F2531" s="650"/>
      <c r="G2531" s="650"/>
      <c r="H2531" s="812"/>
      <c r="I2531" s="1498"/>
      <c r="J2531" s="1450"/>
      <c r="K2531" s="564"/>
      <c r="L2531" s="1075"/>
      <c r="M2531" s="652"/>
      <c r="N2531" s="573"/>
      <c r="O2531" s="652"/>
      <c r="P2531" s="652"/>
      <c r="Q2531" s="652"/>
      <c r="R2531" s="649"/>
      <c r="S2531" s="649"/>
      <c r="T2531" s="652"/>
      <c r="U2531" s="652"/>
      <c r="V2531" s="652"/>
    </row>
    <row r="2532" spans="1:22" x14ac:dyDescent="0.2">
      <c r="A2532" s="649"/>
      <c r="B2532" s="658"/>
      <c r="C2532" s="646"/>
      <c r="D2532" s="646"/>
      <c r="E2532" s="646"/>
      <c r="F2532" s="650"/>
      <c r="G2532" s="650"/>
      <c r="H2532" s="812"/>
      <c r="I2532" s="1498"/>
      <c r="J2532" s="1450"/>
      <c r="K2532" s="564"/>
      <c r="L2532" s="1075"/>
      <c r="M2532" s="652"/>
      <c r="N2532" s="573"/>
      <c r="O2532" s="652"/>
      <c r="P2532" s="652"/>
      <c r="Q2532" s="652"/>
      <c r="R2532" s="649"/>
      <c r="S2532" s="649"/>
      <c r="T2532" s="652"/>
      <c r="U2532" s="652"/>
      <c r="V2532" s="652"/>
    </row>
    <row r="2533" spans="1:22" x14ac:dyDescent="0.2">
      <c r="A2533" s="569">
        <v>42476</v>
      </c>
      <c r="B2533" s="568">
        <v>964</v>
      </c>
      <c r="C2533" s="637" t="s">
        <v>49</v>
      </c>
      <c r="D2533" s="483"/>
      <c r="E2533" s="483"/>
      <c r="F2533" s="600">
        <v>14206.08</v>
      </c>
      <c r="G2533" s="601">
        <f>+F2533*2.25</f>
        <v>31963.68</v>
      </c>
      <c r="H2533" s="483" t="s">
        <v>113</v>
      </c>
      <c r="I2533" s="483"/>
      <c r="J2533" s="569">
        <v>42463</v>
      </c>
      <c r="K2533" s="597" t="s">
        <v>700</v>
      </c>
      <c r="L2533" s="569">
        <v>42554</v>
      </c>
      <c r="M2533" s="483"/>
      <c r="N2533" s="483"/>
      <c r="O2533" s="483"/>
      <c r="P2533" s="483"/>
      <c r="Q2533" s="483"/>
      <c r="R2533" s="483"/>
      <c r="S2533" s="569">
        <v>42554</v>
      </c>
      <c r="T2533" s="483"/>
      <c r="U2533" s="483"/>
      <c r="V2533" s="483"/>
    </row>
    <row r="2534" spans="1:22" x14ac:dyDescent="0.2">
      <c r="A2534" s="649">
        <v>42472</v>
      </c>
      <c r="B2534" s="657">
        <v>963</v>
      </c>
      <c r="C2534" s="658" t="s">
        <v>712</v>
      </c>
      <c r="D2534" s="646"/>
      <c r="E2534" s="646"/>
      <c r="F2534" s="650">
        <v>28223.85</v>
      </c>
      <c r="G2534" s="659">
        <f>+F2534*2.2</f>
        <v>62092.47</v>
      </c>
      <c r="H2534" s="573" t="s">
        <v>330</v>
      </c>
      <c r="I2534" s="573"/>
      <c r="J2534" s="573"/>
      <c r="K2534" s="646" t="s">
        <v>250</v>
      </c>
      <c r="L2534" s="651">
        <v>42555</v>
      </c>
      <c r="M2534" s="652"/>
      <c r="N2534" s="573"/>
      <c r="O2534" s="652"/>
      <c r="P2534" s="652"/>
      <c r="Q2534" s="652"/>
      <c r="R2534" s="652"/>
      <c r="S2534" s="649">
        <v>42557</v>
      </c>
      <c r="T2534" s="652"/>
      <c r="U2534" s="652"/>
      <c r="V2534" s="652"/>
    </row>
    <row r="2535" spans="1:22" x14ac:dyDescent="0.2">
      <c r="A2535" s="649">
        <v>42296</v>
      </c>
      <c r="B2535" s="775" t="s">
        <v>1300</v>
      </c>
      <c r="C2535" s="646" t="s">
        <v>848</v>
      </c>
      <c r="D2535" s="646"/>
      <c r="E2535" s="646">
        <v>38</v>
      </c>
      <c r="F2535" s="650">
        <v>115210.76</v>
      </c>
      <c r="G2535" s="650">
        <f>F2535*2.208/3</f>
        <v>84795.119359999997</v>
      </c>
      <c r="H2535" s="573" t="s">
        <v>113</v>
      </c>
      <c r="I2535" s="720"/>
      <c r="J2535" s="1450"/>
      <c r="K2535" s="564" t="s">
        <v>250</v>
      </c>
      <c r="L2535" s="1075">
        <v>42374</v>
      </c>
      <c r="M2535" s="652"/>
      <c r="N2535" s="573"/>
      <c r="O2535" s="652"/>
      <c r="P2535" s="652"/>
      <c r="Q2535" s="652"/>
      <c r="R2535" s="649">
        <v>42380</v>
      </c>
      <c r="S2535" s="649">
        <v>42562</v>
      </c>
      <c r="T2535" s="652"/>
      <c r="U2535" s="652"/>
      <c r="V2535" s="652"/>
    </row>
    <row r="2536" spans="1:22" x14ac:dyDescent="0.2">
      <c r="A2536" s="649"/>
      <c r="B2536" s="657"/>
      <c r="C2536" s="658" t="s">
        <v>1303</v>
      </c>
      <c r="D2536" s="646"/>
      <c r="E2536" s="646"/>
      <c r="F2536" s="650">
        <v>18892.8</v>
      </c>
      <c r="G2536" s="650">
        <f>+F2536*2.25</f>
        <v>42508.799999999996</v>
      </c>
      <c r="H2536" s="573" t="s">
        <v>113</v>
      </c>
      <c r="I2536" s="720"/>
      <c r="J2536" s="855"/>
      <c r="K2536" s="564" t="s">
        <v>167</v>
      </c>
      <c r="L2536" s="855"/>
      <c r="M2536" s="652"/>
      <c r="N2536" s="573"/>
      <c r="O2536" s="652"/>
      <c r="P2536" s="652"/>
      <c r="Q2536" s="652"/>
      <c r="R2536" s="652"/>
      <c r="S2536" s="649">
        <v>42571</v>
      </c>
      <c r="T2536" s="652"/>
      <c r="U2536" s="652"/>
      <c r="V2536" s="652"/>
    </row>
    <row r="2537" spans="1:22" x14ac:dyDescent="0.2">
      <c r="A2537" s="649">
        <v>42423</v>
      </c>
      <c r="B2537" s="684"/>
      <c r="C2537" s="658" t="s">
        <v>815</v>
      </c>
      <c r="D2537" s="646"/>
      <c r="E2537" s="646"/>
      <c r="F2537" s="650">
        <v>11642.06</v>
      </c>
      <c r="G2537" s="659">
        <f>+F2537*1.95</f>
        <v>22702.017</v>
      </c>
      <c r="H2537" s="573" t="s">
        <v>70</v>
      </c>
      <c r="I2537" s="573"/>
      <c r="J2537" s="651"/>
      <c r="K2537" s="646" t="s">
        <v>167</v>
      </c>
      <c r="L2537" s="721"/>
      <c r="M2537" s="652"/>
      <c r="N2537" s="573"/>
      <c r="O2537" s="652"/>
      <c r="P2537" s="652"/>
      <c r="Q2537" s="652"/>
      <c r="R2537" s="652"/>
      <c r="S2537" s="649">
        <v>42576</v>
      </c>
      <c r="T2537" s="652"/>
      <c r="U2537" s="652"/>
      <c r="V2537" s="652"/>
    </row>
    <row r="2538" spans="1:22" x14ac:dyDescent="0.2">
      <c r="A2538" s="649">
        <v>42397</v>
      </c>
      <c r="B2538" s="775">
        <v>935</v>
      </c>
      <c r="C2538" s="658" t="s">
        <v>166</v>
      </c>
      <c r="D2538" s="646"/>
      <c r="E2538" s="646"/>
      <c r="F2538" s="650">
        <v>51220.800000000003</v>
      </c>
      <c r="G2538" s="659">
        <f>+F2538*2.22</f>
        <v>113710.17600000002</v>
      </c>
      <c r="H2538" s="573" t="s">
        <v>330</v>
      </c>
      <c r="I2538" s="720"/>
      <c r="J2538" s="1450"/>
      <c r="K2538" s="564" t="s">
        <v>250</v>
      </c>
      <c r="L2538" s="855">
        <v>42397</v>
      </c>
      <c r="M2538" s="652"/>
      <c r="N2538" s="573"/>
      <c r="O2538" s="652"/>
      <c r="P2538" s="652"/>
      <c r="Q2538" s="652"/>
      <c r="R2538" s="649">
        <v>42488</v>
      </c>
      <c r="S2538" s="649">
        <v>42578</v>
      </c>
      <c r="T2538" s="652"/>
      <c r="U2538" s="652"/>
      <c r="V2538" s="652"/>
    </row>
    <row r="2539" spans="1:22" x14ac:dyDescent="0.2">
      <c r="A2539" s="649"/>
      <c r="B2539" s="658"/>
      <c r="C2539" s="646"/>
      <c r="D2539" s="646"/>
      <c r="E2539" s="646"/>
      <c r="F2539" s="650"/>
      <c r="G2539" s="650"/>
      <c r="H2539" s="573"/>
      <c r="I2539" s="720"/>
      <c r="J2539" s="1450"/>
      <c r="K2539" s="564"/>
      <c r="L2539" s="1075"/>
      <c r="M2539" s="652"/>
      <c r="N2539" s="573"/>
      <c r="O2539" s="652"/>
      <c r="P2539" s="652"/>
      <c r="Q2539" s="652"/>
      <c r="R2539" s="649"/>
      <c r="S2539" s="649"/>
      <c r="T2539" s="652"/>
      <c r="U2539" s="652"/>
      <c r="V2539" s="652"/>
    </row>
    <row r="2540" spans="1:22" x14ac:dyDescent="0.2">
      <c r="A2540" s="649"/>
      <c r="B2540" s="658"/>
      <c r="C2540" s="646"/>
      <c r="D2540" s="646"/>
      <c r="E2540" s="646"/>
      <c r="F2540" s="650"/>
      <c r="G2540" s="650"/>
      <c r="H2540" s="573"/>
      <c r="I2540" s="720"/>
      <c r="J2540" s="1450"/>
      <c r="K2540" s="564"/>
      <c r="L2540" s="1075"/>
      <c r="M2540" s="652"/>
      <c r="N2540" s="573"/>
      <c r="O2540" s="652"/>
      <c r="P2540" s="652"/>
      <c r="Q2540" s="652"/>
      <c r="R2540" s="649"/>
      <c r="S2540" s="649"/>
      <c r="T2540" s="652"/>
      <c r="U2540" s="652"/>
      <c r="V2540" s="652"/>
    </row>
    <row r="2541" spans="1:22" x14ac:dyDescent="0.2">
      <c r="A2541" s="649"/>
      <c r="B2541" s="658"/>
      <c r="C2541" s="646"/>
      <c r="D2541" s="646"/>
      <c r="E2541" s="646"/>
      <c r="F2541" s="650"/>
      <c r="G2541" s="650"/>
      <c r="H2541" s="573"/>
      <c r="I2541" s="720"/>
      <c r="J2541" s="1450"/>
      <c r="K2541" s="564"/>
      <c r="L2541" s="1075"/>
      <c r="M2541" s="652"/>
      <c r="N2541" s="573"/>
      <c r="O2541" s="652"/>
      <c r="P2541" s="652"/>
      <c r="Q2541" s="652"/>
      <c r="R2541" s="649"/>
      <c r="S2541" s="649"/>
      <c r="T2541" s="652"/>
      <c r="U2541" s="652"/>
      <c r="V2541" s="652"/>
    </row>
    <row r="2542" spans="1:22" x14ac:dyDescent="0.2">
      <c r="A2542" s="649"/>
      <c r="B2542" s="658"/>
      <c r="C2542" s="646"/>
      <c r="D2542" s="646"/>
      <c r="E2542" s="646"/>
      <c r="F2542" s="650"/>
      <c r="G2542" s="650"/>
      <c r="H2542" s="573"/>
      <c r="I2542" s="720"/>
      <c r="J2542" s="1450"/>
      <c r="K2542" s="564"/>
      <c r="L2542" s="1075"/>
      <c r="M2542" s="652"/>
      <c r="N2542" s="573"/>
      <c r="O2542" s="652"/>
      <c r="P2542" s="652"/>
      <c r="Q2542" s="652"/>
      <c r="R2542" s="649"/>
      <c r="S2542" s="649"/>
      <c r="T2542" s="652"/>
      <c r="U2542" s="652"/>
      <c r="V2542" s="652"/>
    </row>
    <row r="2543" spans="1:22" x14ac:dyDescent="0.2">
      <c r="A2543" s="649"/>
      <c r="B2543" s="658"/>
      <c r="C2543" s="646"/>
      <c r="D2543" s="646"/>
      <c r="E2543" s="646"/>
      <c r="F2543" s="650"/>
      <c r="G2543" s="650"/>
      <c r="H2543" s="573"/>
      <c r="I2543" s="720"/>
      <c r="J2543" s="1450"/>
      <c r="K2543" s="564"/>
      <c r="L2543" s="1075"/>
      <c r="M2543" s="652"/>
      <c r="N2543" s="573"/>
      <c r="O2543" s="652"/>
      <c r="P2543" s="652"/>
      <c r="Q2543" s="652"/>
      <c r="R2543" s="649"/>
      <c r="S2543" s="649"/>
      <c r="T2543" s="652"/>
      <c r="U2543" s="652"/>
      <c r="V2543" s="652"/>
    </row>
    <row r="2544" spans="1:22" x14ac:dyDescent="0.2">
      <c r="A2544" s="562">
        <v>42471</v>
      </c>
      <c r="B2544" s="648">
        <v>962</v>
      </c>
      <c r="C2544" s="658" t="s">
        <v>338</v>
      </c>
      <c r="D2544" s="563"/>
      <c r="E2544" s="563"/>
      <c r="F2544" s="650">
        <v>18349.830000000002</v>
      </c>
      <c r="G2544" s="659">
        <f>+F2544*2.2</f>
        <v>40369.626000000004</v>
      </c>
      <c r="H2544" s="563" t="s">
        <v>330</v>
      </c>
      <c r="I2544" s="563"/>
      <c r="J2544" s="563"/>
      <c r="K2544" s="648" t="s">
        <v>1305</v>
      </c>
      <c r="L2544" s="563"/>
      <c r="M2544" s="563"/>
      <c r="N2544" s="563"/>
      <c r="O2544" s="563"/>
      <c r="P2544" s="563"/>
      <c r="Q2544" s="563"/>
      <c r="R2544" s="563"/>
      <c r="S2544" s="562">
        <v>42584</v>
      </c>
      <c r="T2544" s="563"/>
      <c r="U2544" s="563"/>
      <c r="V2544" s="563"/>
    </row>
    <row r="2545" spans="1:22" x14ac:dyDescent="0.2">
      <c r="A2545" s="649">
        <v>42404</v>
      </c>
      <c r="B2545" s="775">
        <v>940</v>
      </c>
      <c r="C2545" s="658" t="s">
        <v>166</v>
      </c>
      <c r="D2545" s="646"/>
      <c r="E2545" s="646"/>
      <c r="F2545" s="650">
        <v>54548.6</v>
      </c>
      <c r="G2545" s="659">
        <f>+F2545*2.22</f>
        <v>121097.89200000001</v>
      </c>
      <c r="H2545" s="573" t="s">
        <v>113</v>
      </c>
      <c r="I2545" s="720"/>
      <c r="J2545" s="1450"/>
      <c r="K2545" s="564" t="s">
        <v>250</v>
      </c>
      <c r="L2545" s="855"/>
      <c r="M2545" s="652"/>
      <c r="N2545" s="573"/>
      <c r="O2545" s="652"/>
      <c r="P2545" s="652"/>
      <c r="Q2545" s="652"/>
      <c r="R2545" s="649">
        <v>42492</v>
      </c>
      <c r="S2545" s="649">
        <v>42584</v>
      </c>
      <c r="T2545" s="652"/>
      <c r="U2545" s="652"/>
      <c r="V2545" s="652"/>
    </row>
    <row r="2546" spans="1:22" x14ac:dyDescent="0.2">
      <c r="A2546" s="649"/>
      <c r="B2546" s="658"/>
      <c r="C2546" s="646"/>
      <c r="D2546" s="646"/>
      <c r="E2546" s="646"/>
      <c r="F2546" s="650"/>
      <c r="G2546" s="650"/>
      <c r="H2546" s="573"/>
      <c r="I2546" s="720"/>
      <c r="J2546" s="1450"/>
      <c r="K2546" s="564"/>
      <c r="L2546" s="1075"/>
      <c r="M2546" s="652"/>
      <c r="N2546" s="573"/>
      <c r="O2546" s="652"/>
      <c r="P2546" s="652"/>
      <c r="Q2546" s="652"/>
      <c r="R2546" s="649"/>
      <c r="S2546" s="649"/>
      <c r="T2546" s="652"/>
      <c r="U2546" s="652"/>
      <c r="V2546" s="652"/>
    </row>
    <row r="2547" spans="1:22" x14ac:dyDescent="0.2">
      <c r="A2547" s="649"/>
      <c r="B2547" s="658"/>
      <c r="C2547" s="646"/>
      <c r="D2547" s="646"/>
      <c r="E2547" s="646"/>
      <c r="F2547" s="650"/>
      <c r="G2547" s="650"/>
      <c r="H2547" s="573"/>
      <c r="I2547" s="720"/>
      <c r="J2547" s="1450"/>
      <c r="K2547" s="564"/>
      <c r="L2547" s="1075"/>
      <c r="M2547" s="652"/>
      <c r="N2547" s="573"/>
      <c r="O2547" s="652"/>
      <c r="P2547" s="652"/>
      <c r="Q2547" s="652"/>
      <c r="R2547" s="649"/>
      <c r="S2547" s="649"/>
      <c r="T2547" s="652"/>
      <c r="U2547" s="652"/>
      <c r="V2547" s="652"/>
    </row>
    <row r="2548" spans="1:22" x14ac:dyDescent="0.2">
      <c r="A2548" s="649"/>
      <c r="B2548" s="658"/>
      <c r="C2548" s="646"/>
      <c r="D2548" s="646"/>
      <c r="E2548" s="646"/>
      <c r="F2548" s="650"/>
      <c r="G2548" s="650"/>
      <c r="H2548" s="573"/>
      <c r="I2548" s="720"/>
      <c r="J2548" s="1450"/>
      <c r="K2548" s="564"/>
      <c r="L2548" s="1075"/>
      <c r="M2548" s="652"/>
      <c r="N2548" s="573"/>
      <c r="O2548" s="652"/>
      <c r="P2548" s="652"/>
      <c r="Q2548" s="652"/>
      <c r="R2548" s="649"/>
      <c r="S2548" s="649"/>
      <c r="T2548" s="652"/>
      <c r="U2548" s="652"/>
      <c r="V2548" s="652"/>
    </row>
    <row r="2549" spans="1:22" x14ac:dyDescent="0.2">
      <c r="A2549" s="649"/>
      <c r="B2549" s="658"/>
      <c r="C2549" s="646"/>
      <c r="D2549" s="646"/>
      <c r="E2549" s="646"/>
      <c r="F2549" s="650"/>
      <c r="G2549" s="650"/>
      <c r="H2549" s="573"/>
      <c r="I2549" s="720"/>
      <c r="J2549" s="1450"/>
      <c r="K2549" s="564"/>
      <c r="L2549" s="1075"/>
      <c r="M2549" s="652"/>
      <c r="N2549" s="573"/>
      <c r="O2549" s="652"/>
      <c r="P2549" s="652"/>
      <c r="Q2549" s="652"/>
      <c r="R2549" s="649"/>
      <c r="S2549" s="649"/>
      <c r="T2549" s="652"/>
      <c r="U2549" s="652"/>
      <c r="V2549" s="652"/>
    </row>
  </sheetData>
  <mergeCells count="50">
    <mergeCell ref="E2334:F2334"/>
    <mergeCell ref="D2269:F2269"/>
    <mergeCell ref="E2290:F2290"/>
    <mergeCell ref="E2299:F2299"/>
    <mergeCell ref="E2326:F2326"/>
    <mergeCell ref="D2306:F2306"/>
    <mergeCell ref="D1916:G1916"/>
    <mergeCell ref="C1876:I1876"/>
    <mergeCell ref="D1884:G1884"/>
    <mergeCell ref="D1896:G1896"/>
    <mergeCell ref="D1906:G1906"/>
    <mergeCell ref="C2196:G2196"/>
    <mergeCell ref="C2200:F2200"/>
    <mergeCell ref="C2114:G2114"/>
    <mergeCell ref="C2118:F2118"/>
    <mergeCell ref="C2138:F2138"/>
    <mergeCell ref="C2160:F2160"/>
    <mergeCell ref="C2005:G2005"/>
    <mergeCell ref="C2008:F2008"/>
    <mergeCell ref="C2030:F2030"/>
    <mergeCell ref="C2045:F2045"/>
    <mergeCell ref="C2060:F2060"/>
    <mergeCell ref="C1950:G1950"/>
    <mergeCell ref="C1953:F1953"/>
    <mergeCell ref="C1966:F1966"/>
    <mergeCell ref="C1568:F1568"/>
    <mergeCell ref="C1574:F1574"/>
    <mergeCell ref="C1655:F1655"/>
    <mergeCell ref="C1670:F1670"/>
    <mergeCell ref="C1691:F1691"/>
    <mergeCell ref="C1723:G1723"/>
    <mergeCell ref="C1726:F1726"/>
    <mergeCell ref="C1738:F1738"/>
    <mergeCell ref="C1764:F1764"/>
    <mergeCell ref="C1774:F1774"/>
    <mergeCell ref="C1800:G1800"/>
    <mergeCell ref="C1803:F1803"/>
    <mergeCell ref="C1815:F1815"/>
    <mergeCell ref="C1840:F1840"/>
    <mergeCell ref="C1853:F1853"/>
    <mergeCell ref="C1508:F1508"/>
    <mergeCell ref="C1510:F1510"/>
    <mergeCell ref="C1527:F1527"/>
    <mergeCell ref="C1565:H1565"/>
    <mergeCell ref="C1652:G1652"/>
    <mergeCell ref="C1584:F1584"/>
    <mergeCell ref="C1602:F1602"/>
    <mergeCell ref="C1615:F1615"/>
    <mergeCell ref="C1597:H1597"/>
    <mergeCell ref="C1626:F1626"/>
  </mergeCells>
  <pageMargins left="0.78740157480314965" right="0.78740157480314965" top="0.98425196850393704" bottom="0.98425196850393704" header="0.51181102362204722" footer="0.51181102362204722"/>
  <pageSetup paperSize="9" scale="41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>
    <pageSetUpPr fitToPage="1"/>
  </sheetPr>
  <dimension ref="A3:O57"/>
  <sheetViews>
    <sheetView workbookViewId="0">
      <selection activeCell="D28" sqref="D28"/>
    </sheetView>
  </sheetViews>
  <sheetFormatPr defaultColWidth="11.42578125" defaultRowHeight="12.75" x14ac:dyDescent="0.2"/>
  <cols>
    <col min="1" max="1" width="29.5703125" customWidth="1"/>
    <col min="2" max="2" width="16.140625" customWidth="1"/>
    <col min="3" max="15" width="14.7109375" bestFit="1" customWidth="1"/>
  </cols>
  <sheetData>
    <row r="3" spans="1:14" ht="13.5" thickBot="1" x14ac:dyDescent="0.25"/>
    <row r="4" spans="1:14" x14ac:dyDescent="0.2">
      <c r="A4" s="2"/>
      <c r="B4" s="3"/>
      <c r="C4" s="3"/>
      <c r="D4" s="3"/>
      <c r="E4" s="3"/>
      <c r="F4" s="3"/>
      <c r="G4" s="3"/>
      <c r="H4" s="763"/>
      <c r="I4" s="763"/>
      <c r="J4" s="3"/>
      <c r="K4" s="3"/>
      <c r="L4" s="3"/>
      <c r="M4" s="3"/>
      <c r="N4" s="119">
        <v>41921</v>
      </c>
    </row>
    <row r="5" spans="1:14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7"/>
    </row>
    <row r="6" spans="1:14" ht="18" x14ac:dyDescent="0.25">
      <c r="A6" s="5"/>
      <c r="C6" s="6"/>
      <c r="D6" s="6"/>
      <c r="E6" s="6"/>
      <c r="F6" s="505" t="s">
        <v>911</v>
      </c>
      <c r="G6" s="6"/>
      <c r="H6" s="6"/>
      <c r="I6" s="6"/>
      <c r="J6" s="6"/>
      <c r="K6" s="6"/>
      <c r="L6" s="6"/>
      <c r="M6" s="6"/>
      <c r="N6" s="7"/>
    </row>
    <row r="7" spans="1:14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</row>
    <row r="8" spans="1:14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7"/>
    </row>
    <row r="9" spans="1:14" x14ac:dyDescent="0.2">
      <c r="A9" s="5"/>
      <c r="B9" s="6"/>
      <c r="C9" s="6"/>
      <c r="D9" s="6"/>
      <c r="E9" s="6"/>
      <c r="F9" s="6"/>
      <c r="G9" s="6"/>
      <c r="H9" s="6"/>
      <c r="I9" s="6"/>
      <c r="J9" s="482"/>
      <c r="K9" s="6"/>
      <c r="L9" s="6"/>
      <c r="M9" s="6"/>
      <c r="N9" s="7"/>
    </row>
    <row r="10" spans="1:14" x14ac:dyDescent="0.2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3.5" thickBot="1" x14ac:dyDescent="0.25">
      <c r="A11" s="11"/>
      <c r="B11" s="12"/>
      <c r="C11" s="12"/>
      <c r="D11" s="12"/>
      <c r="E11" s="12"/>
      <c r="F11" s="12"/>
      <c r="G11" s="12"/>
      <c r="H11" s="6"/>
      <c r="I11" s="6"/>
      <c r="J11" s="6"/>
      <c r="K11" s="6"/>
      <c r="L11" s="6"/>
      <c r="M11" s="6"/>
      <c r="N11" s="7"/>
    </row>
    <row r="12" spans="1:14" x14ac:dyDescent="0.2">
      <c r="A12" s="5"/>
      <c r="B12" s="205" t="s">
        <v>21</v>
      </c>
      <c r="C12" s="205" t="s">
        <v>22</v>
      </c>
      <c r="D12" s="205" t="s">
        <v>23</v>
      </c>
      <c r="E12" s="205" t="s">
        <v>24</v>
      </c>
      <c r="F12" s="205" t="s">
        <v>35</v>
      </c>
      <c r="G12" s="205" t="s">
        <v>36</v>
      </c>
      <c r="H12" s="764" t="s">
        <v>396</v>
      </c>
      <c r="I12" s="26" t="s">
        <v>651</v>
      </c>
      <c r="J12" s="26" t="s">
        <v>486</v>
      </c>
      <c r="K12" s="26" t="s">
        <v>652</v>
      </c>
      <c r="L12" s="26" t="s">
        <v>803</v>
      </c>
      <c r="M12" s="26" t="s">
        <v>44</v>
      </c>
      <c r="N12" s="26" t="s">
        <v>21</v>
      </c>
    </row>
    <row r="13" spans="1:14" ht="13.5" thickBot="1" x14ac:dyDescent="0.25">
      <c r="A13" s="5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</row>
    <row r="14" spans="1:14" ht="13.5" thickBot="1" x14ac:dyDescent="0.25">
      <c r="A14" s="2"/>
      <c r="B14" s="33"/>
      <c r="C14" s="31"/>
      <c r="D14" s="31"/>
      <c r="E14" s="31"/>
      <c r="F14" s="31"/>
      <c r="G14" s="31"/>
      <c r="H14" s="35"/>
      <c r="I14" s="765"/>
      <c r="J14" s="38"/>
      <c r="K14" s="38"/>
      <c r="L14" s="38"/>
      <c r="M14" s="38"/>
      <c r="N14" s="38"/>
    </row>
    <row r="15" spans="1:14" ht="15.75" x14ac:dyDescent="0.25">
      <c r="A15" s="43" t="s">
        <v>18</v>
      </c>
      <c r="B15" s="45">
        <f>B17+B18+100000</f>
        <v>-328467</v>
      </c>
      <c r="C15" s="44">
        <f t="shared" ref="C15:N15" si="0">C17+C18</f>
        <v>-238775</v>
      </c>
      <c r="D15" s="44">
        <f t="shared" si="0"/>
        <v>-204401.68999999994</v>
      </c>
      <c r="E15" s="44">
        <f t="shared" si="0"/>
        <v>-131742.83099999977</v>
      </c>
      <c r="F15" s="44">
        <f t="shared" si="0"/>
        <v>-236707.83099999977</v>
      </c>
      <c r="G15" s="44">
        <f t="shared" si="0"/>
        <v>-199421.83099999977</v>
      </c>
      <c r="H15" s="44">
        <f t="shared" si="0"/>
        <v>-155103.83099999977</v>
      </c>
      <c r="I15" s="45">
        <f t="shared" si="0"/>
        <v>-177785.83099999977</v>
      </c>
      <c r="J15" s="44">
        <f t="shared" si="0"/>
        <v>-174499.83099999977</v>
      </c>
      <c r="K15" s="44">
        <f t="shared" si="0"/>
        <v>-112181.83099999977</v>
      </c>
      <c r="L15" s="44">
        <f t="shared" si="0"/>
        <v>-84863.830999999773</v>
      </c>
      <c r="M15" s="44">
        <f t="shared" si="0"/>
        <v>-131577.83099999977</v>
      </c>
      <c r="N15" s="44">
        <f t="shared" si="0"/>
        <v>-19259.830999999773</v>
      </c>
    </row>
    <row r="16" spans="1:14" ht="15.75" x14ac:dyDescent="0.25">
      <c r="A16" s="43"/>
      <c r="B16" s="45"/>
      <c r="C16" s="46"/>
      <c r="D16" s="46"/>
      <c r="E16" s="46"/>
      <c r="F16" s="46"/>
      <c r="G16" s="46"/>
      <c r="H16" s="46"/>
      <c r="I16" s="45"/>
      <c r="J16" s="46"/>
      <c r="K16" s="46"/>
      <c r="L16" s="46"/>
      <c r="M16" s="46"/>
      <c r="N16" s="46"/>
    </row>
    <row r="17" spans="1:15" x14ac:dyDescent="0.2">
      <c r="A17" s="9" t="s">
        <v>19</v>
      </c>
      <c r="B17" s="34">
        <f>-287879-90148-19677-32763</f>
        <v>-430467</v>
      </c>
      <c r="C17" s="34">
        <f t="shared" ref="C17:N17" si="1">B55</f>
        <v>-240775</v>
      </c>
      <c r="D17" s="34">
        <f t="shared" si="1"/>
        <v>-206401.68999999994</v>
      </c>
      <c r="E17" s="34">
        <f t="shared" si="1"/>
        <v>-133742.83099999977</v>
      </c>
      <c r="F17" s="34">
        <f t="shared" si="1"/>
        <v>-238707.83099999977</v>
      </c>
      <c r="G17" s="34">
        <f t="shared" si="1"/>
        <v>-201421.83099999977</v>
      </c>
      <c r="H17" s="34">
        <f t="shared" si="1"/>
        <v>-157103.83099999977</v>
      </c>
      <c r="I17" s="34">
        <f t="shared" si="1"/>
        <v>-179785.83099999977</v>
      </c>
      <c r="J17" s="34">
        <f t="shared" si="1"/>
        <v>-176499.83099999977</v>
      </c>
      <c r="K17" s="34">
        <f t="shared" si="1"/>
        <v>-114181.83099999977</v>
      </c>
      <c r="L17" s="34">
        <f t="shared" si="1"/>
        <v>-86863.830999999773</v>
      </c>
      <c r="M17" s="34">
        <f t="shared" si="1"/>
        <v>-133577.83099999977</v>
      </c>
      <c r="N17" s="34">
        <f t="shared" si="1"/>
        <v>-21259.830999999773</v>
      </c>
    </row>
    <row r="18" spans="1:15" x14ac:dyDescent="0.2">
      <c r="A18" s="9" t="s">
        <v>20</v>
      </c>
      <c r="B18" s="34">
        <v>2000</v>
      </c>
      <c r="C18" s="34">
        <f>B56</f>
        <v>2000</v>
      </c>
      <c r="D18" s="34">
        <f>B56</f>
        <v>2000</v>
      </c>
      <c r="E18" s="34">
        <v>2000</v>
      </c>
      <c r="F18" s="34">
        <f>B56</f>
        <v>2000</v>
      </c>
      <c r="G18" s="34">
        <f>B56</f>
        <v>2000</v>
      </c>
      <c r="H18" s="34">
        <f>C56</f>
        <v>2000</v>
      </c>
      <c r="I18" s="34">
        <f>D56</f>
        <v>2000</v>
      </c>
      <c r="J18" s="34">
        <f>I56</f>
        <v>2000</v>
      </c>
      <c r="K18" s="34">
        <f>I56</f>
        <v>2000</v>
      </c>
      <c r="L18" s="34">
        <v>2000</v>
      </c>
      <c r="M18" s="34">
        <f>I56</f>
        <v>2000</v>
      </c>
      <c r="N18" s="34">
        <f>J56</f>
        <v>2000</v>
      </c>
    </row>
    <row r="19" spans="1:15" x14ac:dyDescent="0.2">
      <c r="A19" s="9"/>
      <c r="B19" s="34"/>
      <c r="C19" s="31"/>
      <c r="D19" s="31"/>
      <c r="E19" s="31"/>
      <c r="F19" s="31"/>
      <c r="G19" s="31"/>
      <c r="H19" s="31"/>
      <c r="I19" s="34"/>
      <c r="J19" s="31"/>
      <c r="K19" s="31"/>
      <c r="L19" s="31"/>
      <c r="M19" s="31"/>
      <c r="N19" s="31"/>
    </row>
    <row r="20" spans="1:15" ht="13.5" thickBot="1" x14ac:dyDescent="0.25">
      <c r="A20" s="11"/>
      <c r="B20" s="35"/>
      <c r="C20" s="31"/>
      <c r="D20" s="31"/>
      <c r="E20" s="31"/>
      <c r="F20" s="31"/>
      <c r="G20" s="31"/>
      <c r="H20" s="31"/>
      <c r="I20" s="35"/>
      <c r="J20" s="31"/>
      <c r="K20" s="31"/>
      <c r="L20" s="31"/>
      <c r="M20" s="31"/>
      <c r="N20" s="31"/>
    </row>
    <row r="21" spans="1:15" x14ac:dyDescent="0.2">
      <c r="A21" s="5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5" ht="15.75" x14ac:dyDescent="0.25">
      <c r="A22" s="43" t="s">
        <v>25</v>
      </c>
      <c r="B22" s="45">
        <f>B24+B27+B32+B29+B28+B30+B33+B25+B26+B31</f>
        <v>1483308</v>
      </c>
      <c r="C22" s="45">
        <f>C24+C27+C32+C29+C28+C30+C33+C25+C26+C31</f>
        <v>1770626.69</v>
      </c>
      <c r="D22" s="45">
        <f>D24+D27+D32+D29+D28+D30+D33+D25+D26+D31</f>
        <v>1582341.1409999998</v>
      </c>
      <c r="E22" s="45">
        <f t="shared" ref="E22:N22" si="2">E24+E27+E32+E29+E28+E30+E33+E25+E26+E31</f>
        <v>1759965</v>
      </c>
      <c r="F22" s="45">
        <f t="shared" si="2"/>
        <v>1717714</v>
      </c>
      <c r="G22" s="45">
        <f t="shared" si="2"/>
        <v>1810682</v>
      </c>
      <c r="H22" s="45">
        <f t="shared" si="2"/>
        <v>1877682</v>
      </c>
      <c r="I22" s="45">
        <f t="shared" si="2"/>
        <v>1901714</v>
      </c>
      <c r="J22" s="45">
        <f t="shared" si="2"/>
        <v>1892682</v>
      </c>
      <c r="K22" s="45">
        <f t="shared" si="2"/>
        <v>1927682</v>
      </c>
      <c r="L22" s="45">
        <f t="shared" si="2"/>
        <v>1901714</v>
      </c>
      <c r="M22" s="45">
        <f t="shared" si="2"/>
        <v>1792682</v>
      </c>
      <c r="N22" s="45">
        <f t="shared" si="2"/>
        <v>1827682</v>
      </c>
    </row>
    <row r="23" spans="1:15" ht="15.75" x14ac:dyDescent="0.25">
      <c r="A23" s="43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4" spans="1:15" x14ac:dyDescent="0.2">
      <c r="A24" s="10" t="s">
        <v>133</v>
      </c>
      <c r="B24" s="120">
        <f>1250238-150000</f>
        <v>1100238</v>
      </c>
      <c r="C24" s="120">
        <v>1182371.69</v>
      </c>
      <c r="D24" s="120">
        <f>896702.141+150000</f>
        <v>1046702.1409999999</v>
      </c>
      <c r="E24" s="120">
        <v>1050000</v>
      </c>
      <c r="F24" s="120">
        <v>1100000</v>
      </c>
      <c r="G24" s="120">
        <v>1150000</v>
      </c>
      <c r="H24" s="120">
        <v>1200000</v>
      </c>
      <c r="I24" s="120">
        <v>1250000</v>
      </c>
      <c r="J24" s="120">
        <v>1250000</v>
      </c>
      <c r="K24" s="120">
        <v>1250000</v>
      </c>
      <c r="L24" s="120">
        <v>1250000</v>
      </c>
      <c r="M24" s="120">
        <v>1150000</v>
      </c>
      <c r="N24" s="120">
        <v>1150000</v>
      </c>
    </row>
    <row r="25" spans="1:15" x14ac:dyDescent="0.2">
      <c r="A25" s="491" t="s">
        <v>804</v>
      </c>
      <c r="B25" s="120">
        <v>676</v>
      </c>
      <c r="C25" s="120">
        <v>13470</v>
      </c>
      <c r="D25" s="120">
        <v>13470</v>
      </c>
      <c r="E25" s="120">
        <v>13470</v>
      </c>
      <c r="F25" s="120">
        <v>13470</v>
      </c>
      <c r="G25" s="120">
        <v>13470</v>
      </c>
      <c r="H25" s="120">
        <v>13470</v>
      </c>
      <c r="I25" s="120">
        <v>13470</v>
      </c>
      <c r="J25" s="120">
        <v>13470</v>
      </c>
      <c r="K25" s="120">
        <v>13470</v>
      </c>
      <c r="L25" s="120">
        <v>13470</v>
      </c>
      <c r="M25" s="120">
        <v>13470</v>
      </c>
      <c r="N25" s="120">
        <v>13470</v>
      </c>
    </row>
    <row r="26" spans="1:15" x14ac:dyDescent="0.2">
      <c r="A26" s="491" t="s">
        <v>805</v>
      </c>
      <c r="B26" s="120">
        <v>0</v>
      </c>
      <c r="C26" s="120">
        <v>24442</v>
      </c>
      <c r="D26" s="120">
        <v>24442</v>
      </c>
      <c r="E26" s="120">
        <v>24442</v>
      </c>
      <c r="F26" s="120">
        <v>24442</v>
      </c>
      <c r="G26" s="120">
        <v>24442</v>
      </c>
      <c r="H26" s="120">
        <v>24442</v>
      </c>
      <c r="I26" s="120">
        <v>24442</v>
      </c>
      <c r="J26" s="120">
        <v>24442</v>
      </c>
      <c r="K26" s="120">
        <v>24442</v>
      </c>
      <c r="L26" s="120">
        <v>24442</v>
      </c>
      <c r="M26" s="120">
        <v>24442</v>
      </c>
      <c r="N26" s="120">
        <v>24442</v>
      </c>
    </row>
    <row r="27" spans="1:15" x14ac:dyDescent="0.2">
      <c r="A27" s="10" t="s">
        <v>134</v>
      </c>
      <c r="B27" s="120">
        <f>299208-75000-85000</f>
        <v>139208</v>
      </c>
      <c r="C27" s="120">
        <v>77000</v>
      </c>
      <c r="D27" s="729">
        <v>150000</v>
      </c>
      <c r="E27" s="120">
        <f>150000</f>
        <v>150000</v>
      </c>
      <c r="F27" s="120">
        <f>150000</f>
        <v>150000</v>
      </c>
      <c r="G27" s="120">
        <v>150000</v>
      </c>
      <c r="H27" s="120">
        <v>200000</v>
      </c>
      <c r="I27" s="120">
        <v>200000</v>
      </c>
      <c r="J27" s="120">
        <v>200000</v>
      </c>
      <c r="K27" s="120">
        <v>200000</v>
      </c>
      <c r="L27" s="120">
        <v>200000</v>
      </c>
      <c r="M27" s="120">
        <v>200000</v>
      </c>
      <c r="N27" s="120">
        <v>200000</v>
      </c>
    </row>
    <row r="28" spans="1:15" s="58" customFormat="1" x14ac:dyDescent="0.2">
      <c r="A28" s="727" t="s">
        <v>359</v>
      </c>
      <c r="B28" s="728">
        <f>134670-10000</f>
        <v>124670</v>
      </c>
      <c r="C28" s="728">
        <f>525144-156000</f>
        <v>369144</v>
      </c>
      <c r="D28" s="728">
        <f>383752-133000</f>
        <v>250752</v>
      </c>
      <c r="E28" s="728">
        <f>362283+10000</f>
        <v>372283</v>
      </c>
      <c r="F28" s="728">
        <f>150000+156000</f>
        <v>306000</v>
      </c>
      <c r="G28" s="728">
        <f>150000+133000</f>
        <v>283000</v>
      </c>
      <c r="H28" s="728">
        <v>200000</v>
      </c>
      <c r="I28" s="728">
        <v>200000</v>
      </c>
      <c r="J28" s="728">
        <v>200000</v>
      </c>
      <c r="K28" s="728">
        <v>200000</v>
      </c>
      <c r="L28" s="728">
        <v>200000</v>
      </c>
      <c r="M28" s="728">
        <v>200000</v>
      </c>
      <c r="N28" s="728">
        <v>200000</v>
      </c>
      <c r="O28"/>
    </row>
    <row r="29" spans="1:15" x14ac:dyDescent="0.2">
      <c r="A29" s="10" t="s">
        <v>292</v>
      </c>
      <c r="B29" s="120">
        <v>20000</v>
      </c>
      <c r="C29" s="120">
        <v>20000</v>
      </c>
      <c r="D29" s="120">
        <v>20000</v>
      </c>
      <c r="E29" s="120">
        <v>20000</v>
      </c>
      <c r="F29" s="120">
        <v>20000</v>
      </c>
      <c r="G29" s="120">
        <v>50000</v>
      </c>
      <c r="H29" s="120">
        <v>50000</v>
      </c>
      <c r="I29" s="120">
        <v>50000</v>
      </c>
      <c r="J29" s="120">
        <v>50000</v>
      </c>
      <c r="K29" s="120">
        <v>50000</v>
      </c>
      <c r="L29" s="120">
        <v>50000</v>
      </c>
      <c r="M29" s="120">
        <v>50000</v>
      </c>
      <c r="N29" s="120">
        <v>50000</v>
      </c>
    </row>
    <row r="30" spans="1:15" x14ac:dyDescent="0.2">
      <c r="A30" s="10" t="s">
        <v>358</v>
      </c>
      <c r="B30" s="120">
        <v>15346</v>
      </c>
      <c r="C30" s="120">
        <v>15397</v>
      </c>
      <c r="D30" s="120">
        <v>17205</v>
      </c>
      <c r="E30" s="120">
        <v>35000</v>
      </c>
      <c r="F30" s="120">
        <v>35000</v>
      </c>
      <c r="G30" s="120">
        <v>35000</v>
      </c>
      <c r="H30" s="120">
        <v>35000</v>
      </c>
      <c r="I30" s="120">
        <v>35000</v>
      </c>
      <c r="J30" s="120">
        <v>35000</v>
      </c>
      <c r="K30" s="120">
        <v>35000</v>
      </c>
      <c r="L30" s="120">
        <v>35000</v>
      </c>
      <c r="M30" s="120">
        <v>35000</v>
      </c>
      <c r="N30" s="120">
        <v>35000</v>
      </c>
    </row>
    <row r="31" spans="1:15" x14ac:dyDescent="0.2">
      <c r="A31" s="491" t="s">
        <v>806</v>
      </c>
      <c r="B31" s="120">
        <v>4770</v>
      </c>
      <c r="C31" s="120">
        <v>13802</v>
      </c>
      <c r="D31" s="120">
        <v>4770</v>
      </c>
      <c r="E31" s="120">
        <v>4770</v>
      </c>
      <c r="F31" s="120">
        <v>13802</v>
      </c>
      <c r="G31" s="120">
        <v>4770</v>
      </c>
      <c r="H31" s="120">
        <v>4770</v>
      </c>
      <c r="I31" s="120">
        <v>13802</v>
      </c>
      <c r="J31" s="120">
        <v>4770</v>
      </c>
      <c r="K31" s="120">
        <v>4770</v>
      </c>
      <c r="L31" s="120">
        <f>9032+4770</f>
        <v>13802</v>
      </c>
      <c r="M31" s="120">
        <v>4770</v>
      </c>
      <c r="N31" s="120">
        <v>4770</v>
      </c>
    </row>
    <row r="32" spans="1:15" x14ac:dyDescent="0.2">
      <c r="A32" s="10" t="s">
        <v>135</v>
      </c>
      <c r="B32" s="120">
        <v>78400</v>
      </c>
      <c r="C32" s="120">
        <v>55000</v>
      </c>
      <c r="D32" s="120">
        <v>55000</v>
      </c>
      <c r="E32" s="120">
        <v>90000</v>
      </c>
      <c r="F32" s="120">
        <v>55000</v>
      </c>
      <c r="G32" s="120">
        <v>100000</v>
      </c>
      <c r="H32" s="120">
        <v>150000</v>
      </c>
      <c r="I32" s="120">
        <v>115000</v>
      </c>
      <c r="J32" s="120">
        <v>115000</v>
      </c>
      <c r="K32" s="120">
        <v>150000</v>
      </c>
      <c r="L32" s="120">
        <v>115000</v>
      </c>
      <c r="M32" s="120">
        <v>115000</v>
      </c>
      <c r="N32" s="120">
        <v>150000</v>
      </c>
    </row>
    <row r="33" spans="1:14" x14ac:dyDescent="0.2">
      <c r="A33" s="1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</row>
    <row r="34" spans="1:14" ht="13.5" thickBot="1" x14ac:dyDescent="0.25">
      <c r="A34" s="121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</row>
    <row r="35" spans="1:14" x14ac:dyDescent="0.2">
      <c r="A35" s="5"/>
      <c r="B35" s="33"/>
      <c r="C35" s="21"/>
      <c r="D35" s="21"/>
      <c r="E35" s="21"/>
      <c r="F35" s="21"/>
      <c r="G35" s="21"/>
      <c r="H35" s="21"/>
      <c r="I35" s="33"/>
      <c r="J35" s="21"/>
      <c r="K35" s="21"/>
      <c r="L35" s="21"/>
      <c r="M35" s="21"/>
      <c r="N35" s="21"/>
    </row>
    <row r="36" spans="1:14" ht="15.75" x14ac:dyDescent="0.25">
      <c r="A36" s="43" t="s">
        <v>136</v>
      </c>
      <c r="B36" s="45">
        <f t="shared" ref="B36:H36" si="3">B40+B47</f>
        <v>1573000</v>
      </c>
      <c r="C36" s="45">
        <f t="shared" si="3"/>
        <v>1805000</v>
      </c>
      <c r="D36" s="45">
        <f t="shared" si="3"/>
        <v>1655000</v>
      </c>
      <c r="E36" s="45">
        <f t="shared" si="3"/>
        <v>1655000</v>
      </c>
      <c r="F36" s="45">
        <f t="shared" si="3"/>
        <v>1755000</v>
      </c>
      <c r="G36" s="45">
        <f>G40+G47</f>
        <v>1855000</v>
      </c>
      <c r="H36" s="45">
        <f t="shared" si="3"/>
        <v>1855000</v>
      </c>
      <c r="I36" s="45">
        <f t="shared" ref="I36:N36" si="4">I40+I47</f>
        <v>1905000</v>
      </c>
      <c r="J36" s="45">
        <f t="shared" si="4"/>
        <v>1955000</v>
      </c>
      <c r="K36" s="45">
        <f t="shared" si="4"/>
        <v>1955000</v>
      </c>
      <c r="L36" s="45">
        <f t="shared" si="4"/>
        <v>1855000</v>
      </c>
      <c r="M36" s="45">
        <f t="shared" si="4"/>
        <v>1905000</v>
      </c>
      <c r="N36" s="45">
        <f t="shared" si="4"/>
        <v>1805000</v>
      </c>
    </row>
    <row r="37" spans="1:14" ht="15.75" x14ac:dyDescent="0.25">
      <c r="A37" s="43"/>
      <c r="B37" s="45"/>
      <c r="C37" s="46"/>
      <c r="D37" s="46"/>
      <c r="E37" s="46"/>
      <c r="F37" s="46"/>
      <c r="G37" s="46"/>
      <c r="H37" s="46"/>
      <c r="I37" s="45"/>
      <c r="J37" s="46"/>
      <c r="K37" s="46"/>
      <c r="L37" s="46"/>
      <c r="M37" s="46"/>
      <c r="N37" s="46"/>
    </row>
    <row r="38" spans="1:14" ht="13.5" thickBot="1" x14ac:dyDescent="0.25">
      <c r="A38" s="5"/>
      <c r="B38" s="35"/>
      <c r="C38" s="20"/>
      <c r="D38" s="20"/>
      <c r="E38" s="20"/>
      <c r="F38" s="20"/>
      <c r="G38" s="20"/>
      <c r="H38" s="20"/>
      <c r="I38" s="35"/>
      <c r="J38" s="20"/>
      <c r="K38" s="20"/>
      <c r="L38" s="20"/>
      <c r="M38" s="20"/>
      <c r="N38" s="20"/>
    </row>
    <row r="39" spans="1:14" x14ac:dyDescent="0.2">
      <c r="A39" s="13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</row>
    <row r="40" spans="1:14" ht="13.5" thickBot="1" x14ac:dyDescent="0.25">
      <c r="A40" s="14" t="s">
        <v>137</v>
      </c>
      <c r="B40" s="41">
        <f t="shared" ref="B40:H40" si="5">B42+B43+B44</f>
        <v>1123000</v>
      </c>
      <c r="C40" s="41">
        <f t="shared" si="5"/>
        <v>1305000</v>
      </c>
      <c r="D40" s="41">
        <f t="shared" si="5"/>
        <v>1205000</v>
      </c>
      <c r="E40" s="41">
        <f t="shared" si="5"/>
        <v>1205000</v>
      </c>
      <c r="F40" s="41">
        <f t="shared" si="5"/>
        <v>1255000</v>
      </c>
      <c r="G40" s="41">
        <f>G42+G43+G44</f>
        <v>1305000</v>
      </c>
      <c r="H40" s="41">
        <f t="shared" si="5"/>
        <v>1305000</v>
      </c>
      <c r="I40" s="41">
        <f t="shared" ref="I40:N40" si="6">I42+I43+I44</f>
        <v>1355000</v>
      </c>
      <c r="J40" s="41">
        <f t="shared" si="6"/>
        <v>1405000</v>
      </c>
      <c r="K40" s="41">
        <f t="shared" si="6"/>
        <v>1405000</v>
      </c>
      <c r="L40" s="41">
        <f t="shared" si="6"/>
        <v>1305000</v>
      </c>
      <c r="M40" s="41">
        <f t="shared" si="6"/>
        <v>1355000</v>
      </c>
      <c r="N40" s="41">
        <f t="shared" si="6"/>
        <v>1355000</v>
      </c>
    </row>
    <row r="41" spans="1:14" x14ac:dyDescent="0.2">
      <c r="A41" s="14"/>
      <c r="B41" s="172"/>
      <c r="C41" s="504"/>
      <c r="D41" s="172"/>
      <c r="E41" s="504"/>
      <c r="F41" s="172"/>
      <c r="G41" s="504"/>
      <c r="H41" s="172"/>
      <c r="I41" s="172"/>
      <c r="J41" s="504"/>
      <c r="K41" s="172"/>
      <c r="L41" s="504"/>
      <c r="M41" s="172"/>
      <c r="N41" s="172"/>
    </row>
    <row r="42" spans="1:14" x14ac:dyDescent="0.2">
      <c r="A42" s="15" t="s">
        <v>8</v>
      </c>
      <c r="B42" s="34">
        <v>800000</v>
      </c>
      <c r="C42" s="29">
        <v>900000</v>
      </c>
      <c r="D42" s="34">
        <v>850000</v>
      </c>
      <c r="E42" s="29">
        <v>850000</v>
      </c>
      <c r="F42" s="34">
        <v>850000</v>
      </c>
      <c r="G42" s="29">
        <v>900000</v>
      </c>
      <c r="H42" s="34">
        <v>900000</v>
      </c>
      <c r="I42" s="34">
        <v>950000</v>
      </c>
      <c r="J42" s="29">
        <v>1000000</v>
      </c>
      <c r="K42" s="34">
        <v>1000000</v>
      </c>
      <c r="L42" s="29">
        <v>900000</v>
      </c>
      <c r="M42" s="34">
        <v>950000</v>
      </c>
      <c r="N42" s="34">
        <v>950000</v>
      </c>
    </row>
    <row r="43" spans="1:14" x14ac:dyDescent="0.2">
      <c r="A43" s="15" t="s">
        <v>26</v>
      </c>
      <c r="B43" s="34">
        <v>323000</v>
      </c>
      <c r="C43" s="29">
        <v>400000</v>
      </c>
      <c r="D43" s="34">
        <v>350000</v>
      </c>
      <c r="E43" s="29">
        <v>350000</v>
      </c>
      <c r="F43" s="29">
        <v>400000</v>
      </c>
      <c r="G43" s="29">
        <v>400000</v>
      </c>
      <c r="H43" s="34">
        <v>400000</v>
      </c>
      <c r="I43" s="34">
        <v>400000</v>
      </c>
      <c r="J43" s="29">
        <v>400000</v>
      </c>
      <c r="K43" s="29">
        <v>400000</v>
      </c>
      <c r="L43" s="29">
        <v>400000</v>
      </c>
      <c r="M43" s="34">
        <v>400000</v>
      </c>
      <c r="N43" s="34">
        <v>400000</v>
      </c>
    </row>
    <row r="44" spans="1:14" x14ac:dyDescent="0.2">
      <c r="A44" s="15" t="s">
        <v>29</v>
      </c>
      <c r="B44" s="34"/>
      <c r="C44" s="29">
        <v>5000</v>
      </c>
      <c r="D44" s="34">
        <v>5000</v>
      </c>
      <c r="E44" s="29">
        <v>5000</v>
      </c>
      <c r="F44" s="34">
        <v>5000</v>
      </c>
      <c r="G44" s="29">
        <v>5000</v>
      </c>
      <c r="H44" s="34">
        <v>5000</v>
      </c>
      <c r="I44" s="34">
        <v>5000</v>
      </c>
      <c r="J44" s="29">
        <v>5000</v>
      </c>
      <c r="K44" s="34">
        <v>5000</v>
      </c>
      <c r="L44" s="29">
        <v>5000</v>
      </c>
      <c r="M44" s="34">
        <v>5000</v>
      </c>
      <c r="N44" s="34">
        <v>5000</v>
      </c>
    </row>
    <row r="45" spans="1:14" x14ac:dyDescent="0.2">
      <c r="A45" s="15"/>
      <c r="B45" s="34"/>
      <c r="C45" s="29"/>
      <c r="D45" s="34"/>
      <c r="E45" s="29"/>
      <c r="F45" s="34"/>
      <c r="G45" s="29"/>
      <c r="H45" s="34"/>
      <c r="I45" s="34"/>
      <c r="J45" s="29"/>
      <c r="K45" s="34"/>
      <c r="L45" s="29"/>
      <c r="M45" s="34"/>
      <c r="N45" s="34"/>
    </row>
    <row r="46" spans="1:14" x14ac:dyDescent="0.2">
      <c r="A46" s="15" t="s">
        <v>179</v>
      </c>
      <c r="B46" s="34"/>
      <c r="C46" s="29"/>
      <c r="D46" s="34"/>
      <c r="E46" s="29"/>
      <c r="F46" s="34"/>
      <c r="G46" s="29"/>
      <c r="H46" s="34"/>
      <c r="I46" s="34"/>
      <c r="J46" s="29"/>
      <c r="K46" s="34"/>
      <c r="L46" s="29"/>
      <c r="M46" s="34"/>
      <c r="N46" s="34"/>
    </row>
    <row r="47" spans="1:14" x14ac:dyDescent="0.2">
      <c r="A47" s="14" t="s">
        <v>138</v>
      </c>
      <c r="B47" s="173">
        <v>450000</v>
      </c>
      <c r="C47" s="123">
        <v>500000</v>
      </c>
      <c r="D47" s="173">
        <v>450000</v>
      </c>
      <c r="E47" s="123">
        <v>450000</v>
      </c>
      <c r="F47" s="173">
        <v>500000</v>
      </c>
      <c r="G47" s="123">
        <v>550000</v>
      </c>
      <c r="H47" s="173">
        <v>550000</v>
      </c>
      <c r="I47" s="173">
        <v>550000</v>
      </c>
      <c r="J47" s="173">
        <v>550000</v>
      </c>
      <c r="K47" s="173">
        <v>550000</v>
      </c>
      <c r="L47" s="173">
        <v>550000</v>
      </c>
      <c r="M47" s="173">
        <v>550000</v>
      </c>
      <c r="N47" s="173">
        <v>450000</v>
      </c>
    </row>
    <row r="48" spans="1:14" ht="13.5" thickBot="1" x14ac:dyDescent="0.25">
      <c r="A48" s="16"/>
      <c r="B48" s="35"/>
      <c r="C48" s="37"/>
      <c r="D48" s="35"/>
      <c r="E48" s="37"/>
      <c r="F48" s="35"/>
      <c r="G48" s="37"/>
      <c r="H48" s="35"/>
      <c r="I48" s="35"/>
      <c r="J48" s="37"/>
      <c r="K48" s="35"/>
      <c r="L48" s="37"/>
      <c r="M48" s="35"/>
      <c r="N48" s="35"/>
    </row>
    <row r="49" spans="1:14" x14ac:dyDescent="0.2">
      <c r="A49" s="2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</row>
    <row r="50" spans="1:14" x14ac:dyDescent="0.2">
      <c r="A50" s="9" t="s">
        <v>27</v>
      </c>
      <c r="B50" s="34">
        <f t="shared" ref="B50:H50" si="7">B36-B22</f>
        <v>89692</v>
      </c>
      <c r="C50" s="34">
        <f t="shared" si="7"/>
        <v>34373.310000000056</v>
      </c>
      <c r="D50" s="34">
        <f t="shared" si="7"/>
        <v>72658.859000000171</v>
      </c>
      <c r="E50" s="34">
        <f t="shared" si="7"/>
        <v>-104965</v>
      </c>
      <c r="F50" s="34">
        <f t="shared" si="7"/>
        <v>37286</v>
      </c>
      <c r="G50" s="34">
        <f>G36-G22</f>
        <v>44318</v>
      </c>
      <c r="H50" s="34">
        <f t="shared" si="7"/>
        <v>-22682</v>
      </c>
      <c r="I50" s="34">
        <f t="shared" ref="I50:N50" si="8">I36-I22</f>
        <v>3286</v>
      </c>
      <c r="J50" s="34">
        <f t="shared" si="8"/>
        <v>62318</v>
      </c>
      <c r="K50" s="34">
        <f t="shared" si="8"/>
        <v>27318</v>
      </c>
      <c r="L50" s="34">
        <f t="shared" si="8"/>
        <v>-46714</v>
      </c>
      <c r="M50" s="34">
        <f t="shared" si="8"/>
        <v>112318</v>
      </c>
      <c r="N50" s="34">
        <f t="shared" si="8"/>
        <v>-22682</v>
      </c>
    </row>
    <row r="51" spans="1:14" ht="13.5" thickBot="1" x14ac:dyDescent="0.25">
      <c r="A51" s="5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</row>
    <row r="52" spans="1:14" x14ac:dyDescent="0.2">
      <c r="A52" s="2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1:14" ht="16.5" thickBot="1" x14ac:dyDescent="0.3">
      <c r="A53" s="43" t="s">
        <v>28</v>
      </c>
      <c r="B53" s="171">
        <f t="shared" ref="B53:H53" si="9">B15+B50</f>
        <v>-238775</v>
      </c>
      <c r="C53" s="171">
        <f t="shared" si="9"/>
        <v>-204401.68999999994</v>
      </c>
      <c r="D53" s="171">
        <f t="shared" si="9"/>
        <v>-131742.83099999977</v>
      </c>
      <c r="E53" s="171">
        <f t="shared" si="9"/>
        <v>-236707.83099999977</v>
      </c>
      <c r="F53" s="171">
        <f t="shared" si="9"/>
        <v>-199421.83099999977</v>
      </c>
      <c r="G53" s="171">
        <f>G15+G50</f>
        <v>-155103.83099999977</v>
      </c>
      <c r="H53" s="171">
        <f t="shared" si="9"/>
        <v>-177785.83099999977</v>
      </c>
      <c r="I53" s="171">
        <f t="shared" ref="I53:N53" si="10">I15+I50</f>
        <v>-174499.83099999977</v>
      </c>
      <c r="J53" s="171">
        <f t="shared" si="10"/>
        <v>-112181.83099999977</v>
      </c>
      <c r="K53" s="171">
        <f t="shared" si="10"/>
        <v>-84863.830999999773</v>
      </c>
      <c r="L53" s="171">
        <f t="shared" si="10"/>
        <v>-131577.83099999977</v>
      </c>
      <c r="M53" s="171">
        <f t="shared" si="10"/>
        <v>-19259.830999999773</v>
      </c>
      <c r="N53" s="171">
        <f t="shared" si="10"/>
        <v>-41941.830999999773</v>
      </c>
    </row>
    <row r="54" spans="1:14" ht="16.5" thickBot="1" x14ac:dyDescent="0.3">
      <c r="A54" s="43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46"/>
    </row>
    <row r="55" spans="1:14" x14ac:dyDescent="0.2">
      <c r="A55" s="9" t="s">
        <v>19</v>
      </c>
      <c r="B55" s="33">
        <f t="shared" ref="B55:H55" si="11">B53-B56</f>
        <v>-240775</v>
      </c>
      <c r="C55" s="33">
        <f t="shared" si="11"/>
        <v>-206401.68999999994</v>
      </c>
      <c r="D55" s="33">
        <f t="shared" si="11"/>
        <v>-133742.83099999977</v>
      </c>
      <c r="E55" s="33">
        <f t="shared" si="11"/>
        <v>-238707.83099999977</v>
      </c>
      <c r="F55" s="33">
        <f t="shared" si="11"/>
        <v>-201421.83099999977</v>
      </c>
      <c r="G55" s="33">
        <f t="shared" si="11"/>
        <v>-157103.83099999977</v>
      </c>
      <c r="H55" s="33">
        <f t="shared" si="11"/>
        <v>-179785.83099999977</v>
      </c>
      <c r="I55" s="33">
        <f t="shared" ref="I55:N55" si="12">I53-I56</f>
        <v>-176499.83099999977</v>
      </c>
      <c r="J55" s="33">
        <f t="shared" si="12"/>
        <v>-114181.83099999977</v>
      </c>
      <c r="K55" s="33">
        <f t="shared" si="12"/>
        <v>-86863.830999999773</v>
      </c>
      <c r="L55" s="33">
        <f t="shared" si="12"/>
        <v>-133577.83099999977</v>
      </c>
      <c r="M55" s="33">
        <f t="shared" si="12"/>
        <v>-21259.830999999773</v>
      </c>
      <c r="N55" s="33">
        <f t="shared" si="12"/>
        <v>-43941.830999999773</v>
      </c>
    </row>
    <row r="56" spans="1:14" x14ac:dyDescent="0.2">
      <c r="A56" s="9" t="s">
        <v>20</v>
      </c>
      <c r="B56" s="34">
        <f>2000</f>
        <v>2000</v>
      </c>
      <c r="C56" s="34">
        <f>2000</f>
        <v>2000</v>
      </c>
      <c r="D56" s="34">
        <f>2000</f>
        <v>2000</v>
      </c>
      <c r="E56" s="34">
        <f>2000</f>
        <v>2000</v>
      </c>
      <c r="F56" s="34">
        <f>2000</f>
        <v>2000</v>
      </c>
      <c r="G56" s="34">
        <f>2000</f>
        <v>2000</v>
      </c>
      <c r="H56" s="34">
        <f>2000</f>
        <v>2000</v>
      </c>
      <c r="I56" s="34">
        <f>2000</f>
        <v>2000</v>
      </c>
      <c r="J56" s="34">
        <f>2000</f>
        <v>2000</v>
      </c>
      <c r="K56" s="34">
        <f>2000</f>
        <v>2000</v>
      </c>
      <c r="L56" s="34">
        <f>2000</f>
        <v>2000</v>
      </c>
      <c r="M56" s="34">
        <f>2000</f>
        <v>2000</v>
      </c>
      <c r="N56" s="34">
        <f>2000</f>
        <v>2000</v>
      </c>
    </row>
    <row r="57" spans="1:14" ht="13.5" thickBot="1" x14ac:dyDescent="0.25">
      <c r="A57" s="36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</row>
  </sheetData>
  <pageMargins left="0.39370078740157483" right="0.39370078740157483" top="1.1417322834645669" bottom="0.78740157480314965" header="0.51181102362204722" footer="0.51181102362204722"/>
  <pageSetup paperSize="9" scale="62" orientation="landscape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>
    <pageSetUpPr fitToPage="1"/>
  </sheetPr>
  <dimension ref="A3:BN467"/>
  <sheetViews>
    <sheetView workbookViewId="0">
      <selection activeCell="R42" sqref="R42"/>
    </sheetView>
  </sheetViews>
  <sheetFormatPr defaultColWidth="11.42578125" defaultRowHeight="12.75" x14ac:dyDescent="0.2"/>
  <cols>
    <col min="1" max="1" width="11.42578125" customWidth="1"/>
    <col min="2" max="2" width="16.28515625" customWidth="1"/>
    <col min="3" max="4" width="24.5703125" customWidth="1"/>
    <col min="5" max="6" width="21.7109375" customWidth="1"/>
    <col min="7" max="18" width="16.42578125" customWidth="1"/>
    <col min="19" max="19" width="18" customWidth="1"/>
    <col min="22" max="22" width="16.5703125" customWidth="1"/>
    <col min="23" max="23" width="15.42578125" customWidth="1"/>
  </cols>
  <sheetData>
    <row r="3" spans="1:25" x14ac:dyDescent="0.2">
      <c r="P3" s="1510" t="s">
        <v>1399</v>
      </c>
    </row>
    <row r="6" spans="1:25" ht="18" customHeight="1" x14ac:dyDescent="0.2">
      <c r="A6" s="1815" t="s">
        <v>927</v>
      </c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</row>
    <row r="7" spans="1:25" ht="18" customHeight="1" x14ac:dyDescent="0.2">
      <c r="A7" s="1815"/>
      <c r="B7" s="1815"/>
      <c r="C7" s="1815"/>
      <c r="D7" s="1815"/>
      <c r="E7" s="1815"/>
      <c r="F7" s="1815"/>
      <c r="G7" s="1815"/>
      <c r="H7" s="1815"/>
      <c r="I7" s="1815"/>
      <c r="J7" s="1815"/>
      <c r="K7" s="1815"/>
      <c r="L7" s="1815"/>
      <c r="M7" s="1815"/>
      <c r="N7" s="1815"/>
      <c r="O7" s="1815"/>
      <c r="P7" s="1815"/>
      <c r="Q7" s="1815"/>
      <c r="R7" s="1815"/>
      <c r="S7" s="1815"/>
      <c r="T7" s="1815"/>
    </row>
    <row r="11" spans="1:25" ht="35.1" customHeight="1" x14ac:dyDescent="0.2">
      <c r="B11" s="1850" t="s">
        <v>928</v>
      </c>
      <c r="C11" s="1845" t="s">
        <v>929</v>
      </c>
      <c r="D11" s="1845" t="s">
        <v>932</v>
      </c>
      <c r="E11" s="1857" t="s">
        <v>934</v>
      </c>
      <c r="F11" s="1845" t="s">
        <v>931</v>
      </c>
      <c r="G11" s="1855"/>
      <c r="H11" s="1855"/>
      <c r="I11" s="1855"/>
      <c r="J11" s="1855"/>
      <c r="K11" s="1855"/>
      <c r="L11" s="1855"/>
      <c r="M11" s="1855"/>
      <c r="N11" s="1855"/>
      <c r="O11" s="1855"/>
      <c r="P11" s="1855"/>
      <c r="Q11" s="1855"/>
      <c r="R11" s="1855"/>
      <c r="S11" s="1856"/>
      <c r="T11" s="676" t="s">
        <v>936</v>
      </c>
    </row>
    <row r="12" spans="1:25" ht="35.1" customHeight="1" x14ac:dyDescent="0.2">
      <c r="B12" s="1851"/>
      <c r="C12" s="1847"/>
      <c r="D12" s="1847"/>
      <c r="E12" s="1858"/>
      <c r="F12" s="1847"/>
      <c r="G12" s="259">
        <v>1</v>
      </c>
      <c r="H12" s="259">
        <v>2</v>
      </c>
      <c r="I12" s="259">
        <v>3</v>
      </c>
      <c r="J12" s="259">
        <v>4</v>
      </c>
      <c r="K12" s="259">
        <v>5</v>
      </c>
      <c r="L12" s="259">
        <v>6</v>
      </c>
      <c r="M12" s="259">
        <v>7</v>
      </c>
      <c r="N12" s="259">
        <v>8</v>
      </c>
      <c r="O12" s="259">
        <v>9</v>
      </c>
      <c r="P12" s="259">
        <v>10</v>
      </c>
      <c r="Q12" s="259">
        <v>11</v>
      </c>
      <c r="R12" s="259">
        <v>12</v>
      </c>
      <c r="S12" s="259" t="s">
        <v>671</v>
      </c>
    </row>
    <row r="13" spans="1:25" ht="24.95" customHeight="1" x14ac:dyDescent="0.2">
      <c r="B13" s="1845" t="s">
        <v>113</v>
      </c>
      <c r="C13" s="1848" t="s">
        <v>930</v>
      </c>
      <c r="D13" s="1825">
        <v>150000</v>
      </c>
      <c r="E13" s="1825">
        <f>'Engagements  B. 08012014'!AO9</f>
        <v>0</v>
      </c>
      <c r="F13" s="1825">
        <v>0</v>
      </c>
      <c r="G13" s="1825">
        <v>0</v>
      </c>
      <c r="H13" s="1825">
        <v>0</v>
      </c>
      <c r="I13" s="1825">
        <v>0</v>
      </c>
      <c r="J13" s="1825">
        <f>E13</f>
        <v>0</v>
      </c>
      <c r="K13" s="1825">
        <v>0</v>
      </c>
      <c r="L13" s="1825">
        <v>0</v>
      </c>
      <c r="M13" s="1825">
        <v>0</v>
      </c>
      <c r="N13" s="1825">
        <v>0</v>
      </c>
      <c r="O13" s="1825">
        <v>0</v>
      </c>
      <c r="P13" s="1825">
        <v>0</v>
      </c>
      <c r="Q13" s="1825">
        <v>0</v>
      </c>
      <c r="R13" s="1825"/>
      <c r="S13" s="1825">
        <f>J13</f>
        <v>0</v>
      </c>
      <c r="T13" s="1832"/>
      <c r="U13" s="1832"/>
    </row>
    <row r="14" spans="1:25" ht="24.95" customHeight="1" x14ac:dyDescent="0.2">
      <c r="B14" s="1846"/>
      <c r="C14" s="1842"/>
      <c r="D14" s="1827"/>
      <c r="E14" s="1859"/>
      <c r="F14" s="1859"/>
      <c r="G14" s="1828"/>
      <c r="H14" s="1828"/>
      <c r="I14" s="1828"/>
      <c r="J14" s="1828"/>
      <c r="K14" s="1828"/>
      <c r="L14" s="1828"/>
      <c r="M14" s="1828"/>
      <c r="N14" s="1828"/>
      <c r="O14" s="1828"/>
      <c r="P14" s="1828"/>
      <c r="Q14" s="1828"/>
      <c r="R14" s="1828"/>
      <c r="S14" s="1828"/>
      <c r="T14" s="1833"/>
      <c r="U14" s="1833"/>
      <c r="V14" s="1829" t="s">
        <v>250</v>
      </c>
      <c r="W14" s="1830"/>
    </row>
    <row r="15" spans="1:25" ht="24.95" customHeight="1" x14ac:dyDescent="0.2">
      <c r="B15" s="1846"/>
      <c r="C15" s="1848" t="s">
        <v>655</v>
      </c>
      <c r="D15" s="1825">
        <v>200000</v>
      </c>
      <c r="E15" s="1825">
        <f>+'Engagements  B. 08012014'!AO32</f>
        <v>483793.83799999999</v>
      </c>
      <c r="F15" s="1825">
        <f>+E15+E13-D15-D13</f>
        <v>133793.83799999999</v>
      </c>
      <c r="G15" s="1825">
        <f>'Engagements  B. 08012014'!AC41+'Engagements  B. 08012014'!AC39+'Engagements  B. 08012014'!AC38+'Engagements  B. 08012014'!AC37</f>
        <v>0</v>
      </c>
      <c r="H15" s="1825">
        <f>+'Engagements  B. 08012014'!AD41</f>
        <v>0</v>
      </c>
      <c r="I15" s="1825">
        <f>+'Engagements  B. 08012014'!AE41</f>
        <v>0</v>
      </c>
      <c r="J15" s="1825">
        <f>'Engagements  B. 08012014'!AF32</f>
        <v>0</v>
      </c>
      <c r="K15" s="1825">
        <f>+'Engagements  B. 08012014'!AG36+'Engagements  B. 08012014'!AG41</f>
        <v>0</v>
      </c>
      <c r="L15" s="1825">
        <f>'Engagements  B. 08012014'!AH32</f>
        <v>0</v>
      </c>
      <c r="M15" s="1825">
        <f>'Engagements  B. 08012014'!AI32</f>
        <v>0</v>
      </c>
      <c r="N15" s="1825">
        <f>'Engagements  B. 08012014'!AJ36</f>
        <v>0</v>
      </c>
      <c r="O15" s="1825">
        <f>'Engagements  B. 08012014'!AK37</f>
        <v>0</v>
      </c>
      <c r="P15" s="1825">
        <f>'Engagements  B. 08012014'!AL41+'Engagements  B. 08012014'!AL37</f>
        <v>120500</v>
      </c>
      <c r="Q15" s="1825">
        <f>'Engagements  B. 08012014'!AM36+'Engagements  B. 08012014'!AM38</f>
        <v>363293.83799999999</v>
      </c>
      <c r="R15" s="1825"/>
      <c r="S15" s="1825">
        <f>G15+H15+I15+J15+K15+L15+M15+N15+P15+O15+Q15</f>
        <v>483793.83799999999</v>
      </c>
      <c r="T15" s="1840">
        <f>+E15+E13-S15-S13</f>
        <v>0</v>
      </c>
      <c r="U15" s="1825"/>
      <c r="V15" s="1516"/>
      <c r="W15" s="1203"/>
    </row>
    <row r="16" spans="1:25" ht="24.95" customHeight="1" x14ac:dyDescent="0.2">
      <c r="B16" s="1846"/>
      <c r="C16" s="1849"/>
      <c r="D16" s="1826"/>
      <c r="E16" s="1826"/>
      <c r="F16" s="1860"/>
      <c r="G16" s="1826"/>
      <c r="H16" s="1826"/>
      <c r="I16" s="1826"/>
      <c r="J16" s="1826"/>
      <c r="K16" s="1826"/>
      <c r="L16" s="1826"/>
      <c r="M16" s="1826"/>
      <c r="N16" s="1826"/>
      <c r="O16" s="1826"/>
      <c r="P16" s="1826"/>
      <c r="Q16" s="1826"/>
      <c r="R16" s="1826"/>
      <c r="S16" s="1826"/>
      <c r="T16" s="1841"/>
      <c r="U16" s="1826"/>
      <c r="V16" s="1517" t="s">
        <v>166</v>
      </c>
      <c r="W16" s="1518" t="s">
        <v>1327</v>
      </c>
      <c r="Y16" s="483"/>
    </row>
    <row r="17" spans="1:25" ht="24.95" customHeight="1" x14ac:dyDescent="0.2">
      <c r="B17" s="1846"/>
      <c r="C17" s="1849"/>
      <c r="D17" s="1826"/>
      <c r="E17" s="1826"/>
      <c r="F17" s="1860"/>
      <c r="G17" s="1826"/>
      <c r="H17" s="1826"/>
      <c r="I17" s="1826"/>
      <c r="J17" s="1826"/>
      <c r="K17" s="1826"/>
      <c r="L17" s="1826"/>
      <c r="M17" s="1826"/>
      <c r="N17" s="1826"/>
      <c r="O17" s="1826"/>
      <c r="P17" s="1826"/>
      <c r="Q17" s="1826"/>
      <c r="R17" s="1826"/>
      <c r="S17" s="1826"/>
      <c r="T17" s="1841"/>
      <c r="U17" s="1826"/>
      <c r="V17" s="987"/>
      <c r="W17" s="988"/>
    </row>
    <row r="18" spans="1:25" ht="24.95" customHeight="1" x14ac:dyDescent="0.2">
      <c r="B18" s="1847"/>
      <c r="C18" s="1842"/>
      <c r="D18" s="1827"/>
      <c r="E18" s="1859"/>
      <c r="F18" s="1859"/>
      <c r="G18" s="1827"/>
      <c r="H18" s="1827"/>
      <c r="I18" s="1827"/>
      <c r="J18" s="1827"/>
      <c r="K18" s="1828"/>
      <c r="L18" s="1828"/>
      <c r="M18" s="1828"/>
      <c r="N18" s="1828"/>
      <c r="O18" s="1828"/>
      <c r="P18" s="1828"/>
      <c r="Q18" s="1828"/>
      <c r="R18" s="1828"/>
      <c r="S18" s="1828"/>
      <c r="T18" s="1861"/>
      <c r="U18" s="1828"/>
      <c r="V18" s="987"/>
      <c r="W18" s="989"/>
    </row>
    <row r="19" spans="1:25" ht="24.95" customHeight="1" x14ac:dyDescent="0.2">
      <c r="B19" s="1845" t="s">
        <v>70</v>
      </c>
      <c r="C19" s="1848" t="s">
        <v>930</v>
      </c>
      <c r="D19" s="1825">
        <v>100000</v>
      </c>
      <c r="E19" s="1825">
        <f>+'Engagements  B. 08012014'!AH14</f>
        <v>0</v>
      </c>
      <c r="F19" s="1838">
        <v>0</v>
      </c>
      <c r="G19" s="1825">
        <v>0</v>
      </c>
      <c r="H19" s="1825">
        <v>0</v>
      </c>
      <c r="I19" s="1825">
        <v>0</v>
      </c>
      <c r="J19" s="1825">
        <v>0</v>
      </c>
      <c r="K19" s="1825">
        <v>0</v>
      </c>
      <c r="L19" s="1825">
        <f>+'Engagements  B. 08012014'!AH14</f>
        <v>0</v>
      </c>
      <c r="M19" s="1825">
        <v>0</v>
      </c>
      <c r="N19" s="1825">
        <v>0</v>
      </c>
      <c r="O19" s="1825">
        <v>0</v>
      </c>
      <c r="P19" s="1825">
        <v>0</v>
      </c>
      <c r="Q19" s="1825">
        <v>0</v>
      </c>
      <c r="R19" s="1825"/>
      <c r="S19" s="1825">
        <f>+L19</f>
        <v>0</v>
      </c>
      <c r="T19" s="1832"/>
      <c r="U19" s="1832"/>
      <c r="V19" s="587"/>
      <c r="W19" s="587"/>
    </row>
    <row r="20" spans="1:25" ht="24.95" customHeight="1" x14ac:dyDescent="0.2">
      <c r="B20" s="1846"/>
      <c r="C20" s="1842"/>
      <c r="D20" s="1827"/>
      <c r="E20" s="1827"/>
      <c r="F20" s="1839"/>
      <c r="G20" s="1828"/>
      <c r="H20" s="1828"/>
      <c r="I20" s="1828"/>
      <c r="J20" s="1828"/>
      <c r="K20" s="1828"/>
      <c r="L20" s="1828"/>
      <c r="M20" s="1828"/>
      <c r="N20" s="1828"/>
      <c r="O20" s="1828"/>
      <c r="P20" s="1828"/>
      <c r="Q20" s="1828"/>
      <c r="R20" s="1828"/>
      <c r="S20" s="1828"/>
      <c r="T20" s="1833"/>
      <c r="U20" s="1833"/>
      <c r="V20" s="1824" t="s">
        <v>250</v>
      </c>
      <c r="W20" s="1831"/>
    </row>
    <row r="21" spans="1:25" ht="24.95" customHeight="1" x14ac:dyDescent="0.25">
      <c r="B21" s="1846"/>
      <c r="C21" s="1848" t="s">
        <v>655</v>
      </c>
      <c r="D21" s="1825">
        <v>100000</v>
      </c>
      <c r="E21" s="1825">
        <f>'Engagements  B. 08012014'!AO44</f>
        <v>218766</v>
      </c>
      <c r="F21" s="1838">
        <f>+E19+E21+-D19-D21</f>
        <v>18766</v>
      </c>
      <c r="G21" s="1825">
        <f>'Engagements  B. 08012014'!AC47</f>
        <v>0</v>
      </c>
      <c r="H21" s="1825">
        <f>'Engagements  B. 08012014'!AD44</f>
        <v>0</v>
      </c>
      <c r="I21" s="1825">
        <v>0</v>
      </c>
      <c r="J21" s="1825">
        <f>'Engagements  B. 08012014'!AF44</f>
        <v>0</v>
      </c>
      <c r="K21" s="1825">
        <f>'Engagements  B. 08012014'!AG44</f>
        <v>0</v>
      </c>
      <c r="L21" s="1825">
        <v>0</v>
      </c>
      <c r="M21" s="1825">
        <f>'Engagements  B. 08012014'!AI52</f>
        <v>0</v>
      </c>
      <c r="N21" s="1825">
        <f>'Engagements  B. 08012014'!AJ48+'Engagements  B. 08012014'!AJ50</f>
        <v>0</v>
      </c>
      <c r="O21" s="1825">
        <f>'Engagements  B. 08012014'!AK51</f>
        <v>0</v>
      </c>
      <c r="P21" s="1825">
        <f>'Engagements  B. 08012014'!AL47+'Engagements  B. 08012014'!AL51</f>
        <v>156070</v>
      </c>
      <c r="Q21" s="1825">
        <f>'Engagements  B. 08012014'!AM44</f>
        <v>62696</v>
      </c>
      <c r="R21" s="1825"/>
      <c r="S21" s="1825">
        <f>G21+H21+J21+K21+M21+N21+O21+P21+Q21</f>
        <v>218766</v>
      </c>
      <c r="T21" s="1840">
        <f>+E21-S21-S19+E19</f>
        <v>0</v>
      </c>
      <c r="U21" s="1835"/>
      <c r="V21" s="1486"/>
      <c r="W21" s="990"/>
    </row>
    <row r="22" spans="1:25" ht="24.95" customHeight="1" x14ac:dyDescent="0.2">
      <c r="B22" s="1846"/>
      <c r="C22" s="1849"/>
      <c r="D22" s="1826"/>
      <c r="E22" s="1826"/>
      <c r="F22" s="1843"/>
      <c r="G22" s="1826"/>
      <c r="H22" s="1826"/>
      <c r="I22" s="1826"/>
      <c r="J22" s="1826"/>
      <c r="K22" s="1826"/>
      <c r="L22" s="1826"/>
      <c r="M22" s="1826"/>
      <c r="N22" s="1826"/>
      <c r="O22" s="1826"/>
      <c r="P22" s="1826"/>
      <c r="Q22" s="1826"/>
      <c r="R22" s="1826"/>
      <c r="S22" s="1826"/>
      <c r="T22" s="1841"/>
      <c r="U22" s="1837"/>
      <c r="V22" s="1507"/>
      <c r="W22" s="988"/>
    </row>
    <row r="23" spans="1:25" s="575" customFormat="1" ht="24.95" customHeight="1" x14ac:dyDescent="0.25">
      <c r="A23" s="578"/>
      <c r="B23" s="1847"/>
      <c r="C23" s="1842"/>
      <c r="D23" s="1827"/>
      <c r="E23" s="1827"/>
      <c r="F23" s="1839"/>
      <c r="G23" s="1828"/>
      <c r="H23" s="1826"/>
      <c r="I23" s="1828"/>
      <c r="J23" s="1826"/>
      <c r="K23" s="1828"/>
      <c r="L23" s="1828"/>
      <c r="M23" s="1828"/>
      <c r="N23" s="1828"/>
      <c r="O23" s="1828"/>
      <c r="P23" s="1828"/>
      <c r="Q23" s="1828"/>
      <c r="R23" s="1828"/>
      <c r="S23" s="1828"/>
      <c r="T23" s="1842"/>
      <c r="U23" s="1836"/>
      <c r="V23" s="1515"/>
      <c r="W23" s="1119"/>
      <c r="Y23" s="485"/>
    </row>
    <row r="24" spans="1:25" ht="24.95" customHeight="1" x14ac:dyDescent="0.2">
      <c r="B24" s="1845" t="s">
        <v>72</v>
      </c>
      <c r="C24" s="1848" t="s">
        <v>930</v>
      </c>
      <c r="D24" s="1825">
        <v>100000</v>
      </c>
      <c r="E24" s="1825">
        <v>0</v>
      </c>
      <c r="F24" s="1838">
        <v>0</v>
      </c>
      <c r="G24" s="1825">
        <v>0</v>
      </c>
      <c r="H24" s="1825">
        <v>0</v>
      </c>
      <c r="I24" s="1825">
        <v>0</v>
      </c>
      <c r="J24" s="1825">
        <v>0</v>
      </c>
      <c r="K24" s="1825">
        <v>0</v>
      </c>
      <c r="L24" s="1825"/>
      <c r="M24" s="1825">
        <v>0</v>
      </c>
      <c r="N24" s="1825">
        <v>0</v>
      </c>
      <c r="O24" s="1825">
        <v>0</v>
      </c>
      <c r="P24" s="1825">
        <v>0</v>
      </c>
      <c r="Q24" s="1825">
        <v>0</v>
      </c>
      <c r="R24" s="1825"/>
      <c r="S24" s="1825">
        <v>0</v>
      </c>
      <c r="T24" s="1832"/>
      <c r="U24" s="1832"/>
      <c r="V24" s="587"/>
      <c r="W24" s="587"/>
    </row>
    <row r="25" spans="1:25" ht="24.95" customHeight="1" x14ac:dyDescent="0.2">
      <c r="B25" s="1846"/>
      <c r="C25" s="1842"/>
      <c r="D25" s="1827"/>
      <c r="E25" s="1827"/>
      <c r="F25" s="1839"/>
      <c r="G25" s="1828"/>
      <c r="H25" s="1828"/>
      <c r="I25" s="1828"/>
      <c r="J25" s="1828"/>
      <c r="K25" s="1828"/>
      <c r="L25" s="1828"/>
      <c r="M25" s="1828"/>
      <c r="N25" s="1828"/>
      <c r="O25" s="1828"/>
      <c r="P25" s="1828"/>
      <c r="Q25" s="1828"/>
      <c r="R25" s="1828"/>
      <c r="S25" s="1828"/>
      <c r="T25" s="1833"/>
      <c r="U25" s="1833"/>
      <c r="V25" s="1824" t="s">
        <v>250</v>
      </c>
      <c r="W25" s="1831"/>
    </row>
    <row r="26" spans="1:25" ht="24.95" customHeight="1" x14ac:dyDescent="0.25">
      <c r="B26" s="1846"/>
      <c r="C26" s="1848" t="s">
        <v>655</v>
      </c>
      <c r="D26" s="1825"/>
      <c r="E26" s="1825">
        <f>'Engagements  B. 08012014'!AO55</f>
        <v>96869</v>
      </c>
      <c r="F26" s="1838">
        <f>+E26+E24+-D24-D26</f>
        <v>-3131</v>
      </c>
      <c r="G26" s="1825">
        <v>0</v>
      </c>
      <c r="H26" s="1825">
        <f>+'Engagements  B. 08012014'!AD57</f>
        <v>0</v>
      </c>
      <c r="I26" s="1825">
        <f>'Engagements  B. 08012014'!AE58+'Engagements  B. 08012014'!AE57</f>
        <v>0</v>
      </c>
      <c r="J26" s="1825">
        <v>0</v>
      </c>
      <c r="K26" s="1825">
        <v>0</v>
      </c>
      <c r="L26" s="1825">
        <f>'Engagements  B. 08012014'!AH55</f>
        <v>0</v>
      </c>
      <c r="M26" s="1825">
        <v>0</v>
      </c>
      <c r="N26" s="1825">
        <v>0</v>
      </c>
      <c r="O26" s="1825">
        <f>+'Engagements  B. 08012014'!AK57+'Engagements  B. 08012014'!AK58</f>
        <v>96869</v>
      </c>
      <c r="P26" s="1825">
        <v>0</v>
      </c>
      <c r="Q26" s="1825">
        <v>0</v>
      </c>
      <c r="R26" s="1825"/>
      <c r="S26" s="1825">
        <f>G26+H26+I26+L26+O26</f>
        <v>96869</v>
      </c>
      <c r="T26" s="1840">
        <f>E26-S26</f>
        <v>0</v>
      </c>
      <c r="U26" s="1835"/>
      <c r="V26" s="1537"/>
      <c r="W26" s="1011"/>
      <c r="Y26" s="912"/>
    </row>
    <row r="27" spans="1:25" ht="24.95" customHeight="1" x14ac:dyDescent="0.25">
      <c r="B27" s="1846"/>
      <c r="C27" s="1849"/>
      <c r="D27" s="1826"/>
      <c r="E27" s="1826"/>
      <c r="F27" s="1843"/>
      <c r="G27" s="1826"/>
      <c r="H27" s="1826"/>
      <c r="I27" s="1826"/>
      <c r="J27" s="1826"/>
      <c r="K27" s="1826"/>
      <c r="L27" s="1826"/>
      <c r="M27" s="1826"/>
      <c r="N27" s="1826"/>
      <c r="O27" s="1826"/>
      <c r="P27" s="1826"/>
      <c r="Q27" s="1826"/>
      <c r="R27" s="1826"/>
      <c r="S27" s="1826"/>
      <c r="T27" s="1841"/>
      <c r="U27" s="1837"/>
      <c r="V27" s="1449"/>
      <c r="W27" s="1181"/>
      <c r="Y27" s="912"/>
    </row>
    <row r="28" spans="1:25" ht="24.95" customHeight="1" x14ac:dyDescent="0.25">
      <c r="B28" s="1846"/>
      <c r="C28" s="1849"/>
      <c r="D28" s="1826"/>
      <c r="E28" s="1826"/>
      <c r="F28" s="1843"/>
      <c r="G28" s="1826"/>
      <c r="H28" s="1826"/>
      <c r="I28" s="1826"/>
      <c r="J28" s="1826"/>
      <c r="K28" s="1826"/>
      <c r="L28" s="1826"/>
      <c r="M28" s="1826"/>
      <c r="N28" s="1826"/>
      <c r="O28" s="1826"/>
      <c r="P28" s="1826"/>
      <c r="Q28" s="1826"/>
      <c r="R28" s="1826"/>
      <c r="S28" s="1826"/>
      <c r="T28" s="1841"/>
      <c r="U28" s="1837"/>
      <c r="V28" s="1469"/>
      <c r="W28" s="990"/>
    </row>
    <row r="29" spans="1:25" s="575" customFormat="1" ht="24.95" customHeight="1" x14ac:dyDescent="0.25">
      <c r="A29" s="578"/>
      <c r="B29" s="1847"/>
      <c r="C29" s="1842"/>
      <c r="D29" s="1827"/>
      <c r="E29" s="1827"/>
      <c r="F29" s="1839"/>
      <c r="G29" s="1827"/>
      <c r="H29" s="1827"/>
      <c r="I29" s="1827"/>
      <c r="J29" s="1828"/>
      <c r="K29" s="1828"/>
      <c r="L29" s="1828"/>
      <c r="M29" s="1828"/>
      <c r="N29" s="1828"/>
      <c r="O29" s="1828"/>
      <c r="P29" s="1828"/>
      <c r="Q29" s="1828"/>
      <c r="R29" s="1828"/>
      <c r="S29" s="1828"/>
      <c r="T29" s="1842"/>
      <c r="U29" s="1836"/>
      <c r="V29" s="1150"/>
      <c r="W29" s="1011"/>
      <c r="Y29" s="485"/>
    </row>
    <row r="30" spans="1:25" ht="24.95" customHeight="1" x14ac:dyDescent="0.2">
      <c r="B30" s="1852" t="s">
        <v>330</v>
      </c>
      <c r="C30" s="1848" t="s">
        <v>930</v>
      </c>
      <c r="D30" s="1825">
        <v>200000</v>
      </c>
      <c r="E30" s="1825">
        <f>+'Engagements  B. 08012014'!AO23</f>
        <v>0</v>
      </c>
      <c r="F30" s="1838">
        <v>0</v>
      </c>
      <c r="G30" s="1825">
        <v>0</v>
      </c>
      <c r="H30" s="1825">
        <v>0</v>
      </c>
      <c r="I30" s="1825">
        <f>'Engagements  B. 08012014'!AE26</f>
        <v>0</v>
      </c>
      <c r="J30" s="1825">
        <f>'Engagements  B. 08012014'!AF23</f>
        <v>0</v>
      </c>
      <c r="K30" s="1825">
        <f>E30</f>
        <v>0</v>
      </c>
      <c r="L30" s="1825"/>
      <c r="M30" s="1825">
        <v>0</v>
      </c>
      <c r="N30" s="1825">
        <v>0</v>
      </c>
      <c r="O30" s="1825">
        <v>0</v>
      </c>
      <c r="P30" s="1825">
        <v>0</v>
      </c>
      <c r="Q30" s="1825">
        <v>0</v>
      </c>
      <c r="R30" s="1825"/>
      <c r="S30" s="1825">
        <f>K30+I30+J30</f>
        <v>0</v>
      </c>
      <c r="T30" s="1832"/>
      <c r="U30" s="1832"/>
      <c r="V30" s="587"/>
      <c r="W30" s="587"/>
    </row>
    <row r="31" spans="1:25" ht="24.95" customHeight="1" x14ac:dyDescent="0.2">
      <c r="B31" s="1853"/>
      <c r="C31" s="1842"/>
      <c r="D31" s="1827"/>
      <c r="E31" s="1827"/>
      <c r="F31" s="1839"/>
      <c r="G31" s="1828"/>
      <c r="H31" s="1828"/>
      <c r="I31" s="1828"/>
      <c r="J31" s="1828"/>
      <c r="K31" s="1828"/>
      <c r="L31" s="1828"/>
      <c r="M31" s="1828"/>
      <c r="N31" s="1828"/>
      <c r="O31" s="1828"/>
      <c r="P31" s="1828"/>
      <c r="Q31" s="1828"/>
      <c r="R31" s="1828"/>
      <c r="S31" s="1828"/>
      <c r="T31" s="1833"/>
      <c r="U31" s="1833"/>
      <c r="V31" s="1823" t="s">
        <v>250</v>
      </c>
      <c r="W31" s="1824"/>
    </row>
    <row r="32" spans="1:25" ht="24.95" customHeight="1" x14ac:dyDescent="0.2">
      <c r="B32" s="1853"/>
      <c r="C32" s="1848" t="s">
        <v>655</v>
      </c>
      <c r="D32" s="1825">
        <v>200000</v>
      </c>
      <c r="E32" s="1825">
        <f>+'Engagements  B. 08012014'!AO62</f>
        <v>408803</v>
      </c>
      <c r="F32" s="1838">
        <f>+E32+E30-D30-D32</f>
        <v>8803</v>
      </c>
      <c r="G32" s="1825">
        <f>'Engagements  B. 08012014'!AC73+'Engagements  B. 08012014'!AC82</f>
        <v>0</v>
      </c>
      <c r="H32" s="1825">
        <v>0</v>
      </c>
      <c r="I32" s="1825">
        <f>'Engagements  B. 08012014'!AE62</f>
        <v>0</v>
      </c>
      <c r="J32" s="1825">
        <f>'Engagements  B. 08012014'!AF62</f>
        <v>0</v>
      </c>
      <c r="K32" s="1825">
        <f>'Engagements  B. 08012014'!AG85+'Engagements  B. 08012014'!AG72</f>
        <v>0</v>
      </c>
      <c r="L32" s="1825">
        <f>+'Engagements  B. 08012014'!AH62</f>
        <v>0</v>
      </c>
      <c r="M32" s="1825">
        <f>'Engagements  B. 08012014'!AI62</f>
        <v>0</v>
      </c>
      <c r="N32" s="1825">
        <f>'Engagements  B. 08012014'!AJ69+'Engagements  B. 08012014'!AJ82</f>
        <v>0</v>
      </c>
      <c r="O32" s="1825">
        <f>'Engagements  B. 08012014'!AK62</f>
        <v>69809</v>
      </c>
      <c r="P32" s="1825">
        <f>'Engagements  B. 08012014'!AL62</f>
        <v>193195</v>
      </c>
      <c r="Q32" s="1825">
        <f>'Engagements  B. 08012014'!AM62</f>
        <v>100120</v>
      </c>
      <c r="R32" s="1825">
        <f>'Engagements  B. 08012014'!AN72</f>
        <v>45679</v>
      </c>
      <c r="S32" s="1825">
        <f>H32+I32+J32+K32+L32+M32+N32+O32+P32+Q32+R32</f>
        <v>408803</v>
      </c>
      <c r="T32" s="1840">
        <f>+E32+E30-S32-S30</f>
        <v>0</v>
      </c>
      <c r="U32" s="1835"/>
      <c r="V32" s="1556" t="s">
        <v>846</v>
      </c>
      <c r="W32" s="1555" t="s">
        <v>1346</v>
      </c>
    </row>
    <row r="33" spans="1:32" s="575" customFormat="1" ht="24.95" customHeight="1" x14ac:dyDescent="0.2">
      <c r="A33" s="578"/>
      <c r="B33" s="1854"/>
      <c r="C33" s="1842"/>
      <c r="D33" s="1827"/>
      <c r="E33" s="1827"/>
      <c r="F33" s="1839"/>
      <c r="G33" s="1828"/>
      <c r="H33" s="1828"/>
      <c r="I33" s="1828"/>
      <c r="J33" s="1828"/>
      <c r="K33" s="1828"/>
      <c r="L33" s="1828"/>
      <c r="M33" s="1828"/>
      <c r="N33" s="1828"/>
      <c r="O33" s="1828"/>
      <c r="P33" s="1828"/>
      <c r="Q33" s="1828"/>
      <c r="R33" s="1828"/>
      <c r="S33" s="1828"/>
      <c r="T33" s="1842"/>
      <c r="U33" s="1836"/>
      <c r="V33" s="1556" t="s">
        <v>1373</v>
      </c>
      <c r="W33" s="1555" t="s">
        <v>1374</v>
      </c>
      <c r="Y33" s="485"/>
    </row>
    <row r="34" spans="1:32" s="575" customFormat="1" x14ac:dyDescent="0.2">
      <c r="A34" s="578"/>
      <c r="B34" s="655"/>
      <c r="C34" s="745"/>
      <c r="D34" s="745"/>
      <c r="E34" s="96"/>
      <c r="F34" s="96"/>
      <c r="G34" s="576"/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485"/>
      <c r="T34" s="577"/>
      <c r="U34" s="577"/>
      <c r="V34" s="96"/>
      <c r="W34" s="577"/>
      <c r="Y34" s="485"/>
    </row>
    <row r="35" spans="1:32" s="58" customFormat="1" x14ac:dyDescent="0.2">
      <c r="A35" s="756"/>
      <c r="B35" s="757"/>
      <c r="C35" s="758"/>
      <c r="D35" s="758"/>
      <c r="E35" s="759"/>
      <c r="F35" s="759"/>
      <c r="G35" s="760"/>
      <c r="H35" s="760"/>
      <c r="I35" s="760"/>
      <c r="J35" s="760"/>
      <c r="K35" s="760"/>
      <c r="L35" s="760"/>
      <c r="M35" s="760"/>
      <c r="N35" s="760"/>
      <c r="O35" s="760"/>
      <c r="P35" s="760"/>
      <c r="Q35" s="760"/>
      <c r="R35" s="760"/>
      <c r="S35" s="635"/>
      <c r="T35" s="761"/>
      <c r="U35" s="762"/>
      <c r="V35" s="759"/>
      <c r="W35" s="762"/>
      <c r="X35" s="636"/>
      <c r="Y35" s="635"/>
      <c r="Z35" s="636"/>
      <c r="AA35" s="636"/>
      <c r="AB35" s="636"/>
      <c r="AC35" s="636"/>
      <c r="AD35" s="636"/>
      <c r="AE35" s="636"/>
      <c r="AF35" s="636"/>
    </row>
    <row r="36" spans="1:32" x14ac:dyDescent="0.2">
      <c r="A36" s="578"/>
      <c r="B36" s="640"/>
      <c r="C36" s="711"/>
      <c r="D36" s="711"/>
      <c r="E36" s="575"/>
      <c r="F36" s="575"/>
      <c r="G36" s="601"/>
      <c r="H36" s="601"/>
      <c r="I36" s="601"/>
      <c r="J36" s="601"/>
      <c r="K36" s="601"/>
      <c r="L36" s="601"/>
      <c r="M36" s="601"/>
      <c r="N36" s="601"/>
      <c r="O36" s="601"/>
      <c r="P36" s="601"/>
      <c r="Q36" s="601"/>
      <c r="R36" s="601"/>
      <c r="S36" s="575"/>
      <c r="T36" s="575"/>
      <c r="U36" s="578"/>
      <c r="V36" s="597"/>
      <c r="W36" s="578"/>
      <c r="X36" s="575"/>
      <c r="Y36" s="575"/>
      <c r="Z36" s="575"/>
      <c r="AA36" s="575"/>
      <c r="AB36" s="575"/>
      <c r="AC36" s="575"/>
      <c r="AD36" s="575"/>
      <c r="AE36" s="575"/>
      <c r="AF36" s="575"/>
    </row>
    <row r="37" spans="1:32" x14ac:dyDescent="0.2">
      <c r="A37" s="578"/>
      <c r="B37" s="640"/>
      <c r="C37" s="711"/>
      <c r="D37" s="711"/>
      <c r="E37" s="575"/>
      <c r="F37" s="575"/>
      <c r="G37" s="601"/>
      <c r="H37" s="601"/>
      <c r="I37" s="601"/>
      <c r="J37" s="601"/>
      <c r="K37" s="601"/>
      <c r="L37" s="601"/>
      <c r="M37" s="601"/>
      <c r="N37" s="601"/>
      <c r="O37" s="601"/>
      <c r="P37" s="601"/>
      <c r="Q37" s="601"/>
      <c r="R37" s="601"/>
      <c r="S37" s="575"/>
      <c r="T37" s="575"/>
      <c r="U37" s="578"/>
      <c r="V37" s="597"/>
      <c r="W37" s="578"/>
      <c r="X37" s="575"/>
      <c r="Y37" s="575"/>
      <c r="Z37" s="575"/>
      <c r="AA37" s="575"/>
      <c r="AB37" s="575"/>
      <c r="AC37" s="575"/>
      <c r="AD37" s="575"/>
      <c r="AE37" s="575"/>
      <c r="AF37" s="575"/>
    </row>
    <row r="40" spans="1:32" s="575" customFormat="1" x14ac:dyDescent="0.2">
      <c r="A40" s="578"/>
      <c r="B40" s="639"/>
      <c r="C40" s="744"/>
      <c r="D40" s="744"/>
      <c r="E40" s="597"/>
      <c r="F40" s="597"/>
      <c r="G40" s="601"/>
      <c r="H40" s="601"/>
      <c r="I40" s="601"/>
      <c r="J40" s="601"/>
      <c r="K40" s="601"/>
      <c r="L40" s="601"/>
      <c r="M40" s="601"/>
      <c r="N40" s="601"/>
      <c r="O40" s="601"/>
      <c r="P40" s="601"/>
      <c r="Q40" s="601"/>
      <c r="R40" s="601"/>
      <c r="S40" s="485"/>
      <c r="T40" s="485"/>
      <c r="U40" s="485"/>
      <c r="V40" s="597"/>
      <c r="W40" s="577"/>
      <c r="Y40" s="485"/>
    </row>
    <row r="41" spans="1:32" x14ac:dyDescent="0.2">
      <c r="A41" s="596"/>
      <c r="B41" s="640"/>
      <c r="C41" s="597"/>
      <c r="D41" s="597"/>
      <c r="E41" s="96"/>
      <c r="F41" s="96"/>
      <c r="G41" s="576"/>
      <c r="H41" s="576"/>
      <c r="I41" s="576"/>
      <c r="J41" s="576"/>
      <c r="K41" s="576"/>
      <c r="L41" s="576"/>
      <c r="M41" s="576"/>
      <c r="N41" s="576"/>
      <c r="O41" s="576"/>
      <c r="P41" s="576"/>
      <c r="Q41" s="576"/>
      <c r="R41" s="576"/>
      <c r="S41" s="163"/>
      <c r="T41" s="577"/>
      <c r="U41" s="579"/>
      <c r="V41" s="96"/>
      <c r="W41" s="579"/>
      <c r="X41" s="58"/>
      <c r="Y41" s="163"/>
      <c r="Z41" s="58"/>
      <c r="AA41" s="58"/>
      <c r="AB41" s="58"/>
      <c r="AC41" s="58"/>
      <c r="AD41" s="58"/>
      <c r="AE41" s="58"/>
      <c r="AF41" s="58"/>
    </row>
    <row r="42" spans="1:32" x14ac:dyDescent="0.2">
      <c r="A42" s="578"/>
      <c r="B42" s="640"/>
      <c r="C42" s="597"/>
      <c r="D42" s="597"/>
      <c r="E42" s="597"/>
      <c r="F42" s="597"/>
      <c r="G42" s="601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485"/>
      <c r="T42" s="485"/>
      <c r="U42" s="602"/>
      <c r="V42" s="597"/>
      <c r="W42" s="602"/>
      <c r="X42" s="575"/>
      <c r="Y42" s="485"/>
      <c r="Z42" s="575"/>
      <c r="AA42" s="575"/>
      <c r="AB42" s="575"/>
      <c r="AC42" s="575"/>
      <c r="AD42" s="575"/>
      <c r="AE42" s="575"/>
      <c r="AF42" s="575"/>
    </row>
    <row r="43" spans="1:32" x14ac:dyDescent="0.2">
      <c r="A43" s="578"/>
      <c r="B43" s="640"/>
      <c r="C43" s="597"/>
      <c r="D43" s="597"/>
      <c r="E43" s="597"/>
      <c r="F43" s="597"/>
      <c r="G43" s="601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485"/>
      <c r="T43" s="485"/>
      <c r="U43" s="602"/>
      <c r="V43" s="597"/>
      <c r="W43" s="602"/>
      <c r="X43" s="575"/>
      <c r="Y43" s="485"/>
      <c r="Z43" s="575"/>
      <c r="AA43" s="575"/>
      <c r="AB43" s="575"/>
      <c r="AC43" s="575"/>
      <c r="AD43" s="575"/>
      <c r="AE43" s="575"/>
      <c r="AF43" s="575"/>
    </row>
    <row r="44" spans="1:32" x14ac:dyDescent="0.2">
      <c r="A44" s="596"/>
      <c r="B44" s="96"/>
      <c r="C44" s="597"/>
      <c r="D44" s="597"/>
      <c r="E44" s="575"/>
      <c r="F44" s="575"/>
      <c r="G44" s="576"/>
      <c r="H44" s="576"/>
      <c r="I44" s="576"/>
      <c r="J44" s="576"/>
      <c r="K44" s="576"/>
      <c r="L44" s="576"/>
      <c r="M44" s="576"/>
      <c r="N44" s="576"/>
      <c r="O44" s="576"/>
      <c r="P44" s="576"/>
      <c r="Q44" s="576"/>
      <c r="R44" s="576"/>
      <c r="S44" s="485"/>
      <c r="T44" s="577"/>
      <c r="U44" s="579"/>
      <c r="V44" s="96"/>
      <c r="W44" s="579"/>
      <c r="X44" s="58"/>
      <c r="Y44" s="163"/>
      <c r="Z44" s="58"/>
      <c r="AA44" s="58"/>
      <c r="AB44" s="58"/>
      <c r="AC44" s="58"/>
      <c r="AD44" s="58"/>
      <c r="AE44" s="58"/>
      <c r="AF44" s="58"/>
    </row>
    <row r="45" spans="1:32" x14ac:dyDescent="0.2">
      <c r="A45" s="697"/>
      <c r="B45" s="698"/>
      <c r="C45" s="695"/>
      <c r="D45" s="695"/>
      <c r="E45" s="699"/>
      <c r="F45" s="699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699"/>
      <c r="T45" s="699"/>
      <c r="U45" s="697"/>
      <c r="V45" s="703"/>
      <c r="W45" s="697"/>
      <c r="X45" s="697"/>
      <c r="Y45" s="699"/>
      <c r="Z45" s="699"/>
      <c r="AA45" s="699"/>
      <c r="AB45" s="699"/>
      <c r="AC45" s="699"/>
      <c r="AD45" s="699"/>
      <c r="AE45" s="699"/>
      <c r="AF45" s="699"/>
    </row>
    <row r="46" spans="1:32" x14ac:dyDescent="0.2">
      <c r="G46" s="495"/>
      <c r="H46" s="495"/>
      <c r="I46" s="495"/>
      <c r="J46" s="495"/>
      <c r="K46" s="495"/>
      <c r="L46" s="495"/>
      <c r="M46" s="495"/>
      <c r="N46" s="495"/>
      <c r="O46" s="495"/>
      <c r="P46" s="495"/>
      <c r="Q46" s="495"/>
      <c r="R46" s="495"/>
    </row>
    <row r="47" spans="1:32" x14ac:dyDescent="0.2">
      <c r="A47" s="607"/>
      <c r="B47" s="612"/>
      <c r="C47" s="612"/>
      <c r="D47" s="612"/>
      <c r="E47" s="612"/>
      <c r="F47" s="612"/>
      <c r="G47" s="688"/>
      <c r="H47" s="688"/>
      <c r="I47" s="688"/>
      <c r="J47" s="688"/>
      <c r="K47" s="688"/>
      <c r="L47" s="688"/>
      <c r="M47" s="688"/>
      <c r="N47" s="688"/>
      <c r="O47" s="688"/>
      <c r="P47" s="688"/>
      <c r="Q47" s="688"/>
      <c r="R47" s="688"/>
      <c r="S47" s="610"/>
      <c r="T47" s="610"/>
      <c r="U47" s="689"/>
      <c r="V47" s="612"/>
      <c r="W47" s="689"/>
      <c r="X47" s="607"/>
      <c r="Y47" s="610"/>
      <c r="Z47" s="611"/>
      <c r="AA47" s="611"/>
      <c r="AB47" s="611"/>
      <c r="AC47" s="611"/>
      <c r="AD47" s="611"/>
      <c r="AE47" s="611"/>
      <c r="AF47" s="611"/>
    </row>
    <row r="48" spans="1:32" x14ac:dyDescent="0.2">
      <c r="A48" s="697"/>
      <c r="B48" s="698"/>
      <c r="C48" s="695"/>
      <c r="D48" s="695"/>
      <c r="E48" s="699"/>
      <c r="F48" s="699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699"/>
      <c r="T48" s="699"/>
      <c r="U48" s="697"/>
      <c r="V48" s="703"/>
      <c r="W48" s="697"/>
      <c r="X48" s="697"/>
      <c r="Y48" s="699"/>
      <c r="Z48" s="699"/>
      <c r="AA48" s="699"/>
      <c r="AB48" s="699"/>
      <c r="AC48" s="699"/>
      <c r="AD48" s="699"/>
      <c r="AE48" s="699"/>
      <c r="AF48" s="699"/>
    </row>
    <row r="49" spans="1:32" x14ac:dyDescent="0.2">
      <c r="A49" s="578"/>
      <c r="B49" s="640"/>
      <c r="C49" s="711"/>
      <c r="D49" s="711"/>
      <c r="E49" s="575"/>
      <c r="F49" s="575"/>
      <c r="G49" s="601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575"/>
      <c r="T49" s="575"/>
      <c r="U49" s="578"/>
      <c r="V49" s="597"/>
      <c r="W49" s="578"/>
      <c r="X49" s="575"/>
      <c r="Y49" s="575"/>
      <c r="Z49" s="575"/>
      <c r="AA49" s="575"/>
      <c r="AB49" s="575"/>
      <c r="AC49" s="575"/>
      <c r="AD49" s="575"/>
      <c r="AE49" s="575"/>
      <c r="AF49" s="575"/>
    </row>
    <row r="50" spans="1:32" x14ac:dyDescent="0.2">
      <c r="A50" s="578"/>
      <c r="B50" s="640"/>
      <c r="C50" s="711"/>
      <c r="D50" s="711"/>
      <c r="E50" s="575"/>
      <c r="F50" s="575"/>
      <c r="G50" s="601"/>
      <c r="H50" s="601"/>
      <c r="I50" s="601"/>
      <c r="J50" s="601"/>
      <c r="K50" s="601"/>
      <c r="L50" s="601"/>
      <c r="M50" s="601"/>
      <c r="N50" s="601"/>
      <c r="O50" s="601"/>
      <c r="P50" s="601"/>
      <c r="Q50" s="601"/>
      <c r="R50" s="601"/>
      <c r="S50" s="575"/>
      <c r="T50" s="575"/>
      <c r="U50" s="578"/>
      <c r="V50" s="597"/>
      <c r="W50" s="578"/>
      <c r="X50" s="575"/>
      <c r="Y50" s="575"/>
      <c r="Z50" s="575"/>
      <c r="AA50" s="575"/>
      <c r="AB50" s="575"/>
      <c r="AC50" s="575"/>
      <c r="AD50" s="575"/>
      <c r="AE50" s="575"/>
      <c r="AF50" s="575"/>
    </row>
    <row r="52" spans="1:32" s="58" customFormat="1" x14ac:dyDescent="0.2">
      <c r="A52" s="649"/>
      <c r="B52" s="646"/>
      <c r="C52" s="646"/>
      <c r="D52" s="646"/>
      <c r="E52" s="646"/>
      <c r="F52" s="646"/>
      <c r="G52" s="650"/>
      <c r="H52" s="650"/>
      <c r="I52" s="650"/>
      <c r="J52" s="650"/>
      <c r="K52" s="650"/>
      <c r="L52" s="650"/>
      <c r="M52" s="650"/>
      <c r="N52" s="650"/>
      <c r="O52" s="650"/>
      <c r="P52" s="650"/>
      <c r="Q52" s="650"/>
      <c r="R52" s="650"/>
      <c r="S52" s="573"/>
      <c r="T52" s="573"/>
      <c r="U52" s="651"/>
      <c r="V52" s="646"/>
      <c r="W52" s="649"/>
      <c r="X52" s="684"/>
      <c r="Y52" s="573"/>
      <c r="Z52" s="649"/>
      <c r="AA52" s="652"/>
      <c r="AB52" s="652"/>
      <c r="AC52" s="652"/>
      <c r="AD52" s="652"/>
      <c r="AE52" s="652"/>
      <c r="AF52" s="652"/>
    </row>
    <row r="53" spans="1:32" s="58" customFormat="1" x14ac:dyDescent="0.2">
      <c r="A53" s="649"/>
      <c r="B53" s="646"/>
      <c r="C53" s="646"/>
      <c r="D53" s="646"/>
      <c r="E53" s="646"/>
      <c r="F53" s="646"/>
      <c r="G53" s="650"/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573"/>
      <c r="T53" s="573"/>
      <c r="U53" s="573"/>
      <c r="V53" s="646"/>
      <c r="W53" s="649"/>
      <c r="X53" s="646"/>
      <c r="Y53" s="652"/>
      <c r="Z53" s="652"/>
      <c r="AA53" s="651"/>
      <c r="AB53" s="573"/>
      <c r="AC53" s="652"/>
      <c r="AD53" s="652"/>
      <c r="AE53" s="652"/>
      <c r="AF53" s="652"/>
    </row>
    <row r="54" spans="1:32" s="58" customFormat="1" x14ac:dyDescent="0.2">
      <c r="A54" s="649"/>
      <c r="B54" s="646"/>
      <c r="C54" s="646"/>
      <c r="D54" s="646"/>
      <c r="E54" s="646"/>
      <c r="F54" s="646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573"/>
      <c r="T54" s="573"/>
      <c r="U54" s="573"/>
      <c r="V54" s="646"/>
      <c r="W54" s="649"/>
      <c r="X54" s="646"/>
      <c r="Y54" s="652"/>
      <c r="Z54" s="652"/>
      <c r="AA54" s="651"/>
      <c r="AB54" s="573"/>
      <c r="AC54" s="652"/>
      <c r="AD54" s="652"/>
      <c r="AE54" s="652"/>
      <c r="AF54" s="652"/>
    </row>
    <row r="55" spans="1:32" s="58" customFormat="1" x14ac:dyDescent="0.2">
      <c r="A55" s="649"/>
      <c r="B55" s="646"/>
      <c r="C55" s="646"/>
      <c r="D55" s="646"/>
      <c r="E55" s="646"/>
      <c r="F55" s="646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573"/>
      <c r="T55" s="573"/>
      <c r="U55" s="651"/>
      <c r="V55" s="646"/>
      <c r="W55" s="651"/>
      <c r="X55" s="658"/>
      <c r="Y55" s="573"/>
      <c r="Z55" s="649"/>
      <c r="AA55" s="770"/>
      <c r="AB55" s="706"/>
      <c r="AC55" s="652"/>
      <c r="AD55" s="706"/>
      <c r="AE55" s="706"/>
      <c r="AF55" s="706"/>
    </row>
    <row r="58" spans="1:32" s="652" customFormat="1" x14ac:dyDescent="0.2">
      <c r="A58" s="649"/>
      <c r="B58" s="658"/>
      <c r="C58" s="646"/>
      <c r="D58" s="646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U58" s="649"/>
      <c r="V58" s="658"/>
      <c r="W58" s="649"/>
      <c r="X58" s="684"/>
      <c r="AA58" s="649"/>
    </row>
    <row r="59" spans="1:32" s="652" customFormat="1" x14ac:dyDescent="0.2">
      <c r="A59" s="649"/>
      <c r="B59" s="646"/>
      <c r="C59" s="646"/>
      <c r="D59" s="646"/>
      <c r="E59" s="646"/>
      <c r="F59" s="646"/>
      <c r="G59" s="650"/>
      <c r="H59" s="650"/>
      <c r="I59" s="650"/>
      <c r="J59" s="650"/>
      <c r="K59" s="650"/>
      <c r="L59" s="650"/>
      <c r="M59" s="650"/>
      <c r="N59" s="650"/>
      <c r="O59" s="650"/>
      <c r="P59" s="650"/>
      <c r="Q59" s="650"/>
      <c r="R59" s="650"/>
      <c r="S59" s="573"/>
      <c r="T59" s="573"/>
      <c r="U59" s="651"/>
      <c r="V59" s="646"/>
      <c r="W59" s="651"/>
      <c r="X59" s="684"/>
      <c r="Y59" s="573"/>
      <c r="AA59" s="649"/>
    </row>
    <row r="60" spans="1:32" x14ac:dyDescent="0.2"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</row>
    <row r="61" spans="1:32" x14ac:dyDescent="0.2"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</row>
    <row r="62" spans="1:32" x14ac:dyDescent="0.2"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</row>
    <row r="63" spans="1:32" x14ac:dyDescent="0.2"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</row>
    <row r="64" spans="1:32" x14ac:dyDescent="0.2">
      <c r="B64" s="483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</row>
    <row r="65" spans="2:18" x14ac:dyDescent="0.2">
      <c r="B65" s="483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</row>
    <row r="66" spans="2:18" x14ac:dyDescent="0.2">
      <c r="B66" s="482"/>
      <c r="C66" s="482"/>
      <c r="D66" s="482"/>
      <c r="E66" s="482"/>
      <c r="F66" s="482"/>
      <c r="G66" s="820"/>
      <c r="H66" s="820"/>
      <c r="I66" s="820"/>
      <c r="J66" s="820"/>
      <c r="K66" s="820"/>
      <c r="L66" s="820"/>
      <c r="M66" s="820"/>
      <c r="N66" s="820"/>
      <c r="O66" s="820"/>
      <c r="P66" s="820"/>
      <c r="Q66" s="820"/>
      <c r="R66" s="820"/>
    </row>
    <row r="67" spans="2:18" x14ac:dyDescent="0.2">
      <c r="B67" s="482"/>
      <c r="C67" s="771"/>
      <c r="D67" s="771"/>
      <c r="E67" s="60"/>
      <c r="F67" s="60"/>
      <c r="G67" s="820"/>
      <c r="H67" s="820"/>
      <c r="I67" s="820"/>
      <c r="J67" s="820"/>
      <c r="K67" s="820"/>
      <c r="L67" s="820"/>
      <c r="M67" s="820"/>
      <c r="N67" s="820"/>
      <c r="O67" s="820"/>
      <c r="P67" s="820"/>
      <c r="Q67" s="820"/>
      <c r="R67" s="820"/>
    </row>
    <row r="68" spans="2:18" x14ac:dyDescent="0.2">
      <c r="B68" s="485"/>
      <c r="C68" s="771"/>
      <c r="D68" s="771"/>
      <c r="E68" s="60"/>
      <c r="F68" s="60"/>
      <c r="G68" s="820"/>
      <c r="H68" s="820"/>
      <c r="I68" s="820"/>
      <c r="J68" s="820"/>
      <c r="K68" s="820"/>
      <c r="L68" s="820"/>
      <c r="M68" s="820"/>
      <c r="N68" s="820"/>
      <c r="O68" s="820"/>
      <c r="P68" s="820"/>
      <c r="Q68" s="820"/>
      <c r="R68" s="820"/>
    </row>
    <row r="69" spans="2:18" x14ac:dyDescent="0.2">
      <c r="B69" s="485"/>
      <c r="C69" s="771"/>
      <c r="D69" s="771"/>
      <c r="E69" s="60"/>
      <c r="F69" s="60"/>
      <c r="G69" s="820"/>
      <c r="H69" s="820"/>
      <c r="I69" s="820"/>
      <c r="J69" s="820"/>
      <c r="K69" s="820"/>
      <c r="L69" s="820"/>
      <c r="M69" s="820"/>
      <c r="N69" s="820"/>
      <c r="O69" s="820"/>
      <c r="P69" s="820"/>
      <c r="Q69" s="820"/>
      <c r="R69" s="820"/>
    </row>
    <row r="70" spans="2:18" x14ac:dyDescent="0.2">
      <c r="B70" s="485"/>
      <c r="C70" s="771"/>
      <c r="D70" s="771"/>
      <c r="E70" s="60"/>
      <c r="F70" s="60"/>
      <c r="G70" s="820"/>
      <c r="H70" s="820"/>
      <c r="I70" s="820"/>
      <c r="J70" s="820"/>
      <c r="K70" s="820"/>
      <c r="L70" s="820"/>
      <c r="M70" s="820"/>
      <c r="N70" s="820"/>
      <c r="O70" s="820"/>
      <c r="P70" s="820"/>
      <c r="Q70" s="820"/>
      <c r="R70" s="820"/>
    </row>
    <row r="71" spans="2:18" x14ac:dyDescent="0.2">
      <c r="B71" s="485"/>
      <c r="C71" s="771"/>
      <c r="D71" s="771"/>
      <c r="E71" s="60"/>
      <c r="F71" s="60"/>
      <c r="G71" s="820"/>
      <c r="H71" s="820"/>
      <c r="I71" s="820"/>
      <c r="J71" s="820"/>
      <c r="K71" s="820"/>
      <c r="L71" s="820"/>
      <c r="M71" s="820"/>
      <c r="N71" s="820"/>
      <c r="O71" s="820"/>
      <c r="P71" s="820"/>
      <c r="Q71" s="820"/>
      <c r="R71" s="820"/>
    </row>
    <row r="72" spans="2:18" x14ac:dyDescent="0.2">
      <c r="B72" s="485"/>
      <c r="C72" s="771"/>
      <c r="D72" s="771"/>
      <c r="E72" s="60"/>
      <c r="F72" s="60"/>
      <c r="G72" s="820"/>
      <c r="H72" s="820"/>
      <c r="I72" s="820"/>
      <c r="J72" s="820"/>
      <c r="K72" s="820"/>
      <c r="L72" s="820"/>
      <c r="M72" s="820"/>
      <c r="N72" s="820"/>
      <c r="O72" s="820"/>
      <c r="P72" s="820"/>
      <c r="Q72" s="820"/>
      <c r="R72" s="820"/>
    </row>
    <row r="73" spans="2:18" x14ac:dyDescent="0.2">
      <c r="B73" s="485"/>
      <c r="C73" s="6"/>
      <c r="D73" s="6"/>
      <c r="E73" s="6"/>
      <c r="F73" s="6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</row>
    <row r="74" spans="2:18" x14ac:dyDescent="0.2">
      <c r="B74" s="6"/>
      <c r="C74" s="6"/>
      <c r="D74" s="6"/>
      <c r="E74" s="6"/>
      <c r="F74" s="6"/>
      <c r="G74" s="820"/>
      <c r="H74" s="820"/>
      <c r="I74" s="820"/>
      <c r="J74" s="820"/>
      <c r="K74" s="820"/>
      <c r="L74" s="820"/>
      <c r="M74" s="820"/>
      <c r="N74" s="820"/>
      <c r="O74" s="820"/>
      <c r="P74" s="820"/>
      <c r="Q74" s="820"/>
      <c r="R74" s="820"/>
    </row>
    <row r="75" spans="2:18" x14ac:dyDescent="0.2">
      <c r="B75" s="816"/>
      <c r="C75" s="816"/>
      <c r="D75" s="816"/>
      <c r="E75" s="816"/>
      <c r="F75" s="816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</row>
    <row r="76" spans="2:18" x14ac:dyDescent="0.2">
      <c r="B76" s="482"/>
      <c r="C76" s="771"/>
      <c r="D76" s="771"/>
      <c r="E76" s="771"/>
      <c r="F76" s="771"/>
      <c r="G76" s="820"/>
      <c r="H76" s="820"/>
      <c r="I76" s="820"/>
      <c r="J76" s="820"/>
      <c r="K76" s="820"/>
      <c r="L76" s="820"/>
      <c r="M76" s="820"/>
      <c r="N76" s="820"/>
      <c r="O76" s="820"/>
      <c r="P76" s="820"/>
      <c r="Q76" s="820"/>
      <c r="R76" s="820"/>
    </row>
    <row r="77" spans="2:18" x14ac:dyDescent="0.2">
      <c r="B77" s="482"/>
      <c r="C77" s="771"/>
      <c r="D77" s="771"/>
      <c r="E77" s="771"/>
      <c r="F77" s="771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</row>
    <row r="78" spans="2:18" x14ac:dyDescent="0.2"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</row>
    <row r="79" spans="2:18" x14ac:dyDescent="0.2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</row>
    <row r="80" spans="2:18" x14ac:dyDescent="0.2"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</row>
    <row r="82" spans="1:32" s="575" customFormat="1" x14ac:dyDescent="0.2">
      <c r="A82" s="578"/>
      <c r="B82" s="621"/>
      <c r="C82" s="597"/>
      <c r="D82" s="597"/>
      <c r="E82" s="96"/>
      <c r="F82" s="96"/>
      <c r="G82" s="576"/>
      <c r="H82" s="576"/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485"/>
      <c r="T82" s="577"/>
      <c r="U82" s="579"/>
      <c r="V82" s="96"/>
      <c r="W82" s="579"/>
      <c r="Y82" s="485"/>
    </row>
    <row r="83" spans="1:32" s="575" customFormat="1" x14ac:dyDescent="0.2">
      <c r="A83" s="578"/>
      <c r="B83" s="621"/>
      <c r="C83" s="597"/>
      <c r="D83" s="597"/>
      <c r="E83" s="96"/>
      <c r="F83" s="96"/>
      <c r="G83" s="576"/>
      <c r="H83" s="576"/>
      <c r="I83" s="576"/>
      <c r="J83" s="576"/>
      <c r="K83" s="576"/>
      <c r="L83" s="576"/>
      <c r="M83" s="576"/>
      <c r="N83" s="576"/>
      <c r="O83" s="576"/>
      <c r="P83" s="576"/>
      <c r="Q83" s="576"/>
      <c r="R83" s="576"/>
      <c r="S83" s="485"/>
      <c r="T83" s="577"/>
      <c r="U83" s="579"/>
      <c r="V83" s="96"/>
      <c r="W83" s="579"/>
      <c r="Y83" s="485"/>
    </row>
    <row r="84" spans="1:32" s="575" customFormat="1" x14ac:dyDescent="0.2">
      <c r="A84" s="578"/>
      <c r="B84" s="621"/>
      <c r="C84" s="597"/>
      <c r="D84" s="597"/>
      <c r="E84" s="96"/>
      <c r="F84" s="96"/>
      <c r="G84" s="576"/>
      <c r="H84" s="576"/>
      <c r="I84" s="576"/>
      <c r="J84" s="576"/>
      <c r="K84" s="576"/>
      <c r="L84" s="576"/>
      <c r="M84" s="576"/>
      <c r="N84" s="576"/>
      <c r="O84" s="576"/>
      <c r="P84" s="576"/>
      <c r="Q84" s="576"/>
      <c r="R84" s="576"/>
      <c r="S84" s="485"/>
      <c r="T84" s="577"/>
      <c r="U84" s="579"/>
      <c r="V84" s="96"/>
      <c r="W84" s="579"/>
      <c r="Y84" s="485"/>
    </row>
    <row r="85" spans="1:32" s="575" customFormat="1" x14ac:dyDescent="0.2">
      <c r="A85" s="578"/>
      <c r="B85" s="621"/>
      <c r="C85" s="597"/>
      <c r="D85" s="597"/>
      <c r="E85" s="96"/>
      <c r="F85" s="96"/>
      <c r="G85" s="576"/>
      <c r="H85" s="576"/>
      <c r="I85" s="576"/>
      <c r="J85" s="576"/>
      <c r="K85" s="576"/>
      <c r="L85" s="576"/>
      <c r="M85" s="576"/>
      <c r="N85" s="576"/>
      <c r="O85" s="576"/>
      <c r="P85" s="576"/>
      <c r="Q85" s="576"/>
      <c r="R85" s="576"/>
      <c r="S85" s="485"/>
      <c r="T85" s="577"/>
      <c r="U85" s="579"/>
      <c r="V85" s="96"/>
      <c r="W85" s="579"/>
      <c r="Y85" s="485"/>
    </row>
    <row r="86" spans="1:32" s="575" customFormat="1" x14ac:dyDescent="0.2">
      <c r="A86" s="578"/>
      <c r="B86" s="621"/>
      <c r="C86" s="597"/>
      <c r="D86" s="597"/>
      <c r="E86" s="96"/>
      <c r="F86" s="96"/>
      <c r="G86" s="576"/>
      <c r="H86" s="576"/>
      <c r="I86" s="576"/>
      <c r="J86" s="576"/>
      <c r="K86" s="576"/>
      <c r="L86" s="576"/>
      <c r="M86" s="576"/>
      <c r="N86" s="576"/>
      <c r="O86" s="576"/>
      <c r="P86" s="576"/>
      <c r="Q86" s="576"/>
      <c r="R86" s="576"/>
      <c r="S86" s="485"/>
      <c r="T86" s="577"/>
      <c r="U86" s="579"/>
      <c r="V86" s="96"/>
      <c r="W86" s="579"/>
      <c r="Y86" s="485"/>
    </row>
    <row r="87" spans="1:32" s="575" customFormat="1" x14ac:dyDescent="0.2">
      <c r="A87" s="578"/>
      <c r="B87" s="621"/>
      <c r="C87" s="597"/>
      <c r="D87" s="597"/>
      <c r="E87" s="96"/>
      <c r="F87" s="96"/>
      <c r="G87" s="576"/>
      <c r="H87" s="576"/>
      <c r="I87" s="576"/>
      <c r="J87" s="576"/>
      <c r="K87" s="576"/>
      <c r="L87" s="576"/>
      <c r="M87" s="576"/>
      <c r="N87" s="576"/>
      <c r="O87" s="576"/>
      <c r="P87" s="576"/>
      <c r="Q87" s="576"/>
      <c r="R87" s="576"/>
      <c r="S87" s="485"/>
      <c r="T87" s="577"/>
      <c r="U87" s="579"/>
      <c r="V87" s="96"/>
      <c r="W87" s="579"/>
      <c r="Y87" s="485"/>
    </row>
    <row r="88" spans="1:32" s="575" customFormat="1" x14ac:dyDescent="0.2">
      <c r="A88" s="578"/>
      <c r="B88" s="621"/>
      <c r="C88" s="597"/>
      <c r="D88" s="597"/>
      <c r="E88" s="96"/>
      <c r="F88" s="96"/>
      <c r="G88" s="576"/>
      <c r="H88" s="576"/>
      <c r="I88" s="576"/>
      <c r="J88" s="576"/>
      <c r="K88" s="576"/>
      <c r="L88" s="576"/>
      <c r="M88" s="576"/>
      <c r="N88" s="576"/>
      <c r="O88" s="576"/>
      <c r="P88" s="576"/>
      <c r="Q88" s="576"/>
      <c r="R88" s="576"/>
      <c r="S88" s="485"/>
      <c r="T88" s="577"/>
      <c r="U88" s="579"/>
      <c r="V88" s="96"/>
      <c r="W88" s="579"/>
      <c r="Y88" s="485"/>
    </row>
    <row r="89" spans="1:32" s="652" customFormat="1" x14ac:dyDescent="0.2">
      <c r="A89" s="649"/>
      <c r="B89" s="752"/>
      <c r="C89" s="646"/>
      <c r="D89" s="646"/>
      <c r="E89" s="646"/>
      <c r="F89" s="646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573"/>
      <c r="T89" s="573"/>
      <c r="U89" s="573"/>
      <c r="V89" s="646"/>
      <c r="W89" s="573"/>
      <c r="X89" s="649"/>
      <c r="Y89" s="573"/>
    </row>
    <row r="90" spans="1:32" s="652" customFormat="1" x14ac:dyDescent="0.2">
      <c r="A90" s="649"/>
      <c r="B90" s="718"/>
      <c r="C90" s="717"/>
      <c r="D90" s="717"/>
      <c r="E90" s="564"/>
      <c r="F90" s="564"/>
      <c r="G90" s="653"/>
      <c r="H90" s="653"/>
      <c r="I90" s="653"/>
      <c r="J90" s="653"/>
      <c r="K90" s="653"/>
      <c r="L90" s="653"/>
      <c r="M90" s="653"/>
      <c r="N90" s="653"/>
      <c r="O90" s="653"/>
      <c r="P90" s="653"/>
      <c r="Q90" s="653"/>
      <c r="R90" s="653"/>
      <c r="S90" s="573"/>
      <c r="T90" s="720"/>
      <c r="U90" s="720"/>
      <c r="V90" s="564"/>
      <c r="W90" s="718"/>
      <c r="X90" s="649"/>
      <c r="Y90" s="573"/>
    </row>
    <row r="91" spans="1:32" s="652" customFormat="1" x14ac:dyDescent="0.2">
      <c r="A91" s="649"/>
      <c r="B91" s="752"/>
      <c r="C91" s="646"/>
      <c r="D91" s="646"/>
      <c r="E91" s="646"/>
      <c r="F91" s="646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573"/>
      <c r="T91" s="573"/>
      <c r="U91" s="573"/>
      <c r="V91" s="646"/>
      <c r="W91" s="573"/>
      <c r="X91" s="649"/>
      <c r="Y91" s="573"/>
    </row>
    <row r="93" spans="1:32" s="652" customFormat="1" x14ac:dyDescent="0.2">
      <c r="A93" s="649"/>
      <c r="B93" s="646"/>
      <c r="C93" s="646"/>
      <c r="D93" s="646"/>
      <c r="E93" s="646"/>
      <c r="F93" s="646"/>
      <c r="G93" s="653"/>
      <c r="H93" s="653"/>
      <c r="I93" s="653"/>
      <c r="J93" s="653"/>
      <c r="K93" s="653"/>
      <c r="L93" s="653"/>
      <c r="M93" s="653"/>
      <c r="N93" s="653"/>
      <c r="O93" s="653"/>
      <c r="P93" s="653"/>
      <c r="Q93" s="653"/>
      <c r="R93" s="653"/>
      <c r="S93" s="573"/>
      <c r="T93" s="573"/>
      <c r="V93" s="646"/>
      <c r="W93" s="651"/>
      <c r="X93" s="646"/>
      <c r="Y93" s="573"/>
    </row>
    <row r="94" spans="1:32" s="58" customFormat="1" x14ac:dyDescent="0.2">
      <c r="A94" s="649"/>
      <c r="B94" s="646"/>
      <c r="C94" s="646"/>
      <c r="D94" s="646"/>
      <c r="E94" s="646"/>
      <c r="F94" s="646"/>
      <c r="G94" s="650"/>
      <c r="H94" s="650"/>
      <c r="I94" s="650"/>
      <c r="J94" s="650"/>
      <c r="K94" s="650"/>
      <c r="L94" s="650"/>
      <c r="M94" s="650"/>
      <c r="N94" s="650"/>
      <c r="O94" s="650"/>
      <c r="P94" s="650"/>
      <c r="Q94" s="650"/>
      <c r="R94" s="650"/>
      <c r="S94" s="573"/>
      <c r="T94" s="573"/>
      <c r="U94" s="651"/>
      <c r="V94" s="646"/>
      <c r="W94" s="649"/>
      <c r="X94" s="684"/>
      <c r="Y94" s="573"/>
      <c r="Z94" s="652"/>
      <c r="AA94" s="652"/>
      <c r="AB94" s="652"/>
      <c r="AC94" s="652"/>
      <c r="AD94" s="652"/>
      <c r="AE94" s="652"/>
      <c r="AF94" s="652"/>
    </row>
    <row r="95" spans="1:32" s="652" customFormat="1" x14ac:dyDescent="0.2">
      <c r="A95" s="649"/>
      <c r="B95" s="646"/>
      <c r="C95" s="646"/>
      <c r="D95" s="646"/>
      <c r="E95" s="646"/>
      <c r="F95" s="646"/>
      <c r="G95" s="653"/>
      <c r="H95" s="653"/>
      <c r="I95" s="653"/>
      <c r="J95" s="653"/>
      <c r="K95" s="653"/>
      <c r="L95" s="653"/>
      <c r="M95" s="653"/>
      <c r="N95" s="653"/>
      <c r="O95" s="653"/>
      <c r="P95" s="653"/>
      <c r="Q95" s="653"/>
      <c r="R95" s="653"/>
      <c r="S95" s="573"/>
      <c r="T95" s="573"/>
      <c r="V95" s="646"/>
      <c r="W95" s="651"/>
      <c r="X95" s="646"/>
      <c r="Y95" s="573"/>
    </row>
    <row r="96" spans="1:32" s="652" customFormat="1" x14ac:dyDescent="0.2">
      <c r="A96" s="649"/>
      <c r="B96" s="646"/>
      <c r="C96" s="646"/>
      <c r="D96" s="646"/>
      <c r="E96" s="646"/>
      <c r="F96" s="646"/>
      <c r="G96" s="653"/>
      <c r="H96" s="653"/>
      <c r="I96" s="653"/>
      <c r="J96" s="653"/>
      <c r="K96" s="653"/>
      <c r="L96" s="653"/>
      <c r="M96" s="653"/>
      <c r="N96" s="653"/>
      <c r="O96" s="653"/>
      <c r="P96" s="653"/>
      <c r="Q96" s="653"/>
      <c r="R96" s="653"/>
      <c r="S96" s="573"/>
      <c r="T96" s="573"/>
      <c r="V96" s="646"/>
      <c r="W96" s="651"/>
      <c r="X96" s="646"/>
      <c r="Y96" s="573"/>
    </row>
    <row r="97" spans="1:26" s="652" customFormat="1" x14ac:dyDescent="0.2">
      <c r="A97" s="649"/>
      <c r="B97" s="646"/>
      <c r="C97" s="646"/>
      <c r="D97" s="646"/>
      <c r="E97" s="646"/>
      <c r="F97" s="646"/>
      <c r="G97" s="653"/>
      <c r="H97" s="653"/>
      <c r="I97" s="653"/>
      <c r="J97" s="653"/>
      <c r="K97" s="653"/>
      <c r="L97" s="653"/>
      <c r="M97" s="653"/>
      <c r="N97" s="653"/>
      <c r="O97" s="653"/>
      <c r="P97" s="653"/>
      <c r="Q97" s="653"/>
      <c r="R97" s="653"/>
      <c r="S97" s="573"/>
      <c r="T97" s="573"/>
      <c r="V97" s="646"/>
      <c r="W97" s="651"/>
      <c r="X97" s="646"/>
      <c r="Y97" s="573"/>
    </row>
    <row r="98" spans="1:26" s="652" customFormat="1" x14ac:dyDescent="0.2">
      <c r="A98" s="649"/>
      <c r="B98" s="646"/>
      <c r="C98" s="646"/>
      <c r="D98" s="646"/>
      <c r="E98" s="646"/>
      <c r="F98" s="646"/>
      <c r="G98" s="650"/>
      <c r="H98" s="650"/>
      <c r="I98" s="650"/>
      <c r="J98" s="650"/>
      <c r="K98" s="650"/>
      <c r="L98" s="650"/>
      <c r="M98" s="650"/>
      <c r="N98" s="650"/>
      <c r="O98" s="650"/>
      <c r="P98" s="650"/>
      <c r="Q98" s="650"/>
      <c r="R98" s="650"/>
      <c r="S98" s="573"/>
      <c r="T98" s="573"/>
      <c r="U98" s="651"/>
      <c r="V98" s="646"/>
      <c r="W98" s="651"/>
      <c r="X98" s="658"/>
      <c r="Y98" s="573"/>
      <c r="Z98" s="649"/>
    </row>
    <row r="99" spans="1:26" s="652" customFormat="1" x14ac:dyDescent="0.2">
      <c r="A99" s="649"/>
      <c r="B99" s="646"/>
      <c r="C99" s="646"/>
      <c r="D99" s="646"/>
      <c r="E99" s="646"/>
      <c r="F99" s="646"/>
      <c r="G99" s="650"/>
      <c r="H99" s="650"/>
      <c r="I99" s="650"/>
      <c r="J99" s="650"/>
      <c r="K99" s="650"/>
      <c r="L99" s="650"/>
      <c r="M99" s="650"/>
      <c r="N99" s="650"/>
      <c r="O99" s="650"/>
      <c r="P99" s="650"/>
      <c r="Q99" s="650"/>
      <c r="R99" s="650"/>
      <c r="S99" s="573"/>
      <c r="T99" s="573"/>
      <c r="U99" s="651"/>
      <c r="V99" s="646"/>
      <c r="W99" s="651"/>
      <c r="X99" s="658"/>
      <c r="Y99" s="573"/>
      <c r="Z99" s="649"/>
    </row>
    <row r="100" spans="1:26" s="652" customFormat="1" x14ac:dyDescent="0.2">
      <c r="A100" s="649"/>
      <c r="B100" s="646"/>
      <c r="C100" s="646"/>
      <c r="D100" s="646"/>
      <c r="E100" s="646"/>
      <c r="F100" s="646"/>
      <c r="G100" s="650"/>
      <c r="H100" s="650"/>
      <c r="I100" s="650"/>
      <c r="J100" s="650"/>
      <c r="K100" s="650"/>
      <c r="L100" s="650"/>
      <c r="M100" s="650"/>
      <c r="N100" s="650"/>
      <c r="O100" s="650"/>
      <c r="P100" s="650"/>
      <c r="Q100" s="650"/>
      <c r="R100" s="650"/>
      <c r="S100" s="573"/>
      <c r="T100" s="573"/>
      <c r="U100" s="651"/>
      <c r="V100" s="646"/>
      <c r="W100" s="651"/>
      <c r="X100" s="658"/>
      <c r="Y100" s="573"/>
      <c r="Z100" s="649"/>
    </row>
    <row r="101" spans="1:26" s="652" customFormat="1" x14ac:dyDescent="0.2">
      <c r="A101" s="649"/>
      <c r="B101" s="658"/>
      <c r="C101" s="646"/>
      <c r="D101" s="646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V101" s="658"/>
      <c r="W101" s="649"/>
    </row>
    <row r="102" spans="1:26" s="652" customFormat="1" x14ac:dyDescent="0.2">
      <c r="A102" s="649"/>
      <c r="B102" s="646"/>
      <c r="C102" s="646"/>
      <c r="D102" s="646"/>
      <c r="E102" s="646"/>
      <c r="F102" s="646"/>
      <c r="G102" s="650"/>
      <c r="H102" s="650"/>
      <c r="I102" s="650"/>
      <c r="J102" s="650"/>
      <c r="K102" s="650"/>
      <c r="L102" s="650"/>
      <c r="M102" s="650"/>
      <c r="N102" s="650"/>
      <c r="O102" s="650"/>
      <c r="P102" s="650"/>
      <c r="Q102" s="650"/>
      <c r="R102" s="650"/>
      <c r="S102" s="573"/>
      <c r="T102" s="573"/>
      <c r="U102" s="651"/>
      <c r="V102" s="646"/>
      <c r="W102" s="651"/>
      <c r="X102" s="658"/>
      <c r="Y102" s="573"/>
      <c r="Z102" s="649"/>
    </row>
    <row r="103" spans="1:26" s="652" customFormat="1" x14ac:dyDescent="0.2">
      <c r="A103" s="649"/>
      <c r="B103" s="646"/>
      <c r="C103" s="646"/>
      <c r="D103" s="646"/>
      <c r="E103" s="646"/>
      <c r="F103" s="646"/>
      <c r="G103" s="650"/>
      <c r="H103" s="650"/>
      <c r="I103" s="650"/>
      <c r="J103" s="650"/>
      <c r="K103" s="650"/>
      <c r="L103" s="650"/>
      <c r="M103" s="650"/>
      <c r="N103" s="650"/>
      <c r="O103" s="650"/>
      <c r="P103" s="650"/>
      <c r="Q103" s="650"/>
      <c r="R103" s="650"/>
      <c r="S103" s="573"/>
      <c r="T103" s="573"/>
      <c r="U103" s="651"/>
      <c r="V103" s="646"/>
      <c r="W103" s="651"/>
      <c r="X103" s="658"/>
      <c r="Y103" s="573"/>
      <c r="Z103" s="649"/>
    </row>
    <row r="104" spans="1:26" s="652" customFormat="1" x14ac:dyDescent="0.2">
      <c r="A104" s="649"/>
      <c r="B104" s="646"/>
      <c r="C104" s="646"/>
      <c r="D104" s="646"/>
      <c r="E104" s="646"/>
      <c r="F104" s="646"/>
      <c r="G104" s="650"/>
      <c r="H104" s="650"/>
      <c r="I104" s="650"/>
      <c r="J104" s="650"/>
      <c r="K104" s="650"/>
      <c r="L104" s="650"/>
      <c r="M104" s="650"/>
      <c r="N104" s="650"/>
      <c r="O104" s="650"/>
      <c r="P104" s="650"/>
      <c r="Q104" s="650"/>
      <c r="R104" s="650"/>
      <c r="S104" s="573"/>
      <c r="T104" s="573"/>
      <c r="U104" s="651"/>
      <c r="V104" s="646"/>
      <c r="W104" s="651"/>
      <c r="X104" s="658"/>
      <c r="Y104" s="573"/>
      <c r="Z104" s="649"/>
    </row>
    <row r="105" spans="1:26" s="652" customFormat="1" x14ac:dyDescent="0.2">
      <c r="A105" s="649"/>
      <c r="B105" s="646"/>
      <c r="C105" s="646"/>
      <c r="D105" s="646"/>
      <c r="E105" s="646"/>
      <c r="F105" s="646"/>
      <c r="G105" s="650"/>
      <c r="H105" s="650"/>
      <c r="I105" s="650"/>
      <c r="J105" s="650"/>
      <c r="K105" s="650"/>
      <c r="L105" s="650"/>
      <c r="M105" s="650"/>
      <c r="N105" s="650"/>
      <c r="O105" s="650"/>
      <c r="P105" s="650"/>
      <c r="Q105" s="650"/>
      <c r="R105" s="650"/>
      <c r="S105" s="573"/>
      <c r="T105" s="573"/>
      <c r="U105" s="651"/>
      <c r="V105" s="646"/>
      <c r="W105" s="651"/>
      <c r="X105" s="658"/>
      <c r="Y105" s="573"/>
      <c r="Z105" s="649"/>
    </row>
    <row r="106" spans="1:26" s="652" customFormat="1" x14ac:dyDescent="0.2">
      <c r="A106" s="649"/>
      <c r="B106" s="646"/>
      <c r="C106" s="646"/>
      <c r="D106" s="646"/>
      <c r="E106" s="646"/>
      <c r="F106" s="646"/>
      <c r="G106" s="650"/>
      <c r="H106" s="650"/>
      <c r="I106" s="650"/>
      <c r="J106" s="650"/>
      <c r="K106" s="650"/>
      <c r="L106" s="650"/>
      <c r="M106" s="650"/>
      <c r="N106" s="650"/>
      <c r="O106" s="650"/>
      <c r="P106" s="650"/>
      <c r="Q106" s="650"/>
      <c r="R106" s="650"/>
      <c r="S106" s="573"/>
      <c r="T106" s="573"/>
      <c r="U106" s="651"/>
      <c r="V106" s="646"/>
      <c r="W106" s="651"/>
      <c r="X106" s="658"/>
      <c r="Y106" s="573"/>
      <c r="Z106" s="649"/>
    </row>
    <row r="107" spans="1:26" s="652" customFormat="1" x14ac:dyDescent="0.2">
      <c r="A107" s="649"/>
      <c r="B107" s="646"/>
      <c r="C107" s="646"/>
      <c r="D107" s="646"/>
      <c r="E107" s="646"/>
      <c r="F107" s="646"/>
      <c r="G107" s="650"/>
      <c r="H107" s="650"/>
      <c r="I107" s="650"/>
      <c r="J107" s="650"/>
      <c r="K107" s="650"/>
      <c r="L107" s="650"/>
      <c r="M107" s="650"/>
      <c r="N107" s="650"/>
      <c r="O107" s="650"/>
      <c r="P107" s="650"/>
      <c r="Q107" s="650"/>
      <c r="R107" s="650"/>
      <c r="S107" s="573"/>
      <c r="T107" s="573"/>
      <c r="U107" s="651"/>
      <c r="V107" s="646"/>
      <c r="W107" s="651"/>
      <c r="X107" s="658"/>
      <c r="Y107" s="573"/>
      <c r="Z107" s="649"/>
    </row>
    <row r="108" spans="1:26" s="652" customFormat="1" x14ac:dyDescent="0.2">
      <c r="A108" s="649"/>
      <c r="B108" s="646"/>
      <c r="C108" s="646"/>
      <c r="D108" s="646"/>
      <c r="E108" s="646"/>
      <c r="F108" s="646"/>
      <c r="G108" s="650"/>
      <c r="H108" s="650"/>
      <c r="I108" s="650"/>
      <c r="J108" s="650"/>
      <c r="K108" s="650"/>
      <c r="L108" s="650"/>
      <c r="M108" s="650"/>
      <c r="N108" s="650"/>
      <c r="O108" s="650"/>
      <c r="P108" s="650"/>
      <c r="Q108" s="650"/>
      <c r="R108" s="650"/>
      <c r="S108" s="573"/>
      <c r="T108" s="573"/>
      <c r="U108" s="651"/>
      <c r="V108" s="646"/>
      <c r="W108" s="651"/>
      <c r="X108" s="658"/>
      <c r="Y108" s="573"/>
      <c r="Z108" s="649"/>
    </row>
    <row r="109" spans="1:26" s="652" customFormat="1" x14ac:dyDescent="0.2">
      <c r="A109" s="649"/>
      <c r="B109" s="646"/>
      <c r="C109" s="646"/>
      <c r="D109" s="646"/>
      <c r="E109" s="646"/>
      <c r="F109" s="646"/>
      <c r="G109" s="650"/>
      <c r="H109" s="650"/>
      <c r="I109" s="650"/>
      <c r="J109" s="650"/>
      <c r="K109" s="650"/>
      <c r="L109" s="650"/>
      <c r="M109" s="650"/>
      <c r="N109" s="650"/>
      <c r="O109" s="650"/>
      <c r="P109" s="650"/>
      <c r="Q109" s="650"/>
      <c r="R109" s="650"/>
      <c r="S109" s="573"/>
      <c r="T109" s="573"/>
      <c r="U109" s="651"/>
      <c r="V109" s="646"/>
      <c r="W109" s="651"/>
      <c r="X109" s="658"/>
      <c r="Y109" s="573"/>
      <c r="Z109" s="649"/>
    </row>
    <row r="110" spans="1:26" s="652" customFormat="1" x14ac:dyDescent="0.2">
      <c r="A110" s="649"/>
      <c r="B110" s="646"/>
      <c r="C110" s="646"/>
      <c r="D110" s="646"/>
      <c r="E110" s="646"/>
      <c r="F110" s="646"/>
      <c r="G110" s="650"/>
      <c r="H110" s="650"/>
      <c r="I110" s="650"/>
      <c r="J110" s="650"/>
      <c r="K110" s="650"/>
      <c r="L110" s="650"/>
      <c r="M110" s="650"/>
      <c r="N110" s="650"/>
      <c r="O110" s="650"/>
      <c r="P110" s="650"/>
      <c r="Q110" s="650"/>
      <c r="R110" s="650"/>
      <c r="S110" s="573"/>
      <c r="T110" s="573"/>
      <c r="U110" s="651"/>
      <c r="V110" s="646"/>
      <c r="W110" s="651"/>
      <c r="X110" s="658"/>
      <c r="Y110" s="573"/>
      <c r="Z110" s="649"/>
    </row>
    <row r="111" spans="1:26" s="652" customFormat="1" x14ac:dyDescent="0.2">
      <c r="A111" s="649"/>
      <c r="B111" s="646"/>
      <c r="C111" s="646"/>
      <c r="D111" s="646"/>
      <c r="E111" s="646"/>
      <c r="F111" s="646"/>
      <c r="G111" s="650"/>
      <c r="H111" s="650"/>
      <c r="I111" s="650"/>
      <c r="J111" s="650"/>
      <c r="K111" s="650"/>
      <c r="L111" s="650"/>
      <c r="M111" s="650"/>
      <c r="N111" s="650"/>
      <c r="O111" s="650"/>
      <c r="P111" s="650"/>
      <c r="Q111" s="650"/>
      <c r="R111" s="650"/>
      <c r="S111" s="573"/>
      <c r="T111" s="573"/>
      <c r="U111" s="651"/>
      <c r="V111" s="646"/>
      <c r="W111" s="651"/>
      <c r="X111" s="658"/>
      <c r="Y111" s="573"/>
      <c r="Z111" s="649"/>
    </row>
    <row r="113" spans="1:28" s="652" customFormat="1" x14ac:dyDescent="0.2">
      <c r="A113" s="649"/>
      <c r="B113" s="658"/>
      <c r="C113" s="646"/>
      <c r="D113" s="646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V113" s="658"/>
      <c r="W113" s="649"/>
    </row>
    <row r="114" spans="1:28" s="652" customFormat="1" x14ac:dyDescent="0.2">
      <c r="A114" s="649"/>
      <c r="B114" s="658"/>
      <c r="C114" s="646"/>
      <c r="D114" s="646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V114" s="658"/>
      <c r="W114" s="649"/>
    </row>
    <row r="115" spans="1:28" s="652" customFormat="1" x14ac:dyDescent="0.2">
      <c r="A115" s="649"/>
      <c r="B115" s="646"/>
      <c r="C115" s="646"/>
      <c r="D115" s="646"/>
      <c r="E115" s="646"/>
      <c r="F115" s="646"/>
      <c r="G115" s="650"/>
      <c r="H115" s="650"/>
      <c r="I115" s="650"/>
      <c r="J115" s="650"/>
      <c r="K115" s="650"/>
      <c r="L115" s="650"/>
      <c r="M115" s="650"/>
      <c r="N115" s="650"/>
      <c r="O115" s="650"/>
      <c r="P115" s="650"/>
      <c r="Q115" s="650"/>
      <c r="R115" s="650"/>
      <c r="S115" s="573"/>
      <c r="T115" s="573"/>
      <c r="U115" s="573"/>
      <c r="V115" s="646"/>
      <c r="W115" s="649"/>
      <c r="X115" s="646"/>
      <c r="AA115" s="651"/>
      <c r="AB115" s="573"/>
    </row>
    <row r="116" spans="1:28" s="652" customFormat="1" x14ac:dyDescent="0.2">
      <c r="A116" s="649"/>
      <c r="B116" s="646"/>
      <c r="C116" s="646"/>
      <c r="D116" s="646"/>
      <c r="E116" s="646"/>
      <c r="F116" s="646"/>
      <c r="G116" s="650"/>
      <c r="H116" s="650"/>
      <c r="I116" s="650"/>
      <c r="J116" s="650"/>
      <c r="K116" s="650"/>
      <c r="L116" s="650"/>
      <c r="M116" s="650"/>
      <c r="N116" s="650"/>
      <c r="O116" s="650"/>
      <c r="P116" s="650"/>
      <c r="Q116" s="650"/>
      <c r="R116" s="650"/>
      <c r="S116" s="573"/>
      <c r="T116" s="573"/>
      <c r="U116" s="573"/>
      <c r="V116" s="646"/>
      <c r="W116" s="649"/>
      <c r="X116" s="646"/>
      <c r="AA116" s="651"/>
      <c r="AB116" s="573"/>
    </row>
    <row r="117" spans="1:28" s="652" customFormat="1" x14ac:dyDescent="0.2">
      <c r="A117" s="649"/>
      <c r="B117" s="646"/>
      <c r="C117" s="646"/>
      <c r="D117" s="646"/>
      <c r="E117" s="646"/>
      <c r="F117" s="646"/>
      <c r="G117" s="650"/>
      <c r="H117" s="650"/>
      <c r="I117" s="650"/>
      <c r="J117" s="650"/>
      <c r="K117" s="650"/>
      <c r="L117" s="650"/>
      <c r="M117" s="650"/>
      <c r="N117" s="650"/>
      <c r="O117" s="650"/>
      <c r="P117" s="650"/>
      <c r="Q117" s="650"/>
      <c r="R117" s="650"/>
      <c r="S117" s="573"/>
      <c r="T117" s="573"/>
      <c r="U117" s="573"/>
      <c r="V117" s="646"/>
      <c r="W117" s="649"/>
      <c r="X117" s="646"/>
      <c r="AA117" s="651"/>
      <c r="AB117" s="573"/>
    </row>
    <row r="118" spans="1:28" s="652" customFormat="1" x14ac:dyDescent="0.2">
      <c r="A118" s="649"/>
      <c r="B118" s="646"/>
      <c r="C118" s="646"/>
      <c r="D118" s="646"/>
      <c r="E118" s="646"/>
      <c r="F118" s="646"/>
      <c r="G118" s="650"/>
      <c r="H118" s="650"/>
      <c r="I118" s="650"/>
      <c r="J118" s="650"/>
      <c r="K118" s="650"/>
      <c r="L118" s="650"/>
      <c r="M118" s="650"/>
      <c r="N118" s="650"/>
      <c r="O118" s="650"/>
      <c r="P118" s="650"/>
      <c r="Q118" s="650"/>
      <c r="R118" s="650"/>
      <c r="S118" s="573"/>
      <c r="T118" s="573"/>
      <c r="U118" s="573"/>
      <c r="V118" s="646"/>
      <c r="W118" s="649"/>
      <c r="X118" s="646"/>
      <c r="AA118" s="651"/>
      <c r="AB118" s="573"/>
    </row>
    <row r="119" spans="1:28" s="652" customFormat="1" x14ac:dyDescent="0.2">
      <c r="A119" s="649"/>
      <c r="B119" s="752"/>
      <c r="C119" s="646"/>
      <c r="D119" s="646"/>
      <c r="E119" s="646"/>
      <c r="F119" s="646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573"/>
      <c r="T119" s="573"/>
      <c r="U119" s="573"/>
      <c r="V119" s="646"/>
      <c r="W119" s="573"/>
      <c r="X119" s="649"/>
      <c r="Y119" s="573"/>
    </row>
    <row r="120" spans="1:28" s="652" customFormat="1" x14ac:dyDescent="0.2">
      <c r="A120" s="649"/>
      <c r="B120" s="657"/>
      <c r="C120" s="658"/>
      <c r="D120" s="658"/>
      <c r="G120" s="659"/>
      <c r="H120" s="659"/>
      <c r="I120" s="659"/>
      <c r="J120" s="659"/>
      <c r="K120" s="659"/>
      <c r="L120" s="659"/>
      <c r="M120" s="659"/>
      <c r="N120" s="659"/>
      <c r="O120" s="659"/>
      <c r="P120" s="659"/>
      <c r="Q120" s="659"/>
      <c r="R120" s="659"/>
      <c r="U120" s="649"/>
      <c r="V120" s="658"/>
      <c r="W120" s="649"/>
      <c r="X120" s="660"/>
      <c r="Z120" s="649"/>
      <c r="AA120" s="649"/>
    </row>
    <row r="121" spans="1:28" s="652" customFormat="1" x14ac:dyDescent="0.2">
      <c r="A121" s="649"/>
      <c r="B121" s="657"/>
      <c r="C121" s="658"/>
      <c r="D121" s="658"/>
      <c r="G121" s="659"/>
      <c r="H121" s="659"/>
      <c r="I121" s="659"/>
      <c r="J121" s="659"/>
      <c r="K121" s="659"/>
      <c r="L121" s="659"/>
      <c r="M121" s="659"/>
      <c r="N121" s="659"/>
      <c r="O121" s="659"/>
      <c r="P121" s="659"/>
      <c r="Q121" s="659"/>
      <c r="R121" s="659"/>
      <c r="U121" s="649"/>
      <c r="V121" s="658"/>
      <c r="W121" s="649"/>
      <c r="X121" s="660"/>
      <c r="Z121" s="649"/>
      <c r="AA121" s="649"/>
    </row>
    <row r="122" spans="1:28" s="652" customFormat="1" x14ac:dyDescent="0.2">
      <c r="A122" s="649"/>
      <c r="B122" s="657"/>
      <c r="C122" s="658"/>
      <c r="D122" s="658"/>
      <c r="G122" s="659"/>
      <c r="H122" s="659"/>
      <c r="I122" s="659"/>
      <c r="J122" s="659"/>
      <c r="K122" s="659"/>
      <c r="L122" s="659"/>
      <c r="M122" s="659"/>
      <c r="N122" s="659"/>
      <c r="O122" s="659"/>
      <c r="P122" s="659"/>
      <c r="Q122" s="659"/>
      <c r="R122" s="659"/>
      <c r="U122" s="649"/>
      <c r="V122" s="658"/>
      <c r="W122" s="649"/>
      <c r="X122" s="660"/>
      <c r="Z122" s="649"/>
      <c r="AA122" s="649"/>
    </row>
    <row r="123" spans="1:28" s="652" customFormat="1" x14ac:dyDescent="0.2">
      <c r="A123" s="649"/>
      <c r="B123" s="657"/>
      <c r="C123" s="658"/>
      <c r="D123" s="658"/>
      <c r="G123" s="659"/>
      <c r="H123" s="659"/>
      <c r="I123" s="659"/>
      <c r="J123" s="659"/>
      <c r="K123" s="659"/>
      <c r="L123" s="659"/>
      <c r="M123" s="659"/>
      <c r="N123" s="659"/>
      <c r="O123" s="659"/>
      <c r="P123" s="659"/>
      <c r="Q123" s="659"/>
      <c r="R123" s="659"/>
      <c r="U123" s="649"/>
      <c r="V123" s="658"/>
      <c r="W123" s="649"/>
      <c r="X123" s="660"/>
      <c r="Z123" s="649"/>
      <c r="AA123" s="649"/>
    </row>
    <row r="124" spans="1:28" s="563" customFormat="1" x14ac:dyDescent="0.2">
      <c r="A124" s="562"/>
      <c r="B124" s="645"/>
      <c r="C124" s="646"/>
      <c r="D124" s="646"/>
      <c r="E124" s="645"/>
      <c r="F124" s="645"/>
      <c r="G124" s="653"/>
      <c r="H124" s="653"/>
      <c r="I124" s="653"/>
      <c r="J124" s="653"/>
      <c r="K124" s="653"/>
      <c r="L124" s="653"/>
      <c r="M124" s="653"/>
      <c r="N124" s="653"/>
      <c r="O124" s="653"/>
      <c r="P124" s="653"/>
      <c r="Q124" s="653"/>
      <c r="R124" s="653"/>
      <c r="S124" s="572"/>
      <c r="T124" s="572"/>
      <c r="U124" s="647"/>
      <c r="V124" s="645"/>
      <c r="W124" s="562"/>
      <c r="X124" s="648"/>
      <c r="Y124" s="572"/>
      <c r="Z124" s="562"/>
    </row>
    <row r="125" spans="1:28" s="652" customFormat="1" x14ac:dyDescent="0.2">
      <c r="A125" s="649"/>
      <c r="B125" s="646"/>
      <c r="C125" s="646"/>
      <c r="D125" s="646"/>
      <c r="E125" s="646"/>
      <c r="F125" s="646"/>
      <c r="G125" s="650"/>
      <c r="H125" s="650"/>
      <c r="I125" s="650"/>
      <c r="J125" s="650"/>
      <c r="K125" s="650"/>
      <c r="L125" s="650"/>
      <c r="M125" s="650"/>
      <c r="N125" s="650"/>
      <c r="O125" s="650"/>
      <c r="P125" s="650"/>
      <c r="Q125" s="650"/>
      <c r="R125" s="650"/>
      <c r="S125" s="573"/>
      <c r="T125" s="573"/>
      <c r="U125" s="573"/>
      <c r="V125" s="646"/>
      <c r="W125" s="651"/>
      <c r="X125" s="646"/>
      <c r="Y125" s="573"/>
      <c r="Z125" s="649"/>
    </row>
    <row r="126" spans="1:28" s="652" customFormat="1" x14ac:dyDescent="0.2">
      <c r="A126" s="649"/>
      <c r="B126" s="646"/>
      <c r="C126" s="646"/>
      <c r="D126" s="646"/>
      <c r="E126" s="646"/>
      <c r="F126" s="646"/>
      <c r="G126" s="650"/>
      <c r="H126" s="650"/>
      <c r="I126" s="650"/>
      <c r="J126" s="650"/>
      <c r="K126" s="650"/>
      <c r="L126" s="650"/>
      <c r="M126" s="650"/>
      <c r="N126" s="650"/>
      <c r="O126" s="650"/>
      <c r="P126" s="650"/>
      <c r="Q126" s="650"/>
      <c r="R126" s="650"/>
      <c r="S126" s="573"/>
      <c r="T126" s="573"/>
      <c r="U126" s="573"/>
      <c r="V126" s="646"/>
      <c r="W126" s="651"/>
      <c r="X126" s="646"/>
      <c r="Y126" s="573"/>
      <c r="Z126" s="649"/>
    </row>
    <row r="127" spans="1:28" s="652" customFormat="1" x14ac:dyDescent="0.2">
      <c r="A127" s="649"/>
      <c r="B127" s="660"/>
      <c r="C127" s="646"/>
      <c r="D127" s="646"/>
      <c r="G127" s="659"/>
      <c r="H127" s="659"/>
      <c r="I127" s="659"/>
      <c r="J127" s="659"/>
      <c r="K127" s="659"/>
      <c r="L127" s="659"/>
      <c r="M127" s="659"/>
      <c r="N127" s="659"/>
      <c r="O127" s="659"/>
      <c r="P127" s="659"/>
      <c r="Q127" s="659"/>
      <c r="R127" s="659"/>
      <c r="V127" s="658"/>
      <c r="W127" s="718"/>
    </row>
    <row r="128" spans="1:28" s="652" customFormat="1" x14ac:dyDescent="0.2">
      <c r="A128" s="649"/>
      <c r="B128" s="660"/>
      <c r="C128" s="646"/>
      <c r="D128" s="646"/>
      <c r="G128" s="659"/>
      <c r="H128" s="659"/>
      <c r="I128" s="659"/>
      <c r="J128" s="659"/>
      <c r="K128" s="659"/>
      <c r="L128" s="659"/>
      <c r="M128" s="659"/>
      <c r="N128" s="659"/>
      <c r="O128" s="659"/>
      <c r="P128" s="659"/>
      <c r="Q128" s="659"/>
      <c r="R128" s="659"/>
      <c r="V128" s="658"/>
      <c r="W128" s="718"/>
    </row>
    <row r="129" spans="1:26" s="652" customFormat="1" x14ac:dyDescent="0.2">
      <c r="A129" s="649"/>
      <c r="B129" s="660"/>
      <c r="C129" s="646"/>
      <c r="D129" s="646"/>
      <c r="G129" s="659"/>
      <c r="H129" s="659"/>
      <c r="I129" s="659"/>
      <c r="J129" s="659"/>
      <c r="K129" s="659"/>
      <c r="L129" s="659"/>
      <c r="M129" s="659"/>
      <c r="N129" s="659"/>
      <c r="O129" s="659"/>
      <c r="P129" s="659"/>
      <c r="Q129" s="659"/>
      <c r="R129" s="659"/>
      <c r="V129" s="658"/>
      <c r="W129" s="718"/>
    </row>
    <row r="130" spans="1:26" s="652" customFormat="1" x14ac:dyDescent="0.2">
      <c r="A130" s="649"/>
      <c r="B130" s="660"/>
      <c r="C130" s="646"/>
      <c r="D130" s="646"/>
      <c r="G130" s="659"/>
      <c r="H130" s="659"/>
      <c r="I130" s="659"/>
      <c r="J130" s="659"/>
      <c r="K130" s="659"/>
      <c r="L130" s="659"/>
      <c r="M130" s="659"/>
      <c r="N130" s="659"/>
      <c r="O130" s="659"/>
      <c r="P130" s="659"/>
      <c r="Q130" s="659"/>
      <c r="R130" s="659"/>
      <c r="V130" s="658"/>
      <c r="W130" s="718"/>
    </row>
    <row r="131" spans="1:26" s="652" customFormat="1" x14ac:dyDescent="0.2">
      <c r="A131" s="649"/>
      <c r="B131" s="660"/>
      <c r="C131" s="646"/>
      <c r="D131" s="646"/>
      <c r="G131" s="659"/>
      <c r="H131" s="659"/>
      <c r="I131" s="659"/>
      <c r="J131" s="659"/>
      <c r="K131" s="659"/>
      <c r="L131" s="659"/>
      <c r="M131" s="659"/>
      <c r="N131" s="659"/>
      <c r="O131" s="659"/>
      <c r="P131" s="659"/>
      <c r="Q131" s="659"/>
      <c r="R131" s="659"/>
      <c r="V131" s="658"/>
      <c r="W131" s="718"/>
    </row>
    <row r="132" spans="1:26" s="652" customFormat="1" x14ac:dyDescent="0.2">
      <c r="A132" s="649"/>
      <c r="B132" s="718"/>
      <c r="C132" s="717"/>
      <c r="D132" s="717"/>
      <c r="E132" s="564"/>
      <c r="F132" s="564"/>
      <c r="G132" s="653"/>
      <c r="H132" s="653"/>
      <c r="I132" s="653"/>
      <c r="J132" s="653"/>
      <c r="K132" s="653"/>
      <c r="L132" s="653"/>
      <c r="M132" s="653"/>
      <c r="N132" s="653"/>
      <c r="O132" s="653"/>
      <c r="P132" s="653"/>
      <c r="Q132" s="653"/>
      <c r="R132" s="653"/>
      <c r="S132" s="573"/>
      <c r="T132" s="720"/>
      <c r="U132" s="720"/>
      <c r="V132" s="564"/>
      <c r="W132" s="721"/>
      <c r="X132" s="649"/>
      <c r="Y132" s="573"/>
    </row>
    <row r="133" spans="1:26" s="652" customFormat="1" x14ac:dyDescent="0.2">
      <c r="A133" s="649"/>
      <c r="B133" s="718"/>
      <c r="C133" s="717"/>
      <c r="D133" s="717"/>
      <c r="E133" s="564"/>
      <c r="F133" s="564"/>
      <c r="G133" s="653"/>
      <c r="H133" s="653"/>
      <c r="I133" s="653"/>
      <c r="J133" s="653"/>
      <c r="K133" s="653"/>
      <c r="L133" s="653"/>
      <c r="M133" s="653"/>
      <c r="N133" s="653"/>
      <c r="O133" s="653"/>
      <c r="P133" s="653"/>
      <c r="Q133" s="653"/>
      <c r="R133" s="653"/>
      <c r="S133" s="573"/>
      <c r="T133" s="720"/>
      <c r="U133" s="720"/>
      <c r="V133" s="564"/>
      <c r="W133" s="721"/>
      <c r="X133" s="649"/>
      <c r="Y133" s="573"/>
    </row>
    <row r="134" spans="1:26" s="652" customFormat="1" x14ac:dyDescent="0.2">
      <c r="A134" s="649"/>
      <c r="B134" s="718"/>
      <c r="C134" s="717"/>
      <c r="D134" s="717"/>
      <c r="E134" s="564"/>
      <c r="F134" s="564"/>
      <c r="G134" s="653"/>
      <c r="H134" s="653"/>
      <c r="I134" s="653"/>
      <c r="J134" s="653"/>
      <c r="K134" s="653"/>
      <c r="L134" s="653"/>
      <c r="M134" s="653"/>
      <c r="N134" s="653"/>
      <c r="O134" s="653"/>
      <c r="P134" s="653"/>
      <c r="Q134" s="653"/>
      <c r="R134" s="653"/>
      <c r="S134" s="573"/>
      <c r="T134" s="720"/>
      <c r="U134" s="720"/>
      <c r="V134" s="564"/>
      <c r="W134" s="721"/>
      <c r="X134" s="649"/>
      <c r="Y134" s="573"/>
    </row>
    <row r="135" spans="1:26" s="652" customFormat="1" x14ac:dyDescent="0.2">
      <c r="A135" s="649"/>
      <c r="B135" s="718"/>
      <c r="C135" s="717"/>
      <c r="D135" s="717"/>
      <c r="E135"/>
      <c r="F135"/>
      <c r="G135" s="653"/>
      <c r="H135" s="653"/>
      <c r="I135" s="653"/>
      <c r="J135" s="653"/>
      <c r="K135" s="653"/>
      <c r="L135" s="653"/>
      <c r="M135" s="653"/>
      <c r="N135" s="653"/>
      <c r="O135" s="653"/>
      <c r="P135" s="653"/>
      <c r="Q135" s="653"/>
      <c r="R135" s="653"/>
      <c r="S135" s="573"/>
      <c r="T135" s="720"/>
      <c r="U135" s="720"/>
      <c r="V135" s="564"/>
      <c r="W135" s="721"/>
      <c r="X135" s="649"/>
      <c r="Y135" s="573"/>
    </row>
    <row r="136" spans="1:26" s="652" customFormat="1" x14ac:dyDescent="0.2">
      <c r="A136" s="649"/>
      <c r="B136" s="752"/>
      <c r="C136" s="646"/>
      <c r="D136" s="646"/>
      <c r="E136" s="646"/>
      <c r="F136" s="646"/>
      <c r="G136" s="659"/>
      <c r="H136" s="659"/>
      <c r="I136" s="659"/>
      <c r="J136" s="659"/>
      <c r="K136" s="659"/>
      <c r="L136" s="659"/>
      <c r="M136" s="659"/>
      <c r="N136" s="659"/>
      <c r="O136" s="659"/>
      <c r="P136" s="659"/>
      <c r="Q136" s="659"/>
      <c r="R136" s="659"/>
      <c r="S136" s="573"/>
      <c r="T136" s="573"/>
      <c r="U136" s="573"/>
      <c r="V136" s="646"/>
      <c r="W136" s="573"/>
      <c r="X136" s="649"/>
      <c r="Y136" s="573"/>
      <c r="Z136" s="649"/>
    </row>
    <row r="137" spans="1:26" s="652" customFormat="1" x14ac:dyDescent="0.2">
      <c r="A137" s="649"/>
      <c r="B137" s="658"/>
      <c r="C137" s="646"/>
      <c r="D137" s="646"/>
      <c r="G137" s="658"/>
      <c r="H137" s="658"/>
      <c r="I137" s="658"/>
      <c r="J137" s="658"/>
      <c r="K137" s="658"/>
      <c r="L137" s="658"/>
      <c r="M137" s="658"/>
      <c r="N137" s="658"/>
      <c r="O137" s="658"/>
      <c r="P137" s="658"/>
      <c r="Q137" s="658"/>
      <c r="R137" s="658"/>
      <c r="U137" s="649"/>
      <c r="V137" s="646"/>
      <c r="W137" s="649"/>
      <c r="X137" s="684"/>
      <c r="Z137" s="649"/>
    </row>
    <row r="138" spans="1:26" s="652" customFormat="1" x14ac:dyDescent="0.2">
      <c r="A138" s="649"/>
      <c r="B138" s="658"/>
      <c r="C138" s="646"/>
      <c r="D138" s="646"/>
      <c r="G138" s="658"/>
      <c r="H138" s="658"/>
      <c r="I138" s="658"/>
      <c r="J138" s="658"/>
      <c r="K138" s="658"/>
      <c r="L138" s="658"/>
      <c r="M138" s="658"/>
      <c r="N138" s="658"/>
      <c r="O138" s="658"/>
      <c r="P138" s="658"/>
      <c r="Q138" s="658"/>
      <c r="R138" s="658"/>
      <c r="U138" s="649"/>
      <c r="V138" s="646"/>
      <c r="W138" s="649"/>
      <c r="X138" s="684"/>
      <c r="Z138" s="649"/>
    </row>
    <row r="139" spans="1:26" s="652" customFormat="1" x14ac:dyDescent="0.2">
      <c r="A139" s="649"/>
      <c r="B139" s="646"/>
      <c r="C139" s="646"/>
      <c r="D139" s="646"/>
      <c r="E139" s="646"/>
      <c r="F139" s="646"/>
      <c r="G139" s="650"/>
      <c r="H139" s="650"/>
      <c r="I139" s="650"/>
      <c r="J139" s="650"/>
      <c r="K139" s="650"/>
      <c r="L139" s="650"/>
      <c r="M139" s="650"/>
      <c r="N139" s="650"/>
      <c r="O139" s="650"/>
      <c r="P139" s="650"/>
      <c r="Q139" s="650"/>
      <c r="R139" s="650"/>
      <c r="S139" s="573"/>
      <c r="T139" s="573"/>
      <c r="U139" s="651"/>
      <c r="V139" s="646"/>
      <c r="W139" s="649"/>
      <c r="X139" s="684"/>
      <c r="Y139" s="573"/>
      <c r="Z139" s="649"/>
    </row>
    <row r="140" spans="1:26" s="58" customFormat="1" x14ac:dyDescent="0.2"/>
    <row r="141" spans="1:26" s="58" customFormat="1" x14ac:dyDescent="0.2"/>
    <row r="142" spans="1:26" s="652" customFormat="1" x14ac:dyDescent="0.2">
      <c r="A142" s="649"/>
      <c r="B142" s="658"/>
      <c r="C142" s="646"/>
      <c r="D142" s="646"/>
      <c r="G142" s="658"/>
      <c r="H142" s="658"/>
      <c r="I142" s="658"/>
      <c r="J142" s="658"/>
      <c r="K142" s="658"/>
      <c r="L142" s="658"/>
      <c r="M142" s="658"/>
      <c r="N142" s="658"/>
      <c r="O142" s="658"/>
      <c r="P142" s="658"/>
      <c r="Q142" s="658"/>
      <c r="R142" s="658"/>
      <c r="U142" s="649"/>
      <c r="V142" s="658"/>
      <c r="W142" s="649"/>
      <c r="X142" s="684"/>
      <c r="Z142" s="649"/>
    </row>
    <row r="143" spans="1:26" s="652" customFormat="1" x14ac:dyDescent="0.2">
      <c r="A143" s="649"/>
      <c r="B143" s="646"/>
      <c r="C143" s="646"/>
      <c r="D143" s="646"/>
      <c r="E143" s="646"/>
      <c r="F143" s="646"/>
      <c r="G143" s="650"/>
      <c r="H143" s="650"/>
      <c r="I143" s="650"/>
      <c r="J143" s="650"/>
      <c r="K143" s="650"/>
      <c r="L143" s="650"/>
      <c r="M143" s="650"/>
      <c r="N143" s="650"/>
      <c r="O143" s="650"/>
      <c r="P143" s="650"/>
      <c r="Q143" s="650"/>
      <c r="R143" s="650"/>
      <c r="S143" s="573"/>
      <c r="T143" s="573"/>
      <c r="U143" s="651"/>
      <c r="V143" s="646"/>
      <c r="W143" s="651"/>
      <c r="X143" s="684"/>
      <c r="Y143" s="573"/>
      <c r="Z143" s="649"/>
    </row>
    <row r="144" spans="1:26" s="58" customFormat="1" x14ac:dyDescent="0.2"/>
    <row r="145" spans="1:28" s="58" customFormat="1" x14ac:dyDescent="0.2"/>
    <row r="152" spans="1:28" x14ac:dyDescent="0.2">
      <c r="A152" s="483"/>
    </row>
    <row r="154" spans="1:28" x14ac:dyDescent="0.2">
      <c r="A154" s="578"/>
      <c r="B154" s="621"/>
      <c r="C154" s="597"/>
      <c r="D154" s="597"/>
      <c r="E154" s="96"/>
      <c r="F154" s="96"/>
      <c r="G154" s="576"/>
      <c r="H154" s="576"/>
      <c r="I154" s="576"/>
      <c r="J154" s="576"/>
      <c r="K154" s="576"/>
      <c r="L154" s="576"/>
      <c r="M154" s="576"/>
      <c r="N154" s="576"/>
      <c r="O154" s="576"/>
      <c r="P154" s="576"/>
      <c r="Q154" s="576"/>
      <c r="R154" s="576"/>
      <c r="S154" s="485"/>
      <c r="T154" s="577"/>
      <c r="U154" s="579"/>
      <c r="V154" s="96"/>
      <c r="W154" s="579"/>
      <c r="X154" s="575"/>
      <c r="Y154" s="485"/>
      <c r="Z154" s="575"/>
      <c r="AA154" s="575"/>
      <c r="AB154" s="575"/>
    </row>
    <row r="155" spans="1:28" x14ac:dyDescent="0.2">
      <c r="A155" s="578"/>
      <c r="B155" s="621"/>
      <c r="C155" s="597"/>
      <c r="D155" s="597"/>
      <c r="E155" s="96"/>
      <c r="F155" s="96"/>
      <c r="G155" s="576"/>
      <c r="H155" s="576"/>
      <c r="I155" s="576"/>
      <c r="J155" s="576"/>
      <c r="K155" s="576"/>
      <c r="L155" s="576"/>
      <c r="M155" s="576"/>
      <c r="N155" s="576"/>
      <c r="O155" s="576"/>
      <c r="P155" s="576"/>
      <c r="Q155" s="576"/>
      <c r="R155" s="576"/>
      <c r="S155" s="485"/>
      <c r="T155" s="577"/>
      <c r="U155" s="579"/>
      <c r="V155" s="96"/>
      <c r="W155" s="579"/>
      <c r="X155" s="575"/>
      <c r="Y155" s="485"/>
      <c r="Z155" s="575"/>
      <c r="AA155" s="575"/>
      <c r="AB155" s="575"/>
    </row>
    <row r="156" spans="1:28" x14ac:dyDescent="0.2">
      <c r="A156" s="578"/>
      <c r="B156" s="621"/>
      <c r="C156" s="597"/>
      <c r="D156" s="597"/>
      <c r="E156" s="96"/>
      <c r="F156" s="96"/>
      <c r="G156" s="576"/>
      <c r="H156" s="576"/>
      <c r="I156" s="576"/>
      <c r="J156" s="576"/>
      <c r="K156" s="576"/>
      <c r="L156" s="576"/>
      <c r="M156" s="576"/>
      <c r="N156" s="576"/>
      <c r="O156" s="576"/>
      <c r="P156" s="576"/>
      <c r="Q156" s="576"/>
      <c r="R156" s="576"/>
      <c r="S156" s="485"/>
      <c r="T156" s="577"/>
      <c r="U156" s="579"/>
      <c r="V156" s="96"/>
      <c r="W156" s="579"/>
      <c r="X156" s="575"/>
      <c r="Y156" s="485"/>
      <c r="Z156" s="575"/>
      <c r="AA156" s="575"/>
      <c r="AB156" s="575"/>
    </row>
    <row r="157" spans="1:28" x14ac:dyDescent="0.2">
      <c r="A157" s="607"/>
      <c r="B157" s="612"/>
      <c r="C157" s="612"/>
      <c r="D157" s="612"/>
      <c r="E157" s="609"/>
      <c r="F157" s="609"/>
      <c r="G157" s="772"/>
      <c r="H157" s="772"/>
      <c r="I157" s="772"/>
      <c r="J157" s="772"/>
      <c r="K157" s="772"/>
      <c r="L157" s="772"/>
      <c r="M157" s="772"/>
      <c r="N157" s="772"/>
      <c r="O157" s="772"/>
      <c r="P157" s="772"/>
      <c r="Q157" s="772"/>
      <c r="R157" s="772"/>
      <c r="S157" s="610"/>
      <c r="T157" s="626"/>
      <c r="U157" s="627"/>
      <c r="V157" s="609"/>
      <c r="W157" s="627"/>
      <c r="X157" s="611"/>
      <c r="Y157" s="610"/>
      <c r="Z157" s="611"/>
      <c r="AA157" s="611"/>
      <c r="AB157" s="611"/>
    </row>
    <row r="158" spans="1:28" x14ac:dyDescent="0.2">
      <c r="A158" s="578"/>
      <c r="B158" s="621"/>
      <c r="C158" s="597"/>
      <c r="D158" s="597"/>
      <c r="E158" s="96"/>
      <c r="F158" s="96"/>
      <c r="G158" s="576"/>
      <c r="H158" s="576"/>
      <c r="I158" s="576"/>
      <c r="J158" s="576"/>
      <c r="K158" s="576"/>
      <c r="L158" s="576"/>
      <c r="M158" s="576"/>
      <c r="N158" s="576"/>
      <c r="O158" s="576"/>
      <c r="P158" s="576"/>
      <c r="Q158" s="576"/>
      <c r="R158" s="576"/>
      <c r="S158" s="485"/>
      <c r="T158" s="577"/>
      <c r="U158" s="579"/>
      <c r="V158" s="96"/>
      <c r="W158" s="579"/>
      <c r="X158" s="575"/>
      <c r="Y158" s="485"/>
      <c r="Z158" s="575"/>
      <c r="AA158" s="575"/>
      <c r="AB158" s="575"/>
    </row>
    <row r="159" spans="1:28" x14ac:dyDescent="0.2">
      <c r="A159" s="607"/>
      <c r="B159" s="773"/>
      <c r="C159" s="612"/>
      <c r="D159" s="612"/>
      <c r="E159" s="609"/>
      <c r="F159" s="609"/>
      <c r="G159" s="772"/>
      <c r="H159" s="772"/>
      <c r="I159" s="772"/>
      <c r="J159" s="772"/>
      <c r="K159" s="772"/>
      <c r="L159" s="772"/>
      <c r="M159" s="772"/>
      <c r="N159" s="772"/>
      <c r="O159" s="772"/>
      <c r="P159" s="772"/>
      <c r="Q159" s="772"/>
      <c r="R159" s="772"/>
      <c r="S159" s="610"/>
      <c r="T159" s="626"/>
      <c r="U159" s="627"/>
      <c r="V159" s="609"/>
      <c r="W159" s="627"/>
      <c r="X159" s="611"/>
      <c r="Y159" s="610"/>
      <c r="Z159" s="611"/>
      <c r="AA159" s="611"/>
      <c r="AB159" s="611"/>
    </row>
    <row r="160" spans="1:28" x14ac:dyDescent="0.2">
      <c r="A160" s="607"/>
      <c r="B160" s="773"/>
      <c r="C160" s="612"/>
      <c r="D160" s="612"/>
      <c r="E160" s="612"/>
      <c r="F160" s="612"/>
      <c r="G160" s="774"/>
      <c r="H160" s="774"/>
      <c r="I160" s="774"/>
      <c r="J160" s="774"/>
      <c r="K160" s="774"/>
      <c r="L160" s="774"/>
      <c r="M160" s="774"/>
      <c r="N160" s="774"/>
      <c r="O160" s="774"/>
      <c r="P160" s="774"/>
      <c r="Q160" s="774"/>
      <c r="R160" s="774"/>
      <c r="S160" s="610"/>
      <c r="T160" s="610"/>
      <c r="U160" s="689"/>
      <c r="V160" s="612"/>
      <c r="W160" s="689"/>
      <c r="X160" s="611"/>
      <c r="Y160" s="610"/>
      <c r="Z160" s="611"/>
      <c r="AA160" s="611"/>
      <c r="AB160" s="611"/>
    </row>
    <row r="161" spans="1:28" x14ac:dyDescent="0.2">
      <c r="A161" s="578"/>
      <c r="B161" s="621"/>
      <c r="C161" s="597"/>
      <c r="D161" s="597"/>
      <c r="E161" s="96"/>
      <c r="F161" s="96"/>
      <c r="G161" s="576"/>
      <c r="H161" s="576"/>
      <c r="I161" s="576"/>
      <c r="J161" s="576"/>
      <c r="K161" s="576"/>
      <c r="L161" s="576"/>
      <c r="M161" s="576"/>
      <c r="N161" s="576"/>
      <c r="O161" s="576"/>
      <c r="P161" s="576"/>
      <c r="Q161" s="576"/>
      <c r="R161" s="576"/>
      <c r="S161" s="485"/>
      <c r="T161" s="577"/>
      <c r="U161" s="579"/>
      <c r="V161" s="96"/>
      <c r="W161" s="579"/>
      <c r="X161" s="575"/>
      <c r="Y161" s="485"/>
      <c r="Z161" s="575"/>
      <c r="AA161" s="575"/>
      <c r="AB161" s="575"/>
    </row>
    <row r="162" spans="1:28" x14ac:dyDescent="0.2">
      <c r="A162" s="578"/>
      <c r="B162" s="621"/>
      <c r="C162" s="597"/>
      <c r="D162" s="597"/>
      <c r="E162" s="96"/>
      <c r="F162" s="96"/>
      <c r="G162" s="576"/>
      <c r="H162" s="576"/>
      <c r="I162" s="576"/>
      <c r="J162" s="576"/>
      <c r="K162" s="576"/>
      <c r="L162" s="576"/>
      <c r="M162" s="576"/>
      <c r="N162" s="576"/>
      <c r="O162" s="576"/>
      <c r="P162" s="576"/>
      <c r="Q162" s="576"/>
      <c r="R162" s="576"/>
      <c r="S162" s="485"/>
      <c r="T162" s="577"/>
      <c r="U162" s="579"/>
      <c r="V162" s="96"/>
      <c r="W162" s="579"/>
      <c r="X162" s="575"/>
      <c r="Y162" s="485"/>
      <c r="Z162" s="575"/>
      <c r="AA162" s="575"/>
      <c r="AB162" s="575"/>
    </row>
    <row r="164" spans="1:28" x14ac:dyDescent="0.2">
      <c r="A164" s="578"/>
      <c r="B164" s="621"/>
      <c r="C164" s="597"/>
      <c r="D164" s="597"/>
      <c r="E164" s="96"/>
      <c r="F164" s="96"/>
      <c r="G164" s="576"/>
      <c r="H164" s="576"/>
      <c r="I164" s="576"/>
      <c r="J164" s="576"/>
      <c r="K164" s="576"/>
      <c r="L164" s="576"/>
      <c r="M164" s="576"/>
      <c r="N164" s="576"/>
      <c r="O164" s="576"/>
      <c r="P164" s="576"/>
      <c r="Q164" s="576"/>
      <c r="R164" s="576"/>
      <c r="S164" s="485"/>
      <c r="T164" s="577"/>
      <c r="U164" s="579"/>
      <c r="V164" s="96"/>
      <c r="W164" s="579"/>
      <c r="X164" s="575"/>
      <c r="Y164" s="485"/>
      <c r="Z164" s="575"/>
      <c r="AA164" s="575"/>
      <c r="AB164" s="575"/>
    </row>
    <row r="165" spans="1:28" x14ac:dyDescent="0.2">
      <c r="A165" s="578"/>
      <c r="B165" s="621"/>
      <c r="C165" s="597"/>
      <c r="D165" s="597"/>
      <c r="E165" s="96"/>
      <c r="F165" s="96"/>
      <c r="G165" s="576"/>
      <c r="H165" s="576"/>
      <c r="I165" s="576"/>
      <c r="J165" s="576"/>
      <c r="K165" s="576"/>
      <c r="L165" s="576"/>
      <c r="M165" s="576"/>
      <c r="N165" s="576"/>
      <c r="O165" s="576"/>
      <c r="P165" s="576"/>
      <c r="Q165" s="576"/>
      <c r="R165" s="576"/>
      <c r="S165" s="485"/>
      <c r="T165" s="577"/>
      <c r="U165" s="579"/>
      <c r="V165" s="96"/>
      <c r="W165" s="579"/>
      <c r="X165" s="575"/>
      <c r="Y165" s="485"/>
      <c r="Z165" s="575"/>
      <c r="AA165" s="575"/>
      <c r="AB165" s="575"/>
    </row>
    <row r="166" spans="1:28" x14ac:dyDescent="0.2">
      <c r="A166" s="578"/>
      <c r="B166" s="621"/>
      <c r="C166" s="597"/>
      <c r="D166" s="597"/>
      <c r="E166" s="96"/>
      <c r="F166" s="96"/>
      <c r="G166" s="576"/>
      <c r="H166" s="576"/>
      <c r="I166" s="576"/>
      <c r="J166" s="576"/>
      <c r="K166" s="576"/>
      <c r="L166" s="576"/>
      <c r="M166" s="576"/>
      <c r="N166" s="576"/>
      <c r="O166" s="576"/>
      <c r="P166" s="576"/>
      <c r="Q166" s="576"/>
      <c r="R166" s="576"/>
      <c r="S166" s="485"/>
      <c r="T166" s="577"/>
      <c r="U166" s="579"/>
      <c r="V166" s="96"/>
      <c r="W166" s="579"/>
      <c r="X166" s="575"/>
      <c r="Y166" s="485"/>
      <c r="Z166" s="575"/>
      <c r="AA166" s="575"/>
      <c r="AB166" s="575"/>
    </row>
    <row r="167" spans="1:28" x14ac:dyDescent="0.2">
      <c r="A167" s="578"/>
      <c r="B167" s="621"/>
      <c r="C167" s="597"/>
      <c r="D167" s="597"/>
      <c r="E167" s="96"/>
      <c r="F167" s="96"/>
      <c r="G167" s="576"/>
      <c r="H167" s="576"/>
      <c r="I167" s="576"/>
      <c r="J167" s="576"/>
      <c r="K167" s="576"/>
      <c r="L167" s="576"/>
      <c r="M167" s="576"/>
      <c r="N167" s="576"/>
      <c r="O167" s="576"/>
      <c r="P167" s="576"/>
      <c r="Q167" s="576"/>
      <c r="R167" s="576"/>
      <c r="S167" s="485"/>
      <c r="T167" s="577"/>
      <c r="U167" s="579"/>
      <c r="V167" s="96"/>
      <c r="W167" s="579"/>
      <c r="X167" s="575"/>
      <c r="Y167" s="485"/>
      <c r="Z167" s="575"/>
      <c r="AA167" s="575"/>
      <c r="AB167" s="575"/>
    </row>
    <row r="168" spans="1:28" s="58" customFormat="1" x14ac:dyDescent="0.2">
      <c r="A168" s="649"/>
      <c r="B168" s="752"/>
      <c r="C168" s="646"/>
      <c r="D168" s="646"/>
      <c r="E168" s="646"/>
      <c r="F168" s="646"/>
      <c r="G168" s="659"/>
      <c r="H168" s="659"/>
      <c r="I168" s="659"/>
      <c r="J168" s="659"/>
      <c r="K168" s="659"/>
      <c r="L168" s="659"/>
      <c r="M168" s="659"/>
      <c r="N168" s="659"/>
      <c r="O168" s="659"/>
      <c r="P168" s="659"/>
      <c r="Q168" s="659"/>
      <c r="R168" s="659"/>
      <c r="S168" s="573"/>
      <c r="T168" s="573"/>
      <c r="U168" s="573"/>
      <c r="V168" s="646"/>
      <c r="W168" s="573"/>
      <c r="X168" s="649"/>
      <c r="Y168" s="573"/>
      <c r="Z168" s="652"/>
      <c r="AA168" s="652"/>
      <c r="AB168" s="652"/>
    </row>
    <row r="169" spans="1:28" s="58" customFormat="1" x14ac:dyDescent="0.2">
      <c r="A169" s="649"/>
      <c r="B169" s="752"/>
      <c r="C169" s="717"/>
      <c r="D169" s="717"/>
      <c r="E169" s="564"/>
      <c r="F169" s="564"/>
      <c r="G169" s="650"/>
      <c r="H169" s="650"/>
      <c r="I169" s="650"/>
      <c r="J169" s="650"/>
      <c r="K169" s="650"/>
      <c r="L169" s="650"/>
      <c r="M169" s="650"/>
      <c r="N169" s="650"/>
      <c r="O169" s="650"/>
      <c r="P169" s="650"/>
      <c r="Q169" s="650"/>
      <c r="R169" s="650"/>
      <c r="S169" s="573"/>
      <c r="T169" s="720"/>
      <c r="U169" s="720"/>
      <c r="V169" s="564"/>
      <c r="W169" s="651"/>
      <c r="X169" s="649"/>
      <c r="Y169" s="573"/>
      <c r="Z169" s="652"/>
      <c r="AA169" s="652"/>
      <c r="AB169" s="652"/>
    </row>
    <row r="170" spans="1:28" s="58" customFormat="1" x14ac:dyDescent="0.2">
      <c r="A170" s="649"/>
      <c r="B170" s="752"/>
      <c r="C170" s="717"/>
      <c r="D170" s="717"/>
      <c r="E170" s="564"/>
      <c r="F170" s="564"/>
      <c r="G170" s="650"/>
      <c r="H170" s="650"/>
      <c r="I170" s="650"/>
      <c r="J170" s="650"/>
      <c r="K170" s="650"/>
      <c r="L170" s="650"/>
      <c r="M170" s="650"/>
      <c r="N170" s="650"/>
      <c r="O170" s="650"/>
      <c r="P170" s="650"/>
      <c r="Q170" s="650"/>
      <c r="R170" s="650"/>
      <c r="S170" s="573"/>
      <c r="T170" s="720"/>
      <c r="U170" s="720"/>
      <c r="V170" s="564"/>
      <c r="W170" s="651"/>
      <c r="X170" s="649"/>
      <c r="Y170" s="573"/>
      <c r="Z170" s="652"/>
      <c r="AA170" s="652"/>
      <c r="AB170" s="652"/>
    </row>
    <row r="171" spans="1:28" s="58" customFormat="1" x14ac:dyDescent="0.2">
      <c r="A171" s="649"/>
      <c r="B171" s="752"/>
      <c r="C171" s="717"/>
      <c r="D171" s="717"/>
      <c r="E171" s="564"/>
      <c r="F171" s="564"/>
      <c r="G171" s="650"/>
      <c r="H171" s="650"/>
      <c r="I171" s="650"/>
      <c r="J171" s="650"/>
      <c r="K171" s="650"/>
      <c r="L171" s="650"/>
      <c r="M171" s="650"/>
      <c r="N171" s="650"/>
      <c r="O171" s="650"/>
      <c r="P171" s="650"/>
      <c r="Q171" s="650"/>
      <c r="R171" s="650"/>
      <c r="S171" s="573"/>
      <c r="T171" s="720"/>
      <c r="U171" s="720"/>
      <c r="V171" s="564"/>
      <c r="W171" s="651"/>
      <c r="X171" s="649"/>
      <c r="Y171" s="573"/>
      <c r="Z171" s="652"/>
      <c r="AA171" s="652"/>
      <c r="AB171" s="652"/>
    </row>
    <row r="172" spans="1:28" s="58" customFormat="1" x14ac:dyDescent="0.2">
      <c r="A172" s="649"/>
      <c r="B172" s="646"/>
      <c r="C172" s="646"/>
      <c r="D172" s="646"/>
      <c r="E172" s="646"/>
      <c r="F172" s="646"/>
      <c r="G172" s="650"/>
      <c r="H172" s="650"/>
      <c r="I172" s="650"/>
      <c r="J172" s="650"/>
      <c r="K172" s="650"/>
      <c r="L172" s="650"/>
      <c r="M172" s="650"/>
      <c r="N172" s="650"/>
      <c r="O172" s="650"/>
      <c r="P172" s="650"/>
      <c r="Q172" s="650"/>
      <c r="R172" s="650"/>
      <c r="S172" s="573"/>
      <c r="T172" s="573"/>
      <c r="U172" s="651"/>
      <c r="V172" s="646"/>
      <c r="W172" s="651"/>
      <c r="X172" s="658"/>
      <c r="Y172" s="573"/>
      <c r="Z172" s="649"/>
      <c r="AA172" s="652"/>
      <c r="AB172" s="652"/>
    </row>
    <row r="173" spans="1:28" s="58" customFormat="1" x14ac:dyDescent="0.2">
      <c r="A173" s="649"/>
      <c r="B173" s="646"/>
      <c r="C173" s="646"/>
      <c r="D173" s="646"/>
      <c r="E173" s="646"/>
      <c r="F173" s="646"/>
      <c r="G173" s="650"/>
      <c r="H173" s="650"/>
      <c r="I173" s="650"/>
      <c r="J173" s="650"/>
      <c r="K173" s="650"/>
      <c r="L173" s="650"/>
      <c r="M173" s="650"/>
      <c r="N173" s="650"/>
      <c r="O173" s="650"/>
      <c r="P173" s="650"/>
      <c r="Q173" s="650"/>
      <c r="R173" s="650"/>
      <c r="S173" s="573"/>
      <c r="T173" s="573"/>
      <c r="U173" s="651"/>
      <c r="V173" s="646"/>
      <c r="W173" s="651"/>
      <c r="X173" s="658"/>
      <c r="Y173" s="573"/>
      <c r="Z173" s="649"/>
      <c r="AA173" s="652"/>
      <c r="AB173" s="652"/>
    </row>
    <row r="174" spans="1:28" s="58" customFormat="1" x14ac:dyDescent="0.2">
      <c r="A174" s="649"/>
      <c r="B174" s="646"/>
      <c r="C174" s="646"/>
      <c r="D174" s="646"/>
      <c r="E174" s="646"/>
      <c r="F174" s="646"/>
      <c r="G174" s="650"/>
      <c r="H174" s="650"/>
      <c r="I174" s="650"/>
      <c r="J174" s="650"/>
      <c r="K174" s="650"/>
      <c r="L174" s="650"/>
      <c r="M174" s="650"/>
      <c r="N174" s="650"/>
      <c r="O174" s="650"/>
      <c r="P174" s="650"/>
      <c r="Q174" s="650"/>
      <c r="R174" s="650"/>
      <c r="S174" s="573"/>
      <c r="T174" s="573"/>
      <c r="U174" s="651"/>
      <c r="V174" s="646"/>
      <c r="W174" s="651"/>
      <c r="X174" s="658"/>
      <c r="Y174" s="573"/>
      <c r="Z174" s="649"/>
      <c r="AA174" s="652"/>
      <c r="AB174" s="652"/>
    </row>
    <row r="175" spans="1:28" s="58" customFormat="1" x14ac:dyDescent="0.2">
      <c r="A175" s="649"/>
      <c r="B175" s="752"/>
      <c r="C175" s="717"/>
      <c r="D175" s="717"/>
      <c r="E175" s="564"/>
      <c r="F175" s="564"/>
      <c r="G175" s="650"/>
      <c r="H175" s="650"/>
      <c r="I175" s="650"/>
      <c r="J175" s="650"/>
      <c r="K175" s="650"/>
      <c r="L175" s="650"/>
      <c r="M175" s="650"/>
      <c r="N175" s="650"/>
      <c r="O175" s="650"/>
      <c r="P175" s="650"/>
      <c r="Q175" s="650"/>
      <c r="R175" s="650"/>
      <c r="S175" s="573"/>
      <c r="T175" s="720"/>
      <c r="U175" s="720"/>
      <c r="V175" s="564"/>
      <c r="W175" s="651"/>
      <c r="X175" s="649"/>
      <c r="Y175" s="573"/>
      <c r="Z175" s="652"/>
      <c r="AA175" s="652"/>
      <c r="AB175" s="652"/>
    </row>
    <row r="176" spans="1:28" s="58" customFormat="1" x14ac:dyDescent="0.2">
      <c r="A176" s="649"/>
      <c r="B176" s="658"/>
      <c r="C176" s="646"/>
      <c r="D176" s="646"/>
      <c r="E176" s="652"/>
      <c r="F176" s="652"/>
      <c r="G176" s="659"/>
      <c r="H176" s="659"/>
      <c r="I176" s="659"/>
      <c r="J176" s="659"/>
      <c r="K176" s="659"/>
      <c r="L176" s="659"/>
      <c r="M176" s="659"/>
      <c r="N176" s="659"/>
      <c r="O176" s="659"/>
      <c r="P176" s="659"/>
      <c r="Q176" s="659"/>
      <c r="R176" s="659"/>
      <c r="S176" s="652"/>
      <c r="T176" s="652"/>
      <c r="U176" s="652"/>
      <c r="V176" s="658"/>
      <c r="W176" s="649"/>
      <c r="X176" s="652"/>
      <c r="Y176" s="652"/>
      <c r="Z176" s="652"/>
      <c r="AA176" s="652"/>
      <c r="AB176" s="652"/>
    </row>
    <row r="177" spans="1:28" s="58" customFormat="1" x14ac:dyDescent="0.2">
      <c r="A177" s="649"/>
      <c r="B177" s="646"/>
      <c r="C177" s="646"/>
      <c r="D177" s="646"/>
      <c r="E177" s="646"/>
      <c r="F177" s="646"/>
      <c r="G177" s="650"/>
      <c r="H177" s="650"/>
      <c r="I177" s="650"/>
      <c r="J177" s="650"/>
      <c r="K177" s="650"/>
      <c r="L177" s="650"/>
      <c r="M177" s="650"/>
      <c r="N177" s="650"/>
      <c r="O177" s="650"/>
      <c r="P177" s="650"/>
      <c r="Q177" s="650"/>
      <c r="R177" s="650"/>
      <c r="S177" s="573"/>
      <c r="T177" s="573"/>
      <c r="U177" s="651"/>
      <c r="V177" s="646"/>
      <c r="W177" s="651"/>
      <c r="X177" s="658"/>
      <c r="Y177" s="573"/>
      <c r="Z177" s="649"/>
      <c r="AA177" s="652"/>
      <c r="AB177" s="652"/>
    </row>
    <row r="178" spans="1:28" s="58" customFormat="1" x14ac:dyDescent="0.2">
      <c r="A178" s="649"/>
      <c r="B178" s="646"/>
      <c r="C178" s="646"/>
      <c r="D178" s="646"/>
      <c r="E178" s="646"/>
      <c r="F178" s="646"/>
      <c r="G178" s="650"/>
      <c r="H178" s="650"/>
      <c r="I178" s="650"/>
      <c r="J178" s="650"/>
      <c r="K178" s="650"/>
      <c r="L178" s="650"/>
      <c r="M178" s="650"/>
      <c r="N178" s="650"/>
      <c r="O178" s="650"/>
      <c r="P178" s="650"/>
      <c r="Q178" s="650"/>
      <c r="R178" s="650"/>
      <c r="S178" s="573"/>
      <c r="T178" s="573"/>
      <c r="U178" s="573"/>
      <c r="V178" s="646"/>
      <c r="W178" s="649"/>
      <c r="X178" s="646"/>
      <c r="Y178" s="652"/>
      <c r="Z178" s="652"/>
      <c r="AA178" s="651"/>
      <c r="AB178" s="573"/>
    </row>
    <row r="179" spans="1:28" s="58" customFormat="1" x14ac:dyDescent="0.2">
      <c r="A179" s="649"/>
      <c r="B179" s="646"/>
      <c r="C179" s="646"/>
      <c r="D179" s="646"/>
      <c r="E179" s="646"/>
      <c r="F179" s="646"/>
      <c r="G179" s="650"/>
      <c r="H179" s="650"/>
      <c r="I179" s="650"/>
      <c r="J179" s="650"/>
      <c r="K179" s="650"/>
      <c r="L179" s="650"/>
      <c r="M179" s="650"/>
      <c r="N179" s="650"/>
      <c r="O179" s="650"/>
      <c r="P179" s="650"/>
      <c r="Q179" s="650"/>
      <c r="R179" s="650"/>
      <c r="S179" s="573"/>
      <c r="T179" s="573"/>
      <c r="U179" s="573"/>
      <c r="V179" s="646"/>
      <c r="W179" s="649"/>
      <c r="X179" s="646"/>
      <c r="Y179" s="652"/>
      <c r="Z179" s="652"/>
      <c r="AA179" s="651"/>
      <c r="AB179" s="573"/>
    </row>
    <row r="180" spans="1:28" s="58" customFormat="1" x14ac:dyDescent="0.2"/>
    <row r="181" spans="1:28" s="58" customFormat="1" x14ac:dyDescent="0.2"/>
    <row r="182" spans="1:28" s="58" customFormat="1" x14ac:dyDescent="0.2">
      <c r="A182" s="649"/>
      <c r="B182" s="646"/>
      <c r="C182" s="646"/>
      <c r="D182" s="646"/>
      <c r="E182" s="646"/>
      <c r="F182" s="646"/>
      <c r="G182" s="650"/>
      <c r="H182" s="650"/>
      <c r="I182" s="650"/>
      <c r="J182" s="650"/>
      <c r="K182" s="650"/>
      <c r="L182" s="650"/>
      <c r="M182" s="650"/>
      <c r="N182" s="650"/>
      <c r="O182" s="650"/>
      <c r="P182" s="650"/>
      <c r="Q182" s="650"/>
      <c r="R182" s="650"/>
      <c r="S182" s="573"/>
      <c r="T182" s="573"/>
      <c r="U182" s="651"/>
      <c r="V182" s="646"/>
      <c r="W182" s="649"/>
      <c r="X182" s="684"/>
      <c r="Y182" s="573"/>
      <c r="Z182" s="649"/>
      <c r="AA182" s="652"/>
      <c r="AB182" s="652"/>
    </row>
    <row r="183" spans="1:28" s="58" customFormat="1" x14ac:dyDescent="0.2">
      <c r="A183" s="649"/>
      <c r="B183" s="646"/>
      <c r="C183" s="646"/>
      <c r="D183" s="646"/>
      <c r="E183" s="646"/>
      <c r="F183" s="646"/>
      <c r="G183" s="650"/>
      <c r="H183" s="650"/>
      <c r="I183" s="650"/>
      <c r="J183" s="650"/>
      <c r="K183" s="650"/>
      <c r="L183" s="650"/>
      <c r="M183" s="650"/>
      <c r="N183" s="650"/>
      <c r="O183" s="650"/>
      <c r="P183" s="650"/>
      <c r="Q183" s="650"/>
      <c r="R183" s="650"/>
      <c r="S183" s="573"/>
      <c r="T183" s="573"/>
      <c r="U183" s="652"/>
      <c r="V183" s="646"/>
      <c r="W183" s="651"/>
      <c r="X183" s="646"/>
      <c r="Y183" s="573"/>
      <c r="Z183" s="652"/>
      <c r="AA183" s="652"/>
      <c r="AB183" s="652"/>
    </row>
    <row r="184" spans="1:28" s="58" customFormat="1" x14ac:dyDescent="0.2">
      <c r="G184" s="694"/>
      <c r="H184" s="694"/>
      <c r="I184" s="694"/>
      <c r="J184" s="694"/>
      <c r="K184" s="694"/>
      <c r="L184" s="694"/>
      <c r="M184" s="694"/>
      <c r="N184" s="694"/>
      <c r="O184" s="694"/>
      <c r="P184" s="694"/>
      <c r="Q184" s="694"/>
      <c r="R184" s="694"/>
    </row>
    <row r="185" spans="1:28" s="58" customFormat="1" x14ac:dyDescent="0.2">
      <c r="A185" s="649"/>
      <c r="B185" s="646"/>
      <c r="C185" s="646"/>
      <c r="D185" s="646"/>
      <c r="E185" s="646"/>
      <c r="F185" s="646"/>
      <c r="G185" s="658"/>
      <c r="H185" s="658"/>
      <c r="I185" s="658"/>
      <c r="J185" s="658"/>
      <c r="K185" s="658"/>
      <c r="L185" s="658"/>
      <c r="M185" s="658"/>
      <c r="N185" s="658"/>
      <c r="O185" s="658"/>
      <c r="P185" s="658"/>
      <c r="Q185" s="658"/>
      <c r="R185" s="658"/>
      <c r="S185" s="573"/>
      <c r="T185" s="573"/>
      <c r="U185" s="651"/>
      <c r="V185" s="646"/>
      <c r="W185" s="651"/>
      <c r="X185" s="684"/>
      <c r="Y185" s="573"/>
      <c r="Z185" s="649"/>
      <c r="AA185" s="652"/>
      <c r="AB185" s="652"/>
    </row>
    <row r="190" spans="1:28" ht="20.25" x14ac:dyDescent="0.3">
      <c r="C190" s="807"/>
      <c r="D190" s="807"/>
      <c r="E190" s="807"/>
      <c r="F190" s="807"/>
      <c r="G190" s="807"/>
      <c r="H190" s="807"/>
      <c r="I190" s="807"/>
      <c r="J190" s="807"/>
      <c r="K190" s="807"/>
      <c r="L190" s="807"/>
      <c r="M190" s="807"/>
      <c r="N190" s="807"/>
      <c r="O190" s="807"/>
      <c r="P190" s="807"/>
      <c r="Q190" s="807"/>
      <c r="R190" s="807"/>
    </row>
    <row r="191" spans="1:28" ht="20.25" x14ac:dyDescent="0.3">
      <c r="C191" s="1834"/>
      <c r="D191" s="1834"/>
      <c r="E191" s="1834"/>
      <c r="F191" s="1834"/>
      <c r="G191" s="1130"/>
      <c r="H191" s="1160"/>
      <c r="I191" s="1194"/>
      <c r="J191" s="1411"/>
      <c r="K191" s="1418"/>
      <c r="L191" s="1465"/>
      <c r="M191" s="1485"/>
      <c r="N191" s="1485"/>
      <c r="O191" s="1545"/>
      <c r="P191" s="1604"/>
      <c r="Q191" s="1641"/>
      <c r="R191" s="1726"/>
    </row>
    <row r="195" spans="1:27" ht="20.25" x14ac:dyDescent="0.3">
      <c r="E195" s="1834"/>
      <c r="F195" s="1834"/>
    </row>
    <row r="197" spans="1:27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7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7" x14ac:dyDescent="0.2">
      <c r="A199" s="602"/>
      <c r="B199" s="597"/>
      <c r="C199" s="597"/>
      <c r="D199" s="597"/>
      <c r="E199" s="485"/>
      <c r="F199" s="485"/>
      <c r="G199" s="821"/>
      <c r="H199" s="821"/>
      <c r="I199" s="821"/>
      <c r="J199" s="821"/>
      <c r="K199" s="821"/>
      <c r="L199" s="821"/>
      <c r="M199" s="821"/>
      <c r="N199" s="821"/>
      <c r="O199" s="821"/>
      <c r="P199" s="821"/>
      <c r="Q199" s="821"/>
      <c r="R199" s="821"/>
      <c r="S199" s="485"/>
      <c r="T199" s="485"/>
      <c r="U199" s="602"/>
      <c r="V199" s="597"/>
      <c r="W199" s="602"/>
      <c r="X199" s="485"/>
      <c r="Y199" s="485"/>
      <c r="Z199" s="485"/>
      <c r="AA199" s="575"/>
    </row>
    <row r="200" spans="1:27" s="483" customFormat="1" x14ac:dyDescent="0.2">
      <c r="A200" s="642"/>
      <c r="B200" s="478"/>
      <c r="C200" s="597"/>
      <c r="D200" s="597"/>
      <c r="E200" s="482"/>
      <c r="F200" s="482"/>
      <c r="G200" s="821"/>
      <c r="H200" s="821"/>
      <c r="I200" s="821"/>
      <c r="J200" s="821"/>
      <c r="K200" s="821"/>
      <c r="L200" s="821"/>
      <c r="M200" s="821"/>
      <c r="N200" s="821"/>
      <c r="O200" s="821"/>
      <c r="P200" s="821"/>
      <c r="Q200" s="821"/>
      <c r="R200" s="821"/>
      <c r="S200" s="482"/>
      <c r="T200" s="482"/>
      <c r="U200" s="642"/>
      <c r="V200" s="478"/>
      <c r="W200" s="642"/>
      <c r="X200" s="642"/>
      <c r="Y200" s="482"/>
      <c r="Z200" s="482"/>
    </row>
    <row r="201" spans="1:27" x14ac:dyDescent="0.2">
      <c r="A201" s="797"/>
      <c r="B201" s="640"/>
      <c r="C201" s="597"/>
      <c r="D201" s="597"/>
      <c r="E201" s="96"/>
      <c r="F201" s="96"/>
      <c r="G201" s="576"/>
      <c r="H201" s="576"/>
      <c r="I201" s="576"/>
      <c r="J201" s="576"/>
      <c r="K201" s="576"/>
      <c r="L201" s="576"/>
      <c r="M201" s="576"/>
      <c r="N201" s="576"/>
      <c r="O201" s="576"/>
      <c r="P201" s="576"/>
      <c r="Q201" s="576"/>
      <c r="R201" s="576"/>
      <c r="S201" s="163"/>
      <c r="T201" s="577"/>
      <c r="U201" s="579"/>
      <c r="V201" s="96"/>
      <c r="W201" s="579"/>
      <c r="X201" s="797"/>
      <c r="Y201" s="163"/>
      <c r="Z201" s="163"/>
      <c r="AA201" s="58"/>
    </row>
    <row r="202" spans="1:27" x14ac:dyDescent="0.2">
      <c r="A202" s="797"/>
      <c r="B202" s="640"/>
      <c r="C202" s="597"/>
      <c r="D202" s="597"/>
      <c r="E202" s="96"/>
      <c r="F202" s="96"/>
      <c r="G202" s="601"/>
      <c r="H202" s="601"/>
      <c r="I202" s="601"/>
      <c r="J202" s="601"/>
      <c r="K202" s="601"/>
      <c r="L202" s="601"/>
      <c r="M202" s="601"/>
      <c r="N202" s="601"/>
      <c r="O202" s="601"/>
      <c r="P202" s="601"/>
      <c r="Q202" s="601"/>
      <c r="R202" s="601"/>
      <c r="S202" s="163"/>
      <c r="T202" s="577"/>
      <c r="U202" s="579"/>
      <c r="V202" s="96"/>
      <c r="W202" s="579"/>
      <c r="X202" s="797"/>
      <c r="Y202" s="163"/>
      <c r="Z202" s="163"/>
      <c r="AA202" s="58"/>
    </row>
    <row r="203" spans="1:27" x14ac:dyDescent="0.2">
      <c r="A203" s="797"/>
      <c r="B203" s="640"/>
      <c r="C203" s="597"/>
      <c r="D203" s="597"/>
      <c r="E203" s="96"/>
      <c r="F203" s="96"/>
      <c r="G203" s="576"/>
      <c r="H203" s="576"/>
      <c r="I203" s="576"/>
      <c r="J203" s="576"/>
      <c r="K203" s="576"/>
      <c r="L203" s="576"/>
      <c r="M203" s="576"/>
      <c r="N203" s="576"/>
      <c r="O203" s="576"/>
      <c r="P203" s="576"/>
      <c r="Q203" s="576"/>
      <c r="R203" s="576"/>
      <c r="S203" s="163"/>
      <c r="T203" s="577"/>
      <c r="U203" s="579"/>
      <c r="V203" s="96"/>
      <c r="W203" s="579"/>
      <c r="X203" s="797"/>
      <c r="Y203" s="163"/>
      <c r="Z203" s="163"/>
      <c r="AA203" s="58"/>
    </row>
    <row r="204" spans="1:27" x14ac:dyDescent="0.2">
      <c r="A204" s="797"/>
      <c r="B204" s="640"/>
      <c r="C204" s="597"/>
      <c r="D204" s="597"/>
      <c r="E204" s="96"/>
      <c r="F204" s="96"/>
      <c r="G204" s="576"/>
      <c r="H204" s="576"/>
      <c r="I204" s="576"/>
      <c r="J204" s="576"/>
      <c r="K204" s="576"/>
      <c r="L204" s="576"/>
      <c r="M204" s="576"/>
      <c r="N204" s="576"/>
      <c r="O204" s="576"/>
      <c r="P204" s="576"/>
      <c r="Q204" s="576"/>
      <c r="R204" s="576"/>
      <c r="S204" s="163"/>
      <c r="T204" s="577"/>
      <c r="U204" s="579"/>
      <c r="V204" s="96"/>
      <c r="W204" s="579"/>
      <c r="X204" s="797"/>
      <c r="Y204" s="163"/>
      <c r="Z204" s="163"/>
      <c r="AA204" s="58"/>
    </row>
    <row r="205" spans="1:27" x14ac:dyDescent="0.2">
      <c r="A205" s="797"/>
      <c r="B205" s="640"/>
      <c r="C205" s="597"/>
      <c r="D205" s="597"/>
      <c r="E205" s="96"/>
      <c r="F205" s="96"/>
      <c r="G205" s="576"/>
      <c r="H205" s="576"/>
      <c r="I205" s="576"/>
      <c r="J205" s="576"/>
      <c r="K205" s="576"/>
      <c r="L205" s="576"/>
      <c r="M205" s="576"/>
      <c r="N205" s="576"/>
      <c r="O205" s="576"/>
      <c r="P205" s="576"/>
      <c r="Q205" s="576"/>
      <c r="R205" s="576"/>
      <c r="S205" s="163"/>
      <c r="T205" s="577"/>
      <c r="U205" s="579"/>
      <c r="V205" s="96"/>
      <c r="W205" s="579"/>
      <c r="X205" s="797"/>
      <c r="Y205" s="163"/>
      <c r="Z205" s="163"/>
      <c r="AA205" s="58"/>
    </row>
    <row r="206" spans="1:27" x14ac:dyDescent="0.2">
      <c r="A206" s="797"/>
      <c r="B206" s="640"/>
      <c r="C206" s="597"/>
      <c r="D206" s="597"/>
      <c r="E206" s="96"/>
      <c r="F206" s="96"/>
      <c r="G206" s="576"/>
      <c r="H206" s="576"/>
      <c r="I206" s="576"/>
      <c r="J206" s="576"/>
      <c r="K206" s="576"/>
      <c r="L206" s="576"/>
      <c r="M206" s="576"/>
      <c r="N206" s="576"/>
      <c r="O206" s="576"/>
      <c r="P206" s="576"/>
      <c r="Q206" s="576"/>
      <c r="R206" s="576"/>
      <c r="S206" s="163"/>
      <c r="T206" s="577"/>
      <c r="U206" s="579"/>
      <c r="V206" s="96"/>
      <c r="W206" s="579"/>
      <c r="X206" s="797"/>
      <c r="Y206" s="163"/>
      <c r="Z206" s="163"/>
      <c r="AA206" s="58"/>
    </row>
    <row r="207" spans="1:27" x14ac:dyDescent="0.2">
      <c r="A207" s="797"/>
      <c r="B207" s="640"/>
      <c r="C207" s="597"/>
      <c r="D207" s="597"/>
      <c r="E207" s="96"/>
      <c r="F207" s="96"/>
      <c r="G207" s="576"/>
      <c r="H207" s="576"/>
      <c r="I207" s="576"/>
      <c r="J207" s="576"/>
      <c r="K207" s="576"/>
      <c r="L207" s="576"/>
      <c r="M207" s="576"/>
      <c r="N207" s="576"/>
      <c r="O207" s="576"/>
      <c r="P207" s="576"/>
      <c r="Q207" s="576"/>
      <c r="R207" s="576"/>
      <c r="S207" s="163"/>
      <c r="T207" s="577"/>
      <c r="U207" s="579"/>
      <c r="V207" s="96"/>
      <c r="W207" s="579"/>
      <c r="X207" s="797"/>
      <c r="Y207" s="163"/>
      <c r="Z207" s="163"/>
      <c r="AA207" s="58"/>
    </row>
    <row r="208" spans="1:27" x14ac:dyDescent="0.2">
      <c r="A208" s="602"/>
      <c r="B208" s="640"/>
      <c r="C208" s="597"/>
      <c r="D208" s="597"/>
      <c r="E208" s="485"/>
      <c r="F208" s="485"/>
      <c r="G208" s="798"/>
      <c r="H208" s="798"/>
      <c r="I208" s="798"/>
      <c r="J208" s="798"/>
      <c r="K208" s="798"/>
      <c r="L208" s="798"/>
      <c r="M208" s="798"/>
      <c r="N208" s="798"/>
      <c r="O208" s="798"/>
      <c r="P208" s="798"/>
      <c r="Q208" s="798"/>
      <c r="R208" s="798"/>
      <c r="S208" s="485"/>
      <c r="T208" s="485"/>
      <c r="U208" s="602"/>
      <c r="V208" s="639"/>
      <c r="W208" s="602"/>
      <c r="X208" s="602"/>
      <c r="Y208" s="485"/>
      <c r="Z208" s="485"/>
      <c r="AA208" s="575"/>
    </row>
    <row r="209" spans="1:27" x14ac:dyDescent="0.2">
      <c r="A209" s="602"/>
      <c r="B209" s="640"/>
      <c r="C209" s="597"/>
      <c r="D209" s="597"/>
      <c r="E209" s="485"/>
      <c r="F209" s="485"/>
      <c r="G209" s="798"/>
      <c r="H209" s="798"/>
      <c r="I209" s="798"/>
      <c r="J209" s="798"/>
      <c r="K209" s="798"/>
      <c r="L209" s="798"/>
      <c r="M209" s="798"/>
      <c r="N209" s="798"/>
      <c r="O209" s="798"/>
      <c r="P209" s="798"/>
      <c r="Q209" s="798"/>
      <c r="R209" s="798"/>
      <c r="S209" s="485"/>
      <c r="T209" s="485"/>
      <c r="U209" s="602"/>
      <c r="V209" s="639"/>
      <c r="W209" s="602"/>
      <c r="X209" s="602"/>
      <c r="Y209" s="485"/>
      <c r="Z209" s="485"/>
      <c r="AA209" s="575"/>
    </row>
    <row r="210" spans="1:27" x14ac:dyDescent="0.2">
      <c r="A210" s="602"/>
      <c r="B210" s="640"/>
      <c r="C210" s="597"/>
      <c r="D210" s="597"/>
      <c r="E210" s="485"/>
      <c r="F210" s="485"/>
      <c r="G210" s="798"/>
      <c r="H210" s="798"/>
      <c r="I210" s="798"/>
      <c r="J210" s="798"/>
      <c r="K210" s="798"/>
      <c r="L210" s="798"/>
      <c r="M210" s="798"/>
      <c r="N210" s="798"/>
      <c r="O210" s="798"/>
      <c r="P210" s="798"/>
      <c r="Q210" s="798"/>
      <c r="R210" s="798"/>
      <c r="S210" s="485"/>
      <c r="T210" s="485"/>
      <c r="U210" s="602"/>
      <c r="V210" s="639"/>
      <c r="W210" s="602"/>
      <c r="X210" s="602"/>
      <c r="Y210" s="485"/>
      <c r="Z210" s="485"/>
      <c r="AA210" s="575"/>
    </row>
    <row r="211" spans="1:27" ht="20.100000000000001" customHeight="1" x14ac:dyDescent="0.3">
      <c r="A211" s="602"/>
      <c r="B211" s="640"/>
      <c r="C211" s="597"/>
      <c r="D211" s="597"/>
      <c r="E211" s="1844"/>
      <c r="F211" s="1844"/>
      <c r="G211" s="798"/>
      <c r="H211" s="798"/>
      <c r="I211" s="798"/>
      <c r="J211" s="798"/>
      <c r="K211" s="798"/>
      <c r="L211" s="798"/>
      <c r="M211" s="798"/>
      <c r="N211" s="798"/>
      <c r="O211" s="798"/>
      <c r="P211" s="798"/>
      <c r="Q211" s="798"/>
      <c r="R211" s="798"/>
      <c r="S211" s="485"/>
      <c r="T211" s="485"/>
      <c r="U211" s="602"/>
      <c r="V211" s="639"/>
      <c r="W211" s="602"/>
      <c r="X211" s="602"/>
      <c r="Y211" s="485"/>
      <c r="Z211" s="485"/>
      <c r="AA211" s="575"/>
    </row>
    <row r="212" spans="1:27" x14ac:dyDescent="0.2">
      <c r="A212" s="602"/>
      <c r="B212" s="640"/>
      <c r="C212" s="597"/>
      <c r="D212" s="597"/>
      <c r="E212" s="485"/>
      <c r="F212" s="485"/>
      <c r="G212" s="798"/>
      <c r="H212" s="798"/>
      <c r="I212" s="798"/>
      <c r="J212" s="798"/>
      <c r="K212" s="798"/>
      <c r="L212" s="798"/>
      <c r="M212" s="798"/>
      <c r="N212" s="798"/>
      <c r="O212" s="798"/>
      <c r="P212" s="798"/>
      <c r="Q212" s="798"/>
      <c r="R212" s="798"/>
      <c r="S212" s="485"/>
      <c r="T212" s="485"/>
      <c r="U212" s="602"/>
      <c r="V212" s="639"/>
      <c r="W212" s="602"/>
      <c r="X212" s="602"/>
      <c r="Y212" s="485"/>
      <c r="Z212" s="485"/>
      <c r="AA212" s="575"/>
    </row>
    <row r="213" spans="1:27" x14ac:dyDescent="0.2">
      <c r="A213" s="6"/>
      <c r="B213" s="640"/>
      <c r="C213" s="597"/>
      <c r="D213" s="597"/>
      <c r="E213" s="485"/>
      <c r="F213" s="485"/>
      <c r="G213" s="798"/>
      <c r="H213" s="798"/>
      <c r="I213" s="798"/>
      <c r="J213" s="798"/>
      <c r="K213" s="798"/>
      <c r="L213" s="798"/>
      <c r="M213" s="798"/>
      <c r="N213" s="798"/>
      <c r="O213" s="798"/>
      <c r="P213" s="798"/>
      <c r="Q213" s="798"/>
      <c r="R213" s="798"/>
      <c r="S213" s="485"/>
      <c r="T213" s="485"/>
      <c r="U213" s="602"/>
      <c r="V213" s="639"/>
      <c r="W213" s="602"/>
      <c r="X213" s="602"/>
      <c r="Y213" s="485"/>
      <c r="Z213" s="485"/>
      <c r="AA213" s="575"/>
    </row>
    <row r="214" spans="1:27" x14ac:dyDescent="0.2">
      <c r="A214" s="602"/>
      <c r="B214" s="640"/>
      <c r="C214" s="597"/>
      <c r="D214" s="597"/>
      <c r="E214" s="485"/>
      <c r="F214" s="485"/>
      <c r="G214" s="798"/>
      <c r="H214" s="798"/>
      <c r="I214" s="798"/>
      <c r="J214" s="798"/>
      <c r="K214" s="798"/>
      <c r="L214" s="798"/>
      <c r="M214" s="798"/>
      <c r="N214" s="798"/>
      <c r="O214" s="798"/>
      <c r="P214" s="798"/>
      <c r="Q214" s="798"/>
      <c r="R214" s="798"/>
      <c r="S214" s="485"/>
      <c r="T214" s="485"/>
      <c r="U214" s="602"/>
      <c r="V214" s="639"/>
      <c r="W214" s="602"/>
      <c r="X214" s="602"/>
      <c r="Y214" s="485"/>
      <c r="Z214" s="485"/>
      <c r="AA214" s="575"/>
    </row>
    <row r="215" spans="1:27" x14ac:dyDescent="0.2">
      <c r="A215" s="797"/>
      <c r="B215" s="135"/>
      <c r="C215" s="597"/>
      <c r="D215" s="597"/>
      <c r="E215" s="163"/>
      <c r="F215" s="163"/>
      <c r="G215" s="774"/>
      <c r="H215" s="774"/>
      <c r="I215" s="774"/>
      <c r="J215" s="774"/>
      <c r="K215" s="774"/>
      <c r="L215" s="774"/>
      <c r="M215" s="774"/>
      <c r="N215" s="774"/>
      <c r="O215" s="774"/>
      <c r="P215" s="774"/>
      <c r="Q215" s="774"/>
      <c r="R215" s="774"/>
      <c r="S215" s="485"/>
      <c r="T215" s="163"/>
      <c r="U215" s="797"/>
      <c r="V215" s="597"/>
      <c r="W215" s="797"/>
      <c r="X215" s="163"/>
      <c r="Y215" s="163"/>
      <c r="Z215" s="797"/>
      <c r="AA215" s="58"/>
    </row>
    <row r="216" spans="1:27" x14ac:dyDescent="0.2">
      <c r="A216" s="797"/>
      <c r="B216" s="135"/>
      <c r="C216" s="597"/>
      <c r="D216" s="597"/>
      <c r="E216" s="163"/>
      <c r="F216" s="16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485"/>
      <c r="T216" s="163"/>
      <c r="U216" s="797"/>
      <c r="V216" s="597"/>
      <c r="W216" s="797"/>
      <c r="X216" s="163"/>
      <c r="Y216" s="163"/>
      <c r="Z216" s="797"/>
      <c r="AA216" s="58"/>
    </row>
    <row r="217" spans="1:27" x14ac:dyDescent="0.2">
      <c r="A217" s="797"/>
      <c r="B217" s="135"/>
      <c r="C217" s="597"/>
      <c r="D217" s="597"/>
      <c r="E217" s="163"/>
      <c r="F217" s="163"/>
      <c r="G217" s="822"/>
      <c r="H217" s="822"/>
      <c r="I217" s="822"/>
      <c r="J217" s="822"/>
      <c r="K217" s="822"/>
      <c r="L217" s="822"/>
      <c r="M217" s="822"/>
      <c r="N217" s="822"/>
      <c r="O217" s="822"/>
      <c r="P217" s="822"/>
      <c r="Q217" s="822"/>
      <c r="R217" s="822"/>
      <c r="S217" s="485"/>
      <c r="T217" s="163"/>
      <c r="U217" s="797"/>
      <c r="V217" s="597"/>
      <c r="W217" s="797"/>
      <c r="X217" s="163"/>
      <c r="Y217" s="163"/>
      <c r="Z217" s="797"/>
      <c r="AA217" s="58"/>
    </row>
    <row r="218" spans="1:27" x14ac:dyDescent="0.2">
      <c r="A218" s="797"/>
      <c r="B218" s="135"/>
      <c r="C218" s="597"/>
      <c r="D218" s="597"/>
      <c r="E218" s="163"/>
      <c r="F218" s="16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485"/>
      <c r="T218" s="163"/>
      <c r="U218" s="797"/>
      <c r="V218" s="597"/>
      <c r="W218" s="797"/>
      <c r="X218" s="163"/>
      <c r="Y218" s="163"/>
      <c r="Z218" s="797"/>
      <c r="AA218" s="58"/>
    </row>
    <row r="219" spans="1:27" x14ac:dyDescent="0.2">
      <c r="A219" s="797"/>
      <c r="B219" s="135"/>
      <c r="C219" s="597"/>
      <c r="D219" s="597"/>
      <c r="E219" s="163"/>
      <c r="F219" s="16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485"/>
      <c r="T219" s="163"/>
      <c r="U219" s="797"/>
      <c r="V219" s="597"/>
      <c r="W219" s="797"/>
      <c r="X219" s="163"/>
      <c r="Y219" s="163"/>
      <c r="Z219" s="797"/>
      <c r="AA219" s="58"/>
    </row>
    <row r="220" spans="1:27" x14ac:dyDescent="0.2">
      <c r="A220" s="602"/>
      <c r="B220" s="640"/>
      <c r="C220" s="597"/>
      <c r="D220" s="597"/>
      <c r="E220" s="485"/>
      <c r="F220" s="485"/>
      <c r="G220" s="798"/>
      <c r="H220" s="798"/>
      <c r="I220" s="798"/>
      <c r="J220" s="798"/>
      <c r="K220" s="798"/>
      <c r="L220" s="798"/>
      <c r="M220" s="798"/>
      <c r="N220" s="798"/>
      <c r="O220" s="798"/>
      <c r="P220" s="798"/>
      <c r="Q220" s="798"/>
      <c r="R220" s="798"/>
      <c r="S220" s="485"/>
      <c r="T220" s="485"/>
      <c r="U220" s="602"/>
      <c r="V220" s="639"/>
      <c r="W220" s="602"/>
      <c r="X220" s="602"/>
      <c r="Y220" s="485"/>
      <c r="Z220" s="485"/>
      <c r="AA220" s="575"/>
    </row>
    <row r="221" spans="1:27" x14ac:dyDescent="0.2">
      <c r="A221" s="602"/>
      <c r="B221" s="640"/>
      <c r="C221" s="597"/>
      <c r="D221" s="597"/>
      <c r="E221" s="485"/>
      <c r="F221" s="485"/>
      <c r="G221" s="798"/>
      <c r="H221" s="798"/>
      <c r="I221" s="798"/>
      <c r="J221" s="798"/>
      <c r="K221" s="798"/>
      <c r="L221" s="798"/>
      <c r="M221" s="798"/>
      <c r="N221" s="798"/>
      <c r="O221" s="798"/>
      <c r="P221" s="798"/>
      <c r="Q221" s="798"/>
      <c r="R221" s="798"/>
      <c r="S221" s="485"/>
      <c r="T221" s="485"/>
      <c r="U221" s="602"/>
      <c r="V221" s="639"/>
      <c r="W221" s="602"/>
      <c r="X221" s="602"/>
      <c r="Y221" s="485"/>
      <c r="Z221" s="485"/>
      <c r="AA221" s="575"/>
    </row>
    <row r="222" spans="1:27" x14ac:dyDescent="0.2">
      <c r="A222" s="602"/>
      <c r="B222" s="640"/>
      <c r="C222" s="597"/>
      <c r="D222" s="597"/>
      <c r="E222" s="485"/>
      <c r="F222" s="485"/>
      <c r="G222" s="798"/>
      <c r="H222" s="798"/>
      <c r="I222" s="798"/>
      <c r="J222" s="798"/>
      <c r="K222" s="798"/>
      <c r="L222" s="798"/>
      <c r="M222" s="798"/>
      <c r="N222" s="798"/>
      <c r="O222" s="798"/>
      <c r="P222" s="798"/>
      <c r="Q222" s="798"/>
      <c r="R222" s="798"/>
      <c r="S222" s="485"/>
      <c r="T222" s="485"/>
      <c r="U222" s="602"/>
      <c r="V222" s="639"/>
      <c r="W222" s="602"/>
      <c r="X222" s="602"/>
      <c r="Y222" s="485"/>
      <c r="Z222" s="485"/>
      <c r="AA222" s="575"/>
    </row>
    <row r="223" spans="1:27" x14ac:dyDescent="0.2">
      <c r="A223" s="602"/>
      <c r="B223" s="640"/>
      <c r="C223" s="597"/>
      <c r="D223" s="597"/>
      <c r="E223" s="485"/>
      <c r="F223" s="485"/>
      <c r="G223" s="798"/>
      <c r="H223" s="798"/>
      <c r="I223" s="798"/>
      <c r="J223" s="798"/>
      <c r="K223" s="798"/>
      <c r="L223" s="798"/>
      <c r="M223" s="798"/>
      <c r="N223" s="798"/>
      <c r="O223" s="798"/>
      <c r="P223" s="798"/>
      <c r="Q223" s="798"/>
      <c r="R223" s="798"/>
      <c r="S223" s="485"/>
      <c r="T223" s="485"/>
      <c r="U223" s="602"/>
      <c r="V223" s="639"/>
      <c r="W223" s="602"/>
      <c r="X223" s="602"/>
      <c r="Y223" s="485"/>
      <c r="Z223" s="485"/>
      <c r="AA223" s="575"/>
    </row>
    <row r="224" spans="1:27" ht="20.25" x14ac:dyDescent="0.3">
      <c r="A224" s="602"/>
      <c r="B224" s="640"/>
      <c r="C224" s="597"/>
      <c r="D224" s="597"/>
      <c r="E224" s="1844"/>
      <c r="F224" s="1844"/>
      <c r="G224" s="798"/>
      <c r="H224" s="798"/>
      <c r="I224" s="798"/>
      <c r="J224" s="798"/>
      <c r="K224" s="798"/>
      <c r="L224" s="798"/>
      <c r="M224" s="798"/>
      <c r="N224" s="798"/>
      <c r="O224" s="798"/>
      <c r="P224" s="798"/>
      <c r="Q224" s="798"/>
      <c r="R224" s="798"/>
      <c r="S224" s="485"/>
      <c r="T224" s="485"/>
      <c r="U224" s="602"/>
      <c r="V224" s="639"/>
      <c r="W224" s="602"/>
      <c r="X224" s="602"/>
      <c r="Y224" s="485"/>
      <c r="Z224" s="485"/>
      <c r="AA224" s="575"/>
    </row>
    <row r="225" spans="1:66" x14ac:dyDescent="0.2">
      <c r="A225" s="602"/>
      <c r="B225" s="640"/>
      <c r="C225" s="597"/>
      <c r="D225" s="597"/>
      <c r="E225" s="485"/>
      <c r="F225" s="485"/>
      <c r="G225" s="798"/>
      <c r="H225" s="798"/>
      <c r="I225" s="798"/>
      <c r="J225" s="798"/>
      <c r="K225" s="798"/>
      <c r="L225" s="798"/>
      <c r="M225" s="798"/>
      <c r="N225" s="798"/>
      <c r="O225" s="798"/>
      <c r="P225" s="798"/>
      <c r="Q225" s="798"/>
      <c r="R225" s="798"/>
      <c r="S225" s="485"/>
      <c r="T225" s="485"/>
      <c r="U225" s="602"/>
      <c r="V225" s="639"/>
      <c r="W225" s="602"/>
      <c r="X225" s="602"/>
      <c r="Y225" s="485"/>
      <c r="Z225" s="485"/>
      <c r="AA225" s="575"/>
    </row>
    <row r="226" spans="1:66" s="58" customFormat="1" x14ac:dyDescent="0.2">
      <c r="A226" s="602"/>
      <c r="B226" s="640"/>
      <c r="C226" s="597"/>
      <c r="D226" s="597"/>
      <c r="E226" s="485"/>
      <c r="F226" s="485"/>
      <c r="G226" s="798"/>
      <c r="H226" s="798"/>
      <c r="I226" s="798"/>
      <c r="J226" s="798"/>
      <c r="K226" s="798"/>
      <c r="L226" s="798"/>
      <c r="M226" s="798"/>
      <c r="N226" s="798"/>
      <c r="O226" s="798"/>
      <c r="P226" s="798"/>
      <c r="Q226" s="798"/>
      <c r="R226" s="798"/>
      <c r="S226" s="485"/>
      <c r="T226" s="485"/>
      <c r="U226" s="602"/>
      <c r="V226" s="639"/>
      <c r="W226" s="602"/>
      <c r="X226" s="602"/>
      <c r="Y226" s="485"/>
      <c r="Z226" s="485"/>
      <c r="AA226" s="575"/>
    </row>
    <row r="227" spans="1:66" s="58" customFormat="1" x14ac:dyDescent="0.2">
      <c r="A227" s="602"/>
      <c r="B227" s="640"/>
      <c r="C227" s="597"/>
      <c r="D227" s="597"/>
      <c r="E227" s="485"/>
      <c r="F227" s="485"/>
      <c r="G227" s="798"/>
      <c r="H227" s="798"/>
      <c r="I227" s="798"/>
      <c r="J227" s="798"/>
      <c r="K227" s="798"/>
      <c r="L227" s="798"/>
      <c r="M227" s="798"/>
      <c r="N227" s="798"/>
      <c r="O227" s="798"/>
      <c r="P227" s="798"/>
      <c r="Q227" s="798"/>
      <c r="R227" s="798"/>
      <c r="S227" s="485"/>
      <c r="T227" s="485"/>
      <c r="U227" s="602"/>
      <c r="V227" s="639"/>
      <c r="W227" s="602"/>
      <c r="X227" s="602"/>
      <c r="Y227" s="485"/>
      <c r="Z227" s="485"/>
      <c r="AA227" s="575"/>
    </row>
    <row r="228" spans="1:66" s="829" customFormat="1" x14ac:dyDescent="0.2">
      <c r="A228" s="579"/>
      <c r="B228" s="96"/>
      <c r="C228" s="96"/>
      <c r="D228" s="96"/>
      <c r="E228" s="577"/>
      <c r="F228" s="577"/>
      <c r="G228" s="828"/>
      <c r="H228" s="828"/>
      <c r="I228" s="828"/>
      <c r="J228" s="828"/>
      <c r="K228" s="828"/>
      <c r="L228" s="828"/>
      <c r="M228" s="828"/>
      <c r="N228" s="828"/>
      <c r="O228" s="828"/>
      <c r="P228" s="828"/>
      <c r="Q228" s="828"/>
      <c r="R228" s="828"/>
      <c r="S228" s="577"/>
      <c r="T228" s="577"/>
      <c r="U228" s="579"/>
      <c r="V228" s="96"/>
      <c r="W228" s="579"/>
      <c r="X228" s="577"/>
      <c r="Y228" s="577"/>
      <c r="Z228" s="577"/>
      <c r="AA228" s="577"/>
      <c r="AB228" s="577"/>
      <c r="AC228" s="577"/>
      <c r="AD228" s="577"/>
      <c r="AE228" s="577"/>
      <c r="AF228" s="577"/>
      <c r="AG228" s="577"/>
      <c r="AH228" s="577"/>
      <c r="AI228" s="577"/>
      <c r="AJ228" s="577"/>
      <c r="AK228" s="577"/>
      <c r="AL228" s="577"/>
      <c r="AM228" s="577"/>
      <c r="AN228" s="577"/>
      <c r="AO228" s="577"/>
      <c r="AP228" s="577"/>
      <c r="AQ228" s="577"/>
      <c r="AR228" s="577"/>
      <c r="AS228" s="577"/>
      <c r="AT228" s="577"/>
      <c r="AU228" s="577"/>
      <c r="AV228" s="577"/>
      <c r="AW228" s="577"/>
      <c r="AX228" s="577"/>
      <c r="AY228" s="577"/>
      <c r="AZ228" s="577"/>
      <c r="BA228" s="577"/>
      <c r="BB228" s="577"/>
      <c r="BC228" s="577"/>
      <c r="BD228" s="577"/>
      <c r="BE228" s="577"/>
      <c r="BF228" s="577"/>
      <c r="BG228" s="577"/>
      <c r="BH228" s="577"/>
      <c r="BI228" s="577"/>
      <c r="BJ228" s="577"/>
      <c r="BK228" s="577"/>
      <c r="BL228" s="577"/>
      <c r="BM228" s="577"/>
      <c r="BN228" s="577"/>
    </row>
    <row r="229" spans="1:66" s="58" customFormat="1" x14ac:dyDescent="0.2">
      <c r="A229" s="602"/>
      <c r="B229" s="640"/>
      <c r="C229" s="597"/>
      <c r="D229" s="597"/>
      <c r="E229" s="485"/>
      <c r="F229" s="485"/>
      <c r="G229" s="798"/>
      <c r="H229" s="798"/>
      <c r="I229" s="798"/>
      <c r="J229" s="798"/>
      <c r="K229" s="798"/>
      <c r="L229" s="798"/>
      <c r="M229" s="798"/>
      <c r="N229" s="798"/>
      <c r="O229" s="798"/>
      <c r="P229" s="798"/>
      <c r="Q229" s="798"/>
      <c r="R229" s="798"/>
      <c r="S229" s="485"/>
      <c r="T229" s="485"/>
      <c r="U229" s="602"/>
      <c r="V229" s="639"/>
      <c r="W229" s="602"/>
      <c r="X229" s="602"/>
      <c r="Y229" s="485"/>
      <c r="Z229" s="485"/>
      <c r="AA229" s="575"/>
    </row>
    <row r="230" spans="1:66" s="58" customFormat="1" x14ac:dyDescent="0.2">
      <c r="A230" s="602"/>
      <c r="B230" s="640"/>
      <c r="C230" s="597"/>
      <c r="D230" s="597"/>
      <c r="E230" s="485"/>
      <c r="F230" s="485"/>
      <c r="G230" s="830"/>
      <c r="H230" s="830"/>
      <c r="I230" s="830"/>
      <c r="J230" s="830"/>
      <c r="K230" s="830"/>
      <c r="L230" s="830"/>
      <c r="M230" s="830"/>
      <c r="N230" s="830"/>
      <c r="O230" s="830"/>
      <c r="P230" s="830"/>
      <c r="Q230" s="830"/>
      <c r="R230" s="830"/>
      <c r="S230" s="485"/>
      <c r="T230" s="485"/>
      <c r="U230" s="602"/>
      <c r="V230" s="639"/>
      <c r="W230" s="602"/>
      <c r="X230" s="602"/>
      <c r="Y230" s="485"/>
      <c r="Z230" s="485"/>
      <c r="AA230" s="575"/>
    </row>
    <row r="231" spans="1:66" s="58" customFormat="1" x14ac:dyDescent="0.2">
      <c r="A231" s="602"/>
      <c r="B231" s="640"/>
      <c r="C231" s="597"/>
      <c r="D231" s="597"/>
      <c r="E231" s="485"/>
      <c r="F231" s="485"/>
      <c r="G231" s="798"/>
      <c r="H231" s="798"/>
      <c r="I231" s="798"/>
      <c r="J231" s="798"/>
      <c r="K231" s="798"/>
      <c r="L231" s="798"/>
      <c r="M231" s="798"/>
      <c r="N231" s="798"/>
      <c r="O231" s="798"/>
      <c r="P231" s="798"/>
      <c r="Q231" s="798"/>
      <c r="R231" s="798"/>
      <c r="S231" s="485"/>
      <c r="T231" s="485"/>
      <c r="U231" s="602"/>
      <c r="V231" s="639"/>
      <c r="W231" s="602"/>
      <c r="X231" s="602"/>
      <c r="Y231" s="485"/>
      <c r="Z231" s="485"/>
      <c r="AA231" s="575"/>
    </row>
    <row r="232" spans="1:66" s="58" customFormat="1" x14ac:dyDescent="0.2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610"/>
      <c r="Z232" s="610"/>
      <c r="AA232" s="611"/>
    </row>
    <row r="233" spans="1:66" s="58" customFormat="1" x14ac:dyDescent="0.2">
      <c r="A233" s="651"/>
      <c r="B233" s="646"/>
      <c r="C233" s="646"/>
      <c r="D233" s="646"/>
      <c r="E233" s="646"/>
      <c r="F233" s="646"/>
      <c r="G233" s="646"/>
      <c r="H233" s="646"/>
      <c r="I233" s="646"/>
      <c r="J233" s="646"/>
      <c r="K233" s="646"/>
      <c r="L233" s="646"/>
      <c r="M233" s="646"/>
      <c r="N233" s="646"/>
      <c r="O233" s="646"/>
      <c r="P233" s="646"/>
      <c r="Q233" s="646"/>
      <c r="R233" s="646"/>
      <c r="S233" s="573"/>
      <c r="T233" s="573"/>
      <c r="U233" s="651"/>
      <c r="V233" s="646"/>
      <c r="W233" s="651"/>
      <c r="X233" s="684"/>
      <c r="Y233" s="573"/>
      <c r="Z233" s="651"/>
      <c r="AA233" s="652"/>
    </row>
    <row r="234" spans="1:66" s="58" customFormat="1" x14ac:dyDescent="0.2">
      <c r="A234" s="651"/>
      <c r="B234" s="646"/>
      <c r="C234" s="646"/>
      <c r="D234" s="646"/>
      <c r="E234" s="646"/>
      <c r="F234" s="646"/>
      <c r="G234" s="646"/>
      <c r="H234" s="646"/>
      <c r="I234" s="646"/>
      <c r="J234" s="646"/>
      <c r="K234" s="646"/>
      <c r="L234" s="646"/>
      <c r="M234" s="646"/>
      <c r="N234" s="646"/>
      <c r="O234" s="646"/>
      <c r="P234" s="646"/>
      <c r="Q234" s="646"/>
      <c r="R234" s="646"/>
      <c r="S234" s="573"/>
      <c r="T234" s="573"/>
      <c r="U234" s="651"/>
      <c r="V234" s="646"/>
      <c r="W234" s="651"/>
      <c r="X234" s="684"/>
      <c r="Y234" s="573"/>
      <c r="Z234" s="651"/>
      <c r="AA234" s="652"/>
    </row>
    <row r="235" spans="1:66" s="58" customFormat="1" x14ac:dyDescent="0.2">
      <c r="A235" s="602"/>
      <c r="B235" s="646"/>
      <c r="C235" s="646"/>
      <c r="D235" s="646"/>
      <c r="E235" s="573"/>
      <c r="F235" s="573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573"/>
      <c r="T235" s="573"/>
      <c r="U235" s="573"/>
      <c r="V235" s="646"/>
      <c r="W235" s="651"/>
      <c r="X235" s="573"/>
      <c r="Y235" s="573"/>
      <c r="Z235" s="573"/>
      <c r="AA235" s="652"/>
    </row>
    <row r="236" spans="1:66" s="58" customFormat="1" x14ac:dyDescent="0.2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</row>
    <row r="237" spans="1:66" s="832" customFormat="1" x14ac:dyDescent="0.2">
      <c r="A237" s="579"/>
      <c r="B237" s="621"/>
      <c r="C237" s="831"/>
      <c r="D237" s="831"/>
      <c r="E237" s="96"/>
      <c r="F237" s="96"/>
      <c r="G237" s="178"/>
      <c r="H237" s="178"/>
      <c r="I237" s="178"/>
      <c r="J237" s="178"/>
      <c r="K237" s="178"/>
      <c r="L237" s="178"/>
      <c r="M237" s="178"/>
      <c r="N237" s="178"/>
      <c r="O237" s="178"/>
      <c r="P237" s="178"/>
      <c r="Q237" s="1642"/>
      <c r="R237" s="1727"/>
      <c r="S237" s="577"/>
      <c r="T237" s="579"/>
      <c r="U237" s="96"/>
      <c r="V237" s="579"/>
      <c r="W237" s="577"/>
      <c r="X237" s="579"/>
      <c r="Y237" s="577"/>
      <c r="Z237" s="577"/>
    </row>
    <row r="238" spans="1:66" s="58" customFormat="1" x14ac:dyDescent="0.2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</row>
    <row r="239" spans="1:66" s="58" customFormat="1" x14ac:dyDescent="0.2">
      <c r="A239" s="163"/>
      <c r="B239" s="163"/>
      <c r="C239" s="597"/>
      <c r="D239" s="597"/>
      <c r="E239" s="163"/>
      <c r="F239" s="163"/>
      <c r="G239" s="830"/>
      <c r="H239" s="830"/>
      <c r="I239" s="830"/>
      <c r="J239" s="830"/>
      <c r="K239" s="830"/>
      <c r="L239" s="830"/>
      <c r="M239" s="830"/>
      <c r="N239" s="830"/>
      <c r="O239" s="830"/>
      <c r="P239" s="830"/>
      <c r="Q239" s="830"/>
      <c r="R239" s="830"/>
      <c r="S239" s="163"/>
      <c r="T239" s="163"/>
      <c r="U239" s="163"/>
      <c r="V239" s="163"/>
      <c r="W239" s="163"/>
      <c r="X239" s="163"/>
      <c r="Y239" s="163"/>
      <c r="Z239" s="163"/>
    </row>
    <row r="240" spans="1:66" s="58" customFormat="1" x14ac:dyDescent="0.2">
      <c r="A240" s="797"/>
      <c r="B240" s="135"/>
      <c r="C240" s="597"/>
      <c r="D240" s="597"/>
      <c r="E240" s="163"/>
      <c r="F240" s="16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485"/>
      <c r="T240" s="163"/>
      <c r="U240" s="797"/>
      <c r="V240" s="597"/>
      <c r="W240" s="797"/>
      <c r="X240" s="163"/>
      <c r="Y240" s="163"/>
      <c r="Z240" s="797"/>
    </row>
    <row r="241" spans="1:26" x14ac:dyDescent="0.2">
      <c r="A241" s="60"/>
      <c r="B241" s="8"/>
      <c r="C241" s="597"/>
      <c r="D241" s="597"/>
      <c r="E241" s="6"/>
      <c r="F241" s="6"/>
      <c r="G241" s="1128"/>
      <c r="H241" s="1158"/>
      <c r="I241" s="1192"/>
      <c r="J241" s="1409"/>
      <c r="K241" s="1416"/>
      <c r="L241" s="1464"/>
      <c r="M241" s="1483"/>
      <c r="N241" s="1483"/>
      <c r="O241" s="1544"/>
      <c r="P241" s="1602"/>
      <c r="Q241" s="1640"/>
      <c r="R241" s="1724"/>
      <c r="S241" s="482"/>
      <c r="T241" s="6"/>
      <c r="U241" s="60"/>
      <c r="V241" s="597"/>
      <c r="W241" s="60"/>
      <c r="X241" s="6"/>
      <c r="Y241" s="6"/>
      <c r="Z241" s="60"/>
    </row>
    <row r="242" spans="1:26" x14ac:dyDescent="0.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x14ac:dyDescent="0.2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x14ac:dyDescent="0.2">
      <c r="A244" s="602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x14ac:dyDescent="0.2">
      <c r="A245" s="6"/>
      <c r="B245" s="6"/>
      <c r="C245" s="6"/>
      <c r="D245" s="6"/>
      <c r="E245" s="6"/>
      <c r="F245" s="6"/>
      <c r="G245" s="823"/>
      <c r="H245" s="823"/>
      <c r="I245" s="823"/>
      <c r="J245" s="823"/>
      <c r="K245" s="823"/>
      <c r="L245" s="823"/>
      <c r="M245" s="823"/>
      <c r="N245" s="823"/>
      <c r="O245" s="823"/>
      <c r="P245" s="823"/>
      <c r="Q245" s="823"/>
      <c r="R245" s="823"/>
      <c r="S245" s="6"/>
      <c r="T245" s="6"/>
      <c r="U245" s="6"/>
      <c r="V245" s="6"/>
      <c r="W245" s="6"/>
      <c r="X245" s="6"/>
      <c r="Y245" s="6"/>
      <c r="Z245" s="6"/>
    </row>
    <row r="246" spans="1:26" x14ac:dyDescent="0.2">
      <c r="A246" s="6"/>
      <c r="B246" s="6"/>
      <c r="C246" s="482"/>
      <c r="D246" s="482"/>
      <c r="E246" s="6"/>
      <c r="F246" s="6"/>
      <c r="G246" s="825"/>
      <c r="H246" s="825"/>
      <c r="I246" s="825"/>
      <c r="J246" s="825"/>
      <c r="K246" s="825"/>
      <c r="L246" s="825"/>
      <c r="M246" s="825"/>
      <c r="N246" s="825"/>
      <c r="O246" s="825"/>
      <c r="P246" s="825"/>
      <c r="Q246" s="825"/>
      <c r="R246" s="825"/>
      <c r="S246" s="6"/>
      <c r="T246" s="6"/>
      <c r="U246" s="6"/>
      <c r="V246" s="6"/>
      <c r="W246" s="6"/>
      <c r="X246" s="6"/>
      <c r="Y246" s="6"/>
      <c r="Z246" s="6"/>
    </row>
    <row r="247" spans="1:26" x14ac:dyDescent="0.2">
      <c r="A247" s="6"/>
      <c r="B247" s="6"/>
      <c r="C247" s="482"/>
      <c r="D247" s="482"/>
      <c r="E247" s="824"/>
      <c r="F247" s="824"/>
      <c r="G247" s="825"/>
      <c r="H247" s="825"/>
      <c r="I247" s="825"/>
      <c r="J247" s="825"/>
      <c r="K247" s="825"/>
      <c r="L247" s="825"/>
      <c r="M247" s="825"/>
      <c r="N247" s="825"/>
      <c r="O247" s="825"/>
      <c r="P247" s="825"/>
      <c r="Q247" s="825"/>
      <c r="R247" s="825"/>
      <c r="S247" s="6"/>
      <c r="T247" s="6"/>
      <c r="U247" s="6"/>
      <c r="V247" s="6"/>
      <c r="W247" s="6"/>
      <c r="X247" s="6"/>
      <c r="Y247" s="6"/>
      <c r="Z247" s="6"/>
    </row>
    <row r="248" spans="1:26" x14ac:dyDescent="0.2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x14ac:dyDescent="0.2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x14ac:dyDescent="0.2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x14ac:dyDescent="0.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x14ac:dyDescent="0.2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x14ac:dyDescent="0.2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x14ac:dyDescent="0.2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x14ac:dyDescent="0.2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7" x14ac:dyDescent="0.2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7" x14ac:dyDescent="0.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7" x14ac:dyDescent="0.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7" x14ac:dyDescent="0.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7" x14ac:dyDescent="0.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7" x14ac:dyDescent="0.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7" x14ac:dyDescent="0.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7" s="587" customFormat="1" x14ac:dyDescent="0.2">
      <c r="A264" s="689"/>
      <c r="B264" s="612"/>
      <c r="C264" s="612"/>
      <c r="D264" s="612"/>
      <c r="E264" s="612"/>
      <c r="F264" s="612"/>
      <c r="G264" s="688"/>
      <c r="H264" s="688"/>
      <c r="I264" s="688"/>
      <c r="J264" s="688"/>
      <c r="K264" s="688"/>
      <c r="L264" s="688"/>
      <c r="M264" s="688"/>
      <c r="N264" s="688"/>
      <c r="O264" s="688"/>
      <c r="P264" s="688"/>
      <c r="Q264" s="688"/>
      <c r="R264" s="688"/>
      <c r="S264" s="610"/>
      <c r="T264" s="610"/>
      <c r="U264" s="689"/>
      <c r="V264" s="612"/>
      <c r="W264" s="689"/>
      <c r="X264" s="767"/>
      <c r="Y264" s="610"/>
      <c r="Z264" s="689"/>
      <c r="AA264" s="611"/>
    </row>
    <row r="265" spans="1:27" s="587" customFormat="1" x14ac:dyDescent="0.2">
      <c r="A265" s="689"/>
      <c r="B265" s="612"/>
      <c r="C265" s="612"/>
      <c r="D265" s="612"/>
      <c r="E265" s="612"/>
      <c r="F265" s="612"/>
      <c r="G265" s="688"/>
      <c r="H265" s="688"/>
      <c r="I265" s="688"/>
      <c r="J265" s="688"/>
      <c r="K265" s="688"/>
      <c r="L265" s="688"/>
      <c r="M265" s="688"/>
      <c r="N265" s="688"/>
      <c r="O265" s="688"/>
      <c r="P265" s="688"/>
      <c r="Q265" s="688"/>
      <c r="R265" s="688"/>
      <c r="S265" s="610"/>
      <c r="T265" s="612"/>
      <c r="U265" s="689"/>
      <c r="V265" s="610"/>
      <c r="W265" s="689"/>
      <c r="X265" s="826"/>
      <c r="Y265" s="826"/>
      <c r="Z265" s="610"/>
      <c r="AA265" s="689"/>
    </row>
    <row r="266" spans="1:27" s="587" customFormat="1" x14ac:dyDescent="0.2">
      <c r="A266" s="689"/>
      <c r="B266" s="788"/>
      <c r="C266" s="612"/>
      <c r="D266" s="612"/>
      <c r="E266" s="612"/>
      <c r="F266" s="612"/>
      <c r="G266" s="774"/>
      <c r="H266" s="774"/>
      <c r="I266" s="774"/>
      <c r="J266" s="774"/>
      <c r="K266" s="774"/>
      <c r="L266" s="774"/>
      <c r="M266" s="774"/>
      <c r="N266" s="774"/>
      <c r="O266" s="774"/>
      <c r="P266" s="774"/>
      <c r="Q266" s="774"/>
      <c r="R266" s="774"/>
      <c r="S266" s="610"/>
      <c r="T266" s="610"/>
      <c r="U266" s="612"/>
      <c r="V266" s="689"/>
      <c r="W266" s="826"/>
      <c r="X266" s="689"/>
      <c r="Y266" s="826"/>
      <c r="Z266" s="610"/>
      <c r="AA266" s="611"/>
    </row>
    <row r="267" spans="1:27" s="587" customFormat="1" x14ac:dyDescent="0.2">
      <c r="A267" s="689"/>
      <c r="B267" s="612"/>
      <c r="C267" s="612"/>
      <c r="D267" s="612"/>
      <c r="E267" s="612"/>
      <c r="F267" s="612"/>
      <c r="G267" s="688"/>
      <c r="H267" s="688"/>
      <c r="I267" s="688"/>
      <c r="J267" s="688"/>
      <c r="K267" s="688"/>
      <c r="L267" s="688"/>
      <c r="M267" s="688"/>
      <c r="N267" s="688"/>
      <c r="O267" s="688"/>
      <c r="P267" s="688"/>
      <c r="Q267" s="688"/>
      <c r="R267" s="688"/>
      <c r="S267" s="610"/>
      <c r="T267" s="610"/>
      <c r="U267" s="689"/>
      <c r="V267" s="612"/>
      <c r="W267" s="689"/>
      <c r="X267" s="612"/>
      <c r="Y267" s="610"/>
      <c r="Z267" s="689"/>
      <c r="AA267" s="611"/>
    </row>
    <row r="268" spans="1:27" s="587" customFormat="1" x14ac:dyDescent="0.2">
      <c r="A268" s="689"/>
      <c r="B268" s="773"/>
      <c r="C268" s="612"/>
      <c r="D268" s="612"/>
      <c r="E268" s="610"/>
      <c r="F268" s="610"/>
      <c r="G268" s="774"/>
      <c r="H268" s="774"/>
      <c r="I268" s="774"/>
      <c r="J268" s="774"/>
      <c r="K268" s="774"/>
      <c r="L268" s="774"/>
      <c r="M268" s="774"/>
      <c r="N268" s="774"/>
      <c r="O268" s="774"/>
      <c r="P268" s="774"/>
      <c r="Q268" s="774"/>
      <c r="R268" s="774"/>
      <c r="S268" s="610"/>
      <c r="T268" s="689"/>
      <c r="U268" s="612"/>
      <c r="V268" s="689"/>
      <c r="W268" s="826"/>
      <c r="X268" s="767"/>
      <c r="Y268" s="826"/>
      <c r="Z268" s="689"/>
    </row>
    <row r="269" spans="1:27" s="587" customFormat="1" x14ac:dyDescent="0.2">
      <c r="A269" s="689"/>
      <c r="B269" s="612"/>
      <c r="C269" s="612"/>
      <c r="D269" s="612"/>
      <c r="E269" s="612"/>
      <c r="F269" s="612"/>
      <c r="G269" s="688"/>
      <c r="H269" s="688"/>
      <c r="I269" s="688"/>
      <c r="J269" s="688"/>
      <c r="K269" s="688"/>
      <c r="L269" s="688"/>
      <c r="M269" s="688"/>
      <c r="N269" s="688"/>
      <c r="O269" s="688"/>
      <c r="P269" s="688"/>
      <c r="Q269" s="688"/>
      <c r="R269" s="688"/>
      <c r="S269" s="610"/>
      <c r="T269" s="610"/>
      <c r="U269" s="610"/>
      <c r="V269" s="612"/>
      <c r="W269" s="689"/>
      <c r="X269" s="612"/>
      <c r="Y269" s="610"/>
      <c r="Z269" s="689"/>
      <c r="AA269" s="611"/>
    </row>
    <row r="270" spans="1:27" s="587" customFormat="1" x14ac:dyDescent="0.2">
      <c r="A270" s="689"/>
      <c r="B270" s="788"/>
      <c r="C270" s="827"/>
      <c r="D270" s="827"/>
      <c r="E270" s="609"/>
      <c r="F270" s="609"/>
      <c r="G270" s="688"/>
      <c r="H270" s="688"/>
      <c r="I270" s="688"/>
      <c r="J270" s="688"/>
      <c r="K270" s="688"/>
      <c r="L270" s="688"/>
      <c r="M270" s="688"/>
      <c r="N270" s="688"/>
      <c r="O270" s="688"/>
      <c r="P270" s="688"/>
      <c r="Q270" s="688"/>
      <c r="R270" s="688"/>
      <c r="S270" s="610"/>
      <c r="T270" s="689"/>
      <c r="U270" s="609"/>
      <c r="V270" s="689"/>
      <c r="W270" s="826"/>
      <c r="X270" s="689"/>
      <c r="Y270" s="826"/>
      <c r="Z270" s="826"/>
      <c r="AA270" s="611"/>
    </row>
    <row r="271" spans="1:27" x14ac:dyDescent="0.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7" x14ac:dyDescent="0.2">
      <c r="A272" s="6"/>
      <c r="B272" s="6"/>
      <c r="C272" s="6"/>
      <c r="D272" s="6"/>
      <c r="E272" s="6"/>
      <c r="F272" s="6"/>
      <c r="G272" s="571"/>
      <c r="H272" s="571"/>
      <c r="I272" s="571"/>
      <c r="J272" s="571"/>
      <c r="K272" s="571"/>
      <c r="L272" s="571"/>
      <c r="M272" s="571"/>
      <c r="N272" s="571"/>
      <c r="O272" s="571"/>
      <c r="P272" s="571"/>
      <c r="Q272" s="571"/>
      <c r="R272" s="571"/>
      <c r="S272" s="6"/>
      <c r="T272" s="6"/>
      <c r="U272" s="6"/>
      <c r="V272" s="6"/>
      <c r="W272" s="6"/>
      <c r="X272" s="6"/>
      <c r="Y272" s="6"/>
      <c r="Z272" s="6"/>
    </row>
    <row r="273" spans="1:26" x14ac:dyDescent="0.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x14ac:dyDescent="0.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x14ac:dyDescent="0.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x14ac:dyDescent="0.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x14ac:dyDescent="0.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313" spans="1:26" ht="20.25" x14ac:dyDescent="0.3">
      <c r="C313" s="1834"/>
      <c r="D313" s="1834"/>
      <c r="E313" s="1834"/>
      <c r="F313" s="1834"/>
      <c r="G313" s="1130"/>
      <c r="H313" s="1160"/>
      <c r="I313" s="1194"/>
      <c r="J313" s="1411"/>
      <c r="K313" s="1418"/>
      <c r="L313" s="1465"/>
      <c r="M313" s="1485"/>
      <c r="N313" s="1485"/>
      <c r="O313" s="1545"/>
      <c r="P313" s="1604"/>
      <c r="Q313" s="1641"/>
      <c r="R313" s="1726"/>
    </row>
    <row r="314" spans="1:26" ht="20.25" x14ac:dyDescent="0.3">
      <c r="C314" s="817"/>
      <c r="D314" s="817"/>
      <c r="E314" s="817"/>
      <c r="F314" s="817"/>
      <c r="G314" s="1130"/>
      <c r="H314" s="1160"/>
      <c r="I314" s="1194"/>
      <c r="J314" s="1411"/>
      <c r="K314" s="1418"/>
      <c r="L314" s="1465"/>
      <c r="M314" s="1485"/>
      <c r="N314" s="1485"/>
      <c r="O314" s="1545"/>
      <c r="P314" s="1604"/>
      <c r="Q314" s="1641"/>
      <c r="R314" s="1726"/>
    </row>
    <row r="315" spans="1:26" ht="20.25" x14ac:dyDescent="0.3">
      <c r="C315" s="817"/>
      <c r="D315" s="817"/>
      <c r="E315" s="1834"/>
      <c r="F315" s="1834"/>
      <c r="G315" s="1130"/>
      <c r="H315" s="1160"/>
      <c r="I315" s="1194"/>
      <c r="J315" s="1411"/>
      <c r="K315" s="1418"/>
      <c r="L315" s="1465"/>
      <c r="M315" s="1485"/>
      <c r="N315" s="1485"/>
      <c r="O315" s="1545"/>
      <c r="P315" s="1604"/>
      <c r="Q315" s="1641"/>
      <c r="R315" s="1726"/>
    </row>
    <row r="316" spans="1:26" s="652" customFormat="1" x14ac:dyDescent="0.2">
      <c r="A316" s="649"/>
      <c r="B316" s="752"/>
      <c r="C316" s="717"/>
      <c r="D316" s="717"/>
      <c r="E316" s="564"/>
      <c r="F316" s="564"/>
      <c r="G316" s="650"/>
      <c r="H316" s="650"/>
      <c r="I316" s="650"/>
      <c r="J316" s="650"/>
      <c r="K316" s="650"/>
      <c r="L316" s="650"/>
      <c r="M316" s="650"/>
      <c r="N316" s="650"/>
      <c r="O316" s="650"/>
      <c r="P316" s="650"/>
      <c r="Q316" s="650"/>
      <c r="R316" s="650"/>
      <c r="S316" s="573"/>
      <c r="T316" s="720"/>
      <c r="U316" s="720"/>
      <c r="V316" s="564"/>
      <c r="W316" s="651"/>
      <c r="X316" s="649"/>
      <c r="Y316" s="573"/>
      <c r="Z316" s="649"/>
    </row>
    <row r="317" spans="1:26" s="652" customFormat="1" x14ac:dyDescent="0.2">
      <c r="A317" s="649"/>
      <c r="B317" s="752"/>
      <c r="C317" s="717"/>
      <c r="D317" s="717"/>
      <c r="E317" s="564"/>
      <c r="F317" s="564"/>
      <c r="G317" s="650"/>
      <c r="H317" s="650"/>
      <c r="I317" s="650"/>
      <c r="J317" s="650"/>
      <c r="K317" s="650"/>
      <c r="L317" s="650"/>
      <c r="M317" s="650"/>
      <c r="N317" s="650"/>
      <c r="O317" s="650"/>
      <c r="P317" s="650"/>
      <c r="Q317" s="650"/>
      <c r="R317" s="650"/>
      <c r="S317" s="573"/>
      <c r="T317" s="720"/>
      <c r="U317" s="720"/>
      <c r="V317" s="564"/>
      <c r="W317" s="651"/>
      <c r="X317" s="649"/>
      <c r="Y317" s="573"/>
      <c r="Z317" s="649"/>
    </row>
    <row r="318" spans="1:26" s="652" customFormat="1" x14ac:dyDescent="0.2">
      <c r="A318" s="578"/>
      <c r="B318" s="752"/>
      <c r="C318" s="717"/>
      <c r="D318" s="717"/>
      <c r="E318" s="564"/>
      <c r="F318" s="564"/>
      <c r="G318" s="650"/>
      <c r="H318" s="650"/>
      <c r="I318" s="650"/>
      <c r="J318" s="650"/>
      <c r="K318" s="650"/>
      <c r="L318" s="650"/>
      <c r="M318" s="650"/>
      <c r="N318" s="650"/>
      <c r="O318" s="650"/>
      <c r="P318" s="650"/>
      <c r="Q318" s="650"/>
      <c r="R318" s="650"/>
      <c r="S318" s="573"/>
      <c r="T318" s="720"/>
      <c r="U318" s="720"/>
      <c r="V318" s="564"/>
      <c r="W318" s="651"/>
      <c r="X318" s="649"/>
      <c r="Y318" s="573"/>
      <c r="Z318" s="649"/>
    </row>
    <row r="319" spans="1:26" s="575" customFormat="1" x14ac:dyDescent="0.2">
      <c r="A319" s="578"/>
      <c r="B319" s="637"/>
      <c r="C319" s="597"/>
      <c r="D319" s="597"/>
      <c r="G319" s="672"/>
      <c r="H319" s="672"/>
      <c r="I319" s="672"/>
      <c r="J319" s="672"/>
      <c r="K319" s="672"/>
      <c r="L319" s="672"/>
      <c r="M319" s="672"/>
      <c r="N319" s="672"/>
      <c r="O319" s="672"/>
      <c r="P319" s="672"/>
      <c r="Q319" s="672"/>
      <c r="R319" s="672"/>
      <c r="U319" s="578"/>
      <c r="V319" s="597"/>
      <c r="W319" s="578"/>
    </row>
    <row r="320" spans="1:26" s="575" customFormat="1" x14ac:dyDescent="0.2">
      <c r="A320" s="578"/>
      <c r="B320" s="637"/>
      <c r="C320" s="597"/>
      <c r="D320" s="597"/>
      <c r="G320" s="672"/>
      <c r="H320" s="672"/>
      <c r="I320" s="672"/>
      <c r="J320" s="672"/>
      <c r="K320" s="672"/>
      <c r="L320" s="672"/>
      <c r="M320" s="672"/>
      <c r="N320" s="672"/>
      <c r="O320" s="672"/>
      <c r="P320" s="672"/>
      <c r="Q320" s="672"/>
      <c r="R320" s="672"/>
      <c r="U320" s="578"/>
      <c r="V320" s="597"/>
      <c r="W320" s="578"/>
    </row>
    <row r="321" spans="1:26" s="575" customFormat="1" x14ac:dyDescent="0.2">
      <c r="A321" s="578"/>
      <c r="B321" s="637"/>
      <c r="C321" s="597"/>
      <c r="D321" s="597"/>
      <c r="G321" s="672"/>
      <c r="H321" s="672"/>
      <c r="I321" s="672"/>
      <c r="J321" s="672"/>
      <c r="K321" s="672"/>
      <c r="L321" s="672"/>
      <c r="M321" s="672"/>
      <c r="N321" s="672"/>
      <c r="O321" s="672"/>
      <c r="P321" s="672"/>
      <c r="Q321" s="672"/>
      <c r="R321" s="672"/>
      <c r="U321" s="578"/>
      <c r="V321" s="597"/>
      <c r="W321" s="578"/>
    </row>
    <row r="322" spans="1:26" s="575" customFormat="1" x14ac:dyDescent="0.2">
      <c r="A322" s="578"/>
      <c r="B322" s="637"/>
      <c r="C322" s="597"/>
      <c r="D322" s="597"/>
      <c r="G322" s="672"/>
      <c r="H322" s="672"/>
      <c r="I322" s="672"/>
      <c r="J322" s="672"/>
      <c r="K322" s="672"/>
      <c r="L322" s="672"/>
      <c r="M322" s="672"/>
      <c r="N322" s="672"/>
      <c r="O322" s="672"/>
      <c r="P322" s="672"/>
      <c r="Q322" s="672"/>
      <c r="R322" s="672"/>
      <c r="U322" s="578"/>
      <c r="V322" s="597"/>
      <c r="W322" s="578"/>
    </row>
    <row r="323" spans="1:26" s="575" customFormat="1" x14ac:dyDescent="0.2">
      <c r="A323" s="578"/>
      <c r="B323" s="637"/>
      <c r="C323" s="597"/>
      <c r="D323" s="597"/>
      <c r="G323" s="672"/>
      <c r="H323" s="672"/>
      <c r="I323" s="672"/>
      <c r="J323" s="672"/>
      <c r="K323" s="672"/>
      <c r="L323" s="672"/>
      <c r="M323" s="672"/>
      <c r="N323" s="672"/>
      <c r="O323" s="672"/>
      <c r="P323" s="672"/>
      <c r="Q323" s="672"/>
      <c r="R323" s="672"/>
      <c r="U323" s="578"/>
      <c r="V323" s="597"/>
      <c r="W323" s="578"/>
    </row>
    <row r="324" spans="1:26" s="575" customFormat="1" ht="20.25" x14ac:dyDescent="0.3">
      <c r="A324" s="578"/>
      <c r="B324" s="637"/>
      <c r="C324" s="597"/>
      <c r="D324" s="597"/>
      <c r="E324" s="1834"/>
      <c r="F324" s="1834"/>
      <c r="G324" s="672"/>
      <c r="H324" s="672"/>
      <c r="I324" s="672"/>
      <c r="J324" s="672"/>
      <c r="K324" s="672"/>
      <c r="L324" s="672"/>
      <c r="M324" s="672"/>
      <c r="N324" s="672"/>
      <c r="O324" s="672"/>
      <c r="P324" s="672"/>
      <c r="Q324" s="672"/>
      <c r="R324" s="672"/>
      <c r="U324" s="578"/>
      <c r="V324" s="597"/>
      <c r="W324" s="578"/>
    </row>
    <row r="325" spans="1:26" s="575" customFormat="1" x14ac:dyDescent="0.2">
      <c r="A325" s="578"/>
      <c r="B325" s="637"/>
      <c r="C325" s="597"/>
      <c r="D325" s="597"/>
      <c r="G325" s="672"/>
      <c r="H325" s="672"/>
      <c r="I325" s="672"/>
      <c r="J325" s="672"/>
      <c r="K325" s="672"/>
      <c r="L325" s="672"/>
      <c r="M325" s="672"/>
      <c r="N325" s="672"/>
      <c r="O325" s="672"/>
      <c r="P325" s="672"/>
      <c r="Q325" s="672"/>
      <c r="R325" s="672"/>
      <c r="U325" s="578"/>
      <c r="V325" s="597"/>
      <c r="W325" s="578"/>
    </row>
    <row r="326" spans="1:26" s="575" customFormat="1" x14ac:dyDescent="0.2">
      <c r="A326" s="578"/>
      <c r="B326" s="637"/>
      <c r="C326" s="597"/>
      <c r="D326" s="597"/>
      <c r="G326" s="672"/>
      <c r="H326" s="672"/>
      <c r="I326" s="672"/>
      <c r="J326" s="672"/>
      <c r="K326" s="672"/>
      <c r="L326" s="672"/>
      <c r="M326" s="672"/>
      <c r="N326" s="672"/>
      <c r="O326" s="672"/>
      <c r="P326" s="672"/>
      <c r="Q326" s="672"/>
      <c r="R326" s="672"/>
      <c r="U326" s="578"/>
      <c r="V326" s="597"/>
      <c r="W326" s="578"/>
    </row>
    <row r="327" spans="1:26" s="575" customFormat="1" x14ac:dyDescent="0.2">
      <c r="A327" s="578"/>
      <c r="B327" s="637"/>
      <c r="C327" s="597"/>
      <c r="D327" s="597"/>
      <c r="G327" s="672"/>
      <c r="H327" s="672"/>
      <c r="I327" s="672"/>
      <c r="J327" s="672"/>
      <c r="K327" s="672"/>
      <c r="L327" s="672"/>
      <c r="M327" s="672"/>
      <c r="N327" s="672"/>
      <c r="O327" s="672"/>
      <c r="P327" s="672"/>
      <c r="Q327" s="672"/>
      <c r="R327" s="672"/>
      <c r="U327" s="578"/>
      <c r="V327" s="637"/>
      <c r="W327" s="578"/>
    </row>
    <row r="328" spans="1:26" s="483" customFormat="1" x14ac:dyDescent="0.2">
      <c r="A328" s="569"/>
      <c r="B328" s="568"/>
      <c r="C328" s="597"/>
      <c r="D328" s="597"/>
      <c r="G328" s="804"/>
      <c r="H328" s="804"/>
      <c r="I328" s="804"/>
      <c r="J328" s="804"/>
      <c r="K328" s="804"/>
      <c r="L328" s="804"/>
      <c r="M328" s="804"/>
      <c r="N328" s="804"/>
      <c r="O328" s="804"/>
      <c r="P328" s="804"/>
      <c r="Q328" s="804"/>
      <c r="R328" s="804"/>
      <c r="U328" s="569"/>
      <c r="V328" s="568"/>
      <c r="W328" s="569"/>
      <c r="X328" s="569"/>
      <c r="Z328" s="569"/>
    </row>
    <row r="329" spans="1:26" s="483" customFormat="1" x14ac:dyDescent="0.2">
      <c r="A329" s="569"/>
      <c r="B329" s="568"/>
      <c r="C329" s="597"/>
      <c r="D329" s="597"/>
      <c r="G329" s="804"/>
      <c r="H329" s="804"/>
      <c r="I329" s="804"/>
      <c r="J329" s="804"/>
      <c r="K329" s="804"/>
      <c r="L329" s="804"/>
      <c r="M329" s="804"/>
      <c r="N329" s="804"/>
      <c r="O329" s="804"/>
      <c r="P329" s="804"/>
      <c r="Q329" s="804"/>
      <c r="R329" s="804"/>
      <c r="U329" s="569"/>
      <c r="V329" s="568"/>
      <c r="W329" s="569"/>
      <c r="Z329" s="569"/>
    </row>
    <row r="330" spans="1:26" s="483" customFormat="1" x14ac:dyDescent="0.2">
      <c r="A330" s="569"/>
      <c r="B330" s="568"/>
      <c r="C330" s="597"/>
      <c r="D330" s="597"/>
      <c r="G330" s="804"/>
      <c r="H330" s="804"/>
      <c r="I330" s="804"/>
      <c r="J330" s="804"/>
      <c r="K330" s="804"/>
      <c r="L330" s="804"/>
      <c r="M330" s="804"/>
      <c r="N330" s="804"/>
      <c r="O330" s="804"/>
      <c r="P330" s="804"/>
      <c r="Q330" s="804"/>
      <c r="R330" s="804"/>
      <c r="U330" s="569"/>
      <c r="V330" s="568"/>
      <c r="W330" s="569"/>
      <c r="Z330" s="569"/>
    </row>
    <row r="331" spans="1:26" s="483" customFormat="1" x14ac:dyDescent="0.2">
      <c r="A331" s="569"/>
      <c r="B331" s="568"/>
      <c r="C331" s="597"/>
      <c r="D331" s="597"/>
      <c r="G331" s="804"/>
      <c r="H331" s="804"/>
      <c r="I331" s="804"/>
      <c r="J331" s="804"/>
      <c r="K331" s="804"/>
      <c r="L331" s="804"/>
      <c r="M331" s="804"/>
      <c r="N331" s="804"/>
      <c r="O331" s="804"/>
      <c r="P331" s="804"/>
      <c r="Q331" s="804"/>
      <c r="R331" s="804"/>
      <c r="U331" s="569"/>
      <c r="V331" s="568"/>
      <c r="W331" s="569"/>
      <c r="Z331" s="569"/>
    </row>
    <row r="332" spans="1:26" s="483" customFormat="1" x14ac:dyDescent="0.2">
      <c r="A332" s="569"/>
      <c r="B332" s="568"/>
      <c r="C332" s="597"/>
      <c r="D332" s="597"/>
      <c r="G332" s="804"/>
      <c r="H332" s="804"/>
      <c r="I332" s="804"/>
      <c r="J332" s="804"/>
      <c r="K332" s="804"/>
      <c r="L332" s="804"/>
      <c r="M332" s="804"/>
      <c r="N332" s="804"/>
      <c r="O332" s="804"/>
      <c r="P332" s="804"/>
      <c r="Q332" s="804"/>
      <c r="R332" s="804"/>
      <c r="U332" s="569"/>
      <c r="V332" s="568"/>
      <c r="W332" s="569"/>
      <c r="Z332" s="569"/>
    </row>
    <row r="333" spans="1:26" s="483" customFormat="1" ht="20.25" x14ac:dyDescent="0.3">
      <c r="A333" s="569"/>
      <c r="B333" s="568"/>
      <c r="C333" s="597"/>
      <c r="D333" s="597"/>
      <c r="E333" s="1834"/>
      <c r="F333" s="1834"/>
      <c r="G333" s="804"/>
      <c r="H333" s="804"/>
      <c r="I333" s="804"/>
      <c r="J333" s="804"/>
      <c r="K333" s="804"/>
      <c r="L333" s="804"/>
      <c r="M333" s="804"/>
      <c r="N333" s="804"/>
      <c r="O333" s="804"/>
      <c r="P333" s="804"/>
      <c r="Q333" s="804"/>
      <c r="R333" s="804"/>
      <c r="U333" s="569"/>
      <c r="V333" s="568"/>
      <c r="W333" s="569"/>
      <c r="Z333" s="569"/>
    </row>
    <row r="334" spans="1:26" s="483" customFormat="1" x14ac:dyDescent="0.2">
      <c r="A334" s="569"/>
      <c r="B334" s="568"/>
      <c r="C334" s="597"/>
      <c r="D334" s="597"/>
      <c r="G334" s="804"/>
      <c r="H334" s="804"/>
      <c r="I334" s="804"/>
      <c r="J334" s="804"/>
      <c r="K334" s="804"/>
      <c r="L334" s="804"/>
      <c r="M334" s="804"/>
      <c r="N334" s="804"/>
      <c r="O334" s="804"/>
      <c r="P334" s="804"/>
      <c r="Q334" s="804"/>
      <c r="R334" s="804"/>
      <c r="U334" s="569"/>
      <c r="V334" s="568"/>
      <c r="W334" s="569"/>
      <c r="Z334" s="569"/>
    </row>
    <row r="335" spans="1:26" s="58" customFormat="1" x14ac:dyDescent="0.2">
      <c r="A335" s="596"/>
      <c r="B335" s="661"/>
      <c r="C335" s="597"/>
      <c r="D335" s="597"/>
      <c r="G335" s="661"/>
      <c r="H335" s="661"/>
      <c r="I335" s="661"/>
      <c r="J335" s="661"/>
      <c r="K335" s="661"/>
      <c r="L335" s="661"/>
      <c r="M335" s="661"/>
      <c r="N335" s="661"/>
      <c r="O335" s="661"/>
      <c r="P335" s="661"/>
      <c r="Q335" s="661"/>
      <c r="R335" s="661"/>
      <c r="S335" s="575"/>
      <c r="U335" s="596"/>
      <c r="V335" s="597"/>
      <c r="W335" s="596"/>
      <c r="X335" s="596"/>
      <c r="Z335" s="596"/>
    </row>
    <row r="336" spans="1:26" s="58" customFormat="1" x14ac:dyDescent="0.2">
      <c r="A336" s="596"/>
      <c r="B336" s="661"/>
      <c r="C336" s="597"/>
      <c r="D336" s="597"/>
      <c r="G336" s="661"/>
      <c r="H336" s="661"/>
      <c r="I336" s="661"/>
      <c r="J336" s="661"/>
      <c r="K336" s="661"/>
      <c r="L336" s="661"/>
      <c r="M336" s="661"/>
      <c r="N336" s="661"/>
      <c r="O336" s="661"/>
      <c r="P336" s="661"/>
      <c r="Q336" s="661"/>
      <c r="R336" s="661"/>
      <c r="S336" s="575"/>
      <c r="U336" s="596"/>
      <c r="V336" s="597"/>
      <c r="W336" s="596"/>
      <c r="Z336" s="596"/>
    </row>
    <row r="337" spans="1:26" s="58" customFormat="1" x14ac:dyDescent="0.2">
      <c r="A337" s="596"/>
      <c r="B337" s="661"/>
      <c r="C337" s="597"/>
      <c r="D337" s="597"/>
      <c r="G337" s="661"/>
      <c r="H337" s="661"/>
      <c r="I337" s="661"/>
      <c r="J337" s="661"/>
      <c r="K337" s="661"/>
      <c r="L337" s="661"/>
      <c r="M337" s="661"/>
      <c r="N337" s="661"/>
      <c r="O337" s="661"/>
      <c r="P337" s="661"/>
      <c r="Q337" s="661"/>
      <c r="R337" s="661"/>
      <c r="S337" s="575"/>
      <c r="U337" s="596"/>
      <c r="V337" s="597"/>
      <c r="W337" s="596"/>
      <c r="Z337" s="596"/>
    </row>
    <row r="338" spans="1:26" s="58" customFormat="1" x14ac:dyDescent="0.2">
      <c r="A338" s="596"/>
      <c r="B338" s="661"/>
      <c r="C338" s="597"/>
      <c r="D338" s="597"/>
      <c r="G338" s="661"/>
      <c r="H338" s="661"/>
      <c r="I338" s="661"/>
      <c r="J338" s="661"/>
      <c r="K338" s="661"/>
      <c r="L338" s="661"/>
      <c r="M338" s="661"/>
      <c r="N338" s="661"/>
      <c r="O338" s="661"/>
      <c r="P338" s="661"/>
      <c r="Q338" s="661"/>
      <c r="R338" s="661"/>
      <c r="S338" s="575"/>
      <c r="U338" s="596"/>
      <c r="V338" s="597"/>
      <c r="W338" s="596"/>
      <c r="Z338" s="596"/>
    </row>
    <row r="339" spans="1:26" s="58" customFormat="1" x14ac:dyDescent="0.2">
      <c r="A339" s="596"/>
      <c r="B339" s="661"/>
      <c r="C339" s="597"/>
      <c r="D339" s="597"/>
      <c r="G339" s="661"/>
      <c r="H339" s="661"/>
      <c r="I339" s="661"/>
      <c r="J339" s="661"/>
      <c r="K339" s="661"/>
      <c r="L339" s="661"/>
      <c r="M339" s="661"/>
      <c r="N339" s="661"/>
      <c r="O339" s="661"/>
      <c r="P339" s="661"/>
      <c r="Q339" s="661"/>
      <c r="R339" s="661"/>
      <c r="S339" s="575"/>
      <c r="U339" s="596"/>
      <c r="V339" s="597"/>
      <c r="W339" s="596"/>
      <c r="Z339" s="596"/>
    </row>
    <row r="340" spans="1:26" s="58" customFormat="1" x14ac:dyDescent="0.2">
      <c r="A340" s="596"/>
      <c r="B340" s="661"/>
      <c r="C340" s="597"/>
      <c r="D340" s="597"/>
      <c r="G340" s="661"/>
      <c r="H340" s="661"/>
      <c r="I340" s="661"/>
      <c r="J340" s="661"/>
      <c r="K340" s="661"/>
      <c r="L340" s="661"/>
      <c r="M340" s="661"/>
      <c r="N340" s="661"/>
      <c r="O340" s="661"/>
      <c r="P340" s="661"/>
      <c r="Q340" s="661"/>
      <c r="R340" s="661"/>
      <c r="S340" s="575"/>
      <c r="U340" s="596"/>
      <c r="V340" s="597"/>
      <c r="W340" s="596"/>
      <c r="Z340" s="596"/>
    </row>
    <row r="341" spans="1:26" s="58" customFormat="1" x14ac:dyDescent="0.2">
      <c r="A341" s="596"/>
      <c r="B341" s="661"/>
      <c r="C341" s="597"/>
      <c r="D341" s="597"/>
      <c r="G341" s="661"/>
      <c r="H341" s="661"/>
      <c r="I341" s="661"/>
      <c r="J341" s="661"/>
      <c r="K341" s="661"/>
      <c r="L341" s="661"/>
      <c r="M341" s="661"/>
      <c r="N341" s="661"/>
      <c r="O341" s="661"/>
      <c r="P341" s="661"/>
      <c r="Q341" s="661"/>
      <c r="R341" s="661"/>
      <c r="S341" s="575"/>
      <c r="U341" s="596"/>
      <c r="V341" s="597"/>
      <c r="W341" s="596"/>
      <c r="Z341" s="596"/>
    </row>
    <row r="342" spans="1:26" ht="20.25" x14ac:dyDescent="0.3">
      <c r="C342" s="1834"/>
      <c r="D342" s="1834"/>
      <c r="E342" s="1834"/>
      <c r="F342" s="1834"/>
      <c r="G342" s="1130"/>
      <c r="H342" s="1160"/>
      <c r="I342" s="1194"/>
      <c r="J342" s="1411"/>
      <c r="K342" s="1418"/>
      <c r="L342" s="1465"/>
      <c r="M342" s="1485"/>
      <c r="N342" s="1485"/>
      <c r="O342" s="1545"/>
      <c r="P342" s="1604"/>
      <c r="Q342" s="1641"/>
      <c r="R342" s="1726"/>
    </row>
    <row r="343" spans="1:26" ht="20.25" x14ac:dyDescent="0.3">
      <c r="C343" s="817"/>
      <c r="D343" s="817"/>
      <c r="E343" s="817"/>
      <c r="F343" s="817"/>
      <c r="G343" s="1130"/>
      <c r="H343" s="1160"/>
      <c r="I343" s="1194"/>
      <c r="J343" s="1411"/>
      <c r="K343" s="1418"/>
      <c r="L343" s="1465"/>
      <c r="M343" s="1485"/>
      <c r="N343" s="1485"/>
      <c r="O343" s="1545"/>
      <c r="P343" s="1604"/>
      <c r="Q343" s="1641"/>
      <c r="R343" s="1726"/>
    </row>
    <row r="344" spans="1:26" ht="20.25" x14ac:dyDescent="0.3">
      <c r="C344" s="817"/>
      <c r="D344" s="817"/>
      <c r="E344" s="1834"/>
      <c r="F344" s="1834"/>
      <c r="G344" s="1130"/>
      <c r="H344" s="1160"/>
      <c r="I344" s="1194"/>
      <c r="J344" s="1411"/>
      <c r="K344" s="1418"/>
      <c r="L344" s="1465"/>
      <c r="M344" s="1485"/>
      <c r="N344" s="1485"/>
      <c r="O344" s="1545"/>
      <c r="P344" s="1604"/>
      <c r="Q344" s="1641"/>
      <c r="R344" s="1726"/>
    </row>
    <row r="345" spans="1:26" ht="20.25" x14ac:dyDescent="0.3">
      <c r="C345" s="817"/>
      <c r="D345" s="817"/>
      <c r="E345" s="817"/>
      <c r="F345" s="817"/>
      <c r="G345" s="1130"/>
      <c r="H345" s="1160"/>
      <c r="I345" s="1194"/>
      <c r="J345" s="1411"/>
      <c r="K345" s="1418"/>
      <c r="L345" s="1465"/>
      <c r="M345" s="1485"/>
      <c r="N345" s="1485"/>
      <c r="O345" s="1545"/>
      <c r="P345" s="1604"/>
      <c r="Q345" s="1641"/>
      <c r="R345" s="1726"/>
    </row>
    <row r="346" spans="1:26" ht="20.25" x14ac:dyDescent="0.3">
      <c r="A346" s="483"/>
      <c r="C346" s="817"/>
      <c r="D346" s="817"/>
      <c r="E346" s="817"/>
      <c r="F346" s="817"/>
      <c r="G346" s="1130"/>
      <c r="H346" s="1160"/>
      <c r="I346" s="1194"/>
      <c r="J346" s="1411"/>
      <c r="K346" s="1418"/>
      <c r="L346" s="1465"/>
      <c r="M346" s="1485"/>
      <c r="N346" s="1485"/>
      <c r="O346" s="1545"/>
      <c r="P346" s="1604"/>
      <c r="Q346" s="1641"/>
      <c r="R346" s="1726"/>
    </row>
    <row r="347" spans="1:26" s="483" customFormat="1" x14ac:dyDescent="0.2">
      <c r="A347" s="569"/>
      <c r="B347" s="93"/>
      <c r="C347" s="597"/>
      <c r="D347" s="597"/>
      <c r="E347" s="478"/>
      <c r="F347" s="478"/>
      <c r="G347" s="792"/>
      <c r="H347" s="792"/>
      <c r="I347" s="792"/>
      <c r="J347" s="792"/>
      <c r="K347" s="792"/>
      <c r="L347" s="792"/>
      <c r="M347" s="792"/>
      <c r="N347" s="792"/>
      <c r="O347" s="792"/>
      <c r="P347" s="792"/>
      <c r="Q347" s="792"/>
      <c r="R347" s="792"/>
      <c r="S347" s="482"/>
      <c r="T347" s="86"/>
      <c r="U347" s="24"/>
      <c r="V347" s="93"/>
      <c r="W347" s="24"/>
      <c r="Y347" s="482"/>
      <c r="Z347" s="569"/>
    </row>
    <row r="348" spans="1:26" s="483" customFormat="1" x14ac:dyDescent="0.2">
      <c r="A348" s="569"/>
      <c r="B348" s="93"/>
      <c r="C348" s="597"/>
      <c r="D348" s="597"/>
      <c r="E348" s="478"/>
      <c r="F348" s="478"/>
      <c r="G348" s="792"/>
      <c r="H348" s="792"/>
      <c r="I348" s="792"/>
      <c r="J348" s="792"/>
      <c r="K348" s="792"/>
      <c r="L348" s="792"/>
      <c r="M348" s="792"/>
      <c r="N348" s="792"/>
      <c r="O348" s="792"/>
      <c r="P348" s="792"/>
      <c r="Q348" s="792"/>
      <c r="R348" s="792"/>
      <c r="S348" s="482"/>
      <c r="T348" s="86"/>
      <c r="U348" s="24"/>
      <c r="V348" s="93"/>
      <c r="W348" s="24"/>
      <c r="Y348" s="482"/>
      <c r="Z348" s="569"/>
    </row>
    <row r="349" spans="1:26" s="483" customFormat="1" x14ac:dyDescent="0.2">
      <c r="A349" s="569"/>
      <c r="B349" s="93"/>
      <c r="C349" s="597"/>
      <c r="D349" s="597"/>
      <c r="E349" s="478"/>
      <c r="F349" s="478"/>
      <c r="G349" s="792"/>
      <c r="H349" s="792"/>
      <c r="I349" s="792"/>
      <c r="J349" s="792"/>
      <c r="K349" s="792"/>
      <c r="L349" s="792"/>
      <c r="M349" s="792"/>
      <c r="N349" s="792"/>
      <c r="O349" s="792"/>
      <c r="P349" s="792"/>
      <c r="Q349" s="792"/>
      <c r="R349" s="792"/>
      <c r="S349" s="482"/>
      <c r="T349" s="86"/>
      <c r="U349" s="24"/>
      <c r="V349" s="93"/>
      <c r="W349" s="24"/>
      <c r="Y349" s="482"/>
      <c r="Z349" s="569"/>
    </row>
    <row r="350" spans="1:26" s="483" customFormat="1" x14ac:dyDescent="0.2">
      <c r="A350" s="569"/>
      <c r="B350" s="93"/>
      <c r="C350" s="597"/>
      <c r="D350" s="597"/>
      <c r="E350" s="478"/>
      <c r="F350" s="478"/>
      <c r="G350" s="792"/>
      <c r="H350" s="792"/>
      <c r="I350" s="792"/>
      <c r="J350" s="792"/>
      <c r="K350" s="792"/>
      <c r="L350" s="792"/>
      <c r="M350" s="792"/>
      <c r="N350" s="792"/>
      <c r="O350" s="792"/>
      <c r="P350" s="792"/>
      <c r="Q350" s="792"/>
      <c r="R350" s="792"/>
      <c r="S350" s="482"/>
      <c r="T350" s="86"/>
      <c r="U350" s="24"/>
      <c r="V350" s="93"/>
      <c r="W350" s="24"/>
      <c r="Y350" s="482"/>
      <c r="Z350" s="569"/>
    </row>
    <row r="352" spans="1:26" s="652" customFormat="1" x14ac:dyDescent="0.2">
      <c r="A352" s="578"/>
      <c r="B352" s="718"/>
      <c r="C352" s="717"/>
      <c r="D352" s="717"/>
      <c r="E352" s="564"/>
      <c r="F352" s="564"/>
      <c r="G352" s="658"/>
      <c r="H352" s="658"/>
      <c r="I352" s="658"/>
      <c r="J352" s="658"/>
      <c r="K352" s="658"/>
      <c r="L352" s="658"/>
      <c r="M352" s="658"/>
      <c r="N352" s="658"/>
      <c r="O352" s="658"/>
      <c r="P352" s="658"/>
      <c r="Q352" s="658"/>
      <c r="R352" s="658"/>
      <c r="S352" s="573"/>
      <c r="T352" s="720"/>
      <c r="U352" s="720"/>
      <c r="V352" s="564"/>
      <c r="W352" s="721"/>
      <c r="X352" s="649"/>
      <c r="Y352" s="573"/>
    </row>
    <row r="353" spans="1:26" s="652" customFormat="1" x14ac:dyDescent="0.2">
      <c r="A353" s="578"/>
      <c r="B353" s="718"/>
      <c r="C353" s="717"/>
      <c r="D353" s="717"/>
      <c r="E353" s="564"/>
      <c r="F353" s="564"/>
      <c r="G353" s="658"/>
      <c r="H353" s="658"/>
      <c r="I353" s="658"/>
      <c r="J353" s="658"/>
      <c r="K353" s="658"/>
      <c r="L353" s="658"/>
      <c r="M353" s="658"/>
      <c r="N353" s="658"/>
      <c r="O353" s="658"/>
      <c r="P353" s="658"/>
      <c r="Q353" s="658"/>
      <c r="R353" s="658"/>
      <c r="S353" s="573"/>
      <c r="T353" s="720"/>
      <c r="U353" s="720"/>
      <c r="V353" s="564"/>
      <c r="W353" s="721"/>
      <c r="X353" s="649"/>
      <c r="Y353" s="573"/>
    </row>
    <row r="354" spans="1:26" s="652" customFormat="1" x14ac:dyDescent="0.2">
      <c r="A354" s="649"/>
      <c r="B354" s="752"/>
      <c r="C354" s="646"/>
      <c r="D354" s="646"/>
      <c r="E354" s="646"/>
      <c r="F354" s="646"/>
      <c r="G354" s="813"/>
      <c r="H354" s="813"/>
      <c r="I354" s="813"/>
      <c r="J354" s="813"/>
      <c r="K354" s="813"/>
      <c r="L354" s="813"/>
      <c r="M354" s="813"/>
      <c r="N354" s="813"/>
      <c r="O354" s="813"/>
      <c r="P354" s="813"/>
      <c r="Q354" s="813"/>
      <c r="R354" s="813"/>
      <c r="S354" s="573"/>
      <c r="T354" s="573"/>
      <c r="U354" s="573"/>
      <c r="V354" s="646"/>
      <c r="W354" s="573"/>
      <c r="X354" s="649"/>
      <c r="Y354" s="573"/>
      <c r="Z354" s="649"/>
    </row>
    <row r="355" spans="1:26" s="652" customFormat="1" x14ac:dyDescent="0.2">
      <c r="A355" s="649"/>
      <c r="B355" s="658"/>
      <c r="C355" s="646"/>
      <c r="D355" s="646"/>
      <c r="G355" s="658"/>
      <c r="H355" s="658"/>
      <c r="I355" s="658"/>
      <c r="J355" s="658"/>
      <c r="K355" s="658"/>
      <c r="L355" s="658"/>
      <c r="M355" s="658"/>
      <c r="N355" s="658"/>
      <c r="O355" s="658"/>
      <c r="P355" s="658"/>
      <c r="Q355" s="658"/>
      <c r="R355" s="658"/>
      <c r="U355" s="649"/>
      <c r="V355" s="646"/>
      <c r="W355" s="649"/>
      <c r="X355" s="684"/>
      <c r="Z355" s="649"/>
    </row>
    <row r="356" spans="1:26" s="652" customFormat="1" x14ac:dyDescent="0.2">
      <c r="A356" s="649"/>
      <c r="B356" s="658"/>
      <c r="C356" s="646"/>
      <c r="D356" s="646"/>
      <c r="G356" s="658"/>
      <c r="H356" s="658"/>
      <c r="I356" s="658"/>
      <c r="J356" s="658"/>
      <c r="K356" s="658"/>
      <c r="L356" s="658"/>
      <c r="M356" s="658"/>
      <c r="N356" s="658"/>
      <c r="O356" s="658"/>
      <c r="P356" s="658"/>
      <c r="Q356" s="658"/>
      <c r="R356" s="658"/>
      <c r="U356" s="649"/>
      <c r="V356" s="646"/>
      <c r="W356" s="649"/>
      <c r="X356" s="684"/>
      <c r="Z356" s="649"/>
    </row>
    <row r="357" spans="1:26" s="652" customFormat="1" x14ac:dyDescent="0.2">
      <c r="A357" s="649"/>
      <c r="B357" s="658"/>
      <c r="C357" s="646"/>
      <c r="D357" s="646"/>
      <c r="G357" s="658"/>
      <c r="H357" s="658"/>
      <c r="I357" s="658"/>
      <c r="J357" s="658"/>
      <c r="K357" s="658"/>
      <c r="L357" s="658"/>
      <c r="M357" s="658"/>
      <c r="N357" s="658"/>
      <c r="O357" s="658"/>
      <c r="P357" s="658"/>
      <c r="Q357" s="658"/>
      <c r="R357" s="658"/>
      <c r="U357" s="649"/>
      <c r="V357" s="646"/>
      <c r="W357" s="649"/>
      <c r="X357" s="684"/>
      <c r="Z357" s="649"/>
    </row>
    <row r="358" spans="1:26" s="652" customFormat="1" x14ac:dyDescent="0.2">
      <c r="A358" s="649"/>
      <c r="B358" s="658"/>
      <c r="C358" s="646"/>
      <c r="D358" s="646"/>
      <c r="G358" s="813"/>
      <c r="H358" s="813"/>
      <c r="I358" s="813"/>
      <c r="J358" s="813"/>
      <c r="K358" s="813"/>
      <c r="L358" s="813"/>
      <c r="M358" s="813"/>
      <c r="N358" s="813"/>
      <c r="O358" s="813"/>
      <c r="P358" s="813"/>
      <c r="Q358" s="813"/>
      <c r="R358" s="813"/>
      <c r="U358" s="649"/>
      <c r="V358" s="646"/>
      <c r="W358" s="649"/>
      <c r="X358" s="684"/>
      <c r="Z358" s="649"/>
    </row>
    <row r="359" spans="1:26" s="652" customFormat="1" x14ac:dyDescent="0.2">
      <c r="A359" s="649"/>
      <c r="B359" s="658"/>
      <c r="C359" s="646"/>
      <c r="D359" s="646"/>
      <c r="G359" s="658"/>
      <c r="H359" s="658"/>
      <c r="I359" s="658"/>
      <c r="J359" s="658"/>
      <c r="K359" s="658"/>
      <c r="L359" s="658"/>
      <c r="M359" s="658"/>
      <c r="N359" s="658"/>
      <c r="O359" s="658"/>
      <c r="P359" s="658"/>
      <c r="Q359" s="658"/>
      <c r="R359" s="658"/>
      <c r="U359" s="649"/>
      <c r="V359" s="646"/>
      <c r="W359" s="649"/>
      <c r="X359" s="684"/>
      <c r="Z359" s="649"/>
    </row>
    <row r="360" spans="1:26" ht="20.25" x14ac:dyDescent="0.3">
      <c r="C360" s="817"/>
      <c r="D360" s="817"/>
      <c r="E360" s="1834"/>
      <c r="F360" s="1834"/>
      <c r="G360" s="1130"/>
      <c r="H360" s="1160"/>
      <c r="I360" s="1194"/>
      <c r="J360" s="1411"/>
      <c r="K360" s="1418"/>
      <c r="L360" s="1465"/>
      <c r="M360" s="1485"/>
      <c r="N360" s="1485"/>
      <c r="O360" s="1545"/>
      <c r="P360" s="1604"/>
      <c r="Q360" s="1641"/>
      <c r="R360" s="1726"/>
      <c r="T360" s="58"/>
    </row>
    <row r="361" spans="1:26" s="652" customFormat="1" x14ac:dyDescent="0.2">
      <c r="A361" s="578"/>
      <c r="B361" s="658"/>
      <c r="C361" s="646"/>
      <c r="D361" s="646"/>
      <c r="G361" s="658"/>
      <c r="H361" s="658"/>
      <c r="I361" s="658"/>
      <c r="J361" s="658"/>
      <c r="K361" s="658"/>
      <c r="L361" s="658"/>
      <c r="M361" s="658"/>
      <c r="N361" s="658"/>
      <c r="O361" s="658"/>
      <c r="P361" s="658"/>
      <c r="Q361" s="658"/>
      <c r="R361" s="658"/>
      <c r="U361" s="649"/>
      <c r="V361" s="646"/>
      <c r="W361" s="649"/>
      <c r="X361" s="684"/>
      <c r="Z361" s="649"/>
    </row>
    <row r="362" spans="1:26" s="652" customFormat="1" x14ac:dyDescent="0.2">
      <c r="A362" s="649"/>
      <c r="B362" s="658"/>
      <c r="C362" s="646"/>
      <c r="D362" s="646"/>
      <c r="G362" s="658"/>
      <c r="H362" s="658"/>
      <c r="I362" s="658"/>
      <c r="J362" s="658"/>
      <c r="K362" s="658"/>
      <c r="L362" s="658"/>
      <c r="M362" s="658"/>
      <c r="N362" s="658"/>
      <c r="O362" s="658"/>
      <c r="P362" s="658"/>
      <c r="Q362" s="658"/>
      <c r="R362" s="658"/>
      <c r="U362" s="649"/>
      <c r="V362" s="646"/>
      <c r="W362" s="649"/>
      <c r="X362" s="684"/>
      <c r="Z362" s="649"/>
    </row>
    <row r="363" spans="1:26" s="575" customFormat="1" x14ac:dyDescent="0.2">
      <c r="A363" s="578"/>
      <c r="B363" s="621"/>
      <c r="C363" s="597"/>
      <c r="D363" s="597"/>
      <c r="E363" s="597"/>
      <c r="F363" s="597"/>
      <c r="G363" s="601"/>
      <c r="H363" s="601"/>
      <c r="I363" s="601"/>
      <c r="J363" s="601"/>
      <c r="K363" s="601"/>
      <c r="L363" s="601"/>
      <c r="M363" s="601"/>
      <c r="N363" s="601"/>
      <c r="O363" s="601"/>
      <c r="P363" s="601"/>
      <c r="Q363" s="601"/>
      <c r="R363" s="601"/>
      <c r="S363" s="485"/>
      <c r="T363" s="577"/>
      <c r="U363" s="579"/>
      <c r="V363" s="96"/>
      <c r="W363" s="579"/>
      <c r="Y363" s="485"/>
      <c r="Z363" s="578"/>
    </row>
    <row r="364" spans="1:26" s="575" customFormat="1" x14ac:dyDescent="0.2">
      <c r="A364" s="578"/>
      <c r="B364" s="637"/>
      <c r="C364" s="597"/>
      <c r="D364" s="597"/>
      <c r="G364" s="672"/>
      <c r="H364" s="672"/>
      <c r="I364" s="672"/>
      <c r="J364" s="672"/>
      <c r="K364" s="672"/>
      <c r="L364" s="672"/>
      <c r="M364" s="672"/>
      <c r="N364" s="672"/>
      <c r="O364" s="672"/>
      <c r="P364" s="672"/>
      <c r="Q364" s="672"/>
      <c r="R364" s="672"/>
      <c r="U364" s="578"/>
      <c r="V364" s="637"/>
      <c r="W364" s="578"/>
      <c r="Z364" s="578"/>
    </row>
    <row r="365" spans="1:26" s="575" customFormat="1" x14ac:dyDescent="0.2">
      <c r="A365" s="578"/>
      <c r="B365" s="621"/>
      <c r="C365" s="597"/>
      <c r="D365" s="597"/>
      <c r="E365" s="96"/>
      <c r="F365" s="96"/>
      <c r="G365" s="601"/>
      <c r="H365" s="601"/>
      <c r="I365" s="601"/>
      <c r="J365" s="601"/>
      <c r="K365" s="601"/>
      <c r="L365" s="601"/>
      <c r="M365" s="601"/>
      <c r="N365" s="601"/>
      <c r="O365" s="601"/>
      <c r="P365" s="601"/>
      <c r="Q365" s="601"/>
      <c r="R365" s="601"/>
      <c r="S365" s="485"/>
      <c r="T365" s="577"/>
      <c r="U365" s="579"/>
      <c r="V365" s="96"/>
      <c r="W365" s="579"/>
      <c r="Y365" s="485"/>
    </row>
    <row r="366" spans="1:26" s="575" customFormat="1" x14ac:dyDescent="0.2">
      <c r="A366" s="578"/>
      <c r="B366" s="637"/>
      <c r="C366" s="597"/>
      <c r="D366" s="597"/>
      <c r="G366" s="672"/>
      <c r="H366" s="672"/>
      <c r="I366" s="672"/>
      <c r="J366" s="672"/>
      <c r="K366" s="672"/>
      <c r="L366" s="672"/>
      <c r="M366" s="672"/>
      <c r="N366" s="672"/>
      <c r="O366" s="672"/>
      <c r="P366" s="672"/>
      <c r="Q366" s="672"/>
      <c r="R366" s="672"/>
      <c r="U366" s="578"/>
      <c r="V366" s="637"/>
      <c r="W366" s="578"/>
      <c r="Z366" s="578"/>
    </row>
    <row r="367" spans="1:26" s="575" customFormat="1" x14ac:dyDescent="0.2">
      <c r="A367" s="578"/>
      <c r="B367" s="637"/>
      <c r="C367" s="597"/>
      <c r="D367" s="597"/>
      <c r="G367" s="672"/>
      <c r="H367" s="672"/>
      <c r="I367" s="672"/>
      <c r="J367" s="672"/>
      <c r="K367" s="672"/>
      <c r="L367" s="672"/>
      <c r="M367" s="672"/>
      <c r="N367" s="672"/>
      <c r="O367" s="672"/>
      <c r="P367" s="672"/>
      <c r="Q367" s="672"/>
      <c r="R367" s="672"/>
      <c r="U367" s="578"/>
      <c r="V367" s="637"/>
      <c r="W367" s="578"/>
      <c r="Z367" s="578"/>
    </row>
    <row r="368" spans="1:26" s="575" customFormat="1" x14ac:dyDescent="0.2">
      <c r="A368" s="578"/>
      <c r="B368" s="637"/>
      <c r="C368" s="597"/>
      <c r="D368" s="597"/>
      <c r="G368" s="672"/>
      <c r="H368" s="672"/>
      <c r="I368" s="672"/>
      <c r="J368" s="672"/>
      <c r="K368" s="672"/>
      <c r="L368" s="672"/>
      <c r="M368" s="672"/>
      <c r="N368" s="672"/>
      <c r="O368" s="672"/>
      <c r="P368" s="672"/>
      <c r="Q368" s="672"/>
      <c r="R368" s="672"/>
      <c r="U368" s="578"/>
      <c r="V368" s="637"/>
      <c r="W368" s="578"/>
      <c r="Z368" s="578"/>
    </row>
    <row r="369" spans="1:26" s="652" customFormat="1" x14ac:dyDescent="0.2">
      <c r="A369" s="578"/>
      <c r="B369" s="658"/>
      <c r="C369" s="646"/>
      <c r="D369" s="646"/>
      <c r="G369" s="658"/>
      <c r="H369" s="658"/>
      <c r="I369" s="658"/>
      <c r="J369" s="658"/>
      <c r="K369" s="658"/>
      <c r="L369" s="658"/>
      <c r="M369" s="658"/>
      <c r="N369" s="658"/>
      <c r="O369" s="658"/>
      <c r="P369" s="658"/>
      <c r="Q369" s="658"/>
      <c r="R369" s="658"/>
      <c r="U369" s="649"/>
      <c r="V369" s="646"/>
      <c r="W369" s="649"/>
      <c r="X369" s="684"/>
      <c r="Z369" s="649"/>
    </row>
    <row r="370" spans="1:26" s="652" customFormat="1" x14ac:dyDescent="0.2">
      <c r="A370" s="649"/>
      <c r="B370" s="658"/>
      <c r="C370" s="646"/>
      <c r="D370" s="646"/>
      <c r="G370" s="658"/>
      <c r="H370" s="658"/>
      <c r="I370" s="658"/>
      <c r="J370" s="658"/>
      <c r="K370" s="658"/>
      <c r="L370" s="658"/>
      <c r="M370" s="658"/>
      <c r="N370" s="658"/>
      <c r="O370" s="658"/>
      <c r="P370" s="658"/>
      <c r="Q370" s="658"/>
      <c r="R370" s="658"/>
      <c r="U370" s="649"/>
      <c r="V370" s="646"/>
      <c r="W370" s="649"/>
      <c r="X370" s="684"/>
      <c r="Z370" s="649"/>
    </row>
    <row r="371" spans="1:26" s="652" customFormat="1" x14ac:dyDescent="0.2">
      <c r="A371" s="649"/>
      <c r="B371" s="657"/>
      <c r="C371" s="646"/>
      <c r="D371" s="646"/>
      <c r="E371" s="646"/>
      <c r="F371" s="646"/>
      <c r="G371" s="658"/>
      <c r="H371" s="658"/>
      <c r="I371" s="658"/>
      <c r="J371" s="658"/>
      <c r="K371" s="658"/>
      <c r="L371" s="658"/>
      <c r="M371" s="658"/>
      <c r="N371" s="658"/>
      <c r="O371" s="658"/>
      <c r="P371" s="658"/>
      <c r="Q371" s="658"/>
      <c r="R371" s="658"/>
      <c r="S371" s="573"/>
      <c r="T371" s="573"/>
      <c r="U371" s="651"/>
      <c r="V371" s="646"/>
      <c r="W371" s="651"/>
      <c r="X371" s="684"/>
      <c r="Y371" s="573"/>
      <c r="Z371" s="649"/>
    </row>
    <row r="372" spans="1:26" s="652" customFormat="1" x14ac:dyDescent="0.2">
      <c r="A372" s="649"/>
      <c r="B372" s="657"/>
      <c r="C372" s="646"/>
      <c r="D372" s="646"/>
      <c r="E372" s="646"/>
      <c r="F372" s="646"/>
      <c r="G372" s="658"/>
      <c r="H372" s="658"/>
      <c r="I372" s="658"/>
      <c r="J372" s="658"/>
      <c r="K372" s="658"/>
      <c r="L372" s="658"/>
      <c r="M372" s="658"/>
      <c r="N372" s="658"/>
      <c r="O372" s="658"/>
      <c r="P372" s="658"/>
      <c r="Q372" s="658"/>
      <c r="R372" s="658"/>
      <c r="S372" s="573"/>
      <c r="T372" s="573"/>
      <c r="U372" s="651"/>
      <c r="V372" s="646"/>
      <c r="W372" s="651"/>
      <c r="X372" s="684"/>
      <c r="Y372" s="573"/>
      <c r="Z372" s="649"/>
    </row>
    <row r="373" spans="1:26" s="652" customFormat="1" x14ac:dyDescent="0.2">
      <c r="A373" s="649"/>
      <c r="B373" s="657"/>
      <c r="C373" s="646"/>
      <c r="D373" s="646"/>
      <c r="E373" s="646"/>
      <c r="F373" s="646"/>
      <c r="G373" s="658"/>
      <c r="H373" s="658"/>
      <c r="I373" s="658"/>
      <c r="J373" s="658"/>
      <c r="K373" s="658"/>
      <c r="L373" s="658"/>
      <c r="M373" s="658"/>
      <c r="N373" s="658"/>
      <c r="O373" s="658"/>
      <c r="P373" s="658"/>
      <c r="Q373" s="658"/>
      <c r="R373" s="658"/>
      <c r="S373" s="573"/>
      <c r="T373" s="573"/>
      <c r="U373" s="651"/>
      <c r="V373" s="646"/>
      <c r="W373" s="651"/>
      <c r="X373" s="684"/>
      <c r="Y373" s="573"/>
      <c r="Z373" s="649"/>
    </row>
    <row r="374" spans="1:26" s="652" customFormat="1" x14ac:dyDescent="0.2">
      <c r="A374" s="649"/>
      <c r="B374" s="658"/>
      <c r="C374" s="646"/>
      <c r="D374" s="646"/>
      <c r="G374" s="658"/>
      <c r="H374" s="658"/>
      <c r="I374" s="658"/>
      <c r="J374" s="658"/>
      <c r="K374" s="658"/>
      <c r="L374" s="658"/>
      <c r="M374" s="658"/>
      <c r="N374" s="658"/>
      <c r="O374" s="658"/>
      <c r="P374" s="658"/>
      <c r="Q374" s="658"/>
      <c r="R374" s="658"/>
      <c r="U374" s="649"/>
      <c r="V374" s="564"/>
      <c r="W374" s="649"/>
      <c r="X374" s="684"/>
      <c r="Z374" s="649"/>
    </row>
    <row r="375" spans="1:26" s="652" customFormat="1" x14ac:dyDescent="0.2">
      <c r="A375" s="649"/>
      <c r="B375" s="564"/>
      <c r="C375" s="646"/>
      <c r="D375" s="646"/>
      <c r="E375" s="646"/>
      <c r="F375" s="646"/>
      <c r="G375" s="658"/>
      <c r="H375" s="658"/>
      <c r="I375" s="658"/>
      <c r="J375" s="658"/>
      <c r="K375" s="658"/>
      <c r="L375" s="658"/>
      <c r="M375" s="658"/>
      <c r="N375" s="658"/>
      <c r="O375" s="658"/>
      <c r="P375" s="658"/>
      <c r="Q375" s="658"/>
      <c r="R375" s="658"/>
      <c r="S375" s="573"/>
      <c r="T375" s="720"/>
      <c r="U375" s="721"/>
      <c r="V375" s="564"/>
      <c r="W375" s="721"/>
      <c r="X375" s="684"/>
      <c r="Y375" s="573"/>
      <c r="Z375" s="649"/>
    </row>
    <row r="376" spans="1:26" s="652" customFormat="1" x14ac:dyDescent="0.2">
      <c r="A376" s="649"/>
      <c r="B376" s="657"/>
      <c r="C376" s="646"/>
      <c r="D376" s="646"/>
      <c r="E376" s="646"/>
      <c r="F376" s="646"/>
      <c r="G376" s="658"/>
      <c r="H376" s="658"/>
      <c r="I376" s="658"/>
      <c r="J376" s="658"/>
      <c r="K376" s="658"/>
      <c r="L376" s="658"/>
      <c r="M376" s="658"/>
      <c r="N376" s="658"/>
      <c r="O376" s="658"/>
      <c r="P376" s="658"/>
      <c r="Q376" s="658"/>
      <c r="R376" s="658"/>
      <c r="S376" s="573"/>
      <c r="T376" s="573"/>
      <c r="U376" s="651"/>
      <c r="V376" s="646"/>
      <c r="W376" s="651"/>
      <c r="X376" s="684"/>
      <c r="Y376" s="573"/>
      <c r="Z376" s="649"/>
    </row>
    <row r="377" spans="1:26" s="652" customFormat="1" x14ac:dyDescent="0.2">
      <c r="A377" s="649"/>
      <c r="B377" s="657"/>
      <c r="C377" s="646"/>
      <c r="D377" s="646"/>
      <c r="E377" s="646"/>
      <c r="F377" s="646"/>
      <c r="G377" s="658"/>
      <c r="H377" s="658"/>
      <c r="I377" s="658"/>
      <c r="J377" s="658"/>
      <c r="K377" s="658"/>
      <c r="L377" s="658"/>
      <c r="M377" s="658"/>
      <c r="N377" s="658"/>
      <c r="O377" s="658"/>
      <c r="P377" s="658"/>
      <c r="Q377" s="658"/>
      <c r="R377" s="658"/>
      <c r="S377" s="573"/>
      <c r="T377" s="573"/>
      <c r="U377" s="651"/>
      <c r="V377" s="646"/>
      <c r="W377" s="651"/>
      <c r="X377" s="684"/>
      <c r="Y377" s="573"/>
      <c r="Z377" s="649"/>
    </row>
    <row r="378" spans="1:26" s="652" customFormat="1" x14ac:dyDescent="0.2">
      <c r="A378" s="649"/>
      <c r="B378" s="646"/>
      <c r="C378" s="646"/>
      <c r="D378" s="646"/>
      <c r="E378" s="646"/>
      <c r="F378" s="646"/>
      <c r="G378" s="658"/>
      <c r="H378" s="658"/>
      <c r="I378" s="658"/>
      <c r="J378" s="658"/>
      <c r="K378" s="658"/>
      <c r="L378" s="658"/>
      <c r="M378" s="658"/>
      <c r="N378" s="658"/>
      <c r="O378" s="658"/>
      <c r="P378" s="658"/>
      <c r="Q378" s="658"/>
      <c r="R378" s="658"/>
      <c r="S378" s="573"/>
      <c r="T378" s="573"/>
      <c r="U378" s="651"/>
      <c r="V378" s="684"/>
      <c r="W378" s="651"/>
      <c r="X378" s="684"/>
      <c r="Y378" s="573"/>
      <c r="Z378" s="649"/>
    </row>
    <row r="379" spans="1:26" s="652" customFormat="1" x14ac:dyDescent="0.2">
      <c r="A379" s="649"/>
      <c r="B379" s="657"/>
      <c r="C379" s="646"/>
      <c r="D379" s="646"/>
      <c r="E379" s="646"/>
      <c r="F379" s="646"/>
      <c r="G379" s="658"/>
      <c r="H379" s="658"/>
      <c r="I379" s="658"/>
      <c r="J379" s="658"/>
      <c r="K379" s="658"/>
      <c r="L379" s="658"/>
      <c r="M379" s="658"/>
      <c r="N379" s="658"/>
      <c r="O379" s="658"/>
      <c r="P379" s="658"/>
      <c r="Q379" s="658"/>
      <c r="R379" s="658"/>
      <c r="S379" s="573"/>
      <c r="T379" s="573"/>
      <c r="U379" s="651"/>
      <c r="V379" s="646"/>
      <c r="W379" s="651"/>
      <c r="X379" s="684"/>
      <c r="Y379" s="573"/>
      <c r="Z379" s="649"/>
    </row>
    <row r="380" spans="1:26" s="652" customFormat="1" x14ac:dyDescent="0.2">
      <c r="A380" s="649"/>
      <c r="B380" s="657"/>
      <c r="C380" s="646"/>
      <c r="D380" s="646"/>
      <c r="E380" s="646"/>
      <c r="F380" s="646"/>
      <c r="G380" s="658"/>
      <c r="H380" s="658"/>
      <c r="I380" s="658"/>
      <c r="J380" s="658"/>
      <c r="K380" s="658"/>
      <c r="L380" s="658"/>
      <c r="M380" s="658"/>
      <c r="N380" s="658"/>
      <c r="O380" s="658"/>
      <c r="P380" s="658"/>
      <c r="Q380" s="658"/>
      <c r="R380" s="658"/>
      <c r="S380" s="573"/>
      <c r="T380" s="573"/>
      <c r="U380" s="651"/>
      <c r="V380" s="646"/>
      <c r="W380" s="651"/>
      <c r="X380" s="684"/>
      <c r="Y380" s="573"/>
      <c r="Z380" s="649"/>
    </row>
    <row r="381" spans="1:26" s="652" customFormat="1" ht="20.25" x14ac:dyDescent="0.3">
      <c r="A381" s="649"/>
      <c r="B381" s="657"/>
      <c r="C381" s="646"/>
      <c r="D381" s="646"/>
      <c r="E381" s="1834"/>
      <c r="F381" s="1834"/>
      <c r="G381" s="658"/>
      <c r="H381" s="658"/>
      <c r="I381" s="658"/>
      <c r="J381" s="658"/>
      <c r="K381" s="658"/>
      <c r="L381" s="658"/>
      <c r="M381" s="658"/>
      <c r="N381" s="658"/>
      <c r="O381" s="658"/>
      <c r="P381" s="658"/>
      <c r="Q381" s="658"/>
      <c r="R381" s="658"/>
      <c r="S381" s="573"/>
      <c r="T381" s="573"/>
      <c r="U381" s="651"/>
      <c r="V381" s="646"/>
      <c r="W381" s="651"/>
      <c r="X381" s="684"/>
      <c r="Y381" s="573"/>
      <c r="Z381" s="649"/>
    </row>
    <row r="382" spans="1:26" s="652" customFormat="1" ht="20.25" x14ac:dyDescent="0.3">
      <c r="A382" s="649"/>
      <c r="B382" s="657"/>
      <c r="C382" s="646"/>
      <c r="D382" s="646"/>
      <c r="E382" s="817"/>
      <c r="F382" s="817"/>
      <c r="G382" s="658"/>
      <c r="H382" s="658"/>
      <c r="I382" s="658"/>
      <c r="J382" s="658"/>
      <c r="K382" s="658"/>
      <c r="L382" s="658"/>
      <c r="M382" s="658"/>
      <c r="N382" s="658"/>
      <c r="O382" s="658"/>
      <c r="P382" s="658"/>
      <c r="Q382" s="658"/>
      <c r="R382" s="658"/>
      <c r="S382" s="573"/>
      <c r="T382" s="573"/>
      <c r="U382" s="651"/>
      <c r="V382" s="646"/>
      <c r="W382" s="651"/>
      <c r="X382" s="684"/>
      <c r="Y382" s="573"/>
      <c r="Z382" s="649"/>
    </row>
    <row r="383" spans="1:26" s="652" customFormat="1" x14ac:dyDescent="0.2">
      <c r="A383" s="578"/>
      <c r="B383" s="657"/>
      <c r="C383" s="646"/>
      <c r="D383" s="646"/>
      <c r="E383" s="646"/>
      <c r="F383" s="646"/>
      <c r="G383" s="658"/>
      <c r="H383" s="658"/>
      <c r="I383" s="658"/>
      <c r="J383" s="658"/>
      <c r="K383" s="658"/>
      <c r="L383" s="658"/>
      <c r="M383" s="658"/>
      <c r="N383" s="658"/>
      <c r="O383" s="658"/>
      <c r="P383" s="658"/>
      <c r="Q383" s="658"/>
      <c r="R383" s="658"/>
      <c r="S383" s="573"/>
      <c r="T383" s="573"/>
      <c r="U383" s="651"/>
      <c r="V383" s="646"/>
      <c r="W383" s="651"/>
      <c r="X383" s="684"/>
      <c r="Y383" s="573"/>
      <c r="Z383" s="649"/>
    </row>
    <row r="384" spans="1:26" s="652" customFormat="1" x14ac:dyDescent="0.2">
      <c r="A384" s="649"/>
      <c r="B384" s="657"/>
      <c r="C384" s="646"/>
      <c r="D384" s="646"/>
      <c r="E384" s="646"/>
      <c r="F384" s="646"/>
      <c r="G384" s="658"/>
      <c r="H384" s="658"/>
      <c r="I384" s="658"/>
      <c r="J384" s="658"/>
      <c r="K384" s="658"/>
      <c r="L384" s="658"/>
      <c r="M384" s="658"/>
      <c r="N384" s="658"/>
      <c r="O384" s="658"/>
      <c r="P384" s="658"/>
      <c r="Q384" s="658"/>
      <c r="R384" s="658"/>
      <c r="S384" s="573"/>
      <c r="T384" s="573"/>
      <c r="U384" s="651"/>
      <c r="V384" s="646"/>
      <c r="W384" s="651"/>
      <c r="X384" s="684"/>
      <c r="Y384" s="573"/>
      <c r="Z384" s="649"/>
    </row>
    <row r="385" spans="1:26" s="652" customFormat="1" x14ac:dyDescent="0.2">
      <c r="A385" s="649"/>
      <c r="B385" s="775"/>
      <c r="C385" s="646"/>
      <c r="D385" s="646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  <c r="Q385" s="659"/>
      <c r="R385" s="659"/>
      <c r="V385" s="658"/>
      <c r="W385" s="718"/>
      <c r="Z385" s="649"/>
    </row>
    <row r="386" spans="1:26" s="652" customFormat="1" x14ac:dyDescent="0.2">
      <c r="A386" s="649"/>
      <c r="B386" s="658"/>
      <c r="C386" s="646"/>
      <c r="D386" s="646"/>
      <c r="G386" s="650"/>
      <c r="H386" s="650"/>
      <c r="I386" s="650"/>
      <c r="J386" s="650"/>
      <c r="K386" s="650"/>
      <c r="L386" s="650"/>
      <c r="M386" s="650"/>
      <c r="N386" s="650"/>
      <c r="O386" s="650"/>
      <c r="P386" s="650"/>
      <c r="Q386" s="650"/>
      <c r="R386" s="650"/>
      <c r="U386" s="649"/>
      <c r="V386" s="658"/>
      <c r="W386" s="649"/>
      <c r="X386" s="684"/>
      <c r="Z386" s="649"/>
    </row>
    <row r="387" spans="1:26" s="652" customFormat="1" x14ac:dyDescent="0.2">
      <c r="A387" s="649"/>
      <c r="B387" s="646"/>
      <c r="C387" s="646"/>
      <c r="D387" s="646"/>
      <c r="E387" s="646"/>
      <c r="F387" s="646"/>
      <c r="G387" s="650"/>
      <c r="H387" s="650"/>
      <c r="I387" s="650"/>
      <c r="J387" s="650"/>
      <c r="K387" s="650"/>
      <c r="L387" s="650"/>
      <c r="M387" s="650"/>
      <c r="N387" s="650"/>
      <c r="O387" s="650"/>
      <c r="P387" s="650"/>
      <c r="Q387" s="650"/>
      <c r="R387" s="650"/>
      <c r="S387" s="573"/>
      <c r="T387" s="573"/>
      <c r="U387" s="651"/>
      <c r="V387" s="646"/>
      <c r="W387" s="651"/>
      <c r="X387" s="684"/>
      <c r="Y387" s="573"/>
      <c r="Z387" s="649"/>
    </row>
    <row r="388" spans="1:26" s="652" customFormat="1" x14ac:dyDescent="0.2">
      <c r="A388" s="649"/>
      <c r="B388" s="646"/>
      <c r="C388" s="646"/>
      <c r="D388" s="646"/>
      <c r="E388" s="646"/>
      <c r="F388" s="646"/>
      <c r="G388" s="650"/>
      <c r="H388" s="650"/>
      <c r="I388" s="650"/>
      <c r="J388" s="650"/>
      <c r="K388" s="650"/>
      <c r="L388" s="650"/>
      <c r="M388" s="650"/>
      <c r="N388" s="650"/>
      <c r="O388" s="650"/>
      <c r="P388" s="650"/>
      <c r="Q388" s="650"/>
      <c r="R388" s="650"/>
      <c r="S388" s="573"/>
      <c r="T388" s="573"/>
      <c r="U388" s="651"/>
      <c r="V388" s="646"/>
      <c r="W388" s="651"/>
      <c r="X388" s="684"/>
      <c r="Y388" s="573"/>
      <c r="Z388" s="649"/>
    </row>
    <row r="389" spans="1:26" s="652" customFormat="1" x14ac:dyDescent="0.2">
      <c r="A389" s="649"/>
      <c r="B389" s="646"/>
      <c r="C389" s="646"/>
      <c r="D389" s="646"/>
      <c r="E389" s="646"/>
      <c r="F389" s="646"/>
      <c r="G389" s="650"/>
      <c r="H389" s="650"/>
      <c r="I389" s="650"/>
      <c r="J389" s="650"/>
      <c r="K389" s="650"/>
      <c r="L389" s="650"/>
      <c r="M389" s="650"/>
      <c r="N389" s="650"/>
      <c r="O389" s="650"/>
      <c r="P389" s="650"/>
      <c r="Q389" s="650"/>
      <c r="R389" s="650"/>
      <c r="S389" s="573"/>
      <c r="T389" s="573"/>
      <c r="U389" s="651"/>
      <c r="V389" s="646"/>
      <c r="W389" s="651"/>
      <c r="X389" s="684"/>
      <c r="Y389" s="573"/>
      <c r="Z389" s="649"/>
    </row>
    <row r="390" spans="1:26" s="652" customFormat="1" x14ac:dyDescent="0.2">
      <c r="A390" s="649"/>
      <c r="B390" s="646"/>
      <c r="C390" s="646"/>
      <c r="D390" s="646"/>
      <c r="E390" s="646"/>
      <c r="F390" s="646"/>
      <c r="G390" s="650"/>
      <c r="H390" s="650"/>
      <c r="I390" s="650"/>
      <c r="J390" s="650"/>
      <c r="K390" s="650"/>
      <c r="L390" s="650"/>
      <c r="M390" s="650"/>
      <c r="N390" s="650"/>
      <c r="O390" s="650"/>
      <c r="P390" s="650"/>
      <c r="Q390" s="650"/>
      <c r="R390" s="650"/>
      <c r="S390" s="573"/>
      <c r="T390" s="573"/>
      <c r="U390" s="651"/>
      <c r="V390" s="646"/>
      <c r="W390" s="651"/>
      <c r="X390" s="684"/>
      <c r="Y390" s="573"/>
      <c r="Z390" s="649"/>
    </row>
    <row r="391" spans="1:26" s="652" customFormat="1" ht="20.25" x14ac:dyDescent="0.3">
      <c r="A391" s="649"/>
      <c r="B391" s="657"/>
      <c r="C391" s="646"/>
      <c r="D391" s="646"/>
      <c r="E391" s="1834"/>
      <c r="F391" s="1834"/>
      <c r="G391" s="658"/>
      <c r="H391" s="658"/>
      <c r="I391" s="658"/>
      <c r="J391" s="658"/>
      <c r="K391" s="658"/>
      <c r="L391" s="658"/>
      <c r="M391" s="658"/>
      <c r="N391" s="658"/>
      <c r="O391" s="658"/>
      <c r="P391" s="658"/>
      <c r="Q391" s="658"/>
      <c r="R391" s="658"/>
      <c r="S391" s="573"/>
      <c r="T391" s="573"/>
      <c r="U391" s="651"/>
      <c r="V391" s="646"/>
      <c r="W391" s="651"/>
      <c r="X391" s="684"/>
      <c r="Y391" s="573"/>
      <c r="Z391" s="649"/>
    </row>
    <row r="392" spans="1:26" s="652" customFormat="1" x14ac:dyDescent="0.2">
      <c r="A392" s="649"/>
      <c r="B392" s="658"/>
      <c r="C392" s="646"/>
      <c r="D392" s="646"/>
      <c r="G392" s="658"/>
      <c r="H392" s="658"/>
      <c r="I392" s="658"/>
      <c r="J392" s="658"/>
      <c r="K392" s="658"/>
      <c r="L392" s="658"/>
      <c r="M392" s="658"/>
      <c r="N392" s="658"/>
      <c r="O392" s="658"/>
      <c r="P392" s="658"/>
      <c r="Q392" s="658"/>
      <c r="R392" s="658"/>
      <c r="U392" s="649"/>
      <c r="V392" s="564"/>
      <c r="W392" s="649"/>
      <c r="X392" s="684"/>
      <c r="Z392" s="649"/>
    </row>
    <row r="393" spans="1:26" s="652" customFormat="1" x14ac:dyDescent="0.2">
      <c r="A393" s="578"/>
      <c r="B393" s="658"/>
      <c r="C393" s="646"/>
      <c r="D393" s="646"/>
      <c r="G393" s="658"/>
      <c r="H393" s="658"/>
      <c r="I393" s="658"/>
      <c r="J393" s="658"/>
      <c r="K393" s="658"/>
      <c r="L393" s="658"/>
      <c r="M393" s="658"/>
      <c r="N393" s="658"/>
      <c r="O393" s="658"/>
      <c r="P393" s="658"/>
      <c r="Q393" s="658"/>
      <c r="R393" s="658"/>
      <c r="U393" s="649"/>
      <c r="V393" s="564"/>
      <c r="W393" s="649"/>
      <c r="X393" s="684"/>
      <c r="Z393" s="649"/>
    </row>
    <row r="394" spans="1:26" s="652" customFormat="1" x14ac:dyDescent="0.2">
      <c r="A394" s="649"/>
      <c r="B394" s="658"/>
      <c r="C394" s="646"/>
      <c r="D394" s="646"/>
      <c r="G394" s="658"/>
      <c r="H394" s="658"/>
      <c r="I394" s="658"/>
      <c r="J394" s="658"/>
      <c r="K394" s="658"/>
      <c r="L394" s="658"/>
      <c r="M394" s="658"/>
      <c r="N394" s="658"/>
      <c r="O394" s="658"/>
      <c r="P394" s="658"/>
      <c r="Q394" s="658"/>
      <c r="R394" s="658"/>
      <c r="U394" s="649"/>
      <c r="V394" s="564"/>
      <c r="W394" s="649"/>
      <c r="X394" s="684"/>
      <c r="Z394" s="649"/>
    </row>
    <row r="395" spans="1:26" s="575" customFormat="1" x14ac:dyDescent="0.2">
      <c r="A395" s="578"/>
      <c r="B395" s="96"/>
      <c r="C395" s="806"/>
      <c r="D395" s="806"/>
      <c r="E395" s="96"/>
      <c r="F395" s="96"/>
      <c r="G395" s="601"/>
      <c r="H395" s="601"/>
      <c r="I395" s="601"/>
      <c r="J395" s="601"/>
      <c r="K395" s="601"/>
      <c r="L395" s="601"/>
      <c r="M395" s="601"/>
      <c r="N395" s="601"/>
      <c r="O395" s="601"/>
      <c r="P395" s="601"/>
      <c r="Q395" s="601"/>
      <c r="R395" s="601"/>
      <c r="S395" s="485"/>
      <c r="T395" s="577"/>
      <c r="U395" s="579"/>
      <c r="V395" s="96"/>
      <c r="W395" s="579"/>
      <c r="Y395" s="485"/>
    </row>
    <row r="396" spans="1:26" s="575" customFormat="1" x14ac:dyDescent="0.2">
      <c r="A396" s="578"/>
      <c r="B396" s="96"/>
      <c r="C396" s="806"/>
      <c r="D396" s="806"/>
      <c r="E396" s="96"/>
      <c r="F396" s="96"/>
      <c r="G396" s="601"/>
      <c r="H396" s="601"/>
      <c r="I396" s="601"/>
      <c r="J396" s="601"/>
      <c r="K396" s="601"/>
      <c r="L396" s="601"/>
      <c r="M396" s="601"/>
      <c r="N396" s="601"/>
      <c r="O396" s="601"/>
      <c r="P396" s="601"/>
      <c r="Q396" s="601"/>
      <c r="R396" s="601"/>
      <c r="S396" s="485"/>
      <c r="T396" s="577"/>
      <c r="U396" s="579"/>
      <c r="V396" s="96"/>
      <c r="W396" s="579"/>
      <c r="Y396" s="485"/>
    </row>
    <row r="397" spans="1:26" s="575" customFormat="1" x14ac:dyDescent="0.2">
      <c r="A397" s="578"/>
      <c r="B397" s="96"/>
      <c r="C397" s="806"/>
      <c r="D397" s="806"/>
      <c r="E397" s="96"/>
      <c r="F397" s="96"/>
      <c r="G397" s="601"/>
      <c r="H397" s="601"/>
      <c r="I397" s="601"/>
      <c r="J397" s="601"/>
      <c r="K397" s="601"/>
      <c r="L397" s="601"/>
      <c r="M397" s="601"/>
      <c r="N397" s="601"/>
      <c r="O397" s="601"/>
      <c r="P397" s="601"/>
      <c r="Q397" s="601"/>
      <c r="R397" s="601"/>
      <c r="S397" s="485"/>
      <c r="T397" s="577"/>
      <c r="U397" s="579"/>
      <c r="V397" s="96"/>
      <c r="W397" s="579"/>
      <c r="Y397" s="485"/>
    </row>
    <row r="398" spans="1:26" s="575" customFormat="1" x14ac:dyDescent="0.2">
      <c r="A398" s="578"/>
      <c r="B398" s="96"/>
      <c r="C398" s="806"/>
      <c r="D398" s="806"/>
      <c r="E398" s="96"/>
      <c r="F398" s="96"/>
      <c r="G398" s="601"/>
      <c r="H398" s="601"/>
      <c r="I398" s="601"/>
      <c r="J398" s="601"/>
      <c r="K398" s="601"/>
      <c r="L398" s="601"/>
      <c r="M398" s="601"/>
      <c r="N398" s="601"/>
      <c r="O398" s="601"/>
      <c r="P398" s="601"/>
      <c r="Q398" s="601"/>
      <c r="R398" s="601"/>
      <c r="S398" s="485"/>
      <c r="T398" s="577"/>
      <c r="U398" s="579"/>
      <c r="V398" s="96"/>
      <c r="W398" s="579"/>
      <c r="Y398" s="485"/>
    </row>
    <row r="399" spans="1:26" x14ac:dyDescent="0.2">
      <c r="T399" s="58"/>
    </row>
    <row r="400" spans="1:26" s="575" customFormat="1" x14ac:dyDescent="0.2">
      <c r="A400" s="578"/>
      <c r="B400" s="621"/>
      <c r="C400" s="597"/>
      <c r="D400" s="597"/>
      <c r="E400" s="96"/>
      <c r="F400" s="96"/>
      <c r="G400" s="601"/>
      <c r="H400" s="601"/>
      <c r="I400" s="601"/>
      <c r="J400" s="601"/>
      <c r="K400" s="601"/>
      <c r="L400" s="601"/>
      <c r="M400" s="601"/>
      <c r="N400" s="601"/>
      <c r="O400" s="601"/>
      <c r="P400" s="601"/>
      <c r="Q400" s="601"/>
      <c r="R400" s="601"/>
      <c r="S400" s="485"/>
      <c r="T400" s="577"/>
      <c r="U400" s="579"/>
      <c r="V400" s="96"/>
      <c r="W400" s="579"/>
      <c r="Y400" s="485"/>
    </row>
    <row r="401" spans="1:26" s="575" customFormat="1" x14ac:dyDescent="0.2">
      <c r="A401" s="578"/>
      <c r="B401" s="621"/>
      <c r="C401" s="597"/>
      <c r="D401" s="597"/>
      <c r="E401" s="96"/>
      <c r="F401" s="96"/>
      <c r="G401" s="601"/>
      <c r="H401" s="601"/>
      <c r="I401" s="601"/>
      <c r="J401" s="601"/>
      <c r="K401" s="601"/>
      <c r="L401" s="601"/>
      <c r="M401" s="601"/>
      <c r="N401" s="601"/>
      <c r="O401" s="601"/>
      <c r="P401" s="601"/>
      <c r="Q401" s="601"/>
      <c r="R401" s="601"/>
      <c r="S401" s="485"/>
      <c r="T401" s="577"/>
      <c r="U401" s="579"/>
      <c r="V401" s="96"/>
      <c r="W401" s="579"/>
      <c r="Y401" s="485"/>
    </row>
    <row r="402" spans="1:26" s="652" customFormat="1" x14ac:dyDescent="0.2">
      <c r="A402" s="649"/>
      <c r="B402" s="646"/>
      <c r="C402" s="646"/>
      <c r="D402" s="646"/>
      <c r="E402" s="646"/>
      <c r="F402" s="646"/>
      <c r="G402" s="658"/>
      <c r="H402" s="658"/>
      <c r="I402" s="658"/>
      <c r="J402" s="658"/>
      <c r="K402" s="658"/>
      <c r="L402" s="658"/>
      <c r="M402" s="658"/>
      <c r="N402" s="658"/>
      <c r="O402" s="658"/>
      <c r="P402" s="658"/>
      <c r="Q402" s="658"/>
      <c r="R402" s="658"/>
      <c r="S402" s="573"/>
      <c r="T402" s="573"/>
      <c r="U402" s="651"/>
      <c r="V402" s="646"/>
      <c r="W402" s="651"/>
      <c r="X402" s="684"/>
      <c r="Y402" s="573"/>
      <c r="Z402" s="649"/>
    </row>
    <row r="403" spans="1:26" x14ac:dyDescent="0.2">
      <c r="T403" s="58"/>
    </row>
    <row r="404" spans="1:26" x14ac:dyDescent="0.2">
      <c r="G404" s="637"/>
      <c r="H404" s="637"/>
      <c r="I404" s="637"/>
      <c r="J404" s="637"/>
      <c r="K404" s="637"/>
      <c r="L404" s="637"/>
      <c r="M404" s="637"/>
      <c r="N404" s="637"/>
      <c r="O404" s="637"/>
      <c r="P404" s="637"/>
      <c r="Q404" s="637"/>
      <c r="R404" s="637"/>
      <c r="T404" s="58"/>
    </row>
    <row r="405" spans="1:26" x14ac:dyDescent="0.2">
      <c r="T405" s="58"/>
    </row>
    <row r="406" spans="1:26" x14ac:dyDescent="0.2">
      <c r="T406" s="58"/>
    </row>
    <row r="407" spans="1:26" x14ac:dyDescent="0.2">
      <c r="G407" s="601"/>
      <c r="H407" s="601"/>
      <c r="I407" s="601"/>
      <c r="J407" s="601"/>
      <c r="K407" s="601"/>
      <c r="L407" s="601"/>
      <c r="M407" s="601"/>
      <c r="N407" s="601"/>
      <c r="O407" s="601"/>
      <c r="P407" s="601"/>
      <c r="Q407" s="601"/>
      <c r="R407" s="601"/>
      <c r="T407" s="58"/>
    </row>
    <row r="408" spans="1:26" x14ac:dyDescent="0.2">
      <c r="T408" s="58"/>
    </row>
    <row r="409" spans="1:26" s="652" customFormat="1" x14ac:dyDescent="0.2">
      <c r="A409" s="649"/>
      <c r="B409" s="646"/>
      <c r="C409" s="646"/>
      <c r="D409" s="646"/>
      <c r="E409" s="646"/>
      <c r="F409" s="646"/>
      <c r="G409" s="650"/>
      <c r="H409" s="650"/>
      <c r="I409" s="650"/>
      <c r="J409" s="650"/>
      <c r="K409" s="650"/>
      <c r="L409" s="650"/>
      <c r="M409" s="650"/>
      <c r="N409" s="650"/>
      <c r="O409" s="650"/>
      <c r="P409" s="650"/>
      <c r="Q409" s="650"/>
      <c r="R409" s="650"/>
      <c r="S409" s="573"/>
      <c r="T409" s="573"/>
      <c r="U409" s="651"/>
      <c r="V409" s="646"/>
      <c r="W409" s="651"/>
      <c r="X409" s="684"/>
      <c r="Y409" s="573"/>
      <c r="Z409" s="649"/>
    </row>
    <row r="410" spans="1:26" s="652" customFormat="1" x14ac:dyDescent="0.2">
      <c r="A410" s="649"/>
      <c r="B410" s="646"/>
      <c r="C410" s="646"/>
      <c r="D410" s="646"/>
      <c r="E410" s="646"/>
      <c r="F410" s="646"/>
      <c r="G410" s="650"/>
      <c r="H410" s="650"/>
      <c r="I410" s="650"/>
      <c r="J410" s="650"/>
      <c r="K410" s="650"/>
      <c r="L410" s="650"/>
      <c r="M410" s="650"/>
      <c r="N410" s="650"/>
      <c r="O410" s="650"/>
      <c r="P410" s="650"/>
      <c r="Q410" s="650"/>
      <c r="R410" s="650"/>
      <c r="S410" s="573"/>
      <c r="T410" s="573"/>
      <c r="U410" s="651"/>
      <c r="V410" s="646"/>
      <c r="W410" s="651"/>
      <c r="X410" s="684"/>
      <c r="Y410" s="573"/>
      <c r="Z410" s="649"/>
    </row>
    <row r="411" spans="1:26" s="652" customFormat="1" x14ac:dyDescent="0.2">
      <c r="A411" s="649"/>
      <c r="B411" s="646"/>
      <c r="C411" s="646"/>
      <c r="D411" s="646"/>
      <c r="E411" s="646"/>
      <c r="F411" s="646"/>
      <c r="G411" s="650"/>
      <c r="H411" s="650"/>
      <c r="I411" s="650"/>
      <c r="J411" s="650"/>
      <c r="K411" s="650"/>
      <c r="L411" s="650"/>
      <c r="M411" s="650"/>
      <c r="N411" s="650"/>
      <c r="O411" s="650"/>
      <c r="P411" s="650"/>
      <c r="Q411" s="650"/>
      <c r="R411" s="650"/>
      <c r="S411" s="573"/>
      <c r="T411" s="573"/>
      <c r="U411" s="651"/>
      <c r="V411" s="646"/>
      <c r="W411" s="651"/>
      <c r="X411" s="684"/>
      <c r="Y411" s="573"/>
      <c r="Z411" s="649"/>
    </row>
    <row r="412" spans="1:26" s="652" customFormat="1" x14ac:dyDescent="0.2">
      <c r="A412" s="649"/>
      <c r="B412" s="646"/>
      <c r="C412" s="646"/>
      <c r="D412" s="646"/>
      <c r="E412" s="646"/>
      <c r="F412" s="646"/>
      <c r="G412" s="650"/>
      <c r="H412" s="650"/>
      <c r="I412" s="650"/>
      <c r="J412" s="650"/>
      <c r="K412" s="650"/>
      <c r="L412" s="650"/>
      <c r="M412" s="650"/>
      <c r="N412" s="650"/>
      <c r="O412" s="650"/>
      <c r="P412" s="650"/>
      <c r="Q412" s="650"/>
      <c r="R412" s="650"/>
      <c r="S412" s="573"/>
      <c r="T412" s="573"/>
      <c r="U412" s="651"/>
      <c r="V412" s="646"/>
      <c r="W412" s="651"/>
      <c r="X412" s="684"/>
      <c r="Y412" s="573"/>
      <c r="Z412" s="649"/>
    </row>
    <row r="413" spans="1:26" s="652" customFormat="1" x14ac:dyDescent="0.2">
      <c r="A413" s="649"/>
      <c r="B413" s="646"/>
      <c r="C413" s="646"/>
      <c r="D413" s="646"/>
      <c r="E413" s="646"/>
      <c r="F413" s="646"/>
      <c r="G413" s="650"/>
      <c r="H413" s="650"/>
      <c r="I413" s="650"/>
      <c r="J413" s="650"/>
      <c r="K413" s="650"/>
      <c r="L413" s="650"/>
      <c r="M413" s="650"/>
      <c r="N413" s="650"/>
      <c r="O413" s="650"/>
      <c r="P413" s="650"/>
      <c r="Q413" s="650"/>
      <c r="R413" s="650"/>
      <c r="S413" s="573"/>
      <c r="T413" s="573"/>
      <c r="U413" s="651"/>
      <c r="V413" s="646"/>
      <c r="W413" s="651"/>
      <c r="X413" s="684"/>
      <c r="Y413" s="573"/>
      <c r="Z413" s="649"/>
    </row>
    <row r="414" spans="1:26" s="652" customFormat="1" x14ac:dyDescent="0.2">
      <c r="A414" s="649"/>
      <c r="B414" s="646"/>
      <c r="C414" s="646"/>
      <c r="D414" s="646"/>
      <c r="E414" s="646"/>
      <c r="F414" s="646"/>
      <c r="G414" s="650"/>
      <c r="H414" s="650"/>
      <c r="I414" s="650"/>
      <c r="J414" s="650"/>
      <c r="K414" s="650"/>
      <c r="L414" s="650"/>
      <c r="M414" s="650"/>
      <c r="N414" s="650"/>
      <c r="O414" s="650"/>
      <c r="P414" s="650"/>
      <c r="Q414" s="650"/>
      <c r="R414" s="650"/>
      <c r="S414" s="573"/>
      <c r="T414" s="573"/>
      <c r="U414" s="651"/>
      <c r="V414" s="646"/>
      <c r="W414" s="651"/>
      <c r="X414" s="684"/>
      <c r="Y414" s="573"/>
      <c r="Z414" s="649"/>
    </row>
    <row r="415" spans="1:26" s="652" customFormat="1" x14ac:dyDescent="0.2">
      <c r="A415" s="649"/>
      <c r="B415" s="646"/>
      <c r="C415" s="646"/>
      <c r="D415" s="646"/>
      <c r="E415" s="646"/>
      <c r="F415" s="646"/>
      <c r="G415" s="650"/>
      <c r="H415" s="650"/>
      <c r="I415" s="650"/>
      <c r="J415" s="650"/>
      <c r="K415" s="650"/>
      <c r="L415" s="650"/>
      <c r="M415" s="650"/>
      <c r="N415" s="650"/>
      <c r="O415" s="650"/>
      <c r="P415" s="650"/>
      <c r="Q415" s="650"/>
      <c r="R415" s="650"/>
      <c r="S415" s="573"/>
      <c r="T415" s="573"/>
      <c r="U415" s="651"/>
      <c r="V415" s="646"/>
      <c r="W415" s="651"/>
      <c r="X415" s="684"/>
      <c r="Y415" s="573"/>
      <c r="Z415" s="649"/>
    </row>
    <row r="416" spans="1:26" s="652" customFormat="1" x14ac:dyDescent="0.2">
      <c r="A416" s="649"/>
      <c r="B416" s="646"/>
      <c r="C416" s="646"/>
      <c r="D416" s="646"/>
      <c r="E416" s="646"/>
      <c r="F416" s="646"/>
      <c r="G416" s="650"/>
      <c r="H416" s="650"/>
      <c r="I416" s="650"/>
      <c r="J416" s="650"/>
      <c r="K416" s="650"/>
      <c r="L416" s="650"/>
      <c r="M416" s="650"/>
      <c r="N416" s="650"/>
      <c r="O416" s="650"/>
      <c r="P416" s="650"/>
      <c r="Q416" s="650"/>
      <c r="R416" s="650"/>
      <c r="S416" s="573"/>
      <c r="T416" s="573"/>
      <c r="U416" s="651"/>
      <c r="V416" s="646"/>
      <c r="W416" s="651"/>
      <c r="X416" s="684"/>
      <c r="Y416" s="573"/>
      <c r="Z416" s="649"/>
    </row>
    <row r="417" spans="1:27" s="652" customFormat="1" ht="20.25" x14ac:dyDescent="0.3">
      <c r="A417" s="649"/>
      <c r="B417" s="646"/>
      <c r="C417" s="646"/>
      <c r="D417" s="646"/>
      <c r="E417" s="1834"/>
      <c r="F417" s="1834"/>
      <c r="G417" s="1834"/>
      <c r="H417" s="1834"/>
      <c r="I417" s="1834"/>
      <c r="J417" s="1834"/>
      <c r="K417" s="1834"/>
      <c r="L417" s="1834"/>
      <c r="M417" s="1834"/>
      <c r="N417" s="1834"/>
      <c r="O417" s="1834"/>
      <c r="P417" s="1834"/>
      <c r="Q417" s="1834"/>
      <c r="R417" s="1834"/>
      <c r="S417" s="1834"/>
      <c r="T417" s="573"/>
      <c r="U417" s="651"/>
      <c r="V417" s="646"/>
      <c r="W417" s="651"/>
      <c r="X417" s="684"/>
      <c r="Y417" s="573"/>
      <c r="Z417" s="649"/>
    </row>
    <row r="418" spans="1:27" s="652" customFormat="1" x14ac:dyDescent="0.2">
      <c r="A418" s="649"/>
      <c r="B418" s="646"/>
      <c r="C418" s="646"/>
      <c r="D418" s="646"/>
      <c r="E418" s="646"/>
      <c r="F418" s="646"/>
      <c r="G418" s="650"/>
      <c r="H418" s="650"/>
      <c r="I418" s="650"/>
      <c r="J418" s="650"/>
      <c r="K418" s="650"/>
      <c r="L418" s="650"/>
      <c r="M418" s="650"/>
      <c r="N418" s="650"/>
      <c r="O418" s="650"/>
      <c r="P418" s="650"/>
      <c r="Q418" s="650"/>
      <c r="R418" s="650"/>
      <c r="S418" s="573"/>
      <c r="T418" s="573"/>
      <c r="U418" s="651"/>
      <c r="V418" s="646"/>
      <c r="W418" s="651"/>
      <c r="X418" s="684"/>
      <c r="Y418" s="573"/>
      <c r="Z418" s="649"/>
    </row>
    <row r="419" spans="1:27" s="652" customFormat="1" x14ac:dyDescent="0.2">
      <c r="A419" s="649"/>
      <c r="B419" s="646"/>
      <c r="C419" s="646"/>
      <c r="D419" s="646"/>
      <c r="E419" s="646"/>
      <c r="F419" s="646"/>
      <c r="G419" s="650"/>
      <c r="H419" s="650"/>
      <c r="I419" s="650"/>
      <c r="J419" s="650"/>
      <c r="K419" s="650"/>
      <c r="L419" s="650"/>
      <c r="M419" s="650"/>
      <c r="N419" s="650"/>
      <c r="O419" s="650"/>
      <c r="P419" s="650"/>
      <c r="Q419" s="650"/>
      <c r="R419" s="650"/>
      <c r="S419" s="812"/>
      <c r="T419" s="573"/>
      <c r="U419" s="651"/>
      <c r="V419" s="646"/>
      <c r="W419" s="651"/>
      <c r="X419" s="684"/>
      <c r="Y419" s="573"/>
      <c r="Z419" s="649"/>
    </row>
    <row r="420" spans="1:27" s="652" customFormat="1" ht="20.25" x14ac:dyDescent="0.3">
      <c r="A420" s="578"/>
      <c r="B420" s="646"/>
      <c r="C420" s="646"/>
      <c r="D420" s="646"/>
      <c r="E420" s="646"/>
      <c r="F420" s="646"/>
      <c r="G420" s="1130"/>
      <c r="H420" s="1160"/>
      <c r="I420" s="1194"/>
      <c r="J420" s="1411"/>
      <c r="K420" s="1418"/>
      <c r="L420" s="1465"/>
      <c r="M420" s="1485"/>
      <c r="N420" s="1485"/>
      <c r="O420" s="1545"/>
      <c r="P420" s="1604"/>
      <c r="Q420" s="1641"/>
      <c r="R420" s="1726"/>
      <c r="S420" s="573"/>
      <c r="T420" s="573"/>
      <c r="U420" s="651"/>
      <c r="V420" s="646"/>
      <c r="W420" s="651"/>
      <c r="X420" s="684"/>
      <c r="Y420" s="573"/>
      <c r="Z420" s="649"/>
    </row>
    <row r="421" spans="1:27" s="652" customFormat="1" x14ac:dyDescent="0.2">
      <c r="A421" s="649"/>
      <c r="B421" s="646"/>
      <c r="C421" s="646"/>
      <c r="D421" s="646"/>
      <c r="E421" s="646"/>
      <c r="F421" s="646"/>
      <c r="G421" s="650"/>
      <c r="H421" s="650"/>
      <c r="I421" s="650"/>
      <c r="J421" s="650"/>
      <c r="K421" s="650"/>
      <c r="L421" s="650"/>
      <c r="M421" s="650"/>
      <c r="N421" s="650"/>
      <c r="O421" s="650"/>
      <c r="P421" s="650"/>
      <c r="Q421" s="650"/>
      <c r="R421" s="650"/>
      <c r="S421" s="573"/>
      <c r="T421" s="573"/>
      <c r="U421" s="651"/>
      <c r="V421" s="646"/>
      <c r="W421" s="651"/>
      <c r="X421" s="684"/>
      <c r="Y421" s="573"/>
      <c r="Z421" s="649"/>
    </row>
    <row r="422" spans="1:27" s="652" customFormat="1" x14ac:dyDescent="0.2">
      <c r="A422" s="649"/>
      <c r="B422" s="752"/>
      <c r="C422" s="646"/>
      <c r="D422" s="646"/>
      <c r="E422" s="646"/>
      <c r="F422" s="646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  <c r="Q422" s="659"/>
      <c r="R422" s="659"/>
      <c r="S422" s="573"/>
      <c r="T422" s="573"/>
      <c r="U422" s="573"/>
      <c r="V422" s="646"/>
      <c r="W422" s="573"/>
      <c r="X422" s="649"/>
      <c r="Y422" s="573"/>
      <c r="Z422" s="649"/>
      <c r="AA422" s="649"/>
    </row>
    <row r="423" spans="1:27" s="652" customFormat="1" x14ac:dyDescent="0.2">
      <c r="A423" s="649"/>
      <c r="B423" s="752"/>
      <c r="C423" s="646"/>
      <c r="D423" s="646"/>
      <c r="E423" s="646"/>
      <c r="F423" s="646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  <c r="Q423" s="659"/>
      <c r="R423" s="659"/>
      <c r="S423" s="573"/>
      <c r="T423" s="573"/>
      <c r="U423" s="573"/>
      <c r="V423" s="646"/>
      <c r="W423" s="573"/>
      <c r="X423" s="649"/>
      <c r="Y423" s="573"/>
      <c r="AA423" s="649"/>
    </row>
    <row r="424" spans="1:27" s="652" customFormat="1" x14ac:dyDescent="0.2">
      <c r="A424" s="649"/>
      <c r="B424" s="752"/>
      <c r="C424" s="646"/>
      <c r="D424" s="646"/>
      <c r="E424" s="646"/>
      <c r="F424" s="646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  <c r="Q424" s="659"/>
      <c r="R424" s="659"/>
      <c r="S424" s="573"/>
      <c r="T424" s="573"/>
      <c r="U424" s="573"/>
      <c r="V424" s="646"/>
      <c r="W424" s="573"/>
      <c r="X424" s="649"/>
      <c r="Y424" s="573"/>
      <c r="AA424" s="649"/>
    </row>
    <row r="425" spans="1:27" s="652" customFormat="1" x14ac:dyDescent="0.2">
      <c r="A425" s="649"/>
      <c r="B425" s="752"/>
      <c r="C425" s="646"/>
      <c r="D425" s="646"/>
      <c r="E425" s="646"/>
      <c r="F425" s="646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  <c r="Q425" s="659"/>
      <c r="R425" s="659"/>
      <c r="S425" s="573"/>
      <c r="T425" s="573"/>
      <c r="U425" s="573"/>
      <c r="V425" s="646"/>
      <c r="W425" s="573"/>
      <c r="X425" s="649"/>
      <c r="Y425" s="573"/>
      <c r="AA425" s="649"/>
    </row>
    <row r="426" spans="1:27" s="652" customFormat="1" ht="20.25" x14ac:dyDescent="0.3">
      <c r="A426" s="649"/>
      <c r="B426" s="752"/>
      <c r="C426" s="646"/>
      <c r="D426" s="646"/>
      <c r="E426" s="646"/>
      <c r="F426" s="646"/>
      <c r="G426" s="1130"/>
      <c r="H426" s="1160"/>
      <c r="I426" s="1194"/>
      <c r="J426" s="1411"/>
      <c r="K426" s="1418"/>
      <c r="L426" s="1465"/>
      <c r="M426" s="1485"/>
      <c r="N426" s="1485"/>
      <c r="O426" s="1545"/>
      <c r="P426" s="1604"/>
      <c r="Q426" s="1641"/>
      <c r="R426" s="1726"/>
      <c r="S426" s="573"/>
      <c r="T426" s="573"/>
      <c r="U426" s="573"/>
      <c r="V426" s="646"/>
      <c r="W426" s="573"/>
      <c r="X426" s="649"/>
      <c r="Y426" s="573"/>
      <c r="AA426" s="649"/>
    </row>
    <row r="427" spans="1:27" s="652" customFormat="1" ht="20.25" x14ac:dyDescent="0.3">
      <c r="A427" s="649"/>
      <c r="B427" s="752"/>
      <c r="C427" s="646"/>
      <c r="D427" s="646"/>
      <c r="E427" s="646"/>
      <c r="F427" s="646"/>
      <c r="G427" s="1130"/>
      <c r="H427" s="1160"/>
      <c r="I427" s="1194"/>
      <c r="J427" s="1411"/>
      <c r="K427" s="1418"/>
      <c r="L427" s="1465"/>
      <c r="M427" s="1485"/>
      <c r="N427" s="1485"/>
      <c r="O427" s="1545"/>
      <c r="P427" s="1604"/>
      <c r="Q427" s="1641"/>
      <c r="R427" s="1726"/>
      <c r="S427" s="573"/>
      <c r="T427" s="573"/>
      <c r="U427" s="573"/>
      <c r="V427" s="646"/>
      <c r="W427" s="573"/>
      <c r="X427" s="649"/>
      <c r="Y427" s="573"/>
      <c r="AA427" s="649"/>
    </row>
    <row r="428" spans="1:27" s="652" customFormat="1" x14ac:dyDescent="0.2">
      <c r="A428" s="649"/>
      <c r="B428" s="752"/>
      <c r="C428" s="646"/>
      <c r="D428" s="646"/>
      <c r="E428" s="646"/>
      <c r="F428" s="646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  <c r="Q428" s="659"/>
      <c r="R428" s="659"/>
      <c r="S428" s="573"/>
      <c r="T428" s="573"/>
      <c r="U428" s="573"/>
      <c r="V428" s="646"/>
      <c r="W428" s="573"/>
      <c r="X428" s="649"/>
      <c r="Y428" s="573"/>
      <c r="AA428" s="649"/>
    </row>
    <row r="429" spans="1:27" s="652" customFormat="1" x14ac:dyDescent="0.2">
      <c r="A429" s="575"/>
      <c r="B429" s="752"/>
      <c r="C429" s="646"/>
      <c r="D429" s="646"/>
      <c r="E429" s="646"/>
      <c r="F429" s="646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  <c r="Q429" s="659"/>
      <c r="R429" s="659"/>
      <c r="S429" s="573"/>
      <c r="T429" s="573"/>
      <c r="U429" s="573"/>
      <c r="V429" s="646"/>
      <c r="W429" s="573"/>
      <c r="X429" s="649"/>
      <c r="Y429" s="573"/>
      <c r="AA429" s="649"/>
    </row>
    <row r="430" spans="1:27" s="652" customFormat="1" x14ac:dyDescent="0.2">
      <c r="A430" s="649"/>
      <c r="B430" s="752"/>
      <c r="C430" s="646"/>
      <c r="D430" s="646"/>
      <c r="E430" s="646"/>
      <c r="F430" s="646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  <c r="Q430" s="659"/>
      <c r="R430" s="659"/>
      <c r="S430" s="573"/>
      <c r="T430" s="573"/>
      <c r="U430" s="573"/>
      <c r="V430" s="646"/>
      <c r="W430" s="573"/>
      <c r="X430" s="649"/>
      <c r="Y430" s="573"/>
      <c r="AA430" s="649"/>
    </row>
    <row r="431" spans="1:27" s="652" customFormat="1" x14ac:dyDescent="0.2">
      <c r="A431" s="649"/>
      <c r="B431" s="657"/>
      <c r="C431" s="646"/>
      <c r="D431" s="646"/>
      <c r="E431" s="646"/>
      <c r="F431" s="646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  <c r="Q431" s="659"/>
      <c r="R431" s="659"/>
      <c r="S431" s="573"/>
      <c r="T431" s="573"/>
      <c r="U431" s="651"/>
      <c r="V431" s="646"/>
      <c r="W431" s="651"/>
      <c r="Y431" s="573"/>
      <c r="Z431" s="649"/>
    </row>
    <row r="432" spans="1:27" s="652" customFormat="1" x14ac:dyDescent="0.2">
      <c r="A432" s="649"/>
      <c r="B432" s="657"/>
      <c r="C432" s="646"/>
      <c r="D432" s="646"/>
      <c r="E432" s="646"/>
      <c r="F432" s="646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  <c r="Q432" s="659"/>
      <c r="R432" s="659"/>
      <c r="S432" s="573"/>
      <c r="T432" s="573"/>
      <c r="U432" s="651"/>
      <c r="V432" s="646"/>
      <c r="W432" s="651"/>
      <c r="Y432" s="573"/>
      <c r="Z432" s="649"/>
    </row>
    <row r="433" spans="1:26" s="652" customFormat="1" x14ac:dyDescent="0.2">
      <c r="A433" s="578"/>
      <c r="B433" s="657"/>
      <c r="C433" s="646"/>
      <c r="D433" s="646"/>
      <c r="E433" s="646"/>
      <c r="F433" s="646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  <c r="Q433" s="659"/>
      <c r="R433" s="659"/>
      <c r="S433" s="573"/>
      <c r="T433" s="573"/>
      <c r="U433" s="651"/>
      <c r="V433" s="646"/>
      <c r="W433" s="651"/>
      <c r="Y433" s="573"/>
      <c r="Z433" s="649"/>
    </row>
    <row r="434" spans="1:26" s="652" customFormat="1" x14ac:dyDescent="0.2">
      <c r="A434" s="649"/>
      <c r="B434" s="657"/>
      <c r="C434" s="646"/>
      <c r="D434" s="646"/>
      <c r="E434" s="646"/>
      <c r="F434" s="646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  <c r="Q434" s="659"/>
      <c r="R434" s="659"/>
      <c r="S434" s="573"/>
      <c r="T434" s="573"/>
      <c r="U434" s="651"/>
      <c r="V434" s="646"/>
      <c r="W434" s="651"/>
      <c r="Y434" s="573"/>
      <c r="Z434" s="649"/>
    </row>
    <row r="435" spans="1:26" s="483" customFormat="1" x14ac:dyDescent="0.2">
      <c r="A435" s="569"/>
      <c r="B435" s="568"/>
      <c r="C435" s="597"/>
      <c r="D435" s="597"/>
      <c r="E435" s="597"/>
      <c r="F435" s="597"/>
      <c r="G435" s="601"/>
      <c r="H435" s="601"/>
      <c r="I435" s="601"/>
      <c r="J435" s="601"/>
      <c r="K435" s="601"/>
      <c r="L435" s="601"/>
      <c r="M435" s="601"/>
      <c r="N435" s="601"/>
      <c r="O435" s="601"/>
      <c r="P435" s="601"/>
      <c r="Q435" s="601"/>
      <c r="R435" s="601"/>
      <c r="U435" s="569"/>
      <c r="V435" s="96"/>
      <c r="W435" s="569"/>
    </row>
    <row r="436" spans="1:26" s="483" customFormat="1" x14ac:dyDescent="0.2">
      <c r="A436" s="569"/>
      <c r="B436" s="568"/>
      <c r="C436" s="597"/>
      <c r="D436" s="597"/>
      <c r="E436" s="597"/>
      <c r="F436" s="597"/>
      <c r="G436" s="601"/>
      <c r="H436" s="601"/>
      <c r="I436" s="601"/>
      <c r="J436" s="601"/>
      <c r="K436" s="601"/>
      <c r="L436" s="601"/>
      <c r="M436" s="601"/>
      <c r="N436" s="601"/>
      <c r="O436" s="601"/>
      <c r="P436" s="601"/>
      <c r="Q436" s="601"/>
      <c r="R436" s="601"/>
      <c r="U436" s="569"/>
      <c r="V436" s="96"/>
      <c r="W436" s="569"/>
    </row>
    <row r="437" spans="1:26" s="483" customFormat="1" x14ac:dyDescent="0.2">
      <c r="A437" s="569"/>
      <c r="B437" s="568"/>
      <c r="C437" s="597"/>
      <c r="D437" s="597"/>
      <c r="E437" s="597"/>
      <c r="F437" s="597"/>
      <c r="G437" s="601"/>
      <c r="H437" s="601"/>
      <c r="I437" s="601"/>
      <c r="J437" s="601"/>
      <c r="K437" s="601"/>
      <c r="L437" s="601"/>
      <c r="M437" s="601"/>
      <c r="N437" s="601"/>
      <c r="O437" s="601"/>
      <c r="P437" s="601"/>
      <c r="Q437" s="601"/>
      <c r="R437" s="601"/>
      <c r="U437" s="569"/>
      <c r="V437" s="96"/>
      <c r="W437" s="569"/>
    </row>
    <row r="438" spans="1:26" s="483" customFormat="1" x14ac:dyDescent="0.2">
      <c r="A438" s="569"/>
      <c r="B438" s="568"/>
      <c r="C438" s="597"/>
      <c r="D438" s="597"/>
      <c r="E438" s="597"/>
      <c r="F438" s="597"/>
      <c r="G438" s="601"/>
      <c r="H438" s="601"/>
      <c r="I438" s="601"/>
      <c r="J438" s="601"/>
      <c r="K438" s="601"/>
      <c r="L438" s="601"/>
      <c r="M438" s="601"/>
      <c r="N438" s="601"/>
      <c r="O438" s="601"/>
      <c r="P438" s="601"/>
      <c r="Q438" s="601"/>
      <c r="R438" s="601"/>
      <c r="U438" s="569"/>
      <c r="V438" s="96"/>
      <c r="W438" s="569"/>
    </row>
    <row r="439" spans="1:26" s="483" customFormat="1" x14ac:dyDescent="0.2">
      <c r="A439" s="569"/>
      <c r="B439" s="568"/>
      <c r="C439" s="597"/>
      <c r="D439" s="597"/>
      <c r="E439" s="597"/>
      <c r="F439" s="597"/>
      <c r="G439" s="601"/>
      <c r="H439" s="601"/>
      <c r="I439" s="601"/>
      <c r="J439" s="601"/>
      <c r="K439" s="601"/>
      <c r="L439" s="601"/>
      <c r="M439" s="601"/>
      <c r="N439" s="601"/>
      <c r="O439" s="601"/>
      <c r="P439" s="601"/>
      <c r="Q439" s="601"/>
      <c r="R439" s="601"/>
      <c r="U439" s="569"/>
      <c r="V439" s="96"/>
      <c r="W439" s="569"/>
    </row>
    <row r="440" spans="1:26" s="483" customFormat="1" x14ac:dyDescent="0.2">
      <c r="A440" s="569"/>
      <c r="B440" s="568"/>
      <c r="C440" s="597"/>
      <c r="D440" s="597"/>
      <c r="E440" s="597"/>
      <c r="F440" s="597"/>
      <c r="G440" s="601"/>
      <c r="H440" s="601"/>
      <c r="I440" s="601"/>
      <c r="J440" s="601"/>
      <c r="K440" s="601"/>
      <c r="L440" s="601"/>
      <c r="M440" s="601"/>
      <c r="N440" s="601"/>
      <c r="O440" s="601"/>
      <c r="P440" s="601"/>
      <c r="Q440" s="601"/>
      <c r="R440" s="601"/>
      <c r="U440" s="569"/>
      <c r="V440" s="96"/>
      <c r="W440" s="569"/>
    </row>
    <row r="441" spans="1:26" s="483" customFormat="1" x14ac:dyDescent="0.2">
      <c r="A441" s="569"/>
      <c r="B441" s="568"/>
      <c r="C441" s="597"/>
      <c r="D441" s="597"/>
      <c r="E441" s="597"/>
      <c r="F441" s="597"/>
      <c r="G441" s="601"/>
      <c r="H441" s="601"/>
      <c r="I441" s="601"/>
      <c r="J441" s="601"/>
      <c r="K441" s="601"/>
      <c r="L441" s="601"/>
      <c r="M441" s="601"/>
      <c r="N441" s="601"/>
      <c r="O441" s="601"/>
      <c r="P441" s="601"/>
      <c r="Q441" s="601"/>
      <c r="R441" s="601"/>
      <c r="U441" s="569"/>
      <c r="V441" s="96"/>
      <c r="W441" s="569"/>
    </row>
    <row r="442" spans="1:26" s="483" customFormat="1" ht="20.25" x14ac:dyDescent="0.3">
      <c r="A442" s="569"/>
      <c r="B442" s="568"/>
      <c r="C442" s="597"/>
      <c r="D442" s="597"/>
      <c r="E442" s="1834"/>
      <c r="F442" s="1834"/>
      <c r="G442" s="1834"/>
      <c r="H442" s="1834"/>
      <c r="I442" s="1834"/>
      <c r="J442" s="1834"/>
      <c r="K442" s="1834"/>
      <c r="L442" s="1834"/>
      <c r="M442" s="1834"/>
      <c r="N442" s="1834"/>
      <c r="O442" s="1834"/>
      <c r="P442" s="1834"/>
      <c r="Q442" s="1834"/>
      <c r="R442" s="1834"/>
      <c r="S442" s="1834"/>
      <c r="U442" s="569"/>
      <c r="V442" s="96"/>
      <c r="W442" s="569"/>
    </row>
    <row r="443" spans="1:26" s="483" customFormat="1" x14ac:dyDescent="0.2">
      <c r="A443" s="569"/>
      <c r="B443" s="568"/>
      <c r="C443" s="597"/>
      <c r="D443" s="597"/>
      <c r="E443" s="597"/>
      <c r="F443" s="597"/>
      <c r="G443" s="601"/>
      <c r="H443" s="601"/>
      <c r="I443" s="601"/>
      <c r="J443" s="601"/>
      <c r="K443" s="601"/>
      <c r="L443" s="601"/>
      <c r="M443" s="601"/>
      <c r="N443" s="601"/>
      <c r="O443" s="601"/>
      <c r="P443" s="601"/>
      <c r="Q443" s="601"/>
      <c r="R443" s="601"/>
      <c r="U443" s="569"/>
      <c r="V443" s="96"/>
      <c r="W443" s="569"/>
    </row>
    <row r="444" spans="1:26" s="483" customFormat="1" x14ac:dyDescent="0.2">
      <c r="A444" s="569"/>
      <c r="B444" s="568"/>
      <c r="C444" s="597"/>
      <c r="D444" s="597"/>
      <c r="E444" s="597"/>
      <c r="F444" s="597"/>
      <c r="G444" s="601"/>
      <c r="H444" s="601"/>
      <c r="I444" s="601"/>
      <c r="J444" s="601"/>
      <c r="K444" s="601"/>
      <c r="L444" s="601"/>
      <c r="M444" s="601"/>
      <c r="N444" s="601"/>
      <c r="O444" s="601"/>
      <c r="P444" s="601"/>
      <c r="Q444" s="601"/>
      <c r="R444" s="601"/>
      <c r="U444" s="569"/>
      <c r="V444" s="96"/>
      <c r="W444" s="569"/>
    </row>
    <row r="445" spans="1:26" s="483" customFormat="1" x14ac:dyDescent="0.2">
      <c r="A445" s="569"/>
      <c r="B445" s="568"/>
      <c r="C445" s="597"/>
      <c r="D445" s="597"/>
      <c r="E445" s="597"/>
      <c r="F445" s="597"/>
      <c r="G445" s="601"/>
      <c r="H445" s="601"/>
      <c r="I445" s="601"/>
      <c r="J445" s="601"/>
      <c r="K445" s="601"/>
      <c r="L445" s="601"/>
      <c r="M445" s="601"/>
      <c r="N445" s="601"/>
      <c r="O445" s="601"/>
      <c r="P445" s="601"/>
      <c r="Q445" s="601"/>
      <c r="R445" s="601"/>
      <c r="U445" s="569"/>
      <c r="V445" s="96"/>
      <c r="W445" s="569"/>
    </row>
    <row r="446" spans="1:26" s="483" customFormat="1" x14ac:dyDescent="0.2">
      <c r="A446" s="569"/>
      <c r="B446" s="568"/>
      <c r="C446" s="597"/>
      <c r="D446" s="597"/>
      <c r="E446" s="597"/>
      <c r="F446" s="597"/>
      <c r="G446" s="601"/>
      <c r="H446" s="601"/>
      <c r="I446" s="601"/>
      <c r="J446" s="601"/>
      <c r="K446" s="601"/>
      <c r="L446" s="601"/>
      <c r="M446" s="601"/>
      <c r="N446" s="601"/>
      <c r="O446" s="601"/>
      <c r="P446" s="601"/>
      <c r="Q446" s="601"/>
      <c r="R446" s="601"/>
      <c r="U446" s="569"/>
      <c r="V446" s="96"/>
      <c r="W446" s="569"/>
    </row>
    <row r="447" spans="1:26" ht="20.25" x14ac:dyDescent="0.3">
      <c r="E447" s="1834"/>
      <c r="F447" s="1834"/>
    </row>
    <row r="448" spans="1:26" ht="20.25" x14ac:dyDescent="0.3">
      <c r="E448" s="817"/>
      <c r="F448" s="817"/>
    </row>
    <row r="449" spans="1:27" s="652" customFormat="1" x14ac:dyDescent="0.2">
      <c r="A449" s="649"/>
      <c r="B449" s="658"/>
      <c r="C449" s="646"/>
      <c r="D449" s="646"/>
      <c r="G449" s="658"/>
      <c r="H449" s="658"/>
      <c r="I449" s="658"/>
      <c r="J449" s="658"/>
      <c r="K449" s="658"/>
      <c r="L449" s="658"/>
      <c r="M449" s="658"/>
      <c r="N449" s="658"/>
      <c r="O449" s="658"/>
      <c r="P449" s="658"/>
      <c r="Q449" s="658"/>
      <c r="R449" s="658"/>
      <c r="U449" s="649"/>
      <c r="V449" s="646"/>
      <c r="W449" s="649"/>
      <c r="X449" s="684"/>
      <c r="Z449" s="649"/>
    </row>
    <row r="450" spans="1:27" s="652" customFormat="1" x14ac:dyDescent="0.2">
      <c r="A450" s="649"/>
      <c r="B450" s="658"/>
      <c r="C450" s="646"/>
      <c r="D450" s="646"/>
      <c r="G450" s="658"/>
      <c r="H450" s="658"/>
      <c r="I450" s="658"/>
      <c r="J450" s="658"/>
      <c r="K450" s="658"/>
      <c r="L450" s="658"/>
      <c r="M450" s="658"/>
      <c r="N450" s="658"/>
      <c r="O450" s="658"/>
      <c r="P450" s="658"/>
      <c r="Q450" s="658"/>
      <c r="R450" s="658"/>
      <c r="U450" s="649"/>
      <c r="V450" s="646"/>
      <c r="W450" s="649"/>
      <c r="X450" s="684"/>
      <c r="Z450" s="649"/>
    </row>
    <row r="451" spans="1:27" s="652" customFormat="1" x14ac:dyDescent="0.2">
      <c r="A451" s="649"/>
      <c r="B451" s="657"/>
      <c r="C451" s="646"/>
      <c r="D451" s="646"/>
      <c r="G451" s="789"/>
      <c r="H451" s="789"/>
      <c r="I451" s="789"/>
      <c r="J451" s="789"/>
      <c r="K451" s="789"/>
      <c r="L451" s="789"/>
      <c r="M451" s="789"/>
      <c r="N451" s="789"/>
      <c r="O451" s="789"/>
      <c r="P451" s="789"/>
      <c r="Q451" s="789"/>
      <c r="R451" s="789"/>
      <c r="U451" s="649"/>
      <c r="V451" s="660"/>
      <c r="W451" s="649"/>
      <c r="X451" s="649"/>
      <c r="Z451" s="649"/>
    </row>
    <row r="452" spans="1:27" s="652" customFormat="1" x14ac:dyDescent="0.2">
      <c r="A452" s="649"/>
      <c r="B452" s="657"/>
      <c r="C452" s="646"/>
      <c r="D452" s="646"/>
      <c r="E452" s="564"/>
      <c r="F452" s="564"/>
      <c r="G452" s="716"/>
      <c r="H452" s="716"/>
      <c r="I452" s="716"/>
      <c r="J452" s="716"/>
      <c r="K452" s="716"/>
      <c r="L452" s="716"/>
      <c r="M452" s="716"/>
      <c r="N452" s="716"/>
      <c r="O452" s="716"/>
      <c r="P452" s="716"/>
      <c r="Q452" s="716"/>
      <c r="R452" s="716"/>
      <c r="S452" s="573"/>
      <c r="T452" s="720"/>
      <c r="U452" s="721"/>
      <c r="V452" s="564"/>
      <c r="W452" s="721"/>
      <c r="X452" s="649"/>
      <c r="Y452" s="573"/>
      <c r="Z452" s="649"/>
    </row>
    <row r="453" spans="1:27" s="652" customFormat="1" x14ac:dyDescent="0.2">
      <c r="A453" s="649"/>
      <c r="B453" s="646"/>
      <c r="C453" s="646"/>
      <c r="D453" s="646"/>
      <c r="E453" s="646"/>
      <c r="F453" s="646"/>
      <c r="G453" s="650"/>
      <c r="H453" s="650"/>
      <c r="I453" s="650"/>
      <c r="J453" s="650"/>
      <c r="K453" s="650"/>
      <c r="L453" s="650"/>
      <c r="M453" s="650"/>
      <c r="N453" s="650"/>
      <c r="O453" s="650"/>
      <c r="P453" s="650"/>
      <c r="Q453" s="650"/>
      <c r="R453" s="650"/>
      <c r="S453" s="573"/>
      <c r="T453" s="573"/>
      <c r="U453" s="573"/>
      <c r="V453" s="646"/>
      <c r="W453" s="651"/>
      <c r="X453" s="646"/>
      <c r="Y453" s="573"/>
      <c r="Z453" s="649"/>
      <c r="AA453" s="649"/>
    </row>
    <row r="454" spans="1:27" s="652" customFormat="1" x14ac:dyDescent="0.2">
      <c r="A454" s="649"/>
      <c r="B454" s="646"/>
      <c r="C454" s="646"/>
      <c r="D454" s="646"/>
      <c r="E454" s="646"/>
      <c r="F454" s="646"/>
      <c r="G454" s="650"/>
      <c r="H454" s="650"/>
      <c r="I454" s="650"/>
      <c r="J454" s="650"/>
      <c r="K454" s="650"/>
      <c r="L454" s="650"/>
      <c r="M454" s="650"/>
      <c r="N454" s="650"/>
      <c r="O454" s="650"/>
      <c r="P454" s="650"/>
      <c r="Q454" s="650"/>
      <c r="R454" s="650"/>
      <c r="S454" s="573"/>
      <c r="T454" s="573"/>
      <c r="U454" s="573"/>
      <c r="V454" s="646"/>
      <c r="W454" s="651"/>
      <c r="X454" s="646"/>
      <c r="Y454" s="573"/>
      <c r="Z454" s="649"/>
      <c r="AA454" s="649"/>
    </row>
    <row r="455" spans="1:27" s="652" customFormat="1" x14ac:dyDescent="0.2">
      <c r="A455" s="649"/>
      <c r="B455" s="646"/>
      <c r="C455" s="646"/>
      <c r="D455" s="646"/>
      <c r="E455" s="646"/>
      <c r="F455" s="646"/>
      <c r="G455" s="650"/>
      <c r="H455" s="650"/>
      <c r="I455" s="650"/>
      <c r="J455" s="650"/>
      <c r="K455" s="650"/>
      <c r="L455" s="650"/>
      <c r="M455" s="650"/>
      <c r="N455" s="650"/>
      <c r="O455" s="650"/>
      <c r="P455" s="650"/>
      <c r="Q455" s="650"/>
      <c r="R455" s="650"/>
      <c r="S455" s="573"/>
      <c r="T455" s="573"/>
      <c r="U455" s="573"/>
      <c r="V455" s="646"/>
      <c r="W455" s="651"/>
      <c r="X455" s="646"/>
      <c r="Y455" s="573"/>
      <c r="Z455" s="649"/>
      <c r="AA455" s="649"/>
    </row>
    <row r="456" spans="1:27" s="652" customFormat="1" x14ac:dyDescent="0.2">
      <c r="A456" s="649"/>
      <c r="B456" s="646"/>
      <c r="C456" s="646"/>
      <c r="D456" s="646"/>
      <c r="E456" s="646"/>
      <c r="F456" s="646"/>
      <c r="G456" s="650"/>
      <c r="H456" s="650"/>
      <c r="I456" s="650"/>
      <c r="J456" s="650"/>
      <c r="K456" s="650"/>
      <c r="L456" s="650"/>
      <c r="M456" s="650"/>
      <c r="N456" s="650"/>
      <c r="O456" s="650"/>
      <c r="P456" s="650"/>
      <c r="Q456" s="650"/>
      <c r="R456" s="650"/>
      <c r="S456" s="573"/>
      <c r="T456" s="573"/>
      <c r="U456" s="573"/>
      <c r="V456" s="646"/>
      <c r="W456" s="651"/>
      <c r="X456" s="646"/>
      <c r="Y456" s="573"/>
      <c r="Z456" s="649"/>
      <c r="AA456" s="649"/>
    </row>
    <row r="457" spans="1:27" s="652" customFormat="1" ht="20.25" x14ac:dyDescent="0.3">
      <c r="A457" s="649"/>
      <c r="B457" s="646"/>
      <c r="C457" s="646"/>
      <c r="D457" s="646"/>
      <c r="E457" s="1834"/>
      <c r="F457" s="1834"/>
      <c r="G457" s="650"/>
      <c r="H457" s="650"/>
      <c r="I457" s="650"/>
      <c r="J457" s="650"/>
      <c r="K457" s="650"/>
      <c r="L457" s="650"/>
      <c r="M457" s="650"/>
      <c r="N457" s="650"/>
      <c r="O457" s="650"/>
      <c r="P457" s="650"/>
      <c r="Q457" s="650"/>
      <c r="R457" s="650"/>
      <c r="S457" s="573"/>
      <c r="T457" s="573"/>
      <c r="U457" s="573"/>
      <c r="V457" s="646"/>
      <c r="W457" s="651"/>
      <c r="X457" s="646"/>
      <c r="Y457" s="573"/>
      <c r="Z457" s="649"/>
      <c r="AA457" s="649"/>
    </row>
    <row r="458" spans="1:27" s="652" customFormat="1" ht="20.25" x14ac:dyDescent="0.3">
      <c r="A458" s="649"/>
      <c r="B458" s="646"/>
      <c r="C458" s="646"/>
      <c r="D458" s="646"/>
      <c r="E458" s="817"/>
      <c r="F458" s="817"/>
      <c r="G458" s="650"/>
      <c r="H458" s="650"/>
      <c r="I458" s="650"/>
      <c r="J458" s="650"/>
      <c r="K458" s="650"/>
      <c r="L458" s="650"/>
      <c r="M458" s="650"/>
      <c r="N458" s="650"/>
      <c r="O458" s="650"/>
      <c r="P458" s="650"/>
      <c r="Q458" s="650"/>
      <c r="R458" s="650"/>
      <c r="S458" s="573"/>
      <c r="T458" s="573"/>
      <c r="U458" s="573"/>
      <c r="V458" s="646"/>
      <c r="W458" s="651"/>
      <c r="X458" s="646"/>
      <c r="Y458" s="573"/>
      <c r="Z458" s="649"/>
      <c r="AA458" s="649"/>
    </row>
    <row r="459" spans="1:27" s="652" customFormat="1" x14ac:dyDescent="0.2">
      <c r="A459" s="649"/>
      <c r="B459" s="646"/>
      <c r="C459" s="646"/>
      <c r="D459" s="646"/>
      <c r="E459" s="646"/>
      <c r="F459" s="646"/>
      <c r="G459" s="650"/>
      <c r="H459" s="650"/>
      <c r="I459" s="650"/>
      <c r="J459" s="650"/>
      <c r="K459" s="650"/>
      <c r="L459" s="650"/>
      <c r="M459" s="650"/>
      <c r="N459" s="650"/>
      <c r="O459" s="650"/>
      <c r="P459" s="650"/>
      <c r="Q459" s="650"/>
      <c r="R459" s="650"/>
      <c r="S459" s="573"/>
      <c r="T459" s="573"/>
      <c r="U459" s="573"/>
      <c r="V459" s="646"/>
      <c r="W459" s="651"/>
      <c r="X459" s="646"/>
      <c r="Y459" s="573"/>
      <c r="Z459" s="649"/>
      <c r="AA459" s="649"/>
    </row>
    <row r="460" spans="1:27" s="652" customFormat="1" x14ac:dyDescent="0.2">
      <c r="A460" s="649"/>
      <c r="B460" s="646"/>
      <c r="C460" s="646"/>
      <c r="D460" s="646"/>
      <c r="E460" s="646"/>
      <c r="F460" s="646"/>
      <c r="G460" s="650"/>
      <c r="H460" s="650"/>
      <c r="I460" s="650"/>
      <c r="J460" s="650"/>
      <c r="K460" s="650"/>
      <c r="L460" s="650"/>
      <c r="M460" s="650"/>
      <c r="N460" s="650"/>
      <c r="O460" s="650"/>
      <c r="P460" s="650"/>
      <c r="Q460" s="650"/>
      <c r="R460" s="650"/>
      <c r="S460" s="573"/>
      <c r="T460" s="573"/>
      <c r="U460" s="573"/>
      <c r="V460" s="646"/>
      <c r="W460" s="651"/>
      <c r="X460" s="646"/>
      <c r="Y460" s="573"/>
      <c r="Z460" s="649"/>
      <c r="AA460" s="649"/>
    </row>
    <row r="461" spans="1:27" s="652" customFormat="1" x14ac:dyDescent="0.2">
      <c r="A461" s="649"/>
      <c r="B461" s="752"/>
      <c r="C461" s="717"/>
      <c r="D461" s="717"/>
      <c r="E461" s="564"/>
      <c r="F461" s="564"/>
      <c r="G461" s="650"/>
      <c r="H461" s="650"/>
      <c r="I461" s="650"/>
      <c r="J461" s="650"/>
      <c r="K461" s="650"/>
      <c r="L461" s="650"/>
      <c r="M461" s="650"/>
      <c r="N461" s="650"/>
      <c r="O461" s="650"/>
      <c r="P461" s="650"/>
      <c r="Q461" s="650"/>
      <c r="R461" s="650"/>
      <c r="S461" s="573"/>
      <c r="T461" s="720"/>
      <c r="U461" s="720"/>
      <c r="V461" s="564"/>
      <c r="W461" s="651"/>
      <c r="X461" s="649"/>
      <c r="Y461" s="573"/>
      <c r="Z461" s="649"/>
      <c r="AA461" s="649"/>
    </row>
    <row r="462" spans="1:27" s="575" customFormat="1" x14ac:dyDescent="0.2">
      <c r="A462" s="578"/>
      <c r="B462" s="640"/>
      <c r="C462" s="597"/>
      <c r="D462" s="597"/>
      <c r="G462" s="672"/>
      <c r="H462" s="672"/>
      <c r="I462" s="672"/>
      <c r="J462" s="672"/>
      <c r="K462" s="672"/>
      <c r="L462" s="672"/>
      <c r="M462" s="672"/>
      <c r="N462" s="672"/>
      <c r="O462" s="672"/>
      <c r="P462" s="672"/>
      <c r="Q462" s="672"/>
      <c r="R462" s="672"/>
      <c r="U462" s="578"/>
      <c r="V462" s="696"/>
      <c r="W462" s="578"/>
      <c r="X462" s="578"/>
      <c r="Z462" s="578"/>
    </row>
    <row r="463" spans="1:27" x14ac:dyDescent="0.2">
      <c r="G463" s="814"/>
      <c r="H463" s="814"/>
      <c r="I463" s="814"/>
      <c r="J463" s="814"/>
      <c r="K463" s="814"/>
      <c r="L463" s="814"/>
      <c r="M463" s="814"/>
      <c r="N463" s="814"/>
      <c r="O463" s="814"/>
      <c r="P463" s="814"/>
      <c r="Q463" s="814"/>
      <c r="R463" s="814"/>
    </row>
    <row r="467" spans="7:18" ht="30" customHeight="1" x14ac:dyDescent="0.2"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</row>
  </sheetData>
  <mergeCells count="184">
    <mergeCell ref="T13:T14"/>
    <mergeCell ref="T19:T20"/>
    <mergeCell ref="T24:T25"/>
    <mergeCell ref="T15:T18"/>
    <mergeCell ref="T32:T33"/>
    <mergeCell ref="O24:O25"/>
    <mergeCell ref="O26:O29"/>
    <mergeCell ref="O30:O31"/>
    <mergeCell ref="Q19:Q20"/>
    <mergeCell ref="Q21:Q23"/>
    <mergeCell ref="Q24:Q25"/>
    <mergeCell ref="Q26:Q29"/>
    <mergeCell ref="Q30:Q31"/>
    <mergeCell ref="Q32:Q33"/>
    <mergeCell ref="O32:O33"/>
    <mergeCell ref="R13:R14"/>
    <mergeCell ref="R15:R18"/>
    <mergeCell ref="R19:R20"/>
    <mergeCell ref="R21:R23"/>
    <mergeCell ref="R24:R25"/>
    <mergeCell ref="R26:R29"/>
    <mergeCell ref="R30:R31"/>
    <mergeCell ref="R32:R33"/>
    <mergeCell ref="G30:G31"/>
    <mergeCell ref="K26:K29"/>
    <mergeCell ref="K24:K25"/>
    <mergeCell ref="J24:J25"/>
    <mergeCell ref="I24:I25"/>
    <mergeCell ref="H24:H25"/>
    <mergeCell ref="J13:J14"/>
    <mergeCell ref="I13:I14"/>
    <mergeCell ref="H13:H14"/>
    <mergeCell ref="G13:G14"/>
    <mergeCell ref="G24:G25"/>
    <mergeCell ref="I21:I23"/>
    <mergeCell ref="J19:J20"/>
    <mergeCell ref="I19:I20"/>
    <mergeCell ref="H19:H20"/>
    <mergeCell ref="G19:G20"/>
    <mergeCell ref="J21:J23"/>
    <mergeCell ref="D24:D25"/>
    <mergeCell ref="G11:S11"/>
    <mergeCell ref="K15:K18"/>
    <mergeCell ref="K13:K14"/>
    <mergeCell ref="L13:L14"/>
    <mergeCell ref="N15:N18"/>
    <mergeCell ref="H15:H18"/>
    <mergeCell ref="I15:I18"/>
    <mergeCell ref="J15:J18"/>
    <mergeCell ref="O13:O14"/>
    <mergeCell ref="O15:O18"/>
    <mergeCell ref="P13:P14"/>
    <mergeCell ref="P15:P18"/>
    <mergeCell ref="Q13:Q14"/>
    <mergeCell ref="Q15:Q18"/>
    <mergeCell ref="N13:N14"/>
    <mergeCell ref="F11:F12"/>
    <mergeCell ref="E11:E12"/>
    <mergeCell ref="D11:D12"/>
    <mergeCell ref="F13:F14"/>
    <mergeCell ref="F15:F18"/>
    <mergeCell ref="E13:E14"/>
    <mergeCell ref="E15:E18"/>
    <mergeCell ref="D13:D14"/>
    <mergeCell ref="E315:F315"/>
    <mergeCell ref="E417:S417"/>
    <mergeCell ref="E442:S442"/>
    <mergeCell ref="B24:B29"/>
    <mergeCell ref="E24:E25"/>
    <mergeCell ref="S21:S23"/>
    <mergeCell ref="J26:J29"/>
    <mergeCell ref="C19:C20"/>
    <mergeCell ref="S32:S33"/>
    <mergeCell ref="S24:S25"/>
    <mergeCell ref="S30:S31"/>
    <mergeCell ref="S26:S29"/>
    <mergeCell ref="B30:B33"/>
    <mergeCell ref="E30:E31"/>
    <mergeCell ref="C32:C33"/>
    <mergeCell ref="D21:D23"/>
    <mergeCell ref="B19:B23"/>
    <mergeCell ref="D19:D20"/>
    <mergeCell ref="D32:D33"/>
    <mergeCell ref="E333:F333"/>
    <mergeCell ref="C30:C31"/>
    <mergeCell ref="C21:C23"/>
    <mergeCell ref="C26:C29"/>
    <mergeCell ref="C24:C25"/>
    <mergeCell ref="A6:T7"/>
    <mergeCell ref="E391:F391"/>
    <mergeCell ref="D26:D29"/>
    <mergeCell ref="D30:D31"/>
    <mergeCell ref="E32:E33"/>
    <mergeCell ref="F30:F31"/>
    <mergeCell ref="E19:E20"/>
    <mergeCell ref="E21:E23"/>
    <mergeCell ref="F19:F20"/>
    <mergeCell ref="F21:F23"/>
    <mergeCell ref="F24:F25"/>
    <mergeCell ref="F26:F29"/>
    <mergeCell ref="E26:E29"/>
    <mergeCell ref="E381:F381"/>
    <mergeCell ref="C191:F191"/>
    <mergeCell ref="E195:F195"/>
    <mergeCell ref="E211:F211"/>
    <mergeCell ref="E224:F224"/>
    <mergeCell ref="C313:F313"/>
    <mergeCell ref="B13:B18"/>
    <mergeCell ref="C13:C14"/>
    <mergeCell ref="C15:C18"/>
    <mergeCell ref="C11:C12"/>
    <mergeCell ref="B11:B12"/>
    <mergeCell ref="D15:D18"/>
    <mergeCell ref="E457:F457"/>
    <mergeCell ref="F32:F33"/>
    <mergeCell ref="V25:W25"/>
    <mergeCell ref="U26:U29"/>
    <mergeCell ref="T21:T23"/>
    <mergeCell ref="T26:T29"/>
    <mergeCell ref="G26:G29"/>
    <mergeCell ref="H26:H29"/>
    <mergeCell ref="G32:G33"/>
    <mergeCell ref="G21:G23"/>
    <mergeCell ref="H32:H33"/>
    <mergeCell ref="H21:H23"/>
    <mergeCell ref="I32:I33"/>
    <mergeCell ref="I26:I29"/>
    <mergeCell ref="U30:U31"/>
    <mergeCell ref="T30:T31"/>
    <mergeCell ref="E447:F447"/>
    <mergeCell ref="E324:F324"/>
    <mergeCell ref="C342:F342"/>
    <mergeCell ref="M26:M29"/>
    <mergeCell ref="M30:M31"/>
    <mergeCell ref="I30:I31"/>
    <mergeCell ref="E344:F344"/>
    <mergeCell ref="E360:F360"/>
    <mergeCell ref="U32:U33"/>
    <mergeCell ref="U21:U23"/>
    <mergeCell ref="J32:J33"/>
    <mergeCell ref="K19:K20"/>
    <mergeCell ref="K21:K23"/>
    <mergeCell ref="K32:K33"/>
    <mergeCell ref="K30:K31"/>
    <mergeCell ref="J30:J31"/>
    <mergeCell ref="L32:L33"/>
    <mergeCell ref="M32:M33"/>
    <mergeCell ref="N19:N20"/>
    <mergeCell ref="N21:N23"/>
    <mergeCell ref="N24:N25"/>
    <mergeCell ref="N26:N29"/>
    <mergeCell ref="N30:N31"/>
    <mergeCell ref="N32:N33"/>
    <mergeCell ref="O19:O20"/>
    <mergeCell ref="O21:O23"/>
    <mergeCell ref="P21:P23"/>
    <mergeCell ref="P24:P25"/>
    <mergeCell ref="P26:P29"/>
    <mergeCell ref="P30:P31"/>
    <mergeCell ref="P32:P33"/>
    <mergeCell ref="V31:W31"/>
    <mergeCell ref="G15:G18"/>
    <mergeCell ref="S13:S14"/>
    <mergeCell ref="S15:S18"/>
    <mergeCell ref="S19:S20"/>
    <mergeCell ref="V14:W14"/>
    <mergeCell ref="U15:U18"/>
    <mergeCell ref="V20:W20"/>
    <mergeCell ref="L15:L18"/>
    <mergeCell ref="L19:L20"/>
    <mergeCell ref="L21:L23"/>
    <mergeCell ref="L24:L25"/>
    <mergeCell ref="L26:L29"/>
    <mergeCell ref="L30:L31"/>
    <mergeCell ref="M13:M14"/>
    <mergeCell ref="M15:M18"/>
    <mergeCell ref="M19:M20"/>
    <mergeCell ref="M21:M23"/>
    <mergeCell ref="M24:M25"/>
    <mergeCell ref="P19:P20"/>
    <mergeCell ref="U19:U20"/>
    <mergeCell ref="U24:U25"/>
    <mergeCell ref="U13:U14"/>
    <mergeCell ref="H30:H31"/>
  </mergeCells>
  <pageMargins left="0.15748031496062992" right="0.27559055118110237" top="0.35433070866141736" bottom="0.74803149606299213" header="0.31496062992125984" footer="0.31496062992125984"/>
  <pageSetup paperSize="9" scale="40" orientation="landscape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>
    <pageSetUpPr fitToPage="1"/>
  </sheetPr>
  <dimension ref="A1:Y88"/>
  <sheetViews>
    <sheetView topLeftCell="A52" workbookViewId="0">
      <selection activeCell="E88" sqref="E88"/>
    </sheetView>
  </sheetViews>
  <sheetFormatPr defaultColWidth="11.42578125" defaultRowHeight="12.75" x14ac:dyDescent="0.2"/>
  <cols>
    <col min="2" max="2" width="3.28515625" customWidth="1"/>
    <col min="3" max="3" width="11.85546875" bestFit="1" customWidth="1"/>
    <col min="4" max="5" width="11.5703125" bestFit="1" customWidth="1"/>
    <col min="6" max="7" width="11.5703125" customWidth="1"/>
    <col min="8" max="8" width="11.5703125" bestFit="1" customWidth="1"/>
    <col min="9" max="10" width="11.85546875" bestFit="1" customWidth="1"/>
    <col min="11" max="12" width="11.5703125" bestFit="1" customWidth="1"/>
    <col min="13" max="13" width="11.5703125" customWidth="1"/>
    <col min="14" max="19" width="11.5703125" bestFit="1" customWidth="1"/>
    <col min="20" max="20" width="4.85546875" customWidth="1"/>
    <col min="22" max="22" width="15.85546875" customWidth="1"/>
    <col min="23" max="23" width="11.85546875" bestFit="1" customWidth="1"/>
    <col min="25" max="25" width="12.85546875" bestFit="1" customWidth="1"/>
  </cols>
  <sheetData>
    <row r="1" spans="2:20" ht="18" x14ac:dyDescent="0.25">
      <c r="J1" s="208" t="s">
        <v>959</v>
      </c>
      <c r="Q1" s="94">
        <v>42082</v>
      </c>
    </row>
    <row r="3" spans="2:20" ht="13.5" thickBot="1" x14ac:dyDescent="0.25"/>
    <row r="4" spans="2:20" ht="15.75" x14ac:dyDescent="0.25">
      <c r="C4" s="102"/>
      <c r="D4" s="87"/>
      <c r="E4" s="430" t="s">
        <v>33</v>
      </c>
      <c r="F4" s="430"/>
      <c r="G4" s="430"/>
      <c r="H4" s="430"/>
      <c r="I4" s="431"/>
      <c r="J4" s="432"/>
      <c r="K4" s="430" t="s">
        <v>664</v>
      </c>
      <c r="L4" s="430"/>
      <c r="M4" s="430"/>
      <c r="N4" s="430"/>
      <c r="O4" s="432"/>
      <c r="P4" s="430" t="s">
        <v>668</v>
      </c>
      <c r="Q4" s="430"/>
      <c r="R4" s="87"/>
      <c r="S4" s="13"/>
    </row>
    <row r="5" spans="2:20" ht="13.5" thickBot="1" x14ac:dyDescent="0.25">
      <c r="C5" s="89"/>
      <c r="D5" s="90"/>
      <c r="E5" s="90"/>
      <c r="F5" s="90"/>
      <c r="G5" s="90"/>
      <c r="H5" s="90"/>
      <c r="I5" s="81"/>
      <c r="J5" s="89"/>
      <c r="K5" s="6"/>
      <c r="L5" s="90"/>
      <c r="M5" s="6"/>
      <c r="N5" s="6"/>
      <c r="O5" s="88"/>
      <c r="P5" s="6"/>
      <c r="Q5" s="6"/>
      <c r="R5" s="6"/>
      <c r="S5" s="205" t="s">
        <v>32</v>
      </c>
    </row>
    <row r="6" spans="2:20" x14ac:dyDescent="0.2">
      <c r="C6" s="255"/>
      <c r="D6" s="6"/>
      <c r="E6" s="255"/>
      <c r="F6" s="255"/>
      <c r="G6" s="255"/>
      <c r="H6" s="6"/>
      <c r="I6" s="13"/>
      <c r="J6" s="6"/>
      <c r="K6" s="428"/>
      <c r="L6" s="6"/>
      <c r="M6" s="26" t="s">
        <v>702</v>
      </c>
      <c r="N6" s="2"/>
      <c r="O6" s="255"/>
      <c r="P6" s="87"/>
      <c r="Q6" s="255"/>
      <c r="R6" s="87"/>
      <c r="S6" s="205" t="s">
        <v>669</v>
      </c>
    </row>
    <row r="7" spans="2:20" x14ac:dyDescent="0.2">
      <c r="C7" s="73" t="s">
        <v>132</v>
      </c>
      <c r="D7" s="891" t="s">
        <v>287</v>
      </c>
      <c r="E7" s="73" t="s">
        <v>660</v>
      </c>
      <c r="F7" s="148" t="s">
        <v>485</v>
      </c>
      <c r="G7" s="148" t="s">
        <v>670</v>
      </c>
      <c r="H7" s="891" t="s">
        <v>661</v>
      </c>
      <c r="I7" s="205" t="s">
        <v>662</v>
      </c>
      <c r="J7" s="891" t="s">
        <v>132</v>
      </c>
      <c r="K7" s="205" t="s">
        <v>663</v>
      </c>
      <c r="L7" s="93" t="s">
        <v>701</v>
      </c>
      <c r="M7" s="205" t="s">
        <v>495</v>
      </c>
      <c r="N7" s="396" t="s">
        <v>662</v>
      </c>
      <c r="O7" s="131" t="s">
        <v>665</v>
      </c>
      <c r="P7" s="135" t="s">
        <v>666</v>
      </c>
      <c r="Q7" s="131" t="s">
        <v>667</v>
      </c>
      <c r="R7" s="135" t="s">
        <v>397</v>
      </c>
      <c r="S7" s="15"/>
    </row>
    <row r="8" spans="2:20" x14ac:dyDescent="0.2">
      <c r="C8" s="841"/>
      <c r="D8" s="424"/>
      <c r="E8" s="841"/>
      <c r="F8" s="841"/>
      <c r="G8" s="841"/>
      <c r="H8" s="424"/>
      <c r="I8" s="425"/>
      <c r="J8" s="424"/>
      <c r="K8" s="429"/>
      <c r="L8" s="424"/>
      <c r="M8" s="425"/>
      <c r="N8" s="426"/>
      <c r="O8" s="892"/>
      <c r="P8" s="90"/>
      <c r="Q8" s="892"/>
      <c r="R8" s="90"/>
      <c r="S8" s="427"/>
    </row>
    <row r="9" spans="2:20" x14ac:dyDescent="0.2">
      <c r="C9" s="374"/>
      <c r="D9" s="433"/>
      <c r="E9" s="374"/>
      <c r="F9" s="374"/>
      <c r="G9" s="374"/>
      <c r="H9" s="433"/>
      <c r="I9" s="434"/>
      <c r="J9" s="433"/>
      <c r="K9" s="434"/>
      <c r="L9" s="433"/>
      <c r="M9" s="434"/>
      <c r="N9" s="434"/>
      <c r="O9" s="433"/>
      <c r="P9" s="374"/>
      <c r="Q9" s="433"/>
      <c r="R9" s="435"/>
      <c r="S9" s="434"/>
    </row>
    <row r="10" spans="2:20" ht="14.25" customHeight="1" x14ac:dyDescent="0.2">
      <c r="B10">
        <v>1</v>
      </c>
      <c r="C10" s="22">
        <v>172149</v>
      </c>
      <c r="D10" s="29">
        <v>4714</v>
      </c>
      <c r="E10" s="22"/>
      <c r="F10" s="22">
        <v>156010</v>
      </c>
      <c r="G10" s="22"/>
      <c r="H10" s="29">
        <v>11425</v>
      </c>
      <c r="I10" s="34">
        <f>C10-D10-E10-H10-F10-G10</f>
        <v>0</v>
      </c>
      <c r="J10" s="29">
        <v>7216</v>
      </c>
      <c r="K10" s="34">
        <v>7216</v>
      </c>
      <c r="L10" s="29"/>
      <c r="M10" s="34"/>
      <c r="N10" s="34">
        <f>J10-K10-L10-M10</f>
        <v>0</v>
      </c>
      <c r="O10" s="463">
        <v>2612</v>
      </c>
      <c r="P10" s="22"/>
      <c r="Q10" s="29">
        <v>1500</v>
      </c>
      <c r="R10" s="28">
        <v>602</v>
      </c>
      <c r="S10" s="34">
        <v>8369</v>
      </c>
      <c r="T10">
        <v>1</v>
      </c>
    </row>
    <row r="11" spans="2:20" x14ac:dyDescent="0.2">
      <c r="C11" s="375"/>
      <c r="D11" s="436"/>
      <c r="E11" s="375"/>
      <c r="F11" s="894"/>
      <c r="G11" s="375"/>
      <c r="H11" s="436"/>
      <c r="I11" s="437"/>
      <c r="J11" s="436"/>
      <c r="K11" s="437"/>
      <c r="L11" s="436"/>
      <c r="M11" s="437"/>
      <c r="N11" s="34">
        <f t="shared" ref="N11:N71" si="0">J11-K11-L11-M11</f>
        <v>0</v>
      </c>
      <c r="O11" s="436"/>
      <c r="P11" s="375"/>
      <c r="Q11" s="436"/>
      <c r="R11" s="438"/>
      <c r="S11" s="437"/>
    </row>
    <row r="12" spans="2:20" x14ac:dyDescent="0.2">
      <c r="B12">
        <v>2</v>
      </c>
      <c r="C12" s="374">
        <v>1000</v>
      </c>
      <c r="D12" s="433">
        <v>1000</v>
      </c>
      <c r="E12" s="374"/>
      <c r="F12" s="374"/>
      <c r="G12" s="374"/>
      <c r="H12" s="433"/>
      <c r="I12" s="34">
        <f>C12-D12-E12-H12-F12-G12</f>
        <v>0</v>
      </c>
      <c r="J12" s="433">
        <v>6587</v>
      </c>
      <c r="K12" s="434">
        <v>1587</v>
      </c>
      <c r="L12" s="433"/>
      <c r="M12" s="34">
        <v>5000</v>
      </c>
      <c r="N12" s="34">
        <f t="shared" si="0"/>
        <v>0</v>
      </c>
      <c r="O12" s="433">
        <v>1000</v>
      </c>
      <c r="P12" s="374"/>
      <c r="Q12" s="433"/>
      <c r="R12" s="435"/>
      <c r="S12" s="434">
        <v>8769</v>
      </c>
      <c r="T12">
        <v>2</v>
      </c>
    </row>
    <row r="13" spans="2:20" x14ac:dyDescent="0.2">
      <c r="C13" s="375"/>
      <c r="D13" s="436"/>
      <c r="E13" s="375"/>
      <c r="F13" s="375"/>
      <c r="G13" s="375"/>
      <c r="H13" s="436"/>
      <c r="I13" s="34"/>
      <c r="J13" s="436"/>
      <c r="K13" s="437"/>
      <c r="L13" s="436"/>
      <c r="M13" s="34"/>
      <c r="N13" s="34">
        <f t="shared" si="0"/>
        <v>0</v>
      </c>
      <c r="O13" s="436"/>
      <c r="P13" s="375"/>
      <c r="Q13" s="436"/>
      <c r="R13" s="438"/>
      <c r="S13" s="437"/>
    </row>
    <row r="14" spans="2:20" x14ac:dyDescent="0.2">
      <c r="B14">
        <v>3</v>
      </c>
      <c r="C14" s="374">
        <v>27825</v>
      </c>
      <c r="D14" s="433">
        <v>13525</v>
      </c>
      <c r="E14" s="374"/>
      <c r="F14" s="374"/>
      <c r="G14" s="374"/>
      <c r="H14" s="433"/>
      <c r="I14" s="34">
        <f t="shared" ref="I14:I71" si="1">C14-D14-E14-H14-F14-G14</f>
        <v>14300</v>
      </c>
      <c r="J14" s="433">
        <v>1217</v>
      </c>
      <c r="K14" s="434">
        <v>1217</v>
      </c>
      <c r="L14" s="433"/>
      <c r="M14" s="34"/>
      <c r="N14" s="34">
        <f>J14-K14-L14-M14</f>
        <v>0</v>
      </c>
      <c r="O14" s="433">
        <v>5047</v>
      </c>
      <c r="P14" s="374"/>
      <c r="Q14" s="433">
        <v>7315</v>
      </c>
      <c r="R14" s="435">
        <v>1163</v>
      </c>
      <c r="S14" s="434">
        <v>1218</v>
      </c>
      <c r="T14">
        <v>3</v>
      </c>
    </row>
    <row r="15" spans="2:20" x14ac:dyDescent="0.2">
      <c r="C15" s="375"/>
      <c r="D15" s="436"/>
      <c r="E15" s="375"/>
      <c r="F15" s="375"/>
      <c r="G15" s="375"/>
      <c r="H15" s="436"/>
      <c r="I15" s="34">
        <f t="shared" si="1"/>
        <v>0</v>
      </c>
      <c r="J15" s="436"/>
      <c r="K15" s="437"/>
      <c r="L15" s="436"/>
      <c r="M15" s="34"/>
      <c r="N15" s="34">
        <f t="shared" si="0"/>
        <v>0</v>
      </c>
      <c r="O15" s="436"/>
      <c r="P15" s="375"/>
      <c r="Q15" s="436"/>
      <c r="R15" s="438"/>
      <c r="S15" s="437"/>
    </row>
    <row r="16" spans="2:20" x14ac:dyDescent="0.2">
      <c r="B16">
        <v>4</v>
      </c>
      <c r="C16" s="374">
        <v>26545</v>
      </c>
      <c r="D16" s="433">
        <v>1200</v>
      </c>
      <c r="E16" s="374"/>
      <c r="F16" s="374"/>
      <c r="G16" s="374"/>
      <c r="H16" s="433"/>
      <c r="I16" s="34">
        <f t="shared" si="1"/>
        <v>25345</v>
      </c>
      <c r="J16" s="433">
        <v>22800</v>
      </c>
      <c r="K16" s="434"/>
      <c r="L16" s="433"/>
      <c r="M16" s="34">
        <v>4350</v>
      </c>
      <c r="N16" s="34">
        <f t="shared" si="0"/>
        <v>18450</v>
      </c>
      <c r="O16" s="464">
        <v>1200</v>
      </c>
      <c r="P16" s="374"/>
      <c r="Q16" s="433"/>
      <c r="R16" s="435"/>
      <c r="S16" s="434">
        <v>5545</v>
      </c>
      <c r="T16">
        <v>4</v>
      </c>
    </row>
    <row r="17" spans="2:20" x14ac:dyDescent="0.2">
      <c r="C17" s="375"/>
      <c r="D17" s="436"/>
      <c r="E17" s="375"/>
      <c r="F17" s="375"/>
      <c r="G17" s="375"/>
      <c r="H17" s="436"/>
      <c r="I17" s="34">
        <f t="shared" si="1"/>
        <v>0</v>
      </c>
      <c r="J17" s="436"/>
      <c r="K17" s="437"/>
      <c r="L17" s="436"/>
      <c r="M17" s="34"/>
      <c r="N17" s="34">
        <f t="shared" si="0"/>
        <v>0</v>
      </c>
      <c r="O17" s="436"/>
      <c r="P17" s="375"/>
      <c r="Q17" s="436"/>
      <c r="R17" s="438"/>
      <c r="S17" s="437"/>
    </row>
    <row r="18" spans="2:20" x14ac:dyDescent="0.2">
      <c r="B18">
        <v>5</v>
      </c>
      <c r="C18" s="374">
        <v>10435</v>
      </c>
      <c r="D18" s="433">
        <v>10435</v>
      </c>
      <c r="E18" s="374"/>
      <c r="F18" s="374"/>
      <c r="G18" s="374"/>
      <c r="H18" s="433"/>
      <c r="I18" s="34">
        <f t="shared" si="1"/>
        <v>0</v>
      </c>
      <c r="J18" s="433">
        <v>31439</v>
      </c>
      <c r="K18" s="434">
        <v>18933</v>
      </c>
      <c r="L18" s="433">
        <v>3500</v>
      </c>
      <c r="M18" s="34">
        <v>2710</v>
      </c>
      <c r="N18" s="34">
        <f t="shared" si="0"/>
        <v>6296</v>
      </c>
      <c r="O18" s="433">
        <v>4418</v>
      </c>
      <c r="P18" s="374"/>
      <c r="Q18" s="433">
        <v>4017</v>
      </c>
      <c r="R18" s="435">
        <v>2000</v>
      </c>
      <c r="S18" s="434">
        <v>26191</v>
      </c>
      <c r="T18">
        <v>5</v>
      </c>
    </row>
    <row r="19" spans="2:20" x14ac:dyDescent="0.2">
      <c r="C19" s="375"/>
      <c r="D19" s="436"/>
      <c r="E19" s="375"/>
      <c r="F19" s="375"/>
      <c r="G19" s="375"/>
      <c r="H19" s="436"/>
      <c r="I19" s="34">
        <f t="shared" si="1"/>
        <v>0</v>
      </c>
      <c r="J19" s="436"/>
      <c r="K19" s="437"/>
      <c r="L19" s="436"/>
      <c r="M19" s="34"/>
      <c r="N19" s="34">
        <f t="shared" si="0"/>
        <v>0</v>
      </c>
      <c r="O19" s="436"/>
      <c r="P19" s="375"/>
      <c r="Q19" s="436"/>
      <c r="R19" s="438"/>
      <c r="S19" s="437"/>
    </row>
    <row r="20" spans="2:20" x14ac:dyDescent="0.2">
      <c r="B20">
        <v>6</v>
      </c>
      <c r="C20" s="374">
        <v>149788</v>
      </c>
      <c r="D20" s="433">
        <v>6232</v>
      </c>
      <c r="E20" s="374"/>
      <c r="F20" s="374">
        <v>132689</v>
      </c>
      <c r="G20" s="374"/>
      <c r="H20" s="433"/>
      <c r="I20" s="34">
        <f t="shared" si="1"/>
        <v>10867</v>
      </c>
      <c r="J20" s="433">
        <v>6506</v>
      </c>
      <c r="K20" s="434">
        <v>2000</v>
      </c>
      <c r="L20" s="433">
        <v>3306</v>
      </c>
      <c r="M20" s="34">
        <v>1200</v>
      </c>
      <c r="N20" s="34">
        <f t="shared" si="0"/>
        <v>0</v>
      </c>
      <c r="O20" s="464">
        <v>4042</v>
      </c>
      <c r="P20" s="374"/>
      <c r="Q20" s="433">
        <v>2189</v>
      </c>
      <c r="R20" s="435"/>
      <c r="S20" s="434">
        <v>6506</v>
      </c>
      <c r="T20">
        <v>6</v>
      </c>
    </row>
    <row r="21" spans="2:20" x14ac:dyDescent="0.2">
      <c r="C21" s="375"/>
      <c r="D21" s="436"/>
      <c r="E21" s="375"/>
      <c r="F21" s="893"/>
      <c r="G21" s="375"/>
      <c r="H21" s="436"/>
      <c r="I21" s="34">
        <f t="shared" si="1"/>
        <v>0</v>
      </c>
      <c r="J21" s="436"/>
      <c r="K21" s="437"/>
      <c r="L21" s="436"/>
      <c r="M21" s="34"/>
      <c r="N21" s="34">
        <f t="shared" si="0"/>
        <v>0</v>
      </c>
      <c r="O21" s="436"/>
      <c r="P21" s="375"/>
      <c r="Q21" s="436"/>
      <c r="R21" s="438"/>
      <c r="S21" s="437"/>
    </row>
    <row r="22" spans="2:20" x14ac:dyDescent="0.2">
      <c r="B22">
        <v>7</v>
      </c>
      <c r="C22" s="374">
        <v>72540</v>
      </c>
      <c r="D22" s="433">
        <v>6143</v>
      </c>
      <c r="E22" s="374"/>
      <c r="F22" s="374"/>
      <c r="G22" s="374"/>
      <c r="H22" s="433"/>
      <c r="I22" s="34">
        <f t="shared" si="1"/>
        <v>66397</v>
      </c>
      <c r="J22" s="433">
        <v>6070</v>
      </c>
      <c r="K22" s="434"/>
      <c r="L22" s="433">
        <v>2570</v>
      </c>
      <c r="M22" s="34">
        <v>3500</v>
      </c>
      <c r="N22" s="34">
        <f t="shared" si="0"/>
        <v>0</v>
      </c>
      <c r="O22" s="433">
        <v>5044</v>
      </c>
      <c r="P22" s="374"/>
      <c r="Q22" s="433"/>
      <c r="R22" s="435">
        <v>1100</v>
      </c>
      <c r="S22" s="434">
        <v>12091</v>
      </c>
      <c r="T22">
        <v>7</v>
      </c>
    </row>
    <row r="23" spans="2:20" x14ac:dyDescent="0.2">
      <c r="C23" s="375"/>
      <c r="D23" s="436"/>
      <c r="E23" s="375"/>
      <c r="F23" s="375"/>
      <c r="G23" s="375"/>
      <c r="H23" s="436"/>
      <c r="I23" s="34">
        <f t="shared" si="1"/>
        <v>0</v>
      </c>
      <c r="J23" s="436"/>
      <c r="K23" s="437"/>
      <c r="L23" s="436"/>
      <c r="M23" s="34"/>
      <c r="N23" s="34">
        <f t="shared" si="0"/>
        <v>0</v>
      </c>
      <c r="O23" s="436"/>
      <c r="P23" s="375"/>
      <c r="Q23" s="436"/>
      <c r="R23" s="438"/>
      <c r="S23" s="437"/>
    </row>
    <row r="24" spans="2:20" x14ac:dyDescent="0.2">
      <c r="B24">
        <v>8</v>
      </c>
      <c r="C24" s="374">
        <v>17387</v>
      </c>
      <c r="D24" s="433">
        <v>10574</v>
      </c>
      <c r="E24" s="374"/>
      <c r="F24" s="374"/>
      <c r="G24" s="374"/>
      <c r="H24" s="433"/>
      <c r="I24" s="34">
        <f t="shared" si="1"/>
        <v>6813</v>
      </c>
      <c r="J24" s="433">
        <v>26668</v>
      </c>
      <c r="K24" s="434">
        <v>2307</v>
      </c>
      <c r="L24" s="433"/>
      <c r="M24" s="34">
        <v>5960</v>
      </c>
      <c r="N24" s="34">
        <f t="shared" si="0"/>
        <v>18401</v>
      </c>
      <c r="O24" s="433">
        <v>7065</v>
      </c>
      <c r="P24" s="374"/>
      <c r="Q24" s="433">
        <v>3509</v>
      </c>
      <c r="R24" s="435"/>
      <c r="S24" s="434">
        <v>9928</v>
      </c>
      <c r="T24">
        <v>8</v>
      </c>
    </row>
    <row r="25" spans="2:20" x14ac:dyDescent="0.2">
      <c r="C25" s="375"/>
      <c r="D25" s="436"/>
      <c r="E25" s="375"/>
      <c r="F25" s="375"/>
      <c r="G25" s="375"/>
      <c r="H25" s="436"/>
      <c r="I25" s="34">
        <f t="shared" si="1"/>
        <v>0</v>
      </c>
      <c r="J25" s="436"/>
      <c r="K25" s="437"/>
      <c r="L25" s="436"/>
      <c r="M25" s="34"/>
      <c r="N25" s="34">
        <f t="shared" si="0"/>
        <v>0</v>
      </c>
      <c r="O25" s="436"/>
      <c r="P25" s="375"/>
      <c r="Q25" s="436"/>
      <c r="R25" s="438"/>
      <c r="S25" s="437"/>
    </row>
    <row r="26" spans="2:20" x14ac:dyDescent="0.2">
      <c r="B26">
        <v>9</v>
      </c>
      <c r="C26" s="374">
        <v>18019</v>
      </c>
      <c r="D26" s="433">
        <v>8651</v>
      </c>
      <c r="E26" s="374"/>
      <c r="F26" s="374"/>
      <c r="G26" s="374"/>
      <c r="H26" s="433"/>
      <c r="I26" s="34">
        <f t="shared" si="1"/>
        <v>9368</v>
      </c>
      <c r="J26" s="433">
        <v>4698</v>
      </c>
      <c r="K26" s="434">
        <v>4698</v>
      </c>
      <c r="L26" s="433"/>
      <c r="M26" s="34"/>
      <c r="N26" s="34">
        <f t="shared" si="0"/>
        <v>0</v>
      </c>
      <c r="O26" s="433">
        <v>6451</v>
      </c>
      <c r="P26" s="374"/>
      <c r="Q26" s="433">
        <v>1600</v>
      </c>
      <c r="R26" s="435">
        <v>600</v>
      </c>
      <c r="S26" s="434">
        <v>5786</v>
      </c>
      <c r="T26">
        <v>9</v>
      </c>
    </row>
    <row r="27" spans="2:20" x14ac:dyDescent="0.2">
      <c r="C27" s="375"/>
      <c r="D27" s="436"/>
      <c r="E27" s="375"/>
      <c r="F27" s="375"/>
      <c r="G27" s="375"/>
      <c r="H27" s="436"/>
      <c r="I27" s="34">
        <f t="shared" si="1"/>
        <v>0</v>
      </c>
      <c r="J27" s="436"/>
      <c r="K27" s="437"/>
      <c r="L27" s="436"/>
      <c r="M27" s="34"/>
      <c r="N27" s="34">
        <f t="shared" si="0"/>
        <v>0</v>
      </c>
      <c r="O27" s="436"/>
      <c r="P27" s="375"/>
      <c r="Q27" s="436"/>
      <c r="R27" s="438"/>
      <c r="S27" s="437"/>
    </row>
    <row r="28" spans="2:20" x14ac:dyDescent="0.2">
      <c r="B28">
        <v>10</v>
      </c>
      <c r="C28" s="374">
        <v>86006</v>
      </c>
      <c r="D28" s="433">
        <v>64356</v>
      </c>
      <c r="E28" s="374"/>
      <c r="F28" s="374"/>
      <c r="G28" s="374"/>
      <c r="H28" s="433"/>
      <c r="I28" s="34">
        <f t="shared" si="1"/>
        <v>21650</v>
      </c>
      <c r="J28" s="433">
        <v>91410</v>
      </c>
      <c r="K28" s="434">
        <v>36895</v>
      </c>
      <c r="L28" s="433">
        <v>10397</v>
      </c>
      <c r="M28" s="34">
        <v>9342</v>
      </c>
      <c r="N28" s="34">
        <f t="shared" si="0"/>
        <v>34776</v>
      </c>
      <c r="O28" s="433">
        <v>41749</v>
      </c>
      <c r="P28" s="374"/>
      <c r="Q28" s="433">
        <v>18408</v>
      </c>
      <c r="R28" s="435">
        <v>4200</v>
      </c>
      <c r="S28" s="434">
        <v>61698</v>
      </c>
      <c r="T28">
        <v>10</v>
      </c>
    </row>
    <row r="29" spans="2:20" x14ac:dyDescent="0.2">
      <c r="C29" s="375"/>
      <c r="D29" s="436"/>
      <c r="E29" s="375"/>
      <c r="F29" s="375"/>
      <c r="G29" s="375"/>
      <c r="H29" s="436"/>
      <c r="I29" s="34">
        <f t="shared" si="1"/>
        <v>0</v>
      </c>
      <c r="J29" s="436"/>
      <c r="K29" s="437"/>
      <c r="L29" s="436"/>
      <c r="M29" s="34"/>
      <c r="N29" s="34">
        <f t="shared" si="0"/>
        <v>0</v>
      </c>
      <c r="O29" s="436"/>
      <c r="P29" s="375"/>
      <c r="Q29" s="436"/>
      <c r="R29" s="438"/>
      <c r="S29" s="437"/>
    </row>
    <row r="30" spans="2:20" x14ac:dyDescent="0.2">
      <c r="B30">
        <v>11</v>
      </c>
      <c r="C30" s="374">
        <v>2813</v>
      </c>
      <c r="D30" s="433">
        <v>2813</v>
      </c>
      <c r="E30" s="374"/>
      <c r="F30" s="374"/>
      <c r="G30" s="374"/>
      <c r="H30" s="433"/>
      <c r="I30" s="34">
        <f t="shared" si="1"/>
        <v>0</v>
      </c>
      <c r="J30" s="433">
        <v>5535</v>
      </c>
      <c r="K30" s="434"/>
      <c r="L30" s="433"/>
      <c r="M30" s="34">
        <v>5535</v>
      </c>
      <c r="N30" s="34">
        <f t="shared" si="0"/>
        <v>0</v>
      </c>
      <c r="O30" s="433">
        <v>2012</v>
      </c>
      <c r="P30" s="374"/>
      <c r="Q30" s="433"/>
      <c r="R30" s="435">
        <v>800</v>
      </c>
      <c r="S30" s="434">
        <v>9536</v>
      </c>
      <c r="T30">
        <v>11</v>
      </c>
    </row>
    <row r="31" spans="2:20" x14ac:dyDescent="0.2">
      <c r="C31" s="375"/>
      <c r="D31" s="436"/>
      <c r="E31" s="375"/>
      <c r="F31" s="375"/>
      <c r="G31" s="375"/>
      <c r="H31" s="436"/>
      <c r="I31" s="34">
        <f t="shared" si="1"/>
        <v>0</v>
      </c>
      <c r="J31" s="436"/>
      <c r="K31" s="437"/>
      <c r="L31" s="436"/>
      <c r="M31" s="34"/>
      <c r="N31" s="34">
        <f t="shared" si="0"/>
        <v>0</v>
      </c>
      <c r="O31" s="436"/>
      <c r="P31" s="375"/>
      <c r="Q31" s="436"/>
      <c r="R31" s="438"/>
      <c r="S31" s="437"/>
    </row>
    <row r="32" spans="2:20" x14ac:dyDescent="0.2">
      <c r="B32">
        <v>12</v>
      </c>
      <c r="C32" s="374">
        <v>59765</v>
      </c>
      <c r="D32" s="433">
        <v>3939</v>
      </c>
      <c r="E32" s="374"/>
      <c r="F32" s="374"/>
      <c r="G32" s="374">
        <v>30200</v>
      </c>
      <c r="H32" s="433"/>
      <c r="I32" s="34">
        <f t="shared" si="1"/>
        <v>25626</v>
      </c>
      <c r="J32" s="433">
        <v>34957</v>
      </c>
      <c r="K32" s="434">
        <v>7513</v>
      </c>
      <c r="L32" s="433">
        <v>1200</v>
      </c>
      <c r="M32" s="34">
        <v>8573</v>
      </c>
      <c r="N32" s="34">
        <f t="shared" si="0"/>
        <v>17671</v>
      </c>
      <c r="O32" s="464">
        <v>2939</v>
      </c>
      <c r="P32" s="374"/>
      <c r="Q32" s="433">
        <v>1000</v>
      </c>
      <c r="R32" s="435"/>
      <c r="S32" s="434">
        <v>18267</v>
      </c>
      <c r="T32">
        <v>12</v>
      </c>
    </row>
    <row r="33" spans="2:20" x14ac:dyDescent="0.2">
      <c r="C33" s="375"/>
      <c r="D33" s="436"/>
      <c r="E33" s="375"/>
      <c r="F33" s="375"/>
      <c r="G33" s="375"/>
      <c r="H33" s="436"/>
      <c r="I33" s="34">
        <f t="shared" si="1"/>
        <v>0</v>
      </c>
      <c r="J33" s="436"/>
      <c r="K33" s="437"/>
      <c r="L33" s="436"/>
      <c r="M33" s="34"/>
      <c r="N33" s="34">
        <f t="shared" si="0"/>
        <v>0</v>
      </c>
      <c r="O33" s="436"/>
      <c r="P33" s="375"/>
      <c r="Q33" s="436"/>
      <c r="R33" s="438"/>
      <c r="S33" s="437"/>
    </row>
    <row r="34" spans="2:20" x14ac:dyDescent="0.2">
      <c r="B34">
        <v>13</v>
      </c>
      <c r="C34" s="374">
        <v>37815</v>
      </c>
      <c r="D34" s="433">
        <v>10455</v>
      </c>
      <c r="E34" s="374"/>
      <c r="F34" s="374"/>
      <c r="G34" s="374">
        <v>3917</v>
      </c>
      <c r="H34" s="433"/>
      <c r="I34" s="34">
        <f t="shared" si="1"/>
        <v>23443</v>
      </c>
      <c r="J34" s="433">
        <v>10137</v>
      </c>
      <c r="K34" s="434">
        <v>7698</v>
      </c>
      <c r="L34" s="433">
        <v>2000</v>
      </c>
      <c r="M34" s="34"/>
      <c r="N34" s="34">
        <f t="shared" si="0"/>
        <v>439</v>
      </c>
      <c r="O34" s="433">
        <v>3324</v>
      </c>
      <c r="P34" s="374"/>
      <c r="Q34" s="433">
        <v>1500</v>
      </c>
      <c r="R34" s="435">
        <v>5631</v>
      </c>
      <c r="S34" s="434">
        <v>9698</v>
      </c>
      <c r="T34">
        <v>13</v>
      </c>
    </row>
    <row r="35" spans="2:20" x14ac:dyDescent="0.2">
      <c r="C35" s="375"/>
      <c r="D35" s="436"/>
      <c r="E35" s="375"/>
      <c r="F35" s="375"/>
      <c r="G35" s="375"/>
      <c r="H35" s="436"/>
      <c r="I35" s="34">
        <f t="shared" si="1"/>
        <v>0</v>
      </c>
      <c r="J35" s="436"/>
      <c r="K35" s="437"/>
      <c r="L35" s="436"/>
      <c r="M35" s="34"/>
      <c r="N35" s="34">
        <f t="shared" si="0"/>
        <v>0</v>
      </c>
      <c r="O35" s="436"/>
      <c r="P35" s="375"/>
      <c r="Q35" s="436"/>
      <c r="R35" s="438"/>
      <c r="S35" s="437"/>
    </row>
    <row r="36" spans="2:20" x14ac:dyDescent="0.2">
      <c r="B36">
        <v>14</v>
      </c>
      <c r="C36" s="374">
        <v>30551</v>
      </c>
      <c r="D36" s="433">
        <v>1840</v>
      </c>
      <c r="E36" s="374"/>
      <c r="F36" s="374"/>
      <c r="G36" s="374"/>
      <c r="H36" s="433"/>
      <c r="I36" s="34">
        <f t="shared" si="1"/>
        <v>28711</v>
      </c>
      <c r="J36" s="433">
        <v>14613</v>
      </c>
      <c r="K36" s="434">
        <v>8039</v>
      </c>
      <c r="L36" s="433">
        <v>1370</v>
      </c>
      <c r="M36" s="34">
        <v>5204</v>
      </c>
      <c r="N36" s="34">
        <f t="shared" si="0"/>
        <v>0</v>
      </c>
      <c r="O36" s="464"/>
      <c r="P36" s="374"/>
      <c r="Q36" s="433"/>
      <c r="R36" s="435">
        <v>1840</v>
      </c>
      <c r="S36" s="434">
        <v>15045</v>
      </c>
      <c r="T36">
        <v>14</v>
      </c>
    </row>
    <row r="37" spans="2:20" x14ac:dyDescent="0.2">
      <c r="C37" s="375"/>
      <c r="D37" s="436"/>
      <c r="E37" s="375"/>
      <c r="F37" s="375"/>
      <c r="G37" s="375"/>
      <c r="H37" s="436"/>
      <c r="I37" s="34">
        <f t="shared" si="1"/>
        <v>0</v>
      </c>
      <c r="J37" s="436"/>
      <c r="K37" s="437"/>
      <c r="L37" s="436"/>
      <c r="M37" s="34"/>
      <c r="N37" s="34">
        <f t="shared" si="0"/>
        <v>0</v>
      </c>
      <c r="O37" s="436"/>
      <c r="P37" s="375"/>
      <c r="Q37" s="436"/>
      <c r="R37" s="438"/>
      <c r="S37" s="437"/>
    </row>
    <row r="38" spans="2:20" x14ac:dyDescent="0.2">
      <c r="B38">
        <v>15</v>
      </c>
      <c r="C38" s="374">
        <v>80141</v>
      </c>
      <c r="D38" s="433">
        <v>64921</v>
      </c>
      <c r="E38" s="374"/>
      <c r="F38" s="374"/>
      <c r="G38" s="374"/>
      <c r="H38" s="433"/>
      <c r="I38" s="34">
        <f t="shared" si="1"/>
        <v>15220</v>
      </c>
      <c r="J38" s="433">
        <v>119254</v>
      </c>
      <c r="K38" s="434">
        <v>44093</v>
      </c>
      <c r="L38" s="433">
        <v>3018</v>
      </c>
      <c r="M38" s="34">
        <v>23103</v>
      </c>
      <c r="N38" s="34">
        <f t="shared" si="0"/>
        <v>49040</v>
      </c>
      <c r="O38" s="433">
        <v>35804</v>
      </c>
      <c r="P38" s="374"/>
      <c r="Q38" s="433">
        <v>13062</v>
      </c>
      <c r="R38" s="435">
        <v>16055</v>
      </c>
      <c r="S38" s="434">
        <v>73844</v>
      </c>
      <c r="T38">
        <v>15</v>
      </c>
    </row>
    <row r="39" spans="2:20" x14ac:dyDescent="0.2">
      <c r="C39" s="375"/>
      <c r="D39" s="436"/>
      <c r="E39" s="375"/>
      <c r="F39" s="375"/>
      <c r="G39" s="375"/>
      <c r="H39" s="436"/>
      <c r="I39" s="34">
        <f t="shared" si="1"/>
        <v>0</v>
      </c>
      <c r="J39" s="436"/>
      <c r="K39" s="437"/>
      <c r="L39" s="436"/>
      <c r="M39" s="34"/>
      <c r="N39" s="34">
        <f t="shared" si="0"/>
        <v>0</v>
      </c>
      <c r="O39" s="436"/>
      <c r="P39" s="375"/>
      <c r="Q39" s="436"/>
      <c r="R39" s="438"/>
      <c r="S39" s="437"/>
    </row>
    <row r="40" spans="2:20" x14ac:dyDescent="0.2">
      <c r="B40">
        <v>16</v>
      </c>
      <c r="C40" s="374">
        <v>60019</v>
      </c>
      <c r="D40" s="433">
        <v>17788</v>
      </c>
      <c r="E40" s="374"/>
      <c r="F40" s="374"/>
      <c r="G40" s="374">
        <v>20135</v>
      </c>
      <c r="H40" s="433"/>
      <c r="I40" s="34">
        <f t="shared" si="1"/>
        <v>22096</v>
      </c>
      <c r="J40" s="433">
        <v>7437</v>
      </c>
      <c r="K40" s="434">
        <v>1587</v>
      </c>
      <c r="L40" s="433"/>
      <c r="M40" s="34">
        <v>5850</v>
      </c>
      <c r="N40" s="34">
        <f t="shared" si="0"/>
        <v>0</v>
      </c>
      <c r="O40" s="433">
        <v>14055</v>
      </c>
      <c r="P40" s="374"/>
      <c r="Q40" s="433"/>
      <c r="R40" s="435">
        <v>3734</v>
      </c>
      <c r="S40" s="434">
        <v>11438</v>
      </c>
      <c r="T40">
        <v>16</v>
      </c>
    </row>
    <row r="41" spans="2:20" x14ac:dyDescent="0.2">
      <c r="C41" s="375"/>
      <c r="D41" s="436"/>
      <c r="E41" s="375"/>
      <c r="F41" s="375"/>
      <c r="G41" s="375"/>
      <c r="H41" s="436"/>
      <c r="I41" s="34">
        <f t="shared" si="1"/>
        <v>0</v>
      </c>
      <c r="J41" s="436"/>
      <c r="K41" s="437"/>
      <c r="L41" s="436"/>
      <c r="M41" s="34"/>
      <c r="N41" s="34">
        <f t="shared" si="0"/>
        <v>0</v>
      </c>
      <c r="O41" s="436"/>
      <c r="P41" s="375"/>
      <c r="Q41" s="436"/>
      <c r="R41" s="438"/>
      <c r="S41" s="437"/>
    </row>
    <row r="42" spans="2:20" x14ac:dyDescent="0.2">
      <c r="B42">
        <v>17</v>
      </c>
      <c r="C42" s="374">
        <v>6367</v>
      </c>
      <c r="D42" s="433">
        <v>5998</v>
      </c>
      <c r="E42" s="374"/>
      <c r="F42" s="374"/>
      <c r="G42" s="374"/>
      <c r="H42" s="433"/>
      <c r="I42" s="34">
        <f t="shared" si="1"/>
        <v>369</v>
      </c>
      <c r="J42" s="433">
        <v>24287</v>
      </c>
      <c r="K42" s="434">
        <v>2787</v>
      </c>
      <c r="L42" s="433"/>
      <c r="M42" s="34">
        <v>4500</v>
      </c>
      <c r="N42" s="34">
        <f t="shared" si="0"/>
        <v>17000</v>
      </c>
      <c r="O42" s="433">
        <v>2389</v>
      </c>
      <c r="P42" s="374"/>
      <c r="Q42" s="433">
        <v>2929</v>
      </c>
      <c r="R42" s="435">
        <v>680</v>
      </c>
      <c r="S42" s="434">
        <v>9570</v>
      </c>
      <c r="T42">
        <v>17</v>
      </c>
    </row>
    <row r="43" spans="2:20" x14ac:dyDescent="0.2">
      <c r="C43" s="375"/>
      <c r="D43" s="436"/>
      <c r="E43" s="375"/>
      <c r="F43" s="375"/>
      <c r="G43" s="375"/>
      <c r="H43" s="436"/>
      <c r="I43" s="34"/>
      <c r="J43" s="436"/>
      <c r="K43" s="437"/>
      <c r="L43" s="436"/>
      <c r="M43" s="34"/>
      <c r="N43" s="34">
        <f t="shared" si="0"/>
        <v>0</v>
      </c>
      <c r="O43" s="436"/>
      <c r="P43" s="375"/>
      <c r="Q43" s="436"/>
      <c r="R43" s="438"/>
      <c r="S43" s="437"/>
    </row>
    <row r="44" spans="2:20" x14ac:dyDescent="0.2">
      <c r="B44">
        <v>18</v>
      </c>
      <c r="C44" s="374">
        <v>8190</v>
      </c>
      <c r="D44" s="433">
        <v>4280</v>
      </c>
      <c r="E44" s="374"/>
      <c r="F44" s="374"/>
      <c r="G44" s="374"/>
      <c r="H44" s="433"/>
      <c r="I44" s="34">
        <f t="shared" si="1"/>
        <v>3910</v>
      </c>
      <c r="J44" s="433">
        <v>27890</v>
      </c>
      <c r="K44" s="434">
        <v>4752</v>
      </c>
      <c r="L44" s="433">
        <v>1609</v>
      </c>
      <c r="M44" s="34">
        <v>2429</v>
      </c>
      <c r="N44" s="34">
        <f t="shared" si="0"/>
        <v>19100</v>
      </c>
      <c r="O44" s="433">
        <v>1631</v>
      </c>
      <c r="P44" s="374"/>
      <c r="Q44" s="433">
        <v>993</v>
      </c>
      <c r="R44" s="435">
        <v>1657</v>
      </c>
      <c r="S44" s="434">
        <v>9721</v>
      </c>
      <c r="T44">
        <v>18</v>
      </c>
    </row>
    <row r="45" spans="2:20" x14ac:dyDescent="0.2">
      <c r="C45" s="375"/>
      <c r="D45" s="436"/>
      <c r="E45" s="375"/>
      <c r="F45" s="375"/>
      <c r="G45" s="375"/>
      <c r="H45" s="436"/>
      <c r="I45" s="34">
        <f t="shared" si="1"/>
        <v>0</v>
      </c>
      <c r="J45" s="436"/>
      <c r="K45" s="437"/>
      <c r="L45" s="436"/>
      <c r="M45" s="34"/>
      <c r="N45" s="34">
        <f t="shared" si="0"/>
        <v>0</v>
      </c>
      <c r="O45" s="436"/>
      <c r="P45" s="375"/>
      <c r="Q45" s="436"/>
      <c r="R45" s="438"/>
      <c r="S45" s="437"/>
    </row>
    <row r="46" spans="2:20" x14ac:dyDescent="0.2">
      <c r="B46">
        <v>19</v>
      </c>
      <c r="C46" s="374">
        <v>23483</v>
      </c>
      <c r="D46" s="433">
        <v>1200</v>
      </c>
      <c r="E46" s="374"/>
      <c r="F46" s="374"/>
      <c r="G46" s="374"/>
      <c r="H46" s="433"/>
      <c r="I46" s="34">
        <f t="shared" si="1"/>
        <v>22283</v>
      </c>
      <c r="J46" s="433">
        <v>22648</v>
      </c>
      <c r="K46" s="434">
        <v>5547</v>
      </c>
      <c r="L46" s="433"/>
      <c r="M46" s="34"/>
      <c r="N46" s="34">
        <f t="shared" si="0"/>
        <v>17101</v>
      </c>
      <c r="O46" s="433"/>
      <c r="P46" s="374"/>
      <c r="Q46" s="433"/>
      <c r="R46" s="435">
        <v>1200</v>
      </c>
      <c r="S46" s="434">
        <v>6207</v>
      </c>
      <c r="T46">
        <v>19</v>
      </c>
    </row>
    <row r="47" spans="2:20" x14ac:dyDescent="0.2">
      <c r="C47" s="375"/>
      <c r="D47" s="436"/>
      <c r="E47" s="375"/>
      <c r="F47" s="375"/>
      <c r="G47" s="375"/>
      <c r="H47" s="436"/>
      <c r="I47" s="34">
        <f t="shared" si="1"/>
        <v>0</v>
      </c>
      <c r="J47" s="436"/>
      <c r="K47" s="437"/>
      <c r="L47" s="436"/>
      <c r="M47" s="34"/>
      <c r="N47" s="34">
        <f t="shared" si="0"/>
        <v>0</v>
      </c>
      <c r="O47" s="436"/>
      <c r="P47" s="375"/>
      <c r="Q47" s="436"/>
      <c r="R47" s="438"/>
      <c r="S47" s="437"/>
    </row>
    <row r="48" spans="2:20" x14ac:dyDescent="0.2">
      <c r="B48">
        <v>20</v>
      </c>
      <c r="C48" s="374">
        <v>125574</v>
      </c>
      <c r="D48" s="433">
        <v>54253</v>
      </c>
      <c r="E48" s="374"/>
      <c r="F48" s="374"/>
      <c r="G48" s="374"/>
      <c r="H48" s="433">
        <v>25118</v>
      </c>
      <c r="I48" s="34">
        <f>C48-D48-E48-H48-F48-G48</f>
        <v>46203</v>
      </c>
      <c r="J48" s="433">
        <v>104217</v>
      </c>
      <c r="K48" s="434">
        <v>58786</v>
      </c>
      <c r="L48" s="433">
        <v>11279</v>
      </c>
      <c r="M48" s="34">
        <v>19547</v>
      </c>
      <c r="N48" s="34">
        <f t="shared" si="0"/>
        <v>14605</v>
      </c>
      <c r="O48" s="433">
        <v>32339</v>
      </c>
      <c r="P48" s="374"/>
      <c r="Q48" s="433">
        <v>9858</v>
      </c>
      <c r="R48" s="435">
        <v>12058</v>
      </c>
      <c r="S48" s="434">
        <v>98032</v>
      </c>
      <c r="T48">
        <v>20</v>
      </c>
    </row>
    <row r="49" spans="2:20" x14ac:dyDescent="0.2">
      <c r="C49" s="375"/>
      <c r="D49" s="436"/>
      <c r="E49" s="375"/>
      <c r="F49" s="375"/>
      <c r="G49" s="375"/>
      <c r="H49" s="436"/>
      <c r="I49" s="34">
        <f t="shared" si="1"/>
        <v>0</v>
      </c>
      <c r="J49" s="436"/>
      <c r="K49" s="437"/>
      <c r="L49" s="436"/>
      <c r="M49" s="34"/>
      <c r="N49" s="34">
        <f t="shared" si="0"/>
        <v>0</v>
      </c>
      <c r="O49" s="436"/>
      <c r="P49" s="375"/>
      <c r="Q49" s="436"/>
      <c r="R49" s="438"/>
      <c r="S49" s="437"/>
    </row>
    <row r="50" spans="2:20" x14ac:dyDescent="0.2">
      <c r="B50">
        <v>21</v>
      </c>
      <c r="C50" s="374">
        <v>10359</v>
      </c>
      <c r="D50" s="433">
        <v>7285</v>
      </c>
      <c r="E50" s="374"/>
      <c r="F50" s="374"/>
      <c r="G50" s="374"/>
      <c r="H50" s="433"/>
      <c r="I50" s="34">
        <f t="shared" si="1"/>
        <v>3074</v>
      </c>
      <c r="J50" s="433">
        <v>20250</v>
      </c>
      <c r="K50" s="434">
        <v>1100</v>
      </c>
      <c r="L50" s="433"/>
      <c r="M50" s="34"/>
      <c r="N50" s="34">
        <f t="shared" si="0"/>
        <v>19150</v>
      </c>
      <c r="O50" s="433">
        <v>5685</v>
      </c>
      <c r="P50" s="374"/>
      <c r="Q50" s="433"/>
      <c r="R50" s="435">
        <v>1600</v>
      </c>
      <c r="S50" s="434">
        <v>1380</v>
      </c>
      <c r="T50">
        <v>21</v>
      </c>
    </row>
    <row r="51" spans="2:20" x14ac:dyDescent="0.2">
      <c r="C51" s="375"/>
      <c r="D51" s="436"/>
      <c r="E51" s="375"/>
      <c r="F51" s="375"/>
      <c r="G51" s="375"/>
      <c r="H51" s="436"/>
      <c r="I51" s="34">
        <f t="shared" si="1"/>
        <v>0</v>
      </c>
      <c r="J51" s="436"/>
      <c r="K51" s="437"/>
      <c r="L51" s="436"/>
      <c r="M51" s="34"/>
      <c r="N51" s="34">
        <f t="shared" si="0"/>
        <v>0</v>
      </c>
      <c r="O51" s="436"/>
      <c r="P51" s="375"/>
      <c r="Q51" s="436"/>
      <c r="R51" s="438"/>
      <c r="S51" s="437"/>
    </row>
    <row r="52" spans="2:20" x14ac:dyDescent="0.2">
      <c r="B52">
        <v>22</v>
      </c>
      <c r="C52" s="374">
        <v>16589</v>
      </c>
      <c r="D52" s="433">
        <v>6051</v>
      </c>
      <c r="E52" s="374"/>
      <c r="F52" s="374"/>
      <c r="G52" s="374"/>
      <c r="H52" s="433"/>
      <c r="I52" s="34">
        <f t="shared" si="1"/>
        <v>10538</v>
      </c>
      <c r="J52" s="433">
        <v>35586</v>
      </c>
      <c r="K52" s="434">
        <v>9154</v>
      </c>
      <c r="L52" s="433"/>
      <c r="M52" s="34">
        <v>9380</v>
      </c>
      <c r="N52" s="34">
        <f t="shared" si="0"/>
        <v>17052</v>
      </c>
      <c r="O52" s="433">
        <v>1789</v>
      </c>
      <c r="P52" s="374"/>
      <c r="Q52" s="433">
        <v>1500</v>
      </c>
      <c r="R52" s="435">
        <v>2763</v>
      </c>
      <c r="S52" s="434">
        <v>20008</v>
      </c>
      <c r="T52">
        <v>22</v>
      </c>
    </row>
    <row r="53" spans="2:20" x14ac:dyDescent="0.2">
      <c r="C53" s="375"/>
      <c r="D53" s="436"/>
      <c r="E53" s="375"/>
      <c r="F53" s="375"/>
      <c r="G53" s="375"/>
      <c r="H53" s="436"/>
      <c r="I53" s="34">
        <f t="shared" si="1"/>
        <v>0</v>
      </c>
      <c r="J53" s="436"/>
      <c r="K53" s="437"/>
      <c r="L53" s="436"/>
      <c r="M53" s="34"/>
      <c r="N53" s="34">
        <f t="shared" si="0"/>
        <v>0</v>
      </c>
      <c r="O53" s="436"/>
      <c r="P53" s="375"/>
      <c r="Q53" s="436"/>
      <c r="R53" s="438"/>
      <c r="S53" s="437"/>
    </row>
    <row r="54" spans="2:20" x14ac:dyDescent="0.2">
      <c r="B54">
        <v>23</v>
      </c>
      <c r="C54" s="374">
        <v>79418</v>
      </c>
      <c r="D54" s="433">
        <v>1600</v>
      </c>
      <c r="E54" s="374"/>
      <c r="F54" s="374"/>
      <c r="G54" s="374"/>
      <c r="H54" s="433"/>
      <c r="I54" s="34">
        <v>24419</v>
      </c>
      <c r="J54" s="433">
        <v>22322</v>
      </c>
      <c r="K54" s="434">
        <v>3397</v>
      </c>
      <c r="L54" s="433"/>
      <c r="M54" s="34">
        <v>5960</v>
      </c>
      <c r="N54" s="34">
        <f t="shared" si="0"/>
        <v>12965</v>
      </c>
      <c r="O54" s="433"/>
      <c r="P54" s="374"/>
      <c r="Q54" s="433"/>
      <c r="R54" s="435">
        <v>1600</v>
      </c>
      <c r="S54" s="434">
        <v>9358</v>
      </c>
      <c r="T54">
        <v>23</v>
      </c>
    </row>
    <row r="55" spans="2:20" x14ac:dyDescent="0.2">
      <c r="C55" s="375"/>
      <c r="D55" s="436"/>
      <c r="E55" s="375"/>
      <c r="F55" s="375"/>
      <c r="G55" s="375"/>
      <c r="H55" s="436"/>
      <c r="I55" s="34">
        <f t="shared" si="1"/>
        <v>0</v>
      </c>
      <c r="J55" s="436"/>
      <c r="K55" s="437"/>
      <c r="L55" s="436"/>
      <c r="M55" s="34"/>
      <c r="N55" s="34">
        <f t="shared" si="0"/>
        <v>0</v>
      </c>
      <c r="O55" s="436"/>
      <c r="P55" s="375"/>
      <c r="Q55" s="436"/>
      <c r="R55" s="438"/>
      <c r="S55" s="437"/>
    </row>
    <row r="56" spans="2:20" x14ac:dyDescent="0.2">
      <c r="B56">
        <v>24</v>
      </c>
      <c r="C56" s="374">
        <v>33543</v>
      </c>
      <c r="D56" s="433">
        <v>12762</v>
      </c>
      <c r="E56" s="374"/>
      <c r="F56" s="374"/>
      <c r="G56" s="374"/>
      <c r="H56" s="433"/>
      <c r="I56" s="34">
        <f t="shared" si="1"/>
        <v>20781</v>
      </c>
      <c r="J56" s="433">
        <v>28189</v>
      </c>
      <c r="K56" s="434">
        <v>1791</v>
      </c>
      <c r="L56" s="433"/>
      <c r="M56" s="34">
        <v>3550</v>
      </c>
      <c r="N56" s="34">
        <f t="shared" si="0"/>
        <v>22848</v>
      </c>
      <c r="O56" s="433">
        <v>7535</v>
      </c>
      <c r="P56" s="374"/>
      <c r="Q56" s="433">
        <v>3100</v>
      </c>
      <c r="R56" s="435">
        <v>2127</v>
      </c>
      <c r="S56" s="434">
        <v>5622</v>
      </c>
      <c r="T56">
        <v>24</v>
      </c>
    </row>
    <row r="57" spans="2:20" x14ac:dyDescent="0.2">
      <c r="C57" s="375"/>
      <c r="D57" s="436"/>
      <c r="E57" s="375"/>
      <c r="F57" s="375"/>
      <c r="G57" s="375"/>
      <c r="H57" s="436"/>
      <c r="I57" s="34">
        <f t="shared" si="1"/>
        <v>0</v>
      </c>
      <c r="J57" s="436"/>
      <c r="K57" s="437"/>
      <c r="L57" s="436"/>
      <c r="M57" s="34"/>
      <c r="N57" s="34">
        <f t="shared" si="0"/>
        <v>0</v>
      </c>
      <c r="O57" s="436"/>
      <c r="P57" s="375"/>
      <c r="Q57" s="436"/>
      <c r="R57" s="438"/>
      <c r="S57" s="437"/>
    </row>
    <row r="58" spans="2:20" x14ac:dyDescent="0.2">
      <c r="B58">
        <v>25</v>
      </c>
      <c r="C58" s="374">
        <v>51996</v>
      </c>
      <c r="D58" s="433">
        <v>35204</v>
      </c>
      <c r="E58" s="374"/>
      <c r="F58" s="374"/>
      <c r="G58" s="374"/>
      <c r="H58" s="433"/>
      <c r="I58" s="34">
        <f t="shared" si="1"/>
        <v>16792</v>
      </c>
      <c r="J58" s="433">
        <v>42079</v>
      </c>
      <c r="K58" s="434">
        <v>25537</v>
      </c>
      <c r="L58" s="433">
        <v>1500</v>
      </c>
      <c r="M58" s="34">
        <v>3062</v>
      </c>
      <c r="N58" s="34">
        <f t="shared" si="0"/>
        <v>11980</v>
      </c>
      <c r="O58" s="433">
        <v>3060</v>
      </c>
      <c r="P58" s="374">
        <v>11838</v>
      </c>
      <c r="Q58" s="433">
        <v>2015</v>
      </c>
      <c r="R58" s="435">
        <v>18290</v>
      </c>
      <c r="S58" s="434">
        <v>32019</v>
      </c>
      <c r="T58">
        <v>25</v>
      </c>
    </row>
    <row r="59" spans="2:20" x14ac:dyDescent="0.2">
      <c r="C59" s="375"/>
      <c r="D59" s="436"/>
      <c r="E59" s="375"/>
      <c r="F59" s="375"/>
      <c r="G59" s="375"/>
      <c r="H59" s="436"/>
      <c r="I59" s="34">
        <f t="shared" si="1"/>
        <v>0</v>
      </c>
      <c r="J59" s="436"/>
      <c r="K59" s="437"/>
      <c r="L59" s="436"/>
      <c r="M59" s="34"/>
      <c r="N59" s="34">
        <f t="shared" si="0"/>
        <v>0</v>
      </c>
      <c r="O59" s="436"/>
      <c r="P59" s="375"/>
      <c r="Q59" s="436"/>
      <c r="R59" s="438"/>
      <c r="S59" s="437"/>
    </row>
    <row r="60" spans="2:20" x14ac:dyDescent="0.2">
      <c r="B60">
        <v>26</v>
      </c>
      <c r="C60" s="374">
        <v>57927</v>
      </c>
      <c r="D60" s="433">
        <v>1001</v>
      </c>
      <c r="E60" s="374"/>
      <c r="F60" s="374"/>
      <c r="G60" s="374"/>
      <c r="H60" s="433"/>
      <c r="I60" s="34">
        <f t="shared" si="1"/>
        <v>56926</v>
      </c>
      <c r="J60" s="433">
        <v>16202</v>
      </c>
      <c r="K60" s="434">
        <v>8199</v>
      </c>
      <c r="L60" s="433"/>
      <c r="M60" s="34">
        <v>8003</v>
      </c>
      <c r="N60" s="34">
        <f t="shared" si="0"/>
        <v>0</v>
      </c>
      <c r="O60" s="433"/>
      <c r="P60" s="374"/>
      <c r="Q60" s="433"/>
      <c r="R60" s="435">
        <v>1000</v>
      </c>
      <c r="S60" s="434">
        <v>16482</v>
      </c>
      <c r="T60">
        <v>26</v>
      </c>
    </row>
    <row r="61" spans="2:20" x14ac:dyDescent="0.2">
      <c r="C61" s="375"/>
      <c r="D61" s="436"/>
      <c r="E61" s="375"/>
      <c r="F61" s="375"/>
      <c r="G61" s="375"/>
      <c r="H61" s="436"/>
      <c r="I61" s="34">
        <f t="shared" si="1"/>
        <v>0</v>
      </c>
      <c r="J61" s="436"/>
      <c r="K61" s="437"/>
      <c r="L61" s="436"/>
      <c r="M61" s="34"/>
      <c r="N61" s="34">
        <f t="shared" si="0"/>
        <v>0</v>
      </c>
      <c r="O61" s="436"/>
      <c r="P61" s="375"/>
      <c r="Q61" s="436"/>
      <c r="R61" s="438"/>
      <c r="S61" s="437"/>
    </row>
    <row r="62" spans="2:20" x14ac:dyDescent="0.2">
      <c r="B62">
        <v>27</v>
      </c>
      <c r="C62" s="374">
        <v>41786</v>
      </c>
      <c r="D62" s="433">
        <v>5410</v>
      </c>
      <c r="E62" s="374"/>
      <c r="F62" s="374"/>
      <c r="G62" s="374">
        <v>10181</v>
      </c>
      <c r="H62" s="433"/>
      <c r="I62" s="34">
        <f t="shared" si="1"/>
        <v>26195</v>
      </c>
      <c r="J62" s="433">
        <v>25857</v>
      </c>
      <c r="K62" s="434">
        <v>3390</v>
      </c>
      <c r="L62" s="433">
        <v>875</v>
      </c>
      <c r="M62" s="34">
        <v>3709</v>
      </c>
      <c r="N62" s="34">
        <f t="shared" si="0"/>
        <v>17883</v>
      </c>
      <c r="O62" s="433">
        <v>1631</v>
      </c>
      <c r="P62" s="374"/>
      <c r="Q62" s="433"/>
      <c r="R62" s="435">
        <v>3780</v>
      </c>
      <c r="S62" s="434">
        <v>9974</v>
      </c>
      <c r="T62">
        <v>27</v>
      </c>
    </row>
    <row r="63" spans="2:20" x14ac:dyDescent="0.2">
      <c r="C63" s="375"/>
      <c r="D63" s="436"/>
      <c r="E63" s="375"/>
      <c r="F63" s="375"/>
      <c r="G63" s="375"/>
      <c r="H63" s="436"/>
      <c r="I63" s="34">
        <f t="shared" si="1"/>
        <v>0</v>
      </c>
      <c r="J63" s="436"/>
      <c r="K63" s="437"/>
      <c r="L63" s="436"/>
      <c r="M63" s="34"/>
      <c r="N63" s="34">
        <f t="shared" si="0"/>
        <v>0</v>
      </c>
      <c r="O63" s="436"/>
      <c r="P63" s="375"/>
      <c r="Q63" s="436"/>
      <c r="R63" s="438"/>
      <c r="S63" s="437"/>
    </row>
    <row r="64" spans="2:20" x14ac:dyDescent="0.2">
      <c r="B64">
        <v>28</v>
      </c>
      <c r="C64" s="374">
        <v>75134</v>
      </c>
      <c r="D64" s="433">
        <v>8123</v>
      </c>
      <c r="E64" s="374"/>
      <c r="F64" s="374">
        <v>17800</v>
      </c>
      <c r="G64" s="374"/>
      <c r="H64" s="433"/>
      <c r="I64" s="34">
        <f t="shared" si="1"/>
        <v>49211</v>
      </c>
      <c r="J64" s="433">
        <v>23680</v>
      </c>
      <c r="K64" s="434">
        <v>4430</v>
      </c>
      <c r="L64" s="433"/>
      <c r="M64" s="34"/>
      <c r="N64" s="34">
        <f t="shared" si="0"/>
        <v>19250</v>
      </c>
      <c r="O64" s="433">
        <v>6279</v>
      </c>
      <c r="P64" s="374"/>
      <c r="Q64" s="433"/>
      <c r="R64" s="435">
        <v>1843</v>
      </c>
      <c r="S64" s="434">
        <v>9515</v>
      </c>
      <c r="T64">
        <v>28</v>
      </c>
    </row>
    <row r="65" spans="1:25" x14ac:dyDescent="0.2">
      <c r="C65" s="375"/>
      <c r="D65" s="436"/>
      <c r="E65" s="375"/>
      <c r="F65" s="375"/>
      <c r="G65" s="375"/>
      <c r="H65" s="436"/>
      <c r="I65" s="34">
        <f t="shared" si="1"/>
        <v>0</v>
      </c>
      <c r="J65" s="436"/>
      <c r="K65" s="437"/>
      <c r="L65" s="436"/>
      <c r="M65" s="34"/>
      <c r="N65" s="34">
        <f t="shared" si="0"/>
        <v>0</v>
      </c>
      <c r="O65" s="436"/>
      <c r="P65" s="375"/>
      <c r="Q65" s="436"/>
      <c r="R65" s="438"/>
      <c r="S65" s="437"/>
    </row>
    <row r="66" spans="1:25" x14ac:dyDescent="0.2">
      <c r="B66">
        <v>29</v>
      </c>
      <c r="C66" s="374">
        <v>45287</v>
      </c>
      <c r="D66" s="433">
        <v>7835</v>
      </c>
      <c r="E66" s="374"/>
      <c r="F66" s="374"/>
      <c r="G66" s="374"/>
      <c r="H66" s="433"/>
      <c r="I66" s="34">
        <f t="shared" si="1"/>
        <v>37452</v>
      </c>
      <c r="J66" s="433">
        <v>9076</v>
      </c>
      <c r="K66" s="434">
        <v>5919</v>
      </c>
      <c r="L66" s="433"/>
      <c r="M66" s="34">
        <v>3157</v>
      </c>
      <c r="N66" s="34">
        <f t="shared" si="0"/>
        <v>0</v>
      </c>
      <c r="O66" s="464">
        <v>3150</v>
      </c>
      <c r="P66" s="374"/>
      <c r="Q66" s="433"/>
      <c r="R66" s="435">
        <v>4686</v>
      </c>
      <c r="S66" s="434">
        <v>9076</v>
      </c>
      <c r="T66">
        <v>29</v>
      </c>
    </row>
    <row r="67" spans="1:25" x14ac:dyDescent="0.2">
      <c r="C67" s="375"/>
      <c r="D67" s="436"/>
      <c r="E67" s="375"/>
      <c r="F67" s="375"/>
      <c r="G67" s="375"/>
      <c r="H67" s="436"/>
      <c r="I67" s="34">
        <f t="shared" si="1"/>
        <v>0</v>
      </c>
      <c r="J67" s="436"/>
      <c r="K67" s="437"/>
      <c r="L67" s="436"/>
      <c r="M67" s="34"/>
      <c r="N67" s="34">
        <f t="shared" si="0"/>
        <v>0</v>
      </c>
      <c r="O67" s="436"/>
      <c r="P67" s="375"/>
      <c r="Q67" s="436"/>
      <c r="R67" s="438"/>
      <c r="S67" s="437"/>
      <c r="V67" s="483" t="s">
        <v>672</v>
      </c>
      <c r="W67" s="42">
        <f>E73+F73+H73+I73+N73+G73</f>
        <v>1579006</v>
      </c>
    </row>
    <row r="68" spans="1:25" x14ac:dyDescent="0.2">
      <c r="B68">
        <v>30</v>
      </c>
      <c r="C68" s="374">
        <v>310978</v>
      </c>
      <c r="D68" s="433">
        <v>199736</v>
      </c>
      <c r="E68" s="374"/>
      <c r="F68" s="374">
        <v>35560</v>
      </c>
      <c r="G68" s="374"/>
      <c r="H68" s="433">
        <v>4770</v>
      </c>
      <c r="I68" s="34">
        <f t="shared" si="1"/>
        <v>70912</v>
      </c>
      <c r="J68" s="433">
        <v>319848</v>
      </c>
      <c r="K68" s="434">
        <v>123937</v>
      </c>
      <c r="L68" s="433">
        <v>19708</v>
      </c>
      <c r="M68" s="34">
        <v>84619</v>
      </c>
      <c r="N68" s="34">
        <f t="shared" si="0"/>
        <v>91584</v>
      </c>
      <c r="O68" s="433">
        <v>110965</v>
      </c>
      <c r="P68" s="374">
        <v>11854</v>
      </c>
      <c r="Q68" s="433">
        <v>29473</v>
      </c>
      <c r="R68" s="435">
        <v>47445</v>
      </c>
      <c r="S68" s="434">
        <v>261340</v>
      </c>
      <c r="T68">
        <v>30</v>
      </c>
      <c r="U68" s="54" t="s">
        <v>820</v>
      </c>
      <c r="V68" s="183" t="s">
        <v>674</v>
      </c>
      <c r="W68" s="449"/>
      <c r="X68" s="42">
        <f>W69-W67</f>
        <v>-217444</v>
      </c>
    </row>
    <row r="69" spans="1:25" x14ac:dyDescent="0.2">
      <c r="C69" s="375"/>
      <c r="D69" s="436"/>
      <c r="E69" s="375"/>
      <c r="F69" s="375"/>
      <c r="G69" s="375"/>
      <c r="H69" s="436"/>
      <c r="I69" s="34">
        <f t="shared" si="1"/>
        <v>0</v>
      </c>
      <c r="J69" s="436"/>
      <c r="K69" s="437"/>
      <c r="L69" s="436"/>
      <c r="M69" s="34"/>
      <c r="N69" s="34">
        <f t="shared" si="0"/>
        <v>0</v>
      </c>
      <c r="O69" s="436"/>
      <c r="P69" s="375"/>
      <c r="Q69" s="436"/>
      <c r="R69" s="438"/>
      <c r="S69" s="437"/>
      <c r="V69" s="183" t="s">
        <v>673</v>
      </c>
      <c r="W69" s="42">
        <f>S73+O73+P73+Q73+R73</f>
        <v>1361562</v>
      </c>
    </row>
    <row r="70" spans="1:25" x14ac:dyDescent="0.2">
      <c r="B70">
        <v>31</v>
      </c>
      <c r="C70" s="374"/>
      <c r="D70" s="433"/>
      <c r="E70" s="374"/>
      <c r="F70" s="374"/>
      <c r="G70" s="374"/>
      <c r="H70" s="433"/>
      <c r="I70" s="34">
        <f t="shared" si="1"/>
        <v>0</v>
      </c>
      <c r="J70" s="433"/>
      <c r="K70" s="434"/>
      <c r="L70" s="433"/>
      <c r="M70" s="34"/>
      <c r="N70" s="34">
        <f t="shared" si="0"/>
        <v>0</v>
      </c>
      <c r="O70" s="433"/>
      <c r="P70" s="374"/>
      <c r="Q70" s="433"/>
      <c r="R70" s="435"/>
      <c r="S70" s="34"/>
      <c r="T70">
        <v>31</v>
      </c>
    </row>
    <row r="71" spans="1:25" ht="13.5" thickBot="1" x14ac:dyDescent="0.25">
      <c r="C71" s="22"/>
      <c r="D71" s="29"/>
      <c r="E71" s="22"/>
      <c r="F71" s="22"/>
      <c r="G71" s="22"/>
      <c r="H71" s="29"/>
      <c r="I71" s="34">
        <f t="shared" si="1"/>
        <v>0</v>
      </c>
      <c r="J71" s="29"/>
      <c r="K71" s="34"/>
      <c r="L71" s="29"/>
      <c r="M71" s="35"/>
      <c r="N71" s="34">
        <f t="shared" si="0"/>
        <v>0</v>
      </c>
      <c r="O71" s="29"/>
      <c r="P71" s="22"/>
      <c r="Q71" s="29"/>
      <c r="R71" s="28"/>
      <c r="S71" s="34"/>
      <c r="V71" s="183" t="s">
        <v>672</v>
      </c>
      <c r="W71" s="42">
        <f>E78+F78+G78+H78+I78+N78</f>
        <v>1462940</v>
      </c>
    </row>
    <row r="72" spans="1:25" x14ac:dyDescent="0.2">
      <c r="C72" s="40"/>
      <c r="D72" s="33"/>
      <c r="E72" s="33"/>
      <c r="F72" s="439"/>
      <c r="G72" s="33"/>
      <c r="H72" s="33"/>
      <c r="I72" s="439"/>
      <c r="J72" s="33"/>
      <c r="K72" s="439"/>
      <c r="L72" s="33"/>
      <c r="M72" s="439"/>
      <c r="N72" s="439"/>
      <c r="O72" s="33"/>
      <c r="P72" s="439"/>
      <c r="Q72" s="33"/>
      <c r="R72" s="439"/>
      <c r="S72" s="33"/>
      <c r="U72" s="54" t="s">
        <v>816</v>
      </c>
      <c r="V72" s="183" t="s">
        <v>674</v>
      </c>
      <c r="W72" s="449"/>
      <c r="X72" s="42">
        <f>W73-W71</f>
        <v>-246115</v>
      </c>
      <c r="Y72" s="42"/>
    </row>
    <row r="73" spans="1:25" x14ac:dyDescent="0.2">
      <c r="A73" s="54" t="s">
        <v>671</v>
      </c>
      <c r="B73" s="1"/>
      <c r="C73" s="34">
        <f>SUM(C9:C71)</f>
        <v>1739429</v>
      </c>
      <c r="D73" s="441">
        <f>SUM(D9:D71)</f>
        <v>579324</v>
      </c>
      <c r="E73" s="34">
        <v>46709</v>
      </c>
      <c r="F73" s="442">
        <f>SUM(F9:F71)</f>
        <v>342059</v>
      </c>
      <c r="G73" s="441">
        <f>SUM(G9:G71)</f>
        <v>64433</v>
      </c>
      <c r="H73" s="441">
        <f>SUM(H9:H71)</f>
        <v>41313</v>
      </c>
      <c r="I73" s="446">
        <f>SUM(I9:I71)</f>
        <v>658901</v>
      </c>
      <c r="J73" s="34">
        <f>SUM(J9:J71)</f>
        <v>1118675</v>
      </c>
      <c r="K73" s="441">
        <f t="shared" ref="K73:P73" si="2">SUM(K9:K71)</f>
        <v>402509</v>
      </c>
      <c r="L73" s="441">
        <f>SUM(L9:L71)</f>
        <v>62332</v>
      </c>
      <c r="M73" s="441">
        <f t="shared" si="2"/>
        <v>228243</v>
      </c>
      <c r="N73" s="446">
        <f>SUM(N9:N71)</f>
        <v>425591</v>
      </c>
      <c r="O73" s="441">
        <f>SUM(O9:O71)</f>
        <v>313215</v>
      </c>
      <c r="P73" s="441">
        <f t="shared" si="2"/>
        <v>23692</v>
      </c>
      <c r="Q73" s="441">
        <f>SUM(Q9:Q71)</f>
        <v>103968</v>
      </c>
      <c r="R73" s="441">
        <f>SUM(R9:R71)</f>
        <v>138454</v>
      </c>
      <c r="S73" s="446">
        <f>SUM(S9:S71)</f>
        <v>782233</v>
      </c>
      <c r="V73" s="183" t="s">
        <v>673</v>
      </c>
      <c r="W73" s="42">
        <f>S78+O78+P78+Q78+R78</f>
        <v>1216825</v>
      </c>
      <c r="X73" s="42">
        <v>-381000</v>
      </c>
    </row>
    <row r="74" spans="1:25" ht="13.5" thickBot="1" x14ac:dyDescent="0.25">
      <c r="C74" s="440"/>
      <c r="D74" s="35"/>
      <c r="E74" s="35"/>
      <c r="F74" s="37"/>
      <c r="G74" s="35"/>
      <c r="H74" s="35"/>
      <c r="I74" s="37"/>
      <c r="J74" s="35"/>
      <c r="K74" s="37"/>
      <c r="L74" s="35"/>
      <c r="M74" s="37"/>
      <c r="N74" s="37"/>
      <c r="O74" s="35"/>
      <c r="P74" s="37"/>
      <c r="Q74" s="35"/>
      <c r="R74" s="37"/>
      <c r="S74" s="35"/>
    </row>
    <row r="75" spans="1:25" x14ac:dyDescent="0.2"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>
        <f>L75+K75</f>
        <v>0</v>
      </c>
      <c r="O75" s="29"/>
      <c r="P75" s="29"/>
      <c r="Q75" s="29"/>
      <c r="R75" s="29"/>
      <c r="S75" s="29"/>
    </row>
    <row r="76" spans="1:25" ht="13.5" thickBot="1" x14ac:dyDescent="0.25">
      <c r="A76" s="94">
        <v>42086</v>
      </c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V76" s="183" t="s">
        <v>672</v>
      </c>
      <c r="W76" s="42">
        <f>E82+F82+G82+H82+I82+N82</f>
        <v>910494</v>
      </c>
    </row>
    <row r="77" spans="1:25" x14ac:dyDescent="0.2">
      <c r="A77" s="255"/>
      <c r="C77" s="33"/>
      <c r="D77" s="444"/>
      <c r="E77" s="374"/>
      <c r="F77" s="465"/>
      <c r="G77" s="374"/>
      <c r="H77" s="374"/>
      <c r="I77" s="435"/>
      <c r="J77" s="40"/>
      <c r="K77" s="374"/>
      <c r="L77" s="374"/>
      <c r="M77" s="374"/>
      <c r="N77" s="374"/>
      <c r="O77" s="374"/>
      <c r="P77" s="374"/>
      <c r="Q77" s="374"/>
      <c r="R77" s="374"/>
      <c r="S77" s="374"/>
      <c r="U77" s="54" t="s">
        <v>823</v>
      </c>
      <c r="V77" s="183" t="s">
        <v>674</v>
      </c>
      <c r="W77" s="449"/>
      <c r="X77" s="42">
        <f>W78-W76</f>
        <v>-68103</v>
      </c>
      <c r="Y77" s="50"/>
    </row>
    <row r="78" spans="1:25" x14ac:dyDescent="0.2">
      <c r="A78" s="843" t="s">
        <v>651</v>
      </c>
      <c r="C78" s="847">
        <v>1490959</v>
      </c>
      <c r="D78" s="846">
        <v>504012</v>
      </c>
      <c r="E78" s="844"/>
      <c r="F78" s="845">
        <v>188389</v>
      </c>
      <c r="G78" s="844">
        <v>17146</v>
      </c>
      <c r="H78" s="844">
        <v>50348</v>
      </c>
      <c r="I78" s="447">
        <f>C78-D78-E78-H78-F78-G78</f>
        <v>731064</v>
      </c>
      <c r="J78" s="849">
        <v>1131766</v>
      </c>
      <c r="K78" s="844">
        <v>374877</v>
      </c>
      <c r="L78" s="844">
        <v>121634</v>
      </c>
      <c r="M78" s="848">
        <v>159262</v>
      </c>
      <c r="N78" s="446">
        <f>J78-K78-L78-M78</f>
        <v>475993</v>
      </c>
      <c r="O78" s="844">
        <v>281441</v>
      </c>
      <c r="P78" s="844">
        <v>52707</v>
      </c>
      <c r="Q78" s="844">
        <v>95472</v>
      </c>
      <c r="R78" s="844">
        <v>74122</v>
      </c>
      <c r="S78" s="448">
        <v>713083</v>
      </c>
      <c r="V78" s="183" t="s">
        <v>673</v>
      </c>
      <c r="W78" s="42">
        <f>S82+O82+P82+Q82+R82</f>
        <v>842391</v>
      </c>
      <c r="X78" s="42"/>
      <c r="Y78" s="50"/>
    </row>
    <row r="79" spans="1:25" ht="13.5" thickBot="1" x14ac:dyDescent="0.25">
      <c r="A79" s="261"/>
      <c r="C79" s="16"/>
      <c r="D79" s="84"/>
      <c r="E79" s="892"/>
      <c r="F79" s="466"/>
      <c r="G79" s="892"/>
      <c r="H79" s="892"/>
      <c r="I79" s="89"/>
      <c r="J79" s="11"/>
      <c r="K79" s="892"/>
      <c r="L79" s="892"/>
      <c r="M79" s="892"/>
      <c r="N79" s="892"/>
      <c r="O79" s="892"/>
      <c r="P79" s="892"/>
      <c r="Q79" s="892"/>
      <c r="R79" s="892"/>
      <c r="S79" s="892"/>
      <c r="Y79" s="56"/>
    </row>
    <row r="80" spans="1:25" ht="13.5" thickBot="1" x14ac:dyDescent="0.25">
      <c r="A80" s="204"/>
      <c r="C80" s="15"/>
      <c r="D80" s="81"/>
      <c r="E80" s="66"/>
      <c r="F80" s="450"/>
      <c r="G80" s="66"/>
      <c r="H80" s="66"/>
      <c r="I80" s="88"/>
      <c r="J80" s="5"/>
      <c r="K80" s="66"/>
      <c r="L80" s="66"/>
      <c r="M80" s="66"/>
      <c r="N80" s="66"/>
      <c r="O80" s="66"/>
      <c r="P80" s="66"/>
      <c r="Q80" s="66"/>
      <c r="R80" s="66"/>
      <c r="S80" s="66"/>
      <c r="Y80" s="56"/>
    </row>
    <row r="81" spans="1:25" x14ac:dyDescent="0.2">
      <c r="A81" s="443"/>
      <c r="C81" s="33"/>
      <c r="D81" s="444"/>
      <c r="E81" s="374"/>
      <c r="F81" s="465"/>
      <c r="G81" s="374"/>
      <c r="H81" s="374"/>
      <c r="I81" s="435"/>
      <c r="J81" s="40"/>
      <c r="K81" s="374"/>
      <c r="L81" s="374"/>
      <c r="M81" s="374"/>
      <c r="N81" s="374"/>
      <c r="O81" s="374"/>
      <c r="P81" s="374"/>
      <c r="Q81" s="374"/>
      <c r="R81" s="374"/>
      <c r="S81" s="374"/>
    </row>
    <row r="82" spans="1:25" x14ac:dyDescent="0.2">
      <c r="A82" s="843" t="s">
        <v>486</v>
      </c>
      <c r="C82" s="847">
        <v>1062960</v>
      </c>
      <c r="D82" s="846">
        <v>378731</v>
      </c>
      <c r="E82" s="844"/>
      <c r="F82" s="845">
        <v>200820</v>
      </c>
      <c r="G82" s="844">
        <v>6670</v>
      </c>
      <c r="H82" s="844">
        <v>38209</v>
      </c>
      <c r="I82" s="447">
        <f>C82-D82-E82-H82-F82-G82</f>
        <v>438530</v>
      </c>
      <c r="J82" s="849">
        <v>625609</v>
      </c>
      <c r="K82" s="844">
        <v>163752</v>
      </c>
      <c r="L82" s="844">
        <v>95938</v>
      </c>
      <c r="M82" s="848">
        <v>139654</v>
      </c>
      <c r="N82" s="446">
        <f>J82-K82-L82-M82</f>
        <v>226265</v>
      </c>
      <c r="O82" s="844">
        <v>227499</v>
      </c>
      <c r="P82" s="844">
        <v>52417</v>
      </c>
      <c r="Q82" s="844">
        <v>27290</v>
      </c>
      <c r="R82" s="844">
        <v>71525</v>
      </c>
      <c r="S82" s="448">
        <v>463660</v>
      </c>
    </row>
    <row r="83" spans="1:25" ht="13.5" thickBot="1" x14ac:dyDescent="0.25">
      <c r="A83" s="892"/>
      <c r="C83" s="16"/>
      <c r="D83" s="84"/>
      <c r="E83" s="892"/>
      <c r="F83" s="466"/>
      <c r="G83" s="892"/>
      <c r="H83" s="892"/>
      <c r="I83" s="89"/>
      <c r="J83" s="11"/>
      <c r="K83" s="892"/>
      <c r="L83" s="892"/>
      <c r="M83" s="892"/>
      <c r="N83" s="892"/>
      <c r="O83" s="892"/>
      <c r="P83" s="892"/>
      <c r="Q83" s="892"/>
      <c r="R83" s="892"/>
      <c r="S83" s="892"/>
    </row>
    <row r="84" spans="1:25" x14ac:dyDescent="0.2">
      <c r="U84" s="183" t="s">
        <v>675</v>
      </c>
    </row>
    <row r="85" spans="1:25" x14ac:dyDescent="0.2">
      <c r="U85" s="183" t="s">
        <v>22</v>
      </c>
      <c r="V85" s="183" t="s">
        <v>676</v>
      </c>
      <c r="W85" s="183" t="s">
        <v>677</v>
      </c>
      <c r="X85" s="17">
        <v>41215</v>
      </c>
      <c r="Y85" s="50">
        <v>121000</v>
      </c>
    </row>
    <row r="86" spans="1:25" x14ac:dyDescent="0.2">
      <c r="W86" s="183" t="s">
        <v>678</v>
      </c>
      <c r="X86" s="17">
        <v>41234</v>
      </c>
      <c r="Y86" s="50">
        <v>160000</v>
      </c>
    </row>
    <row r="87" spans="1:25" x14ac:dyDescent="0.2">
      <c r="Y87" s="56">
        <f>Y85+Y86</f>
        <v>281000</v>
      </c>
    </row>
    <row r="88" spans="1:25" x14ac:dyDescent="0.2">
      <c r="U88" s="183" t="s">
        <v>23</v>
      </c>
      <c r="V88" s="183" t="s">
        <v>676</v>
      </c>
      <c r="W88" s="183" t="s">
        <v>679</v>
      </c>
      <c r="X88" s="17">
        <v>41260</v>
      </c>
      <c r="Y88" s="50">
        <v>105000</v>
      </c>
    </row>
  </sheetData>
  <pageMargins left="0.70866141732283472" right="0.70866141732283472" top="0.74803149606299213" bottom="0.74803149606299213" header="0.31496062992125984" footer="0.31496062992125984"/>
  <pageSetup paperSize="9" scale="47" fitToWidth="2" orientation="landscape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>
    <pageSetUpPr fitToPage="1"/>
  </sheetPr>
  <dimension ref="A1:Y88"/>
  <sheetViews>
    <sheetView topLeftCell="A58" workbookViewId="0">
      <selection activeCell="H85" sqref="H85"/>
    </sheetView>
  </sheetViews>
  <sheetFormatPr defaultColWidth="11.42578125" defaultRowHeight="12.75" x14ac:dyDescent="0.2"/>
  <cols>
    <col min="2" max="2" width="3.28515625" customWidth="1"/>
    <col min="3" max="3" width="11.85546875" bestFit="1" customWidth="1"/>
    <col min="4" max="5" width="11.5703125" bestFit="1" customWidth="1"/>
    <col min="6" max="7" width="11.5703125" customWidth="1"/>
    <col min="8" max="8" width="11.5703125" bestFit="1" customWidth="1"/>
    <col min="9" max="10" width="11.85546875" bestFit="1" customWidth="1"/>
    <col min="11" max="12" width="11.5703125" bestFit="1" customWidth="1"/>
    <col min="13" max="13" width="11.5703125" customWidth="1"/>
    <col min="14" max="19" width="11.5703125" bestFit="1" customWidth="1"/>
    <col min="20" max="20" width="4.85546875" customWidth="1"/>
    <col min="22" max="22" width="15.85546875" customWidth="1"/>
    <col min="23" max="24" width="11.85546875" bestFit="1" customWidth="1"/>
    <col min="25" max="25" width="12.85546875" bestFit="1" customWidth="1"/>
  </cols>
  <sheetData>
    <row r="1" spans="2:20" ht="18" x14ac:dyDescent="0.25">
      <c r="J1" s="208" t="s">
        <v>970</v>
      </c>
      <c r="Q1" s="94">
        <v>42114</v>
      </c>
    </row>
    <row r="3" spans="2:20" ht="13.5" thickBot="1" x14ac:dyDescent="0.25"/>
    <row r="4" spans="2:20" ht="15.75" x14ac:dyDescent="0.25">
      <c r="C4" s="102"/>
      <c r="D4" s="87"/>
      <c r="E4" s="430" t="s">
        <v>33</v>
      </c>
      <c r="F4" s="430"/>
      <c r="G4" s="430"/>
      <c r="H4" s="430"/>
      <c r="I4" s="431"/>
      <c r="J4" s="432"/>
      <c r="K4" s="430" t="s">
        <v>664</v>
      </c>
      <c r="L4" s="430"/>
      <c r="M4" s="430"/>
      <c r="N4" s="430"/>
      <c r="O4" s="432"/>
      <c r="P4" s="430" t="s">
        <v>668</v>
      </c>
      <c r="Q4" s="430"/>
      <c r="R4" s="87"/>
      <c r="S4" s="13"/>
    </row>
    <row r="5" spans="2:20" ht="13.5" thickBot="1" x14ac:dyDescent="0.25">
      <c r="C5" s="89"/>
      <c r="D5" s="90"/>
      <c r="E5" s="90"/>
      <c r="F5" s="90"/>
      <c r="G5" s="90"/>
      <c r="H5" s="90"/>
      <c r="I5" s="81"/>
      <c r="J5" s="89"/>
      <c r="K5" s="6"/>
      <c r="L5" s="90"/>
      <c r="M5" s="6"/>
      <c r="N5" s="6"/>
      <c r="O5" s="88"/>
      <c r="P5" s="6"/>
      <c r="Q5" s="6"/>
      <c r="R5" s="6"/>
      <c r="S5" s="205" t="s">
        <v>32</v>
      </c>
    </row>
    <row r="6" spans="2:20" x14ac:dyDescent="0.2">
      <c r="C6" s="255"/>
      <c r="D6" s="6"/>
      <c r="E6" s="255"/>
      <c r="F6" s="255"/>
      <c r="G6" s="255"/>
      <c r="H6" s="6"/>
      <c r="I6" s="13"/>
      <c r="J6" s="6"/>
      <c r="K6" s="428"/>
      <c r="L6" s="6"/>
      <c r="M6" s="26" t="s">
        <v>702</v>
      </c>
      <c r="N6" s="2"/>
      <c r="O6" s="255"/>
      <c r="P6" s="87"/>
      <c r="Q6" s="255"/>
      <c r="R6" s="87"/>
      <c r="S6" s="205" t="s">
        <v>669</v>
      </c>
    </row>
    <row r="7" spans="2:20" x14ac:dyDescent="0.2">
      <c r="C7" s="73" t="s">
        <v>132</v>
      </c>
      <c r="D7" s="914" t="s">
        <v>287</v>
      </c>
      <c r="E7" s="73" t="s">
        <v>660</v>
      </c>
      <c r="F7" s="148" t="s">
        <v>485</v>
      </c>
      <c r="G7" s="148" t="s">
        <v>670</v>
      </c>
      <c r="H7" s="914" t="s">
        <v>661</v>
      </c>
      <c r="I7" s="205" t="s">
        <v>662</v>
      </c>
      <c r="J7" s="914" t="s">
        <v>132</v>
      </c>
      <c r="K7" s="205" t="s">
        <v>663</v>
      </c>
      <c r="L7" s="93" t="s">
        <v>701</v>
      </c>
      <c r="M7" s="205" t="s">
        <v>495</v>
      </c>
      <c r="N7" s="396" t="s">
        <v>662</v>
      </c>
      <c r="O7" s="131" t="s">
        <v>665</v>
      </c>
      <c r="P7" s="135" t="s">
        <v>666</v>
      </c>
      <c r="Q7" s="131" t="s">
        <v>667</v>
      </c>
      <c r="R7" s="135" t="s">
        <v>397</v>
      </c>
      <c r="S7" s="15"/>
    </row>
    <row r="8" spans="2:20" x14ac:dyDescent="0.2">
      <c r="C8" s="841"/>
      <c r="D8" s="424"/>
      <c r="E8" s="841"/>
      <c r="F8" s="841"/>
      <c r="G8" s="841"/>
      <c r="H8" s="424"/>
      <c r="I8" s="425"/>
      <c r="J8" s="424"/>
      <c r="K8" s="429"/>
      <c r="L8" s="424"/>
      <c r="M8" s="425"/>
      <c r="N8" s="426"/>
      <c r="O8" s="915"/>
      <c r="P8" s="90"/>
      <c r="Q8" s="915"/>
      <c r="R8" s="90"/>
      <c r="S8" s="427"/>
    </row>
    <row r="9" spans="2:20" x14ac:dyDescent="0.2">
      <c r="C9" s="374"/>
      <c r="D9" s="433"/>
      <c r="E9" s="374"/>
      <c r="F9" s="374"/>
      <c r="G9" s="374"/>
      <c r="H9" s="433"/>
      <c r="I9" s="434"/>
      <c r="J9" s="433"/>
      <c r="K9" s="434"/>
      <c r="L9" s="433"/>
      <c r="M9" s="434"/>
      <c r="N9" s="434"/>
      <c r="O9" s="433"/>
      <c r="P9" s="374"/>
      <c r="Q9" s="433"/>
      <c r="R9" s="435"/>
      <c r="S9" s="434"/>
    </row>
    <row r="10" spans="2:20" ht="14.25" customHeight="1" x14ac:dyDescent="0.2">
      <c r="B10">
        <v>1</v>
      </c>
      <c r="C10" s="22">
        <v>24979</v>
      </c>
      <c r="D10" s="29">
        <v>13553</v>
      </c>
      <c r="E10" s="22"/>
      <c r="F10" s="22"/>
      <c r="G10" s="22"/>
      <c r="H10" s="29">
        <v>11426</v>
      </c>
      <c r="I10" s="34">
        <f>C10-D10-E10-H10-F10-G10</f>
        <v>0</v>
      </c>
      <c r="J10" s="29">
        <v>44165</v>
      </c>
      <c r="K10" s="34">
        <v>5178</v>
      </c>
      <c r="L10" s="29"/>
      <c r="M10" s="34"/>
      <c r="N10" s="34">
        <f>J10-K10-L10-M10</f>
        <v>38987</v>
      </c>
      <c r="O10" s="463">
        <v>13553</v>
      </c>
      <c r="P10" s="22"/>
      <c r="Q10" s="29"/>
      <c r="R10" s="28"/>
      <c r="S10" s="34">
        <v>4178</v>
      </c>
      <c r="T10">
        <v>1</v>
      </c>
    </row>
    <row r="11" spans="2:20" x14ac:dyDescent="0.2">
      <c r="C11" s="375"/>
      <c r="D11" s="436"/>
      <c r="E11" s="375"/>
      <c r="F11" s="894"/>
      <c r="G11" s="375"/>
      <c r="H11" s="436"/>
      <c r="I11" s="437"/>
      <c r="J11" s="436"/>
      <c r="K11" s="437"/>
      <c r="L11" s="436"/>
      <c r="M11" s="437"/>
      <c r="N11" s="34">
        <f t="shared" ref="N11:N71" si="0">J11-K11-L11-M11</f>
        <v>0</v>
      </c>
      <c r="O11" s="436"/>
      <c r="P11" s="375"/>
      <c r="Q11" s="436"/>
      <c r="R11" s="438"/>
      <c r="S11" s="437"/>
    </row>
    <row r="12" spans="2:20" x14ac:dyDescent="0.2">
      <c r="B12">
        <v>2</v>
      </c>
      <c r="C12" s="374">
        <v>4235</v>
      </c>
      <c r="D12" s="433">
        <v>4235</v>
      </c>
      <c r="E12" s="374"/>
      <c r="F12" s="374"/>
      <c r="G12" s="374"/>
      <c r="H12" s="433"/>
      <c r="I12" s="34">
        <f>C12-D12-E12-H12-F12-G12</f>
        <v>0</v>
      </c>
      <c r="J12" s="433">
        <v>3340</v>
      </c>
      <c r="K12" s="434">
        <v>1000</v>
      </c>
      <c r="L12" s="433"/>
      <c r="M12" s="34"/>
      <c r="N12" s="34">
        <f t="shared" si="0"/>
        <v>2340</v>
      </c>
      <c r="O12" s="433">
        <v>4236</v>
      </c>
      <c r="P12" s="374"/>
      <c r="Q12" s="433"/>
      <c r="R12" s="435"/>
      <c r="S12" s="434">
        <v>1455</v>
      </c>
      <c r="T12">
        <v>2</v>
      </c>
    </row>
    <row r="13" spans="2:20" x14ac:dyDescent="0.2">
      <c r="C13" s="375"/>
      <c r="D13" s="436"/>
      <c r="E13" s="375"/>
      <c r="F13" s="375"/>
      <c r="G13" s="375"/>
      <c r="H13" s="436"/>
      <c r="I13" s="34"/>
      <c r="J13" s="436"/>
      <c r="K13" s="437"/>
      <c r="L13" s="436"/>
      <c r="M13" s="34"/>
      <c r="N13" s="34">
        <f t="shared" si="0"/>
        <v>0</v>
      </c>
      <c r="O13" s="436"/>
      <c r="P13" s="375"/>
      <c r="Q13" s="436"/>
      <c r="R13" s="438"/>
      <c r="S13" s="437"/>
    </row>
    <row r="14" spans="2:20" x14ac:dyDescent="0.2">
      <c r="B14">
        <v>3</v>
      </c>
      <c r="C14" s="374">
        <v>1000</v>
      </c>
      <c r="D14" s="433">
        <v>1000</v>
      </c>
      <c r="E14" s="374"/>
      <c r="F14" s="374"/>
      <c r="G14" s="374"/>
      <c r="H14" s="433"/>
      <c r="I14" s="34">
        <f t="shared" ref="I14:I71" si="1">C14-D14-E14-H14-F14-G14</f>
        <v>0</v>
      </c>
      <c r="J14" s="433">
        <v>13518</v>
      </c>
      <c r="K14" s="434">
        <v>13518</v>
      </c>
      <c r="L14" s="433"/>
      <c r="M14" s="34"/>
      <c r="N14" s="34">
        <f>J14-K14-L14-M14</f>
        <v>0</v>
      </c>
      <c r="O14" s="433">
        <v>1000</v>
      </c>
      <c r="P14" s="374"/>
      <c r="Q14" s="433"/>
      <c r="R14" s="435"/>
      <c r="S14" s="434">
        <v>13798</v>
      </c>
      <c r="T14">
        <v>3</v>
      </c>
    </row>
    <row r="15" spans="2:20" x14ac:dyDescent="0.2">
      <c r="C15" s="375"/>
      <c r="D15" s="436"/>
      <c r="E15" s="375"/>
      <c r="F15" s="375"/>
      <c r="G15" s="375"/>
      <c r="H15" s="436"/>
      <c r="I15" s="34">
        <f t="shared" si="1"/>
        <v>0</v>
      </c>
      <c r="J15" s="436"/>
      <c r="K15" s="437"/>
      <c r="L15" s="436"/>
      <c r="M15" s="34"/>
      <c r="N15" s="34">
        <f t="shared" si="0"/>
        <v>0</v>
      </c>
      <c r="O15" s="436"/>
      <c r="P15" s="375"/>
      <c r="Q15" s="436"/>
      <c r="R15" s="438"/>
      <c r="S15" s="437"/>
    </row>
    <row r="16" spans="2:20" x14ac:dyDescent="0.2">
      <c r="B16">
        <v>4</v>
      </c>
      <c r="C16" s="374">
        <v>92176</v>
      </c>
      <c r="D16" s="433">
        <v>2860</v>
      </c>
      <c r="E16" s="374"/>
      <c r="F16" s="374">
        <v>81666</v>
      </c>
      <c r="G16" s="374"/>
      <c r="H16" s="433"/>
      <c r="I16" s="34">
        <f t="shared" si="1"/>
        <v>7650</v>
      </c>
      <c r="J16" s="433">
        <v>41083</v>
      </c>
      <c r="K16" s="434">
        <v>3307</v>
      </c>
      <c r="L16" s="433">
        <v>875</v>
      </c>
      <c r="M16" s="34"/>
      <c r="N16" s="34">
        <f t="shared" si="0"/>
        <v>36901</v>
      </c>
      <c r="O16" s="464">
        <v>680</v>
      </c>
      <c r="P16" s="374"/>
      <c r="Q16" s="433">
        <v>1180</v>
      </c>
      <c r="R16" s="435">
        <v>1000</v>
      </c>
      <c r="S16" s="434">
        <v>4463</v>
      </c>
      <c r="T16">
        <v>4</v>
      </c>
    </row>
    <row r="17" spans="2:20" x14ac:dyDescent="0.2">
      <c r="C17" s="375"/>
      <c r="D17" s="436"/>
      <c r="E17" s="375"/>
      <c r="F17" s="375"/>
      <c r="G17" s="375"/>
      <c r="H17" s="436"/>
      <c r="I17" s="34">
        <f t="shared" si="1"/>
        <v>0</v>
      </c>
      <c r="J17" s="436"/>
      <c r="K17" s="437"/>
      <c r="L17" s="436"/>
      <c r="M17" s="34"/>
      <c r="N17" s="34">
        <f t="shared" si="0"/>
        <v>0</v>
      </c>
      <c r="O17" s="436"/>
      <c r="P17" s="375"/>
      <c r="Q17" s="436"/>
      <c r="R17" s="438"/>
      <c r="S17" s="437"/>
    </row>
    <row r="18" spans="2:20" x14ac:dyDescent="0.2">
      <c r="B18">
        <v>5</v>
      </c>
      <c r="C18" s="374">
        <v>77007</v>
      </c>
      <c r="D18" s="433">
        <v>27807</v>
      </c>
      <c r="E18" s="374"/>
      <c r="F18" s="374"/>
      <c r="G18" s="374"/>
      <c r="H18" s="433"/>
      <c r="I18" s="34">
        <f t="shared" si="1"/>
        <v>49200</v>
      </c>
      <c r="J18" s="433">
        <v>36561</v>
      </c>
      <c r="K18" s="434">
        <v>24385</v>
      </c>
      <c r="L18" s="433">
        <v>6350</v>
      </c>
      <c r="M18" s="34"/>
      <c r="N18" s="34">
        <f t="shared" si="0"/>
        <v>5826</v>
      </c>
      <c r="O18" s="433">
        <v>12028</v>
      </c>
      <c r="P18" s="374">
        <v>9986</v>
      </c>
      <c r="Q18" s="433">
        <v>2333</v>
      </c>
      <c r="R18" s="435">
        <v>3460</v>
      </c>
      <c r="S18" s="434">
        <v>31235</v>
      </c>
      <c r="T18">
        <v>5</v>
      </c>
    </row>
    <row r="19" spans="2:20" x14ac:dyDescent="0.2">
      <c r="C19" s="375"/>
      <c r="D19" s="436"/>
      <c r="E19" s="375"/>
      <c r="F19" s="375"/>
      <c r="G19" s="375"/>
      <c r="H19" s="436"/>
      <c r="I19" s="34">
        <f t="shared" si="1"/>
        <v>0</v>
      </c>
      <c r="J19" s="436"/>
      <c r="K19" s="437"/>
      <c r="L19" s="436"/>
      <c r="M19" s="34"/>
      <c r="N19" s="34">
        <f t="shared" si="0"/>
        <v>0</v>
      </c>
      <c r="O19" s="436"/>
      <c r="P19" s="375"/>
      <c r="Q19" s="436"/>
      <c r="R19" s="438"/>
      <c r="S19" s="437"/>
    </row>
    <row r="20" spans="2:20" x14ac:dyDescent="0.2">
      <c r="B20">
        <v>6</v>
      </c>
      <c r="C20" s="374">
        <v>21296</v>
      </c>
      <c r="D20" s="433">
        <v>8099</v>
      </c>
      <c r="E20" s="374"/>
      <c r="F20" s="374"/>
      <c r="G20" s="374">
        <v>7471</v>
      </c>
      <c r="H20" s="433"/>
      <c r="I20" s="34">
        <f t="shared" si="1"/>
        <v>5726</v>
      </c>
      <c r="J20" s="433">
        <v>23196</v>
      </c>
      <c r="K20" s="434">
        <v>2475</v>
      </c>
      <c r="L20" s="433"/>
      <c r="M20" s="34">
        <v>3471</v>
      </c>
      <c r="N20" s="34">
        <f t="shared" si="0"/>
        <v>17250</v>
      </c>
      <c r="O20" s="464">
        <v>3392</v>
      </c>
      <c r="P20" s="374">
        <v>1112</v>
      </c>
      <c r="Q20" s="433">
        <v>1180</v>
      </c>
      <c r="R20" s="435">
        <v>2416</v>
      </c>
      <c r="S20" s="434">
        <v>8394</v>
      </c>
      <c r="T20">
        <v>6</v>
      </c>
    </row>
    <row r="21" spans="2:20" x14ac:dyDescent="0.2">
      <c r="C21" s="375"/>
      <c r="D21" s="436"/>
      <c r="E21" s="375"/>
      <c r="F21" s="893"/>
      <c r="G21" s="375"/>
      <c r="H21" s="436"/>
      <c r="I21" s="34">
        <f t="shared" si="1"/>
        <v>0</v>
      </c>
      <c r="J21" s="436"/>
      <c r="K21" s="437"/>
      <c r="L21" s="436"/>
      <c r="M21" s="34"/>
      <c r="N21" s="34">
        <f t="shared" si="0"/>
        <v>0</v>
      </c>
      <c r="O21" s="436"/>
      <c r="P21" s="375"/>
      <c r="Q21" s="436"/>
      <c r="R21" s="438"/>
      <c r="S21" s="437"/>
    </row>
    <row r="22" spans="2:20" x14ac:dyDescent="0.2">
      <c r="B22">
        <v>7</v>
      </c>
      <c r="C22" s="374">
        <v>26716</v>
      </c>
      <c r="D22" s="433">
        <v>8073</v>
      </c>
      <c r="E22" s="374"/>
      <c r="F22" s="374"/>
      <c r="G22" s="374"/>
      <c r="H22" s="433"/>
      <c r="I22" s="34">
        <f t="shared" si="1"/>
        <v>18643</v>
      </c>
      <c r="J22" s="433">
        <v>29604</v>
      </c>
      <c r="K22" s="434">
        <v>3519</v>
      </c>
      <c r="L22" s="433"/>
      <c r="M22" s="34">
        <v>1186</v>
      </c>
      <c r="N22" s="34">
        <f t="shared" si="0"/>
        <v>24899</v>
      </c>
      <c r="O22" s="433">
        <v>6475</v>
      </c>
      <c r="P22" s="374"/>
      <c r="Q22" s="433"/>
      <c r="R22" s="435">
        <v>1599</v>
      </c>
      <c r="S22" s="434">
        <v>9254</v>
      </c>
      <c r="T22">
        <v>7</v>
      </c>
    </row>
    <row r="23" spans="2:20" x14ac:dyDescent="0.2">
      <c r="C23" s="375"/>
      <c r="D23" s="436"/>
      <c r="E23" s="375"/>
      <c r="F23" s="375"/>
      <c r="G23" s="375"/>
      <c r="H23" s="436"/>
      <c r="I23" s="34">
        <f t="shared" si="1"/>
        <v>0</v>
      </c>
      <c r="J23" s="436"/>
      <c r="K23" s="437"/>
      <c r="L23" s="436"/>
      <c r="M23" s="34"/>
      <c r="N23" s="34">
        <f t="shared" si="0"/>
        <v>0</v>
      </c>
      <c r="O23" s="436"/>
      <c r="P23" s="375"/>
      <c r="Q23" s="436"/>
      <c r="R23" s="438"/>
      <c r="S23" s="437"/>
    </row>
    <row r="24" spans="2:20" x14ac:dyDescent="0.2">
      <c r="B24">
        <v>8</v>
      </c>
      <c r="C24" s="374">
        <v>68418</v>
      </c>
      <c r="D24" s="433">
        <v>24807</v>
      </c>
      <c r="E24" s="374"/>
      <c r="F24" s="374"/>
      <c r="G24" s="374"/>
      <c r="H24" s="433"/>
      <c r="I24" s="34">
        <f t="shared" si="1"/>
        <v>43611</v>
      </c>
      <c r="J24" s="433">
        <v>30121</v>
      </c>
      <c r="K24" s="434">
        <v>10722</v>
      </c>
      <c r="L24" s="433"/>
      <c r="M24" s="34"/>
      <c r="N24" s="34">
        <f t="shared" si="0"/>
        <v>19399</v>
      </c>
      <c r="O24" s="433">
        <v>19572</v>
      </c>
      <c r="P24" s="374">
        <v>588</v>
      </c>
      <c r="Q24" s="433">
        <v>4056</v>
      </c>
      <c r="R24" s="435">
        <v>589</v>
      </c>
      <c r="S24" s="434">
        <v>10721</v>
      </c>
      <c r="T24">
        <v>8</v>
      </c>
    </row>
    <row r="25" spans="2:20" x14ac:dyDescent="0.2">
      <c r="C25" s="375"/>
      <c r="D25" s="436"/>
      <c r="E25" s="375"/>
      <c r="F25" s="375"/>
      <c r="G25" s="375"/>
      <c r="H25" s="436"/>
      <c r="I25" s="34">
        <f t="shared" si="1"/>
        <v>0</v>
      </c>
      <c r="J25" s="436"/>
      <c r="K25" s="437"/>
      <c r="L25" s="436"/>
      <c r="M25" s="34"/>
      <c r="N25" s="34">
        <f t="shared" si="0"/>
        <v>0</v>
      </c>
      <c r="O25" s="436"/>
      <c r="P25" s="375"/>
      <c r="Q25" s="436"/>
      <c r="R25" s="438"/>
      <c r="S25" s="437"/>
    </row>
    <row r="26" spans="2:20" x14ac:dyDescent="0.2">
      <c r="B26">
        <v>9</v>
      </c>
      <c r="C26" s="374">
        <v>36783</v>
      </c>
      <c r="D26" s="433">
        <v>3741</v>
      </c>
      <c r="E26" s="374"/>
      <c r="F26" s="374"/>
      <c r="G26" s="374"/>
      <c r="H26" s="433"/>
      <c r="I26" s="34">
        <f t="shared" si="1"/>
        <v>33042</v>
      </c>
      <c r="J26" s="433">
        <v>7278</v>
      </c>
      <c r="K26" s="434">
        <v>7278</v>
      </c>
      <c r="L26" s="433"/>
      <c r="M26" s="34"/>
      <c r="N26" s="34">
        <f t="shared" si="0"/>
        <v>0</v>
      </c>
      <c r="O26" s="433">
        <v>3742</v>
      </c>
      <c r="P26" s="374"/>
      <c r="Q26" s="433"/>
      <c r="R26" s="435"/>
      <c r="S26" s="434">
        <v>7278</v>
      </c>
      <c r="T26">
        <v>9</v>
      </c>
    </row>
    <row r="27" spans="2:20" x14ac:dyDescent="0.2">
      <c r="C27" s="375"/>
      <c r="D27" s="436"/>
      <c r="E27" s="375"/>
      <c r="F27" s="375"/>
      <c r="G27" s="375"/>
      <c r="H27" s="436"/>
      <c r="I27" s="34">
        <f t="shared" si="1"/>
        <v>0</v>
      </c>
      <c r="J27" s="436"/>
      <c r="K27" s="437"/>
      <c r="L27" s="436"/>
      <c r="M27" s="34"/>
      <c r="N27" s="34">
        <f t="shared" si="0"/>
        <v>0</v>
      </c>
      <c r="O27" s="436"/>
      <c r="P27" s="375"/>
      <c r="Q27" s="436"/>
      <c r="R27" s="438"/>
      <c r="S27" s="437"/>
    </row>
    <row r="28" spans="2:20" x14ac:dyDescent="0.2">
      <c r="B28">
        <v>10</v>
      </c>
      <c r="C28" s="374">
        <v>69902</v>
      </c>
      <c r="D28" s="433">
        <v>45138</v>
      </c>
      <c r="E28" s="374"/>
      <c r="F28" s="374"/>
      <c r="G28" s="374">
        <v>6009</v>
      </c>
      <c r="H28" s="433"/>
      <c r="I28" s="34">
        <f t="shared" si="1"/>
        <v>18755</v>
      </c>
      <c r="J28" s="433">
        <v>110636</v>
      </c>
      <c r="K28" s="434">
        <v>44545</v>
      </c>
      <c r="L28" s="433">
        <v>6350</v>
      </c>
      <c r="M28" s="34">
        <v>12595</v>
      </c>
      <c r="N28" s="34">
        <f t="shared" si="0"/>
        <v>47146</v>
      </c>
      <c r="O28" s="433">
        <v>20605</v>
      </c>
      <c r="P28" s="374">
        <v>2784</v>
      </c>
      <c r="Q28" s="433">
        <v>14667</v>
      </c>
      <c r="R28" s="435">
        <v>7081</v>
      </c>
      <c r="S28" s="434">
        <v>72594</v>
      </c>
      <c r="T28">
        <v>10</v>
      </c>
    </row>
    <row r="29" spans="2:20" x14ac:dyDescent="0.2">
      <c r="C29" s="375"/>
      <c r="D29" s="436"/>
      <c r="E29" s="375"/>
      <c r="F29" s="375"/>
      <c r="G29" s="375"/>
      <c r="H29" s="436"/>
      <c r="I29" s="34">
        <f t="shared" si="1"/>
        <v>0</v>
      </c>
      <c r="J29" s="436"/>
      <c r="K29" s="437"/>
      <c r="L29" s="436"/>
      <c r="M29" s="34"/>
      <c r="N29" s="34">
        <f t="shared" si="0"/>
        <v>0</v>
      </c>
      <c r="O29" s="436"/>
      <c r="P29" s="375"/>
      <c r="Q29" s="436"/>
      <c r="R29" s="438"/>
      <c r="S29" s="437"/>
    </row>
    <row r="30" spans="2:20" s="58" customFormat="1" x14ac:dyDescent="0.2">
      <c r="B30" s="58">
        <v>11</v>
      </c>
      <c r="C30" s="919">
        <v>22043</v>
      </c>
      <c r="D30" s="920">
        <v>3431</v>
      </c>
      <c r="E30" s="919"/>
      <c r="F30" s="919">
        <v>18612</v>
      </c>
      <c r="G30" s="919"/>
      <c r="H30" s="920"/>
      <c r="I30" s="492">
        <f t="shared" si="1"/>
        <v>0</v>
      </c>
      <c r="J30" s="920">
        <v>6347</v>
      </c>
      <c r="K30" s="921">
        <v>3035</v>
      </c>
      <c r="L30" s="920">
        <v>1000</v>
      </c>
      <c r="M30" s="492">
        <v>2312</v>
      </c>
      <c r="N30" s="492">
        <f t="shared" si="0"/>
        <v>0</v>
      </c>
      <c r="O30" s="920">
        <v>2250</v>
      </c>
      <c r="P30" s="919"/>
      <c r="Q30" s="920">
        <v>1180</v>
      </c>
      <c r="R30" s="922"/>
      <c r="S30" s="921">
        <v>7961</v>
      </c>
      <c r="T30" s="58">
        <v>11</v>
      </c>
    </row>
    <row r="31" spans="2:20" x14ac:dyDescent="0.2">
      <c r="C31" s="375"/>
      <c r="D31" s="436"/>
      <c r="E31" s="375"/>
      <c r="F31" s="375"/>
      <c r="G31" s="375"/>
      <c r="H31" s="436"/>
      <c r="I31" s="34">
        <f t="shared" si="1"/>
        <v>0</v>
      </c>
      <c r="J31" s="436"/>
      <c r="K31" s="437"/>
      <c r="L31" s="436"/>
      <c r="M31" s="34"/>
      <c r="N31" s="34">
        <f t="shared" si="0"/>
        <v>0</v>
      </c>
      <c r="O31" s="436"/>
      <c r="P31" s="375"/>
      <c r="Q31" s="436"/>
      <c r="R31" s="438"/>
      <c r="S31" s="437"/>
    </row>
    <row r="32" spans="2:20" x14ac:dyDescent="0.2">
      <c r="B32">
        <v>12</v>
      </c>
      <c r="C32" s="374">
        <v>21193</v>
      </c>
      <c r="D32" s="433">
        <v>12000</v>
      </c>
      <c r="E32" s="374"/>
      <c r="F32" s="374"/>
      <c r="G32" s="374"/>
      <c r="H32" s="433"/>
      <c r="I32" s="34">
        <f t="shared" si="1"/>
        <v>9193</v>
      </c>
      <c r="J32" s="433">
        <v>26701</v>
      </c>
      <c r="K32" s="434">
        <v>5315</v>
      </c>
      <c r="L32" s="433"/>
      <c r="M32" s="34"/>
      <c r="N32" s="34">
        <f t="shared" si="0"/>
        <v>21386</v>
      </c>
      <c r="O32" s="464">
        <v>5568</v>
      </c>
      <c r="P32" s="374">
        <v>1112</v>
      </c>
      <c r="Q32" s="433">
        <v>1250</v>
      </c>
      <c r="R32" s="435">
        <v>4071</v>
      </c>
      <c r="S32" s="434">
        <v>5645</v>
      </c>
      <c r="T32">
        <v>12</v>
      </c>
    </row>
    <row r="33" spans="2:20" x14ac:dyDescent="0.2">
      <c r="C33" s="375"/>
      <c r="D33" s="436"/>
      <c r="E33" s="375"/>
      <c r="F33" s="375"/>
      <c r="G33" s="375"/>
      <c r="H33" s="436"/>
      <c r="I33" s="34">
        <f t="shared" si="1"/>
        <v>0</v>
      </c>
      <c r="J33" s="436"/>
      <c r="K33" s="437"/>
      <c r="L33" s="436"/>
      <c r="M33" s="34"/>
      <c r="N33" s="34">
        <f t="shared" si="0"/>
        <v>0</v>
      </c>
      <c r="O33" s="436"/>
      <c r="P33" s="375"/>
      <c r="Q33" s="436"/>
      <c r="R33" s="438"/>
      <c r="S33" s="437"/>
    </row>
    <row r="34" spans="2:20" x14ac:dyDescent="0.2">
      <c r="B34">
        <v>13</v>
      </c>
      <c r="C34" s="374">
        <v>63535</v>
      </c>
      <c r="D34" s="433">
        <v>6822</v>
      </c>
      <c r="E34" s="374"/>
      <c r="F34" s="374">
        <v>27513</v>
      </c>
      <c r="G34" s="374"/>
      <c r="H34" s="433"/>
      <c r="I34" s="34">
        <f t="shared" si="1"/>
        <v>29200</v>
      </c>
      <c r="J34" s="433">
        <v>25071</v>
      </c>
      <c r="K34" s="434">
        <v>1683</v>
      </c>
      <c r="L34" s="433"/>
      <c r="M34" s="34">
        <v>6088</v>
      </c>
      <c r="N34" s="34">
        <f t="shared" si="0"/>
        <v>17300</v>
      </c>
      <c r="O34" s="433">
        <v>4409</v>
      </c>
      <c r="P34" s="374"/>
      <c r="Q34" s="433">
        <v>1180</v>
      </c>
      <c r="R34" s="435">
        <v>1234</v>
      </c>
      <c r="S34" s="434">
        <v>13172</v>
      </c>
      <c r="T34">
        <v>13</v>
      </c>
    </row>
    <row r="35" spans="2:20" x14ac:dyDescent="0.2">
      <c r="C35" s="375"/>
      <c r="D35" s="436"/>
      <c r="E35" s="375"/>
      <c r="F35" s="375"/>
      <c r="G35" s="375"/>
      <c r="H35" s="436"/>
      <c r="I35" s="34">
        <f t="shared" si="1"/>
        <v>0</v>
      </c>
      <c r="J35" s="436"/>
      <c r="K35" s="437"/>
      <c r="L35" s="436"/>
      <c r="M35" s="34"/>
      <c r="N35" s="34">
        <f t="shared" si="0"/>
        <v>0</v>
      </c>
      <c r="O35" s="436"/>
      <c r="P35" s="375"/>
      <c r="Q35" s="436"/>
      <c r="R35" s="438"/>
      <c r="S35" s="437"/>
    </row>
    <row r="36" spans="2:20" x14ac:dyDescent="0.2">
      <c r="B36">
        <v>14</v>
      </c>
      <c r="C36" s="374">
        <v>13436</v>
      </c>
      <c r="D36" s="433">
        <v>4708</v>
      </c>
      <c r="E36" s="374"/>
      <c r="F36" s="374"/>
      <c r="G36" s="374"/>
      <c r="H36" s="433"/>
      <c r="I36" s="34">
        <f t="shared" si="1"/>
        <v>8728</v>
      </c>
      <c r="J36" s="433">
        <v>9386</v>
      </c>
      <c r="K36" s="434">
        <v>7012</v>
      </c>
      <c r="L36" s="433">
        <v>1200</v>
      </c>
      <c r="M36" s="34">
        <v>1174</v>
      </c>
      <c r="N36" s="34">
        <f t="shared" si="0"/>
        <v>0</v>
      </c>
      <c r="O36" s="464">
        <v>4709</v>
      </c>
      <c r="P36" s="374"/>
      <c r="Q36" s="433"/>
      <c r="R36" s="435"/>
      <c r="S36" s="434">
        <v>10338</v>
      </c>
      <c r="T36">
        <v>14</v>
      </c>
    </row>
    <row r="37" spans="2:20" x14ac:dyDescent="0.2">
      <c r="C37" s="375"/>
      <c r="D37" s="436"/>
      <c r="E37" s="375"/>
      <c r="F37" s="375"/>
      <c r="G37" s="375"/>
      <c r="H37" s="436"/>
      <c r="I37" s="34">
        <f t="shared" si="1"/>
        <v>0</v>
      </c>
      <c r="J37" s="436"/>
      <c r="K37" s="437"/>
      <c r="L37" s="436"/>
      <c r="M37" s="34"/>
      <c r="N37" s="34">
        <f t="shared" si="0"/>
        <v>0</v>
      </c>
      <c r="O37" s="436"/>
      <c r="P37" s="375"/>
      <c r="Q37" s="436"/>
      <c r="R37" s="438"/>
      <c r="S37" s="437"/>
    </row>
    <row r="38" spans="2:20" x14ac:dyDescent="0.2">
      <c r="B38">
        <v>15</v>
      </c>
      <c r="C38" s="374">
        <v>116164</v>
      </c>
      <c r="D38" s="433">
        <v>48685</v>
      </c>
      <c r="E38" s="374"/>
      <c r="F38" s="374">
        <v>36702</v>
      </c>
      <c r="G38" s="374"/>
      <c r="H38" s="433">
        <v>9032</v>
      </c>
      <c r="I38" s="34">
        <f t="shared" si="1"/>
        <v>21745</v>
      </c>
      <c r="J38" s="433">
        <v>116581</v>
      </c>
      <c r="K38" s="434">
        <v>30994</v>
      </c>
      <c r="L38" s="433">
        <v>34975</v>
      </c>
      <c r="M38" s="34">
        <v>9367</v>
      </c>
      <c r="N38" s="34">
        <f t="shared" si="0"/>
        <v>41245</v>
      </c>
      <c r="O38" s="433">
        <v>20329</v>
      </c>
      <c r="P38" s="374">
        <v>9451</v>
      </c>
      <c r="Q38" s="433">
        <v>8966</v>
      </c>
      <c r="R38" s="435">
        <v>9939</v>
      </c>
      <c r="S38" s="434">
        <v>79661</v>
      </c>
      <c r="T38">
        <v>15</v>
      </c>
    </row>
    <row r="39" spans="2:20" x14ac:dyDescent="0.2">
      <c r="C39" s="375"/>
      <c r="D39" s="436"/>
      <c r="E39" s="375"/>
      <c r="F39" s="375"/>
      <c r="G39" s="375"/>
      <c r="H39" s="436"/>
      <c r="I39" s="34">
        <f t="shared" si="1"/>
        <v>0</v>
      </c>
      <c r="J39" s="436"/>
      <c r="K39" s="437"/>
      <c r="L39" s="436"/>
      <c r="M39" s="34"/>
      <c r="N39" s="34">
        <f t="shared" si="0"/>
        <v>0</v>
      </c>
      <c r="O39" s="436"/>
      <c r="P39" s="375"/>
      <c r="Q39" s="436"/>
      <c r="R39" s="438"/>
      <c r="S39" s="437"/>
    </row>
    <row r="40" spans="2:20" x14ac:dyDescent="0.2">
      <c r="B40">
        <v>16</v>
      </c>
      <c r="C40" s="374">
        <v>32784</v>
      </c>
      <c r="D40" s="433">
        <v>3533</v>
      </c>
      <c r="E40" s="374"/>
      <c r="F40" s="374"/>
      <c r="G40" s="374"/>
      <c r="H40" s="433"/>
      <c r="I40" s="34">
        <f t="shared" si="1"/>
        <v>29251</v>
      </c>
      <c r="J40" s="433">
        <v>25437</v>
      </c>
      <c r="K40" s="434">
        <v>8087</v>
      </c>
      <c r="L40" s="433"/>
      <c r="M40" s="34"/>
      <c r="N40" s="34">
        <f t="shared" si="0"/>
        <v>17350</v>
      </c>
      <c r="O40" s="433"/>
      <c r="P40" s="374"/>
      <c r="Q40" s="433">
        <v>2587</v>
      </c>
      <c r="R40" s="435">
        <v>946</v>
      </c>
      <c r="S40" s="434">
        <v>8087</v>
      </c>
      <c r="T40">
        <v>16</v>
      </c>
    </row>
    <row r="41" spans="2:20" x14ac:dyDescent="0.2">
      <c r="C41" s="375"/>
      <c r="D41" s="436"/>
      <c r="E41" s="375"/>
      <c r="F41" s="375"/>
      <c r="G41" s="375"/>
      <c r="H41" s="436"/>
      <c r="I41" s="34">
        <f t="shared" si="1"/>
        <v>0</v>
      </c>
      <c r="J41" s="436"/>
      <c r="K41" s="437"/>
      <c r="L41" s="436"/>
      <c r="M41" s="34"/>
      <c r="N41" s="34">
        <f t="shared" si="0"/>
        <v>0</v>
      </c>
      <c r="O41" s="436"/>
      <c r="P41" s="375"/>
      <c r="Q41" s="436"/>
      <c r="R41" s="438"/>
      <c r="S41" s="437"/>
    </row>
    <row r="42" spans="2:20" x14ac:dyDescent="0.2">
      <c r="B42">
        <v>17</v>
      </c>
      <c r="C42" s="374">
        <v>6288</v>
      </c>
      <c r="D42" s="433">
        <v>4920</v>
      </c>
      <c r="E42" s="374"/>
      <c r="F42" s="374"/>
      <c r="G42" s="374"/>
      <c r="H42" s="433"/>
      <c r="I42" s="34">
        <f t="shared" si="1"/>
        <v>1368</v>
      </c>
      <c r="J42" s="433">
        <v>22345</v>
      </c>
      <c r="K42" s="434">
        <v>4000</v>
      </c>
      <c r="L42" s="433"/>
      <c r="M42" s="34">
        <v>1000</v>
      </c>
      <c r="N42" s="34">
        <f t="shared" si="0"/>
        <v>17345</v>
      </c>
      <c r="O42" s="433">
        <v>4920</v>
      </c>
      <c r="P42" s="374"/>
      <c r="Q42" s="433"/>
      <c r="R42" s="435"/>
      <c r="S42" s="434">
        <v>5000</v>
      </c>
      <c r="T42">
        <v>17</v>
      </c>
    </row>
    <row r="43" spans="2:20" x14ac:dyDescent="0.2">
      <c r="C43" s="375"/>
      <c r="D43" s="436"/>
      <c r="E43" s="375"/>
      <c r="F43" s="375"/>
      <c r="G43" s="375"/>
      <c r="H43" s="436"/>
      <c r="I43" s="34"/>
      <c r="J43" s="436"/>
      <c r="K43" s="437"/>
      <c r="L43" s="436"/>
      <c r="M43" s="34"/>
      <c r="N43" s="34">
        <f t="shared" si="0"/>
        <v>0</v>
      </c>
      <c r="O43" s="436"/>
      <c r="P43" s="375"/>
      <c r="Q43" s="436"/>
      <c r="R43" s="438"/>
      <c r="S43" s="437"/>
    </row>
    <row r="44" spans="2:20" x14ac:dyDescent="0.2">
      <c r="B44">
        <v>18</v>
      </c>
      <c r="C44" s="374">
        <v>10742</v>
      </c>
      <c r="D44" s="433">
        <v>10742</v>
      </c>
      <c r="E44" s="374"/>
      <c r="F44" s="374"/>
      <c r="G44" s="374"/>
      <c r="H44" s="433"/>
      <c r="I44" s="34">
        <f t="shared" si="1"/>
        <v>0</v>
      </c>
      <c r="J44" s="433">
        <v>4226</v>
      </c>
      <c r="K44" s="434">
        <v>1855</v>
      </c>
      <c r="L44" s="433"/>
      <c r="M44" s="34">
        <v>2371</v>
      </c>
      <c r="N44" s="34">
        <f t="shared" si="0"/>
        <v>0</v>
      </c>
      <c r="O44" s="433">
        <v>5909</v>
      </c>
      <c r="P44" s="374">
        <v>504</v>
      </c>
      <c r="Q44" s="433">
        <v>1180</v>
      </c>
      <c r="R44" s="435">
        <v>3150</v>
      </c>
      <c r="S44" s="434">
        <v>6426</v>
      </c>
      <c r="T44">
        <v>18</v>
      </c>
    </row>
    <row r="45" spans="2:20" x14ac:dyDescent="0.2">
      <c r="C45" s="375"/>
      <c r="D45" s="436"/>
      <c r="E45" s="375"/>
      <c r="F45" s="375"/>
      <c r="G45" s="375"/>
      <c r="H45" s="436"/>
      <c r="I45" s="34">
        <f t="shared" si="1"/>
        <v>0</v>
      </c>
      <c r="J45" s="436"/>
      <c r="K45" s="437"/>
      <c r="L45" s="436"/>
      <c r="M45" s="34"/>
      <c r="N45" s="34">
        <f t="shared" si="0"/>
        <v>0</v>
      </c>
      <c r="O45" s="436"/>
      <c r="P45" s="375"/>
      <c r="Q45" s="436"/>
      <c r="R45" s="438"/>
      <c r="S45" s="437"/>
    </row>
    <row r="46" spans="2:20" x14ac:dyDescent="0.2">
      <c r="B46">
        <v>19</v>
      </c>
      <c r="C46" s="374">
        <v>32670</v>
      </c>
      <c r="D46" s="433">
        <v>3370</v>
      </c>
      <c r="E46" s="374"/>
      <c r="F46" s="374"/>
      <c r="G46" s="374"/>
      <c r="H46" s="433"/>
      <c r="I46" s="34">
        <f t="shared" si="1"/>
        <v>29300</v>
      </c>
      <c r="J46" s="433">
        <v>33353</v>
      </c>
      <c r="K46" s="434">
        <v>6352</v>
      </c>
      <c r="L46" s="433"/>
      <c r="M46" s="34"/>
      <c r="N46" s="34">
        <f t="shared" si="0"/>
        <v>27001</v>
      </c>
      <c r="O46" s="433"/>
      <c r="P46" s="374"/>
      <c r="Q46" s="433">
        <v>3370</v>
      </c>
      <c r="R46" s="435"/>
      <c r="S46" s="434">
        <v>6853</v>
      </c>
      <c r="T46">
        <v>19</v>
      </c>
    </row>
    <row r="47" spans="2:20" x14ac:dyDescent="0.2">
      <c r="C47" s="375"/>
      <c r="D47" s="436"/>
      <c r="E47" s="375"/>
      <c r="F47" s="375"/>
      <c r="G47" s="375"/>
      <c r="H47" s="436"/>
      <c r="I47" s="34">
        <f t="shared" si="1"/>
        <v>0</v>
      </c>
      <c r="J47" s="436"/>
      <c r="K47" s="437"/>
      <c r="L47" s="436"/>
      <c r="M47" s="34"/>
      <c r="N47" s="34">
        <f t="shared" si="0"/>
        <v>0</v>
      </c>
      <c r="O47" s="436"/>
      <c r="P47" s="375"/>
      <c r="Q47" s="436"/>
      <c r="R47" s="438"/>
      <c r="S47" s="437"/>
    </row>
    <row r="48" spans="2:20" x14ac:dyDescent="0.2">
      <c r="B48">
        <v>20</v>
      </c>
      <c r="C48" s="374">
        <v>118651</v>
      </c>
      <c r="D48" s="433">
        <v>49246</v>
      </c>
      <c r="E48" s="374"/>
      <c r="F48" s="374"/>
      <c r="G48" s="374"/>
      <c r="H48" s="433">
        <v>25118</v>
      </c>
      <c r="I48" s="34">
        <f>C48-D48-E48-H48-F48-G48</f>
        <v>44287</v>
      </c>
      <c r="J48" s="433">
        <v>104339</v>
      </c>
      <c r="K48" s="434">
        <v>51138</v>
      </c>
      <c r="L48" s="433">
        <v>5889</v>
      </c>
      <c r="M48" s="34">
        <v>15035</v>
      </c>
      <c r="N48" s="34">
        <f t="shared" si="0"/>
        <v>32277</v>
      </c>
      <c r="O48" s="433">
        <v>26313</v>
      </c>
      <c r="P48" s="374">
        <v>3437</v>
      </c>
      <c r="Q48" s="433">
        <v>7003</v>
      </c>
      <c r="R48" s="435">
        <v>12494</v>
      </c>
      <c r="S48" s="434">
        <v>78205</v>
      </c>
      <c r="T48">
        <v>20</v>
      </c>
    </row>
    <row r="49" spans="2:20" x14ac:dyDescent="0.2">
      <c r="C49" s="375"/>
      <c r="D49" s="436"/>
      <c r="E49" s="375"/>
      <c r="F49" s="375"/>
      <c r="G49" s="375"/>
      <c r="H49" s="436"/>
      <c r="I49" s="34">
        <f t="shared" si="1"/>
        <v>0</v>
      </c>
      <c r="J49" s="436"/>
      <c r="K49" s="437"/>
      <c r="L49" s="436"/>
      <c r="M49" s="34"/>
      <c r="N49" s="34">
        <f t="shared" si="0"/>
        <v>0</v>
      </c>
      <c r="O49" s="436"/>
      <c r="P49" s="375"/>
      <c r="Q49" s="436"/>
      <c r="R49" s="438"/>
      <c r="S49" s="437"/>
    </row>
    <row r="50" spans="2:20" x14ac:dyDescent="0.2">
      <c r="B50">
        <v>21</v>
      </c>
      <c r="C50" s="374">
        <v>3118</v>
      </c>
      <c r="D50" s="433">
        <v>3118</v>
      </c>
      <c r="E50" s="374"/>
      <c r="F50" s="374"/>
      <c r="G50" s="374"/>
      <c r="H50" s="433"/>
      <c r="I50" s="34">
        <f t="shared" si="1"/>
        <v>0</v>
      </c>
      <c r="J50" s="433">
        <v>27154</v>
      </c>
      <c r="K50" s="434">
        <v>14928</v>
      </c>
      <c r="L50" s="433"/>
      <c r="M50" s="34">
        <v>5426</v>
      </c>
      <c r="N50" s="34">
        <f t="shared" si="0"/>
        <v>6800</v>
      </c>
      <c r="O50" s="433"/>
      <c r="P50" s="374">
        <v>1784</v>
      </c>
      <c r="Q50" s="433"/>
      <c r="R50" s="435">
        <v>1334</v>
      </c>
      <c r="S50" s="434">
        <v>20604</v>
      </c>
      <c r="T50">
        <v>21</v>
      </c>
    </row>
    <row r="51" spans="2:20" x14ac:dyDescent="0.2">
      <c r="C51" s="375"/>
      <c r="D51" s="436"/>
      <c r="E51" s="375"/>
      <c r="F51" s="375"/>
      <c r="G51" s="375"/>
      <c r="H51" s="436"/>
      <c r="I51" s="34">
        <f t="shared" si="1"/>
        <v>0</v>
      </c>
      <c r="J51" s="436"/>
      <c r="K51" s="437"/>
      <c r="L51" s="436"/>
      <c r="M51" s="34"/>
      <c r="N51" s="34">
        <f t="shared" si="0"/>
        <v>0</v>
      </c>
      <c r="O51" s="436"/>
      <c r="P51" s="375"/>
      <c r="Q51" s="436"/>
      <c r="R51" s="438"/>
      <c r="S51" s="437"/>
    </row>
    <row r="52" spans="2:20" x14ac:dyDescent="0.2">
      <c r="B52">
        <v>22</v>
      </c>
      <c r="C52" s="374">
        <v>15722</v>
      </c>
      <c r="D52" s="433">
        <v>7112</v>
      </c>
      <c r="E52" s="374"/>
      <c r="F52" s="374"/>
      <c r="G52" s="374"/>
      <c r="H52" s="433"/>
      <c r="I52" s="34">
        <f t="shared" si="1"/>
        <v>8610</v>
      </c>
      <c r="J52" s="433">
        <v>27669</v>
      </c>
      <c r="K52" s="434">
        <v>8012</v>
      </c>
      <c r="L52" s="433"/>
      <c r="M52" s="34">
        <v>1705</v>
      </c>
      <c r="N52" s="34">
        <f t="shared" si="0"/>
        <v>17952</v>
      </c>
      <c r="O52" s="433">
        <v>2122</v>
      </c>
      <c r="P52" s="374"/>
      <c r="Q52" s="433">
        <v>1180</v>
      </c>
      <c r="R52" s="435">
        <v>3810</v>
      </c>
      <c r="S52" s="434">
        <v>12667</v>
      </c>
      <c r="T52">
        <v>22</v>
      </c>
    </row>
    <row r="53" spans="2:20" x14ac:dyDescent="0.2">
      <c r="C53" s="375"/>
      <c r="D53" s="436"/>
      <c r="E53" s="375"/>
      <c r="F53" s="375"/>
      <c r="G53" s="375"/>
      <c r="H53" s="436"/>
      <c r="I53" s="34">
        <f t="shared" si="1"/>
        <v>0</v>
      </c>
      <c r="J53" s="436"/>
      <c r="K53" s="437"/>
      <c r="L53" s="436"/>
      <c r="M53" s="34"/>
      <c r="N53" s="34">
        <f t="shared" si="0"/>
        <v>0</v>
      </c>
      <c r="O53" s="436"/>
      <c r="P53" s="375"/>
      <c r="Q53" s="436"/>
      <c r="R53" s="438"/>
      <c r="S53" s="437"/>
    </row>
    <row r="54" spans="2:20" x14ac:dyDescent="0.2">
      <c r="B54">
        <v>23</v>
      </c>
      <c r="C54" s="374">
        <v>43817</v>
      </c>
      <c r="D54" s="433">
        <v>7187</v>
      </c>
      <c r="E54" s="374"/>
      <c r="F54" s="374"/>
      <c r="G54" s="374"/>
      <c r="H54" s="433"/>
      <c r="I54" s="34">
        <f t="shared" si="1"/>
        <v>36630</v>
      </c>
      <c r="J54" s="433">
        <v>30329</v>
      </c>
      <c r="K54" s="434">
        <v>5631</v>
      </c>
      <c r="L54" s="433">
        <v>4108</v>
      </c>
      <c r="M54" s="34">
        <v>5000</v>
      </c>
      <c r="N54" s="34">
        <f t="shared" si="0"/>
        <v>15590</v>
      </c>
      <c r="O54" s="433">
        <v>3325</v>
      </c>
      <c r="P54" s="374"/>
      <c r="Q54" s="433">
        <v>2000</v>
      </c>
      <c r="R54" s="435">
        <v>1863</v>
      </c>
      <c r="S54" s="434">
        <v>15378</v>
      </c>
      <c r="T54">
        <v>23</v>
      </c>
    </row>
    <row r="55" spans="2:20" x14ac:dyDescent="0.2">
      <c r="C55" s="375"/>
      <c r="D55" s="436"/>
      <c r="E55" s="375"/>
      <c r="F55" s="375"/>
      <c r="G55" s="375"/>
      <c r="H55" s="436"/>
      <c r="I55" s="34">
        <f t="shared" si="1"/>
        <v>0</v>
      </c>
      <c r="J55" s="436"/>
      <c r="K55" s="437"/>
      <c r="L55" s="436"/>
      <c r="M55" s="34"/>
      <c r="N55" s="34">
        <f t="shared" si="0"/>
        <v>0</v>
      </c>
      <c r="O55" s="436"/>
      <c r="P55" s="375"/>
      <c r="Q55" s="436"/>
      <c r="R55" s="438"/>
      <c r="S55" s="437"/>
    </row>
    <row r="56" spans="2:20" x14ac:dyDescent="0.2">
      <c r="B56">
        <v>24</v>
      </c>
      <c r="C56" s="374">
        <v>53568</v>
      </c>
      <c r="D56" s="433">
        <v>3857</v>
      </c>
      <c r="E56" s="374"/>
      <c r="F56" s="374"/>
      <c r="G56" s="374"/>
      <c r="H56" s="433"/>
      <c r="I56" s="34">
        <f t="shared" si="1"/>
        <v>49711</v>
      </c>
      <c r="J56" s="433">
        <v>4014</v>
      </c>
      <c r="K56" s="434">
        <v>2824</v>
      </c>
      <c r="L56" s="433"/>
      <c r="M56" s="34">
        <v>1190</v>
      </c>
      <c r="N56" s="34">
        <f t="shared" si="0"/>
        <v>0</v>
      </c>
      <c r="O56" s="433">
        <v>2500</v>
      </c>
      <c r="P56" s="374"/>
      <c r="Q56" s="433"/>
      <c r="R56" s="435">
        <v>1357</v>
      </c>
      <c r="S56" s="434">
        <v>4015</v>
      </c>
      <c r="T56">
        <v>24</v>
      </c>
    </row>
    <row r="57" spans="2:20" x14ac:dyDescent="0.2">
      <c r="C57" s="375"/>
      <c r="D57" s="436"/>
      <c r="E57" s="375"/>
      <c r="F57" s="375"/>
      <c r="G57" s="375"/>
      <c r="H57" s="436"/>
      <c r="I57" s="34">
        <f t="shared" si="1"/>
        <v>0</v>
      </c>
      <c r="J57" s="436"/>
      <c r="K57" s="437"/>
      <c r="L57" s="436"/>
      <c r="M57" s="34"/>
      <c r="N57" s="34">
        <f t="shared" si="0"/>
        <v>0</v>
      </c>
      <c r="O57" s="436"/>
      <c r="P57" s="375"/>
      <c r="Q57" s="436"/>
      <c r="R57" s="438"/>
      <c r="S57" s="437"/>
    </row>
    <row r="58" spans="2:20" x14ac:dyDescent="0.2">
      <c r="B58">
        <v>25</v>
      </c>
      <c r="C58" s="374">
        <v>80052</v>
      </c>
      <c r="D58" s="433">
        <v>21016</v>
      </c>
      <c r="E58" s="374"/>
      <c r="F58" s="374">
        <v>23894</v>
      </c>
      <c r="G58" s="374"/>
      <c r="H58" s="433"/>
      <c r="I58" s="34">
        <f t="shared" si="1"/>
        <v>35142</v>
      </c>
      <c r="J58" s="433">
        <v>27714</v>
      </c>
      <c r="K58" s="434">
        <v>13372</v>
      </c>
      <c r="L58" s="433">
        <v>5850</v>
      </c>
      <c r="M58" s="34">
        <v>2141</v>
      </c>
      <c r="N58" s="34">
        <f t="shared" si="0"/>
        <v>6351</v>
      </c>
      <c r="O58" s="433">
        <v>3488</v>
      </c>
      <c r="P58" s="374">
        <v>3012</v>
      </c>
      <c r="Q58" s="433">
        <v>3080</v>
      </c>
      <c r="R58" s="435">
        <v>11437</v>
      </c>
      <c r="S58" s="434">
        <v>25530</v>
      </c>
      <c r="T58">
        <v>25</v>
      </c>
    </row>
    <row r="59" spans="2:20" x14ac:dyDescent="0.2">
      <c r="C59" s="375"/>
      <c r="D59" s="436"/>
      <c r="E59" s="375"/>
      <c r="F59" s="375"/>
      <c r="G59" s="375"/>
      <c r="H59" s="436"/>
      <c r="I59" s="34">
        <f t="shared" si="1"/>
        <v>0</v>
      </c>
      <c r="J59" s="436"/>
      <c r="K59" s="437"/>
      <c r="L59" s="436"/>
      <c r="M59" s="34"/>
      <c r="N59" s="34">
        <f t="shared" si="0"/>
        <v>0</v>
      </c>
      <c r="O59" s="436"/>
      <c r="P59" s="375"/>
      <c r="Q59" s="436"/>
      <c r="R59" s="438"/>
      <c r="S59" s="437"/>
    </row>
    <row r="60" spans="2:20" x14ac:dyDescent="0.2">
      <c r="B60">
        <v>26</v>
      </c>
      <c r="C60" s="374">
        <v>78077</v>
      </c>
      <c r="D60" s="433">
        <v>4200</v>
      </c>
      <c r="E60" s="374"/>
      <c r="F60" s="374"/>
      <c r="G60" s="374">
        <v>3665</v>
      </c>
      <c r="H60" s="433"/>
      <c r="I60" s="34">
        <f t="shared" si="1"/>
        <v>70212</v>
      </c>
      <c r="J60" s="433">
        <v>11120</v>
      </c>
      <c r="K60" s="434">
        <v>1420</v>
      </c>
      <c r="L60" s="433"/>
      <c r="M60" s="34">
        <v>1000</v>
      </c>
      <c r="N60" s="34">
        <f t="shared" si="0"/>
        <v>8700</v>
      </c>
      <c r="O60" s="433">
        <v>1570</v>
      </c>
      <c r="P60" s="374"/>
      <c r="Q60" s="433">
        <v>2000</v>
      </c>
      <c r="R60" s="435">
        <v>630</v>
      </c>
      <c r="S60" s="434">
        <v>1970</v>
      </c>
      <c r="T60">
        <v>26</v>
      </c>
    </row>
    <row r="61" spans="2:20" x14ac:dyDescent="0.2">
      <c r="C61" s="375"/>
      <c r="D61" s="436"/>
      <c r="E61" s="375"/>
      <c r="F61" s="375"/>
      <c r="G61" s="375"/>
      <c r="H61" s="436"/>
      <c r="I61" s="34">
        <f t="shared" si="1"/>
        <v>0</v>
      </c>
      <c r="J61" s="436"/>
      <c r="K61" s="437"/>
      <c r="L61" s="436"/>
      <c r="M61" s="34"/>
      <c r="N61" s="34">
        <f t="shared" si="0"/>
        <v>0</v>
      </c>
      <c r="O61" s="436"/>
      <c r="P61" s="375"/>
      <c r="Q61" s="436"/>
      <c r="R61" s="438"/>
      <c r="S61" s="437"/>
    </row>
    <row r="62" spans="2:20" x14ac:dyDescent="0.2">
      <c r="B62">
        <v>27</v>
      </c>
      <c r="C62" s="374">
        <v>67271</v>
      </c>
      <c r="D62" s="433">
        <v>7943</v>
      </c>
      <c r="E62" s="374"/>
      <c r="F62" s="374">
        <v>28604</v>
      </c>
      <c r="G62" s="374"/>
      <c r="H62" s="433"/>
      <c r="I62" s="34">
        <f t="shared" si="1"/>
        <v>30724</v>
      </c>
      <c r="J62" s="433">
        <v>19667</v>
      </c>
      <c r="K62" s="434">
        <v>19667</v>
      </c>
      <c r="L62" s="433"/>
      <c r="M62" s="34"/>
      <c r="N62" s="34">
        <f t="shared" si="0"/>
        <v>0</v>
      </c>
      <c r="O62" s="433">
        <v>3680</v>
      </c>
      <c r="P62" s="374">
        <v>540</v>
      </c>
      <c r="Q62" s="433">
        <v>2693</v>
      </c>
      <c r="R62" s="435">
        <v>1030</v>
      </c>
      <c r="S62" s="434">
        <v>20317</v>
      </c>
      <c r="T62">
        <v>27</v>
      </c>
    </row>
    <row r="63" spans="2:20" x14ac:dyDescent="0.2">
      <c r="C63" s="375"/>
      <c r="D63" s="436"/>
      <c r="E63" s="375"/>
      <c r="F63" s="375"/>
      <c r="G63" s="375"/>
      <c r="H63" s="436"/>
      <c r="I63" s="34">
        <f t="shared" si="1"/>
        <v>0</v>
      </c>
      <c r="J63" s="436"/>
      <c r="K63" s="437"/>
      <c r="L63" s="436"/>
      <c r="M63" s="34"/>
      <c r="N63" s="34">
        <f t="shared" si="0"/>
        <v>0</v>
      </c>
      <c r="O63" s="436"/>
      <c r="P63" s="375"/>
      <c r="Q63" s="436"/>
      <c r="R63" s="438"/>
      <c r="S63" s="437"/>
    </row>
    <row r="64" spans="2:20" x14ac:dyDescent="0.2">
      <c r="B64">
        <v>28</v>
      </c>
      <c r="C64" s="374">
        <v>8519</v>
      </c>
      <c r="D64" s="433">
        <v>2255</v>
      </c>
      <c r="E64" s="374"/>
      <c r="F64" s="374"/>
      <c r="G64" s="374"/>
      <c r="H64" s="433"/>
      <c r="I64" s="34">
        <f t="shared" si="1"/>
        <v>6264</v>
      </c>
      <c r="J64" s="433">
        <v>3944</v>
      </c>
      <c r="K64" s="434">
        <v>3944</v>
      </c>
      <c r="L64" s="433"/>
      <c r="M64" s="34"/>
      <c r="N64" s="34">
        <f t="shared" si="0"/>
        <v>0</v>
      </c>
      <c r="O64" s="433">
        <v>1624</v>
      </c>
      <c r="P64" s="374"/>
      <c r="Q64" s="433"/>
      <c r="R64" s="435">
        <v>631</v>
      </c>
      <c r="S64" s="434">
        <v>5823</v>
      </c>
      <c r="T64">
        <v>28</v>
      </c>
    </row>
    <row r="65" spans="1:25" x14ac:dyDescent="0.2">
      <c r="C65" s="375"/>
      <c r="D65" s="436"/>
      <c r="E65" s="375"/>
      <c r="F65" s="375"/>
      <c r="G65" s="375"/>
      <c r="H65" s="436"/>
      <c r="I65" s="34">
        <f t="shared" si="1"/>
        <v>0</v>
      </c>
      <c r="J65" s="436"/>
      <c r="K65" s="437"/>
      <c r="L65" s="436"/>
      <c r="M65" s="34"/>
      <c r="N65" s="34">
        <f t="shared" si="0"/>
        <v>0</v>
      </c>
      <c r="O65" s="436"/>
      <c r="P65" s="375"/>
      <c r="Q65" s="436"/>
      <c r="R65" s="438"/>
      <c r="S65" s="437"/>
    </row>
    <row r="66" spans="1:25" x14ac:dyDescent="0.2">
      <c r="B66">
        <v>29</v>
      </c>
      <c r="C66" s="374">
        <v>62436</v>
      </c>
      <c r="D66" s="433">
        <v>8854</v>
      </c>
      <c r="E66" s="374"/>
      <c r="F66" s="374"/>
      <c r="G66" s="374"/>
      <c r="H66" s="433"/>
      <c r="I66" s="34">
        <f t="shared" si="1"/>
        <v>53582</v>
      </c>
      <c r="J66" s="433">
        <v>6997</v>
      </c>
      <c r="K66" s="434">
        <v>4661</v>
      </c>
      <c r="L66" s="433"/>
      <c r="M66" s="34">
        <v>2336</v>
      </c>
      <c r="N66" s="34">
        <f t="shared" si="0"/>
        <v>0</v>
      </c>
      <c r="O66" s="464">
        <v>4100</v>
      </c>
      <c r="P66" s="374"/>
      <c r="Q66" s="433">
        <v>3006</v>
      </c>
      <c r="R66" s="435">
        <v>1748</v>
      </c>
      <c r="S66" s="434">
        <v>7708</v>
      </c>
      <c r="T66">
        <v>29</v>
      </c>
    </row>
    <row r="67" spans="1:25" x14ac:dyDescent="0.2">
      <c r="C67" s="375"/>
      <c r="D67" s="436"/>
      <c r="E67" s="375"/>
      <c r="F67" s="375"/>
      <c r="G67" s="375"/>
      <c r="H67" s="436"/>
      <c r="I67" s="34">
        <f t="shared" si="1"/>
        <v>0</v>
      </c>
      <c r="J67" s="436"/>
      <c r="K67" s="437"/>
      <c r="L67" s="436"/>
      <c r="M67" s="34"/>
      <c r="N67" s="34">
        <f t="shared" si="0"/>
        <v>0</v>
      </c>
      <c r="O67" s="436"/>
      <c r="P67" s="375"/>
      <c r="Q67" s="436"/>
      <c r="R67" s="438"/>
      <c r="S67" s="437"/>
      <c r="V67" s="483" t="s">
        <v>672</v>
      </c>
      <c r="W67" s="42">
        <f>E73+F73+H73+I73+N73+G73</f>
        <v>1718696</v>
      </c>
    </row>
    <row r="68" spans="1:25" x14ac:dyDescent="0.2">
      <c r="B68">
        <v>30</v>
      </c>
      <c r="C68" s="374">
        <v>150882</v>
      </c>
      <c r="D68" s="433">
        <v>51722</v>
      </c>
      <c r="E68" s="374"/>
      <c r="F68" s="374"/>
      <c r="G68" s="374"/>
      <c r="H68" s="433"/>
      <c r="I68" s="34">
        <f t="shared" si="1"/>
        <v>99160</v>
      </c>
      <c r="J68" s="433">
        <v>121431</v>
      </c>
      <c r="K68" s="434">
        <v>63282</v>
      </c>
      <c r="L68" s="433">
        <v>8439</v>
      </c>
      <c r="M68" s="34">
        <v>49710</v>
      </c>
      <c r="N68" s="34">
        <f t="shared" si="0"/>
        <v>0</v>
      </c>
      <c r="O68" s="433">
        <v>8843</v>
      </c>
      <c r="P68" s="374">
        <v>4537</v>
      </c>
      <c r="Q68" s="433">
        <v>28282</v>
      </c>
      <c r="R68" s="435">
        <v>10061</v>
      </c>
      <c r="S68" s="434">
        <v>144935</v>
      </c>
      <c r="T68">
        <v>30</v>
      </c>
      <c r="U68" s="54" t="s">
        <v>816</v>
      </c>
      <c r="V68" s="183" t="s">
        <v>674</v>
      </c>
      <c r="W68" s="449"/>
      <c r="X68" s="42">
        <f>W69-W67</f>
        <v>-417184</v>
      </c>
    </row>
    <row r="69" spans="1:25" x14ac:dyDescent="0.2">
      <c r="C69" s="375"/>
      <c r="D69" s="436"/>
      <c r="E69" s="375"/>
      <c r="F69" s="375"/>
      <c r="G69" s="375"/>
      <c r="H69" s="436"/>
      <c r="I69" s="34">
        <f t="shared" si="1"/>
        <v>0</v>
      </c>
      <c r="J69" s="436"/>
      <c r="K69" s="437"/>
      <c r="L69" s="436"/>
      <c r="M69" s="34"/>
      <c r="N69" s="34">
        <f t="shared" si="0"/>
        <v>0</v>
      </c>
      <c r="O69" s="436"/>
      <c r="P69" s="375"/>
      <c r="Q69" s="436"/>
      <c r="R69" s="438"/>
      <c r="S69" s="437"/>
      <c r="V69" s="183" t="s">
        <v>673</v>
      </c>
      <c r="W69" s="42">
        <f>S73+O73+P73+Q73+R73</f>
        <v>1301512</v>
      </c>
    </row>
    <row r="70" spans="1:25" x14ac:dyDescent="0.2">
      <c r="B70">
        <v>31</v>
      </c>
      <c r="C70" s="374">
        <v>150053</v>
      </c>
      <c r="D70" s="433">
        <v>124739</v>
      </c>
      <c r="E70" s="374"/>
      <c r="F70" s="374"/>
      <c r="G70" s="374"/>
      <c r="H70" s="433">
        <v>4770</v>
      </c>
      <c r="I70" s="34">
        <f t="shared" si="1"/>
        <v>20544</v>
      </c>
      <c r="J70" s="433">
        <v>198644</v>
      </c>
      <c r="K70" s="434">
        <v>27115</v>
      </c>
      <c r="L70" s="433">
        <v>46596</v>
      </c>
      <c r="M70" s="34">
        <v>36159</v>
      </c>
      <c r="N70" s="34">
        <f t="shared" si="0"/>
        <v>88774</v>
      </c>
      <c r="O70" s="433">
        <v>91719</v>
      </c>
      <c r="P70" s="374">
        <v>19212</v>
      </c>
      <c r="Q70" s="433">
        <v>4919</v>
      </c>
      <c r="R70" s="435">
        <v>8891</v>
      </c>
      <c r="S70" s="34">
        <v>129064</v>
      </c>
      <c r="T70">
        <v>31</v>
      </c>
    </row>
    <row r="71" spans="1:25" ht="13.5" thickBot="1" x14ac:dyDescent="0.25">
      <c r="C71" s="22"/>
      <c r="D71" s="29"/>
      <c r="E71" s="22"/>
      <c r="F71" s="22"/>
      <c r="G71" s="22"/>
      <c r="H71" s="29"/>
      <c r="I71" s="34">
        <f t="shared" si="1"/>
        <v>0</v>
      </c>
      <c r="J71" s="29"/>
      <c r="K71" s="34"/>
      <c r="L71" s="29"/>
      <c r="M71" s="35"/>
      <c r="N71" s="34">
        <f t="shared" si="0"/>
        <v>0</v>
      </c>
      <c r="O71" s="29"/>
      <c r="P71" s="22"/>
      <c r="Q71" s="29"/>
      <c r="R71" s="28"/>
      <c r="S71" s="34"/>
      <c r="V71" s="183" t="s">
        <v>672</v>
      </c>
      <c r="W71" s="42">
        <f>E78+F78+G78+H78+I78+N78</f>
        <v>1133565</v>
      </c>
    </row>
    <row r="72" spans="1:25" x14ac:dyDescent="0.2">
      <c r="C72" s="40"/>
      <c r="D72" s="33"/>
      <c r="E72" s="33"/>
      <c r="F72" s="439"/>
      <c r="G72" s="33"/>
      <c r="H72" s="33"/>
      <c r="I72" s="439"/>
      <c r="J72" s="33"/>
      <c r="K72" s="439"/>
      <c r="L72" s="33"/>
      <c r="M72" s="439"/>
      <c r="N72" s="439"/>
      <c r="O72" s="33"/>
      <c r="P72" s="439"/>
      <c r="Q72" s="33"/>
      <c r="R72" s="439"/>
      <c r="S72" s="33"/>
      <c r="U72" s="54" t="s">
        <v>823</v>
      </c>
      <c r="V72" s="183" t="s">
        <v>674</v>
      </c>
      <c r="W72" s="449"/>
      <c r="X72" s="42">
        <f>W73-W71</f>
        <v>-40256</v>
      </c>
      <c r="Y72" s="42"/>
    </row>
    <row r="73" spans="1:25" x14ac:dyDescent="0.2">
      <c r="A73" s="54" t="s">
        <v>671</v>
      </c>
      <c r="B73" s="1"/>
      <c r="C73" s="34">
        <f>SUM(C9:C71)</f>
        <v>1573533</v>
      </c>
      <c r="D73" s="441">
        <f>SUM(D9:D71)</f>
        <v>528773</v>
      </c>
      <c r="E73" s="34">
        <v>163117</v>
      </c>
      <c r="F73" s="442">
        <f>SUM(F9:F71)</f>
        <v>216991</v>
      </c>
      <c r="G73" s="441">
        <f>SUM(G9:G71)</f>
        <v>17145</v>
      </c>
      <c r="H73" s="441">
        <f>SUM(H9:H71)</f>
        <v>50346</v>
      </c>
      <c r="I73" s="446">
        <f>SUM(I9:I71)</f>
        <v>760278</v>
      </c>
      <c r="J73" s="34">
        <f>SUM(J9:J71)</f>
        <v>1191971</v>
      </c>
      <c r="K73" s="441">
        <f t="shared" ref="K73:P73" si="2">SUM(K9:K71)</f>
        <v>400254</v>
      </c>
      <c r="L73" s="441">
        <f>SUM(L9:L71)</f>
        <v>121632</v>
      </c>
      <c r="M73" s="441">
        <f t="shared" si="2"/>
        <v>159266</v>
      </c>
      <c r="N73" s="446">
        <f>SUM(N9:N71)</f>
        <v>510819</v>
      </c>
      <c r="O73" s="441">
        <f>SUM(O9:O71)</f>
        <v>282661</v>
      </c>
      <c r="P73" s="441">
        <f t="shared" si="2"/>
        <v>58059</v>
      </c>
      <c r="Q73" s="441">
        <f>SUM(Q9:Q71)</f>
        <v>97292</v>
      </c>
      <c r="R73" s="441">
        <f>SUM(R9:R71)</f>
        <v>90771</v>
      </c>
      <c r="S73" s="446">
        <f>SUM(S9:S71)</f>
        <v>772729</v>
      </c>
      <c r="V73" s="183" t="s">
        <v>673</v>
      </c>
      <c r="W73" s="42">
        <f>S78+O78+P78+Q78+R78</f>
        <v>1093309</v>
      </c>
      <c r="X73" s="42">
        <v>-58220</v>
      </c>
    </row>
    <row r="74" spans="1:25" ht="13.5" thickBot="1" x14ac:dyDescent="0.25">
      <c r="C74" s="440"/>
      <c r="D74" s="35"/>
      <c r="E74" s="35"/>
      <c r="F74" s="37"/>
      <c r="G74" s="35"/>
      <c r="H74" s="35"/>
      <c r="I74" s="37"/>
      <c r="J74" s="35"/>
      <c r="K74" s="37"/>
      <c r="L74" s="35"/>
      <c r="M74" s="37"/>
      <c r="N74" s="37"/>
      <c r="O74" s="35"/>
      <c r="P74" s="37"/>
      <c r="Q74" s="35"/>
      <c r="R74" s="37"/>
      <c r="S74" s="35"/>
    </row>
    <row r="75" spans="1:25" x14ac:dyDescent="0.2"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>
        <f>L75+K75</f>
        <v>0</v>
      </c>
      <c r="O75" s="29"/>
      <c r="P75" s="29"/>
      <c r="Q75" s="29"/>
      <c r="R75" s="29"/>
      <c r="S75" s="29"/>
    </row>
    <row r="76" spans="1:25" ht="13.5" thickBot="1" x14ac:dyDescent="0.25">
      <c r="A76" s="94">
        <v>42112</v>
      </c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V76" s="183" t="s">
        <v>672</v>
      </c>
      <c r="W76" s="42">
        <f>E82+F82+G82+H82+I82+N82</f>
        <v>1151119</v>
      </c>
    </row>
    <row r="77" spans="1:25" x14ac:dyDescent="0.2">
      <c r="A77" s="255"/>
      <c r="C77" s="33"/>
      <c r="D77" s="444"/>
      <c r="E77" s="374"/>
      <c r="F77" s="465"/>
      <c r="G77" s="374"/>
      <c r="H77" s="374"/>
      <c r="I77" s="435"/>
      <c r="J77" s="40"/>
      <c r="K77" s="374"/>
      <c r="L77" s="374"/>
      <c r="M77" s="374"/>
      <c r="N77" s="374"/>
      <c r="O77" s="374"/>
      <c r="P77" s="374"/>
      <c r="Q77" s="374"/>
      <c r="R77" s="374"/>
      <c r="S77" s="374"/>
      <c r="U77" s="54" t="s">
        <v>824</v>
      </c>
      <c r="V77" s="183" t="s">
        <v>674</v>
      </c>
      <c r="W77" s="449"/>
      <c r="X77" s="42">
        <f>W78-W76</f>
        <v>-207277</v>
      </c>
      <c r="Y77" s="50"/>
    </row>
    <row r="78" spans="1:25" x14ac:dyDescent="0.2">
      <c r="A78" s="843" t="s">
        <v>486</v>
      </c>
      <c r="C78" s="847">
        <v>1339398</v>
      </c>
      <c r="D78" s="846">
        <v>494360</v>
      </c>
      <c r="E78" s="844"/>
      <c r="F78" s="845">
        <v>200819</v>
      </c>
      <c r="G78" s="844">
        <v>12872</v>
      </c>
      <c r="H78" s="844">
        <v>38210</v>
      </c>
      <c r="I78" s="447">
        <f>C78-D78-E78-H78-F78-G78</f>
        <v>593137</v>
      </c>
      <c r="J78" s="849">
        <v>829994</v>
      </c>
      <c r="K78" s="844">
        <v>265145</v>
      </c>
      <c r="L78" s="844">
        <v>111418</v>
      </c>
      <c r="M78" s="848">
        <v>164904</v>
      </c>
      <c r="N78" s="446">
        <f>J78-K78-L78-M78</f>
        <v>288527</v>
      </c>
      <c r="O78" s="844">
        <v>233349</v>
      </c>
      <c r="P78" s="844">
        <v>104855</v>
      </c>
      <c r="Q78" s="844">
        <v>53492</v>
      </c>
      <c r="R78" s="844">
        <v>102666</v>
      </c>
      <c r="S78" s="448">
        <v>598947</v>
      </c>
      <c r="V78" s="183" t="s">
        <v>673</v>
      </c>
      <c r="W78" s="42">
        <f>S82+O82+P82+Q82+R82</f>
        <v>943842</v>
      </c>
      <c r="X78" s="42"/>
      <c r="Y78" s="50"/>
    </row>
    <row r="79" spans="1:25" ht="13.5" thickBot="1" x14ac:dyDescent="0.25">
      <c r="A79" s="261"/>
      <c r="C79" s="16"/>
      <c r="D79" s="84"/>
      <c r="E79" s="915"/>
      <c r="F79" s="466"/>
      <c r="G79" s="915"/>
      <c r="H79" s="915"/>
      <c r="I79" s="89"/>
      <c r="J79" s="11"/>
      <c r="K79" s="915"/>
      <c r="L79" s="915"/>
      <c r="M79" s="915"/>
      <c r="N79" s="915"/>
      <c r="O79" s="915"/>
      <c r="P79" s="915"/>
      <c r="Q79" s="915"/>
      <c r="R79" s="915"/>
      <c r="S79" s="915"/>
      <c r="Y79" s="56"/>
    </row>
    <row r="80" spans="1:25" ht="13.5" thickBot="1" x14ac:dyDescent="0.25">
      <c r="A80" s="204"/>
      <c r="C80" s="15"/>
      <c r="D80" s="81"/>
      <c r="E80" s="66"/>
      <c r="F80" s="450"/>
      <c r="G80" s="66"/>
      <c r="H80" s="66"/>
      <c r="I80" s="88"/>
      <c r="J80" s="5"/>
      <c r="K80" s="66"/>
      <c r="L80" s="66"/>
      <c r="M80" s="66"/>
      <c r="N80" s="66"/>
      <c r="O80" s="66"/>
      <c r="P80" s="66"/>
      <c r="Q80" s="66"/>
      <c r="R80" s="66"/>
      <c r="S80" s="66"/>
      <c r="Y80" s="56"/>
    </row>
    <row r="81" spans="1:25" x14ac:dyDescent="0.2">
      <c r="A81" s="443"/>
      <c r="C81" s="33"/>
      <c r="D81" s="444"/>
      <c r="E81" s="374"/>
      <c r="F81" s="465"/>
      <c r="G81" s="374"/>
      <c r="H81" s="374"/>
      <c r="I81" s="435"/>
      <c r="J81" s="40"/>
      <c r="K81" s="374"/>
      <c r="L81" s="374"/>
      <c r="M81" s="374"/>
      <c r="N81" s="374"/>
      <c r="O81" s="374"/>
      <c r="P81" s="374"/>
      <c r="Q81" s="374"/>
      <c r="R81" s="374"/>
      <c r="S81" s="374"/>
    </row>
    <row r="82" spans="1:25" x14ac:dyDescent="0.2">
      <c r="A82" s="843" t="s">
        <v>652</v>
      </c>
      <c r="C82" s="847">
        <v>1312741</v>
      </c>
      <c r="D82" s="846">
        <v>454371</v>
      </c>
      <c r="E82" s="844"/>
      <c r="F82" s="845">
        <v>356782</v>
      </c>
      <c r="G82" s="844">
        <v>4112</v>
      </c>
      <c r="H82" s="844">
        <v>38210</v>
      </c>
      <c r="I82" s="447">
        <f>C82-D82-E82-H82-F82-G82</f>
        <v>459266</v>
      </c>
      <c r="J82" s="849">
        <v>717334</v>
      </c>
      <c r="K82" s="844">
        <v>198017</v>
      </c>
      <c r="L82" s="844">
        <v>140669</v>
      </c>
      <c r="M82" s="848">
        <v>85899</v>
      </c>
      <c r="N82" s="446">
        <f>J82-K82-L82-M82</f>
        <v>292749</v>
      </c>
      <c r="O82" s="844">
        <v>275451</v>
      </c>
      <c r="P82" s="844">
        <v>53928</v>
      </c>
      <c r="Q82" s="844">
        <v>47647</v>
      </c>
      <c r="R82" s="844">
        <v>77345</v>
      </c>
      <c r="S82" s="448">
        <v>489471</v>
      </c>
    </row>
    <row r="83" spans="1:25" ht="13.5" thickBot="1" x14ac:dyDescent="0.25">
      <c r="A83" s="915"/>
      <c r="C83" s="16"/>
      <c r="D83" s="84"/>
      <c r="E83" s="915"/>
      <c r="F83" s="466"/>
      <c r="G83" s="915"/>
      <c r="H83" s="915"/>
      <c r="I83" s="89"/>
      <c r="J83" s="11"/>
      <c r="K83" s="915"/>
      <c r="L83" s="915"/>
      <c r="M83" s="915"/>
      <c r="N83" s="915"/>
      <c r="O83" s="915"/>
      <c r="P83" s="915"/>
      <c r="Q83" s="915"/>
      <c r="R83" s="915"/>
      <c r="S83" s="915"/>
    </row>
    <row r="84" spans="1:25" x14ac:dyDescent="0.2">
      <c r="U84" s="183" t="s">
        <v>675</v>
      </c>
    </row>
    <row r="85" spans="1:25" x14ac:dyDescent="0.2">
      <c r="U85" s="183" t="s">
        <v>22</v>
      </c>
      <c r="V85" s="183" t="s">
        <v>676</v>
      </c>
      <c r="W85" s="183" t="s">
        <v>677</v>
      </c>
      <c r="X85" s="17"/>
      <c r="Y85" s="50"/>
    </row>
    <row r="86" spans="1:25" x14ac:dyDescent="0.2">
      <c r="W86" s="183" t="s">
        <v>678</v>
      </c>
      <c r="X86" s="17"/>
      <c r="Y86" s="50"/>
    </row>
    <row r="87" spans="1:25" x14ac:dyDescent="0.2">
      <c r="Y87" s="56"/>
    </row>
    <row r="88" spans="1:25" x14ac:dyDescent="0.2">
      <c r="U88" s="183" t="s">
        <v>23</v>
      </c>
      <c r="V88" s="183" t="s">
        <v>676</v>
      </c>
      <c r="W88" s="183" t="s">
        <v>679</v>
      </c>
      <c r="X88" s="17"/>
      <c r="Y88" s="50"/>
    </row>
  </sheetData>
  <pageMargins left="0.70866141732283472" right="0.70866141732283472" top="0.74803149606299213" bottom="0.74803149606299213" header="0.31496062992125984" footer="0.31496062992125984"/>
  <pageSetup paperSize="9" scale="47" fitToWidth="2" orientation="landscape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>
    <pageSetUpPr fitToPage="1"/>
  </sheetPr>
  <dimension ref="A1:Y88"/>
  <sheetViews>
    <sheetView workbookViewId="0">
      <selection activeCell="C10" sqref="C10"/>
    </sheetView>
  </sheetViews>
  <sheetFormatPr defaultColWidth="11.42578125" defaultRowHeight="12.75" x14ac:dyDescent="0.2"/>
  <cols>
    <col min="2" max="2" width="3.28515625" customWidth="1"/>
    <col min="3" max="3" width="11.85546875" bestFit="1" customWidth="1"/>
    <col min="4" max="5" width="11.5703125" bestFit="1" customWidth="1"/>
    <col min="6" max="7" width="11.5703125" customWidth="1"/>
    <col min="8" max="8" width="11.5703125" bestFit="1" customWidth="1"/>
    <col min="9" max="10" width="11.85546875" bestFit="1" customWidth="1"/>
    <col min="11" max="12" width="11.5703125" bestFit="1" customWidth="1"/>
    <col min="13" max="13" width="11.5703125" customWidth="1"/>
    <col min="14" max="19" width="11.5703125" bestFit="1" customWidth="1"/>
    <col min="20" max="20" width="4.85546875" customWidth="1"/>
    <col min="22" max="22" width="15.85546875" customWidth="1"/>
    <col min="23" max="24" width="11.85546875" bestFit="1" customWidth="1"/>
    <col min="25" max="25" width="12.85546875" bestFit="1" customWidth="1"/>
  </cols>
  <sheetData>
    <row r="1" spans="2:20" ht="18" x14ac:dyDescent="0.25">
      <c r="J1" s="208" t="s">
        <v>1015</v>
      </c>
      <c r="Q1" s="94">
        <v>42143</v>
      </c>
    </row>
    <row r="3" spans="2:20" ht="13.5" thickBot="1" x14ac:dyDescent="0.25"/>
    <row r="4" spans="2:20" ht="15.75" x14ac:dyDescent="0.25">
      <c r="C4" s="102"/>
      <c r="D4" s="87"/>
      <c r="E4" s="430" t="s">
        <v>33</v>
      </c>
      <c r="F4" s="430"/>
      <c r="G4" s="430"/>
      <c r="H4" s="430"/>
      <c r="I4" s="431"/>
      <c r="J4" s="432"/>
      <c r="K4" s="430" t="s">
        <v>664</v>
      </c>
      <c r="L4" s="430"/>
      <c r="M4" s="430"/>
      <c r="N4" s="430"/>
      <c r="O4" s="432"/>
      <c r="P4" s="430" t="s">
        <v>668</v>
      </c>
      <c r="Q4" s="430"/>
      <c r="R4" s="87"/>
      <c r="S4" s="13"/>
    </row>
    <row r="5" spans="2:20" ht="13.5" thickBot="1" x14ac:dyDescent="0.25">
      <c r="C5" s="89"/>
      <c r="D5" s="90"/>
      <c r="E5" s="90"/>
      <c r="F5" s="90"/>
      <c r="G5" s="90"/>
      <c r="H5" s="90"/>
      <c r="I5" s="81"/>
      <c r="J5" s="89"/>
      <c r="K5" s="6"/>
      <c r="L5" s="90"/>
      <c r="M5" s="6"/>
      <c r="N5" s="6"/>
      <c r="O5" s="88"/>
      <c r="P5" s="6"/>
      <c r="Q5" s="6"/>
      <c r="R5" s="6"/>
      <c r="S5" s="205" t="s">
        <v>32</v>
      </c>
    </row>
    <row r="6" spans="2:20" x14ac:dyDescent="0.2">
      <c r="C6" s="255"/>
      <c r="D6" s="6"/>
      <c r="E6" s="255"/>
      <c r="F6" s="255"/>
      <c r="G6" s="255"/>
      <c r="H6" s="6"/>
      <c r="I6" s="13"/>
      <c r="J6" s="6"/>
      <c r="K6" s="428"/>
      <c r="L6" s="6"/>
      <c r="M6" s="26" t="s">
        <v>702</v>
      </c>
      <c r="N6" s="2"/>
      <c r="O6" s="255"/>
      <c r="P6" s="87"/>
      <c r="Q6" s="255"/>
      <c r="R6" s="87"/>
      <c r="S6" s="205" t="s">
        <v>669</v>
      </c>
    </row>
    <row r="7" spans="2:20" x14ac:dyDescent="0.2">
      <c r="C7" s="73" t="s">
        <v>132</v>
      </c>
      <c r="D7" s="980" t="s">
        <v>287</v>
      </c>
      <c r="E7" s="73" t="s">
        <v>660</v>
      </c>
      <c r="F7" s="148" t="s">
        <v>485</v>
      </c>
      <c r="G7" s="148" t="s">
        <v>670</v>
      </c>
      <c r="H7" s="980" t="s">
        <v>661</v>
      </c>
      <c r="I7" s="205" t="s">
        <v>662</v>
      </c>
      <c r="J7" s="980" t="s">
        <v>132</v>
      </c>
      <c r="K7" s="205" t="s">
        <v>663</v>
      </c>
      <c r="L7" s="93" t="s">
        <v>701</v>
      </c>
      <c r="M7" s="205" t="s">
        <v>495</v>
      </c>
      <c r="N7" s="396" t="s">
        <v>662</v>
      </c>
      <c r="O7" s="131" t="s">
        <v>665</v>
      </c>
      <c r="P7" s="135" t="s">
        <v>666</v>
      </c>
      <c r="Q7" s="131" t="s">
        <v>667</v>
      </c>
      <c r="R7" s="135" t="s">
        <v>397</v>
      </c>
      <c r="S7" s="15"/>
    </row>
    <row r="8" spans="2:20" x14ac:dyDescent="0.2">
      <c r="C8" s="841"/>
      <c r="D8" s="424"/>
      <c r="E8" s="841"/>
      <c r="F8" s="841"/>
      <c r="G8" s="841"/>
      <c r="H8" s="424"/>
      <c r="I8" s="425"/>
      <c r="J8" s="424"/>
      <c r="K8" s="429"/>
      <c r="L8" s="424"/>
      <c r="M8" s="425"/>
      <c r="N8" s="426"/>
      <c r="O8" s="981"/>
      <c r="P8" s="90"/>
      <c r="Q8" s="981"/>
      <c r="R8" s="90"/>
      <c r="S8" s="427"/>
    </row>
    <row r="9" spans="2:20" x14ac:dyDescent="0.2">
      <c r="C9" s="374"/>
      <c r="D9" s="433"/>
      <c r="E9" s="374"/>
      <c r="F9" s="374"/>
      <c r="G9" s="374"/>
      <c r="H9" s="433"/>
      <c r="I9" s="434"/>
      <c r="J9" s="433"/>
      <c r="K9" s="434"/>
      <c r="L9" s="433"/>
      <c r="M9" s="434"/>
      <c r="N9" s="434"/>
      <c r="O9" s="433"/>
      <c r="P9" s="374"/>
      <c r="Q9" s="433"/>
      <c r="R9" s="435"/>
      <c r="S9" s="434"/>
    </row>
    <row r="10" spans="2:20" ht="14.25" customHeight="1" x14ac:dyDescent="0.2">
      <c r="B10">
        <v>1</v>
      </c>
      <c r="C10" s="22">
        <v>68728</v>
      </c>
      <c r="D10" s="29">
        <v>6594</v>
      </c>
      <c r="E10" s="22"/>
      <c r="F10" s="22">
        <v>53813</v>
      </c>
      <c r="G10" s="22"/>
      <c r="H10" s="29">
        <v>8321</v>
      </c>
      <c r="I10" s="34">
        <f>C10-D10-E10-H10-F10-G10</f>
        <v>0</v>
      </c>
      <c r="J10" s="29">
        <v>9181</v>
      </c>
      <c r="K10" s="34">
        <v>3350</v>
      </c>
      <c r="L10" s="29"/>
      <c r="M10" s="34"/>
      <c r="N10" s="34">
        <f>J10-K10-L10-M10</f>
        <v>5831</v>
      </c>
      <c r="O10" s="463">
        <v>2000</v>
      </c>
      <c r="P10" s="22">
        <v>4594</v>
      </c>
      <c r="Q10" s="29"/>
      <c r="R10" s="28"/>
      <c r="S10" s="34">
        <v>11008</v>
      </c>
      <c r="T10">
        <v>1</v>
      </c>
    </row>
    <row r="11" spans="2:20" x14ac:dyDescent="0.2">
      <c r="C11" s="375"/>
      <c r="D11" s="436"/>
      <c r="E11" s="375"/>
      <c r="F11" s="894"/>
      <c r="G11" s="375"/>
      <c r="H11" s="436"/>
      <c r="I11" s="437"/>
      <c r="J11" s="436"/>
      <c r="K11" s="437"/>
      <c r="L11" s="436"/>
      <c r="M11" s="437"/>
      <c r="N11" s="34">
        <f t="shared" ref="N11:N71" si="0">J11-K11-L11-M11</f>
        <v>0</v>
      </c>
      <c r="O11" s="436"/>
      <c r="P11" s="375"/>
      <c r="Q11" s="436"/>
      <c r="R11" s="438"/>
      <c r="S11" s="437"/>
    </row>
    <row r="12" spans="2:20" x14ac:dyDescent="0.2">
      <c r="B12">
        <v>2</v>
      </c>
      <c r="C12" s="374">
        <v>4798</v>
      </c>
      <c r="D12" s="433">
        <v>4798</v>
      </c>
      <c r="E12" s="374"/>
      <c r="F12" s="374"/>
      <c r="G12" s="374"/>
      <c r="H12" s="433"/>
      <c r="I12" s="34">
        <f>C12-D12-E12-H12-F12-G12</f>
        <v>0</v>
      </c>
      <c r="J12" s="433">
        <v>588</v>
      </c>
      <c r="K12" s="434"/>
      <c r="L12" s="433"/>
      <c r="M12" s="34"/>
      <c r="N12" s="34">
        <f t="shared" si="0"/>
        <v>588</v>
      </c>
      <c r="O12" s="433">
        <v>2259</v>
      </c>
      <c r="P12" s="374">
        <v>540</v>
      </c>
      <c r="Q12" s="433">
        <v>2000</v>
      </c>
      <c r="R12" s="435"/>
      <c r="S12" s="434"/>
      <c r="T12">
        <v>2</v>
      </c>
    </row>
    <row r="13" spans="2:20" x14ac:dyDescent="0.2">
      <c r="C13" s="375"/>
      <c r="D13" s="436"/>
      <c r="E13" s="375"/>
      <c r="F13" s="375"/>
      <c r="G13" s="375"/>
      <c r="H13" s="436"/>
      <c r="I13" s="34"/>
      <c r="J13" s="436"/>
      <c r="K13" s="437"/>
      <c r="L13" s="436"/>
      <c r="M13" s="34"/>
      <c r="N13" s="34">
        <f t="shared" si="0"/>
        <v>0</v>
      </c>
      <c r="O13" s="436"/>
      <c r="P13" s="375"/>
      <c r="Q13" s="436"/>
      <c r="R13" s="438"/>
      <c r="S13" s="437"/>
    </row>
    <row r="14" spans="2:20" x14ac:dyDescent="0.2">
      <c r="B14">
        <v>3</v>
      </c>
      <c r="C14" s="374">
        <v>36439</v>
      </c>
      <c r="D14" s="433">
        <v>6938</v>
      </c>
      <c r="E14" s="374"/>
      <c r="F14" s="374"/>
      <c r="G14" s="374"/>
      <c r="H14" s="433"/>
      <c r="I14" s="34">
        <f t="shared" ref="I14:I71" si="1">C14-D14-E14-H14-F14-G14</f>
        <v>29501</v>
      </c>
      <c r="J14" s="433"/>
      <c r="K14" s="434"/>
      <c r="L14" s="433"/>
      <c r="M14" s="34"/>
      <c r="N14" s="34">
        <f>J14-K14-L14-M14</f>
        <v>0</v>
      </c>
      <c r="O14" s="433">
        <v>650</v>
      </c>
      <c r="P14" s="374">
        <v>2845</v>
      </c>
      <c r="Q14" s="433">
        <v>1445</v>
      </c>
      <c r="R14" s="435">
        <v>1998</v>
      </c>
      <c r="S14" s="434">
        <v>3564</v>
      </c>
      <c r="T14">
        <v>3</v>
      </c>
    </row>
    <row r="15" spans="2:20" x14ac:dyDescent="0.2">
      <c r="C15" s="375"/>
      <c r="D15" s="436"/>
      <c r="E15" s="375"/>
      <c r="F15" s="375"/>
      <c r="G15" s="375"/>
      <c r="H15" s="436"/>
      <c r="I15" s="34">
        <f t="shared" si="1"/>
        <v>0</v>
      </c>
      <c r="J15" s="436"/>
      <c r="K15" s="437"/>
      <c r="L15" s="436"/>
      <c r="M15" s="34"/>
      <c r="N15" s="34">
        <f t="shared" si="0"/>
        <v>0</v>
      </c>
      <c r="O15" s="436"/>
      <c r="P15" s="375"/>
      <c r="Q15" s="436"/>
      <c r="R15" s="438"/>
      <c r="S15" s="437"/>
    </row>
    <row r="16" spans="2:20" x14ac:dyDescent="0.2">
      <c r="B16">
        <v>4</v>
      </c>
      <c r="C16" s="374">
        <v>7194</v>
      </c>
      <c r="D16" s="433">
        <v>7194</v>
      </c>
      <c r="E16" s="374"/>
      <c r="F16" s="374"/>
      <c r="G16" s="374"/>
      <c r="H16" s="433"/>
      <c r="I16" s="34">
        <f t="shared" si="1"/>
        <v>0</v>
      </c>
      <c r="J16" s="433">
        <v>2252</v>
      </c>
      <c r="K16" s="434">
        <v>1613</v>
      </c>
      <c r="L16" s="433"/>
      <c r="M16" s="34"/>
      <c r="N16" s="34">
        <f t="shared" si="0"/>
        <v>639</v>
      </c>
      <c r="O16" s="464">
        <v>6115</v>
      </c>
      <c r="P16" s="374">
        <v>540</v>
      </c>
      <c r="Q16" s="433">
        <v>539</v>
      </c>
      <c r="R16" s="435"/>
      <c r="S16" s="434">
        <v>3914</v>
      </c>
      <c r="T16">
        <v>4</v>
      </c>
    </row>
    <row r="17" spans="2:20" x14ac:dyDescent="0.2">
      <c r="C17" s="375"/>
      <c r="D17" s="436"/>
      <c r="E17" s="375"/>
      <c r="F17" s="375"/>
      <c r="G17" s="375"/>
      <c r="H17" s="436"/>
      <c r="I17" s="34">
        <f t="shared" si="1"/>
        <v>0</v>
      </c>
      <c r="J17" s="436"/>
      <c r="K17" s="437"/>
      <c r="L17" s="436"/>
      <c r="M17" s="34"/>
      <c r="N17" s="34">
        <f t="shared" si="0"/>
        <v>0</v>
      </c>
      <c r="O17" s="436"/>
      <c r="P17" s="375"/>
      <c r="Q17" s="436"/>
      <c r="R17" s="438"/>
      <c r="S17" s="437"/>
    </row>
    <row r="18" spans="2:20" x14ac:dyDescent="0.2">
      <c r="B18">
        <v>5</v>
      </c>
      <c r="C18" s="374">
        <v>24750</v>
      </c>
      <c r="D18" s="433">
        <v>20423</v>
      </c>
      <c r="E18" s="374"/>
      <c r="F18" s="374"/>
      <c r="G18" s="374"/>
      <c r="H18" s="433"/>
      <c r="I18" s="34">
        <f t="shared" si="1"/>
        <v>4327</v>
      </c>
      <c r="J18" s="433">
        <v>26883</v>
      </c>
      <c r="K18" s="434">
        <v>11533</v>
      </c>
      <c r="L18" s="433"/>
      <c r="M18" s="34"/>
      <c r="N18" s="34">
        <f t="shared" si="0"/>
        <v>15350</v>
      </c>
      <c r="O18" s="433">
        <v>8587</v>
      </c>
      <c r="P18" s="374"/>
      <c r="Q18" s="433">
        <v>2991</v>
      </c>
      <c r="R18" s="435">
        <v>8844</v>
      </c>
      <c r="S18" s="434">
        <v>23499</v>
      </c>
      <c r="T18">
        <v>5</v>
      </c>
    </row>
    <row r="19" spans="2:20" x14ac:dyDescent="0.2">
      <c r="C19" s="375"/>
      <c r="D19" s="436"/>
      <c r="E19" s="375"/>
      <c r="F19" s="375"/>
      <c r="G19" s="375"/>
      <c r="H19" s="436"/>
      <c r="I19" s="34">
        <f t="shared" si="1"/>
        <v>0</v>
      </c>
      <c r="J19" s="436"/>
      <c r="K19" s="437"/>
      <c r="L19" s="436"/>
      <c r="M19" s="34"/>
      <c r="N19" s="34">
        <f t="shared" si="0"/>
        <v>0</v>
      </c>
      <c r="O19" s="436"/>
      <c r="P19" s="375"/>
      <c r="Q19" s="436"/>
      <c r="R19" s="438"/>
      <c r="S19" s="437"/>
    </row>
    <row r="20" spans="2:20" x14ac:dyDescent="0.2">
      <c r="B20">
        <v>6</v>
      </c>
      <c r="C20" s="374">
        <v>45949</v>
      </c>
      <c r="D20" s="433">
        <v>2823</v>
      </c>
      <c r="E20" s="374"/>
      <c r="F20" s="374"/>
      <c r="G20" s="374">
        <v>3698</v>
      </c>
      <c r="H20" s="433"/>
      <c r="I20" s="34">
        <f t="shared" si="1"/>
        <v>39428</v>
      </c>
      <c r="J20" s="433">
        <v>2300</v>
      </c>
      <c r="K20" s="434">
        <v>2300</v>
      </c>
      <c r="L20" s="433"/>
      <c r="M20" s="34"/>
      <c r="N20" s="34">
        <f t="shared" si="0"/>
        <v>0</v>
      </c>
      <c r="O20" s="464"/>
      <c r="P20" s="374"/>
      <c r="Q20" s="433">
        <v>1500</v>
      </c>
      <c r="R20" s="435">
        <v>1323</v>
      </c>
      <c r="S20" s="434">
        <v>3300</v>
      </c>
      <c r="T20">
        <v>6</v>
      </c>
    </row>
    <row r="21" spans="2:20" x14ac:dyDescent="0.2">
      <c r="C21" s="375"/>
      <c r="D21" s="436"/>
      <c r="E21" s="375"/>
      <c r="F21" s="893"/>
      <c r="G21" s="375"/>
      <c r="H21" s="436"/>
      <c r="I21" s="34">
        <f t="shared" si="1"/>
        <v>0</v>
      </c>
      <c r="J21" s="436"/>
      <c r="K21" s="437"/>
      <c r="L21" s="436"/>
      <c r="M21" s="34"/>
      <c r="N21" s="34">
        <f t="shared" si="0"/>
        <v>0</v>
      </c>
      <c r="O21" s="436"/>
      <c r="P21" s="375"/>
      <c r="Q21" s="436"/>
      <c r="R21" s="438"/>
      <c r="S21" s="437"/>
    </row>
    <row r="22" spans="2:20" x14ac:dyDescent="0.2">
      <c r="B22">
        <v>7</v>
      </c>
      <c r="C22" s="374">
        <v>26327</v>
      </c>
      <c r="D22" s="433">
        <v>1350</v>
      </c>
      <c r="E22" s="374"/>
      <c r="F22" s="374"/>
      <c r="G22" s="374"/>
      <c r="H22" s="433"/>
      <c r="I22" s="34">
        <f t="shared" si="1"/>
        <v>24977</v>
      </c>
      <c r="J22" s="433">
        <v>12097</v>
      </c>
      <c r="K22" s="434">
        <v>1350</v>
      </c>
      <c r="L22" s="433"/>
      <c r="M22" s="34"/>
      <c r="N22" s="34">
        <f t="shared" si="0"/>
        <v>10747</v>
      </c>
      <c r="O22" s="433">
        <v>1350</v>
      </c>
      <c r="P22" s="374"/>
      <c r="Q22" s="433"/>
      <c r="R22" s="435"/>
      <c r="S22" s="434">
        <v>5108</v>
      </c>
      <c r="T22">
        <v>7</v>
      </c>
    </row>
    <row r="23" spans="2:20" x14ac:dyDescent="0.2">
      <c r="C23" s="375"/>
      <c r="D23" s="436"/>
      <c r="E23" s="375"/>
      <c r="F23" s="375"/>
      <c r="G23" s="375"/>
      <c r="H23" s="436"/>
      <c r="I23" s="34">
        <f t="shared" si="1"/>
        <v>0</v>
      </c>
      <c r="J23" s="436"/>
      <c r="K23" s="437"/>
      <c r="L23" s="436"/>
      <c r="M23" s="34"/>
      <c r="N23" s="34">
        <f t="shared" si="0"/>
        <v>0</v>
      </c>
      <c r="O23" s="436"/>
      <c r="P23" s="375"/>
      <c r="Q23" s="436"/>
      <c r="R23" s="438"/>
      <c r="S23" s="437"/>
    </row>
    <row r="24" spans="2:20" x14ac:dyDescent="0.2">
      <c r="B24">
        <v>8</v>
      </c>
      <c r="C24" s="374">
        <v>13248</v>
      </c>
      <c r="D24" s="433">
        <v>13248</v>
      </c>
      <c r="E24" s="374"/>
      <c r="F24" s="374"/>
      <c r="G24" s="374"/>
      <c r="H24" s="433"/>
      <c r="I24" s="34">
        <f t="shared" si="1"/>
        <v>0</v>
      </c>
      <c r="J24" s="433"/>
      <c r="K24" s="434"/>
      <c r="L24" s="433"/>
      <c r="M24" s="34"/>
      <c r="N24" s="34">
        <f t="shared" si="0"/>
        <v>0</v>
      </c>
      <c r="O24" s="433">
        <v>7183</v>
      </c>
      <c r="P24" s="374">
        <v>1217</v>
      </c>
      <c r="Q24" s="433">
        <v>1768</v>
      </c>
      <c r="R24" s="435">
        <v>3080</v>
      </c>
      <c r="S24" s="434">
        <v>13617</v>
      </c>
      <c r="T24">
        <v>8</v>
      </c>
    </row>
    <row r="25" spans="2:20" x14ac:dyDescent="0.2">
      <c r="C25" s="375"/>
      <c r="D25" s="436"/>
      <c r="E25" s="375"/>
      <c r="F25" s="375"/>
      <c r="G25" s="375"/>
      <c r="H25" s="436"/>
      <c r="I25" s="34">
        <f t="shared" si="1"/>
        <v>0</v>
      </c>
      <c r="J25" s="436"/>
      <c r="K25" s="437"/>
      <c r="L25" s="436"/>
      <c r="M25" s="34"/>
      <c r="N25" s="34">
        <f t="shared" si="0"/>
        <v>0</v>
      </c>
      <c r="O25" s="436"/>
      <c r="P25" s="375"/>
      <c r="Q25" s="436"/>
      <c r="R25" s="438"/>
      <c r="S25" s="437"/>
    </row>
    <row r="26" spans="2:20" x14ac:dyDescent="0.2">
      <c r="B26">
        <v>9</v>
      </c>
      <c r="C26" s="374">
        <v>41695</v>
      </c>
      <c r="D26" s="433">
        <v>8378</v>
      </c>
      <c r="E26" s="374"/>
      <c r="F26" s="374"/>
      <c r="G26" s="374"/>
      <c r="H26" s="433"/>
      <c r="I26" s="34">
        <f t="shared" si="1"/>
        <v>33317</v>
      </c>
      <c r="J26" s="433"/>
      <c r="K26" s="434"/>
      <c r="L26" s="433"/>
      <c r="M26" s="34"/>
      <c r="N26" s="34">
        <f t="shared" si="0"/>
        <v>0</v>
      </c>
      <c r="O26" s="433">
        <v>2000</v>
      </c>
      <c r="P26" s="374">
        <v>533</v>
      </c>
      <c r="Q26" s="433"/>
      <c r="R26" s="435">
        <v>5846</v>
      </c>
      <c r="S26" s="434"/>
      <c r="T26">
        <v>9</v>
      </c>
    </row>
    <row r="27" spans="2:20" x14ac:dyDescent="0.2">
      <c r="C27" s="375"/>
      <c r="D27" s="436"/>
      <c r="E27" s="375"/>
      <c r="F27" s="375"/>
      <c r="G27" s="375"/>
      <c r="H27" s="436"/>
      <c r="I27" s="34">
        <f t="shared" si="1"/>
        <v>0</v>
      </c>
      <c r="J27" s="436"/>
      <c r="K27" s="437"/>
      <c r="L27" s="436"/>
      <c r="M27" s="34"/>
      <c r="N27" s="34">
        <f t="shared" si="0"/>
        <v>0</v>
      </c>
      <c r="O27" s="436"/>
      <c r="P27" s="375"/>
      <c r="Q27" s="436"/>
      <c r="R27" s="438"/>
      <c r="S27" s="437"/>
    </row>
    <row r="28" spans="2:20" x14ac:dyDescent="0.2">
      <c r="B28">
        <v>10</v>
      </c>
      <c r="C28" s="374">
        <v>51598</v>
      </c>
      <c r="D28" s="433">
        <v>50285</v>
      </c>
      <c r="E28" s="374"/>
      <c r="F28" s="374"/>
      <c r="G28" s="374"/>
      <c r="H28" s="433"/>
      <c r="I28" s="34">
        <f t="shared" si="1"/>
        <v>1313</v>
      </c>
      <c r="J28" s="433">
        <v>50102</v>
      </c>
      <c r="K28" s="434">
        <v>22702</v>
      </c>
      <c r="L28" s="433"/>
      <c r="M28" s="34"/>
      <c r="N28" s="34">
        <f t="shared" si="0"/>
        <v>27400</v>
      </c>
      <c r="O28" s="433">
        <v>28486</v>
      </c>
      <c r="P28" s="374">
        <v>6538</v>
      </c>
      <c r="Q28" s="433">
        <v>6309</v>
      </c>
      <c r="R28" s="435">
        <v>8952</v>
      </c>
      <c r="S28" s="434">
        <v>48217</v>
      </c>
      <c r="T28">
        <v>10</v>
      </c>
    </row>
    <row r="29" spans="2:20" x14ac:dyDescent="0.2">
      <c r="C29" s="375"/>
      <c r="D29" s="436"/>
      <c r="E29" s="375"/>
      <c r="F29" s="375"/>
      <c r="G29" s="375"/>
      <c r="H29" s="436"/>
      <c r="I29" s="34">
        <f t="shared" si="1"/>
        <v>0</v>
      </c>
      <c r="J29" s="436"/>
      <c r="K29" s="437"/>
      <c r="L29" s="436"/>
      <c r="M29" s="34"/>
      <c r="N29" s="34">
        <f t="shared" si="0"/>
        <v>0</v>
      </c>
      <c r="O29" s="436"/>
      <c r="P29" s="375"/>
      <c r="Q29" s="436"/>
      <c r="R29" s="438"/>
      <c r="S29" s="437"/>
    </row>
    <row r="30" spans="2:20" s="58" customFormat="1" x14ac:dyDescent="0.2">
      <c r="B30" s="58">
        <v>11</v>
      </c>
      <c r="C30" s="919">
        <v>22863</v>
      </c>
      <c r="D30" s="920">
        <v>4822</v>
      </c>
      <c r="E30" s="919"/>
      <c r="F30" s="919"/>
      <c r="G30" s="919"/>
      <c r="H30" s="920"/>
      <c r="I30" s="492">
        <f t="shared" si="1"/>
        <v>18041</v>
      </c>
      <c r="J30" s="920">
        <v>4114</v>
      </c>
      <c r="K30" s="921">
        <v>4114</v>
      </c>
      <c r="L30" s="920"/>
      <c r="M30" s="492"/>
      <c r="N30" s="492">
        <f t="shared" si="0"/>
        <v>0</v>
      </c>
      <c r="O30" s="920">
        <v>2029</v>
      </c>
      <c r="P30" s="919">
        <v>1000</v>
      </c>
      <c r="Q30" s="920">
        <v>1793</v>
      </c>
      <c r="R30" s="922"/>
      <c r="S30" s="921">
        <v>10545</v>
      </c>
      <c r="T30" s="58">
        <v>11</v>
      </c>
    </row>
    <row r="31" spans="2:20" x14ac:dyDescent="0.2">
      <c r="C31" s="375"/>
      <c r="D31" s="436"/>
      <c r="E31" s="375"/>
      <c r="F31" s="375"/>
      <c r="G31" s="375"/>
      <c r="H31" s="436"/>
      <c r="I31" s="34">
        <f t="shared" si="1"/>
        <v>0</v>
      </c>
      <c r="J31" s="436"/>
      <c r="K31" s="437"/>
      <c r="L31" s="436"/>
      <c r="M31" s="34"/>
      <c r="N31" s="34">
        <f t="shared" si="0"/>
        <v>0</v>
      </c>
      <c r="O31" s="436"/>
      <c r="P31" s="375"/>
      <c r="Q31" s="436"/>
      <c r="R31" s="438"/>
      <c r="S31" s="437"/>
    </row>
    <row r="32" spans="2:20" x14ac:dyDescent="0.2">
      <c r="B32">
        <v>12</v>
      </c>
      <c r="C32" s="374">
        <v>58282</v>
      </c>
      <c r="D32" s="433">
        <v>19187</v>
      </c>
      <c r="E32" s="374"/>
      <c r="F32" s="374"/>
      <c r="G32" s="374">
        <v>2972</v>
      </c>
      <c r="H32" s="433"/>
      <c r="I32" s="34">
        <f t="shared" si="1"/>
        <v>36123</v>
      </c>
      <c r="J32" s="433">
        <v>9567</v>
      </c>
      <c r="K32" s="434">
        <v>9567</v>
      </c>
      <c r="L32" s="433"/>
      <c r="M32" s="34"/>
      <c r="N32" s="34">
        <f t="shared" si="0"/>
        <v>0</v>
      </c>
      <c r="O32" s="464">
        <v>3500</v>
      </c>
      <c r="P32" s="374"/>
      <c r="Q32" s="433">
        <v>5554</v>
      </c>
      <c r="R32" s="435">
        <v>10134</v>
      </c>
      <c r="S32" s="434">
        <v>20660</v>
      </c>
      <c r="T32">
        <v>12</v>
      </c>
    </row>
    <row r="33" spans="2:20" x14ac:dyDescent="0.2">
      <c r="C33" s="375"/>
      <c r="D33" s="436"/>
      <c r="E33" s="375"/>
      <c r="F33" s="375"/>
      <c r="G33" s="375"/>
      <c r="H33" s="436"/>
      <c r="I33" s="34">
        <f t="shared" si="1"/>
        <v>0</v>
      </c>
      <c r="J33" s="436"/>
      <c r="K33" s="437"/>
      <c r="L33" s="436"/>
      <c r="M33" s="34"/>
      <c r="N33" s="34">
        <f t="shared" si="0"/>
        <v>0</v>
      </c>
      <c r="O33" s="436"/>
      <c r="P33" s="375"/>
      <c r="Q33" s="436"/>
      <c r="R33" s="438"/>
      <c r="S33" s="437"/>
    </row>
    <row r="34" spans="2:20" x14ac:dyDescent="0.2">
      <c r="B34">
        <v>13</v>
      </c>
      <c r="C34" s="374">
        <v>3546</v>
      </c>
      <c r="D34" s="433">
        <v>2000</v>
      </c>
      <c r="E34" s="374"/>
      <c r="F34" s="374"/>
      <c r="G34" s="374"/>
      <c r="H34" s="433"/>
      <c r="I34" s="34">
        <f t="shared" si="1"/>
        <v>1546</v>
      </c>
      <c r="J34" s="433"/>
      <c r="K34" s="434"/>
      <c r="L34" s="433"/>
      <c r="M34" s="34"/>
      <c r="N34" s="34">
        <f t="shared" si="0"/>
        <v>0</v>
      </c>
      <c r="O34" s="433">
        <v>2000</v>
      </c>
      <c r="P34" s="374"/>
      <c r="Q34" s="433"/>
      <c r="R34" s="435"/>
      <c r="S34" s="434">
        <v>7772</v>
      </c>
      <c r="T34">
        <v>13</v>
      </c>
    </row>
    <row r="35" spans="2:20" x14ac:dyDescent="0.2">
      <c r="C35" s="375"/>
      <c r="D35" s="436"/>
      <c r="E35" s="375"/>
      <c r="F35" s="375"/>
      <c r="G35" s="375"/>
      <c r="H35" s="436"/>
      <c r="I35" s="34">
        <f t="shared" si="1"/>
        <v>0</v>
      </c>
      <c r="J35" s="436"/>
      <c r="K35" s="437"/>
      <c r="L35" s="436"/>
      <c r="M35" s="34"/>
      <c r="N35" s="34">
        <f t="shared" si="0"/>
        <v>0</v>
      </c>
      <c r="O35" s="436"/>
      <c r="P35" s="375"/>
      <c r="Q35" s="436"/>
      <c r="R35" s="438"/>
      <c r="S35" s="437"/>
    </row>
    <row r="36" spans="2:20" x14ac:dyDescent="0.2">
      <c r="B36">
        <v>14</v>
      </c>
      <c r="C36" s="374">
        <v>29642</v>
      </c>
      <c r="D36" s="433">
        <v>4975</v>
      </c>
      <c r="E36" s="374"/>
      <c r="F36" s="374"/>
      <c r="G36" s="374"/>
      <c r="H36" s="433"/>
      <c r="I36" s="34">
        <f t="shared" si="1"/>
        <v>24667</v>
      </c>
      <c r="J36" s="433">
        <v>15517</v>
      </c>
      <c r="K36" s="434">
        <v>4667</v>
      </c>
      <c r="L36" s="433"/>
      <c r="M36" s="34"/>
      <c r="N36" s="34">
        <f t="shared" si="0"/>
        <v>10850</v>
      </c>
      <c r="O36" s="464">
        <v>1459</v>
      </c>
      <c r="P36" s="374">
        <v>1551</v>
      </c>
      <c r="Q36" s="433">
        <v>1965</v>
      </c>
      <c r="R36" s="435"/>
      <c r="S36" s="434">
        <v>8079</v>
      </c>
      <c r="T36">
        <v>14</v>
      </c>
    </row>
    <row r="37" spans="2:20" x14ac:dyDescent="0.2">
      <c r="C37" s="375"/>
      <c r="D37" s="436"/>
      <c r="E37" s="375"/>
      <c r="F37" s="375"/>
      <c r="G37" s="375"/>
      <c r="H37" s="436"/>
      <c r="I37" s="34">
        <f t="shared" si="1"/>
        <v>0</v>
      </c>
      <c r="J37" s="436"/>
      <c r="K37" s="437"/>
      <c r="L37" s="436"/>
      <c r="M37" s="34"/>
      <c r="N37" s="34">
        <f t="shared" si="0"/>
        <v>0</v>
      </c>
      <c r="O37" s="436"/>
      <c r="P37" s="375"/>
      <c r="Q37" s="436"/>
      <c r="R37" s="438"/>
      <c r="S37" s="437"/>
    </row>
    <row r="38" spans="2:20" x14ac:dyDescent="0.2">
      <c r="B38">
        <v>15</v>
      </c>
      <c r="C38" s="374">
        <v>67058</v>
      </c>
      <c r="D38" s="433">
        <v>59155</v>
      </c>
      <c r="E38" s="374"/>
      <c r="F38" s="374"/>
      <c r="G38" s="374"/>
      <c r="H38" s="433"/>
      <c r="I38" s="34">
        <f t="shared" si="1"/>
        <v>7903</v>
      </c>
      <c r="J38" s="433">
        <v>50494</v>
      </c>
      <c r="K38" s="434">
        <v>26665</v>
      </c>
      <c r="L38" s="433"/>
      <c r="M38" s="34"/>
      <c r="N38" s="34">
        <f t="shared" si="0"/>
        <v>23829</v>
      </c>
      <c r="O38" s="433">
        <v>32621</v>
      </c>
      <c r="P38" s="374">
        <v>11919</v>
      </c>
      <c r="Q38" s="433">
        <v>3368</v>
      </c>
      <c r="R38" s="435">
        <v>11247</v>
      </c>
      <c r="S38" s="434">
        <v>78174</v>
      </c>
      <c r="T38">
        <v>15</v>
      </c>
    </row>
    <row r="39" spans="2:20" x14ac:dyDescent="0.2">
      <c r="C39" s="375"/>
      <c r="D39" s="436"/>
      <c r="E39" s="375"/>
      <c r="F39" s="375"/>
      <c r="G39" s="375"/>
      <c r="H39" s="436"/>
      <c r="I39" s="34">
        <f t="shared" si="1"/>
        <v>0</v>
      </c>
      <c r="J39" s="436"/>
      <c r="K39" s="437"/>
      <c r="L39" s="436"/>
      <c r="M39" s="34"/>
      <c r="N39" s="34">
        <f t="shared" si="0"/>
        <v>0</v>
      </c>
      <c r="O39" s="436"/>
      <c r="P39" s="375"/>
      <c r="Q39" s="436"/>
      <c r="R39" s="438"/>
      <c r="S39" s="437"/>
    </row>
    <row r="40" spans="2:20" x14ac:dyDescent="0.2">
      <c r="B40">
        <v>16</v>
      </c>
      <c r="C40" s="374">
        <v>67031</v>
      </c>
      <c r="D40" s="433">
        <v>14728</v>
      </c>
      <c r="E40" s="374"/>
      <c r="F40" s="374"/>
      <c r="G40" s="374"/>
      <c r="H40" s="433"/>
      <c r="I40" s="34">
        <f t="shared" si="1"/>
        <v>52303</v>
      </c>
      <c r="J40" s="433">
        <v>20004</v>
      </c>
      <c r="K40" s="434">
        <v>1485</v>
      </c>
      <c r="L40" s="433"/>
      <c r="M40" s="34"/>
      <c r="N40" s="34">
        <f t="shared" si="0"/>
        <v>18519</v>
      </c>
      <c r="O40" s="433">
        <v>165</v>
      </c>
      <c r="P40" s="374">
        <v>570</v>
      </c>
      <c r="Q40" s="433">
        <v>5283</v>
      </c>
      <c r="R40" s="435">
        <v>8709</v>
      </c>
      <c r="S40" s="434">
        <v>4485</v>
      </c>
      <c r="T40">
        <v>16</v>
      </c>
    </row>
    <row r="41" spans="2:20" x14ac:dyDescent="0.2">
      <c r="C41" s="375"/>
      <c r="D41" s="436"/>
      <c r="E41" s="375"/>
      <c r="F41" s="375"/>
      <c r="G41" s="375"/>
      <c r="H41" s="436"/>
      <c r="I41" s="34">
        <f t="shared" si="1"/>
        <v>0</v>
      </c>
      <c r="J41" s="436"/>
      <c r="K41" s="437"/>
      <c r="L41" s="436"/>
      <c r="M41" s="34"/>
      <c r="N41" s="34">
        <f t="shared" si="0"/>
        <v>0</v>
      </c>
      <c r="O41" s="436"/>
      <c r="P41" s="375"/>
      <c r="Q41" s="436"/>
      <c r="R41" s="438"/>
      <c r="S41" s="437"/>
    </row>
    <row r="42" spans="2:20" x14ac:dyDescent="0.2">
      <c r="B42">
        <v>17</v>
      </c>
      <c r="C42" s="374">
        <v>9338</v>
      </c>
      <c r="D42" s="433">
        <v>5509</v>
      </c>
      <c r="E42" s="374"/>
      <c r="F42" s="374"/>
      <c r="G42" s="374"/>
      <c r="H42" s="433"/>
      <c r="I42" s="34">
        <f t="shared" si="1"/>
        <v>3829</v>
      </c>
      <c r="J42" s="433">
        <v>12450</v>
      </c>
      <c r="K42" s="434">
        <v>1800</v>
      </c>
      <c r="L42" s="433"/>
      <c r="M42" s="34"/>
      <c r="N42" s="34">
        <f t="shared" si="0"/>
        <v>10650</v>
      </c>
      <c r="O42" s="433">
        <v>3459</v>
      </c>
      <c r="P42" s="374"/>
      <c r="Q42" s="433"/>
      <c r="R42" s="435">
        <v>2050</v>
      </c>
      <c r="S42" s="434">
        <v>9954</v>
      </c>
      <c r="T42">
        <v>17</v>
      </c>
    </row>
    <row r="43" spans="2:20" x14ac:dyDescent="0.2">
      <c r="C43" s="375"/>
      <c r="D43" s="436"/>
      <c r="E43" s="375"/>
      <c r="F43" s="375"/>
      <c r="G43" s="375"/>
      <c r="H43" s="436"/>
      <c r="I43" s="34"/>
      <c r="J43" s="436"/>
      <c r="K43" s="437"/>
      <c r="L43" s="436"/>
      <c r="M43" s="34"/>
      <c r="N43" s="34">
        <f t="shared" si="0"/>
        <v>0</v>
      </c>
      <c r="O43" s="436"/>
      <c r="P43" s="375"/>
      <c r="Q43" s="436"/>
      <c r="R43" s="438"/>
      <c r="S43" s="437"/>
    </row>
    <row r="44" spans="2:20" x14ac:dyDescent="0.2">
      <c r="B44">
        <v>18</v>
      </c>
      <c r="C44" s="374">
        <v>19503</v>
      </c>
      <c r="D44" s="433">
        <v>18842</v>
      </c>
      <c r="E44" s="374"/>
      <c r="F44" s="374"/>
      <c r="G44" s="374"/>
      <c r="H44" s="433"/>
      <c r="I44" s="34">
        <f t="shared" si="1"/>
        <v>661</v>
      </c>
      <c r="J44" s="433">
        <v>12067</v>
      </c>
      <c r="K44" s="434">
        <v>12067</v>
      </c>
      <c r="L44" s="433"/>
      <c r="M44" s="34"/>
      <c r="N44" s="34">
        <f t="shared" si="0"/>
        <v>0</v>
      </c>
      <c r="O44" s="433">
        <v>14024</v>
      </c>
      <c r="P44" s="374">
        <v>2525</v>
      </c>
      <c r="Q44" s="433">
        <v>1814</v>
      </c>
      <c r="R44" s="435">
        <v>479</v>
      </c>
      <c r="S44" s="434">
        <v>15958</v>
      </c>
      <c r="T44">
        <v>18</v>
      </c>
    </row>
    <row r="45" spans="2:20" x14ac:dyDescent="0.2">
      <c r="C45" s="375"/>
      <c r="D45" s="436"/>
      <c r="E45" s="375"/>
      <c r="F45" s="375"/>
      <c r="G45" s="375"/>
      <c r="H45" s="436"/>
      <c r="I45" s="34">
        <f t="shared" si="1"/>
        <v>0</v>
      </c>
      <c r="J45" s="436"/>
      <c r="K45" s="437"/>
      <c r="L45" s="436"/>
      <c r="M45" s="34"/>
      <c r="N45" s="34">
        <f t="shared" si="0"/>
        <v>0</v>
      </c>
      <c r="O45" s="436"/>
      <c r="P45" s="375"/>
      <c r="Q45" s="436"/>
      <c r="R45" s="438"/>
      <c r="S45" s="437"/>
    </row>
    <row r="46" spans="2:20" x14ac:dyDescent="0.2">
      <c r="B46">
        <v>19</v>
      </c>
      <c r="C46" s="374">
        <v>5025</v>
      </c>
      <c r="D46" s="433">
        <v>2700</v>
      </c>
      <c r="E46" s="374"/>
      <c r="F46" s="374"/>
      <c r="G46" s="374"/>
      <c r="H46" s="433"/>
      <c r="I46" s="34">
        <f t="shared" si="1"/>
        <v>2325</v>
      </c>
      <c r="J46" s="433">
        <v>19597</v>
      </c>
      <c r="K46" s="434"/>
      <c r="L46" s="433"/>
      <c r="M46" s="34"/>
      <c r="N46" s="34">
        <f t="shared" si="0"/>
        <v>19597</v>
      </c>
      <c r="O46" s="433">
        <v>650</v>
      </c>
      <c r="P46" s="374"/>
      <c r="Q46" s="433"/>
      <c r="R46" s="435">
        <v>2050</v>
      </c>
      <c r="S46" s="434">
        <v>2311</v>
      </c>
      <c r="T46">
        <v>19</v>
      </c>
    </row>
    <row r="47" spans="2:20" x14ac:dyDescent="0.2">
      <c r="C47" s="375"/>
      <c r="D47" s="436"/>
      <c r="E47" s="375"/>
      <c r="F47" s="375"/>
      <c r="G47" s="375"/>
      <c r="H47" s="436"/>
      <c r="I47" s="34">
        <f t="shared" si="1"/>
        <v>0</v>
      </c>
      <c r="J47" s="436"/>
      <c r="K47" s="437"/>
      <c r="L47" s="436"/>
      <c r="M47" s="34"/>
      <c r="N47" s="34">
        <f t="shared" si="0"/>
        <v>0</v>
      </c>
      <c r="O47" s="436"/>
      <c r="P47" s="375"/>
      <c r="Q47" s="436"/>
      <c r="R47" s="438"/>
      <c r="S47" s="437"/>
    </row>
    <row r="48" spans="2:20" x14ac:dyDescent="0.2">
      <c r="B48">
        <v>20</v>
      </c>
      <c r="C48" s="374">
        <v>99362</v>
      </c>
      <c r="D48" s="433">
        <v>41738</v>
      </c>
      <c r="E48" s="374"/>
      <c r="F48" s="374"/>
      <c r="G48" s="374"/>
      <c r="H48" s="433">
        <v>25119</v>
      </c>
      <c r="I48" s="34">
        <f>C48-D48-E48-H48-F48-G48</f>
        <v>32505</v>
      </c>
      <c r="J48" s="433">
        <v>63617</v>
      </c>
      <c r="K48" s="434">
        <v>41058</v>
      </c>
      <c r="L48" s="433"/>
      <c r="M48" s="34"/>
      <c r="N48" s="34">
        <f t="shared" si="0"/>
        <v>22559</v>
      </c>
      <c r="O48" s="433">
        <v>11859</v>
      </c>
      <c r="P48" s="374">
        <v>19357</v>
      </c>
      <c r="Q48" s="433">
        <v>4579</v>
      </c>
      <c r="R48" s="435">
        <v>5944</v>
      </c>
      <c r="S48" s="434">
        <v>67894</v>
      </c>
      <c r="T48">
        <v>20</v>
      </c>
    </row>
    <row r="49" spans="2:20" x14ac:dyDescent="0.2">
      <c r="C49" s="375"/>
      <c r="D49" s="436"/>
      <c r="E49" s="375"/>
      <c r="F49" s="375"/>
      <c r="G49" s="375"/>
      <c r="H49" s="436"/>
      <c r="I49" s="34">
        <f t="shared" si="1"/>
        <v>0</v>
      </c>
      <c r="J49" s="436"/>
      <c r="K49" s="437"/>
      <c r="L49" s="436"/>
      <c r="M49" s="34"/>
      <c r="N49" s="34">
        <f t="shared" si="0"/>
        <v>0</v>
      </c>
      <c r="O49" s="436"/>
      <c r="P49" s="375"/>
      <c r="Q49" s="436"/>
      <c r="R49" s="438"/>
      <c r="S49" s="437"/>
    </row>
    <row r="50" spans="2:20" x14ac:dyDescent="0.2">
      <c r="B50">
        <v>21</v>
      </c>
      <c r="C50" s="374">
        <v>1363</v>
      </c>
      <c r="D50" s="433">
        <v>1363</v>
      </c>
      <c r="E50" s="374"/>
      <c r="F50" s="374"/>
      <c r="G50" s="374"/>
      <c r="H50" s="433"/>
      <c r="I50" s="34">
        <f t="shared" si="1"/>
        <v>0</v>
      </c>
      <c r="J50" s="433">
        <v>10876</v>
      </c>
      <c r="K50" s="434">
        <v>6922</v>
      </c>
      <c r="L50" s="433"/>
      <c r="M50" s="34"/>
      <c r="N50" s="34">
        <f t="shared" si="0"/>
        <v>3954</v>
      </c>
      <c r="O50" s="433"/>
      <c r="P50" s="374">
        <v>1364</v>
      </c>
      <c r="Q50" s="433"/>
      <c r="R50" s="435"/>
      <c r="S50" s="434">
        <v>8785</v>
      </c>
      <c r="T50">
        <v>21</v>
      </c>
    </row>
    <row r="51" spans="2:20" x14ac:dyDescent="0.2">
      <c r="C51" s="375"/>
      <c r="D51" s="436"/>
      <c r="E51" s="375"/>
      <c r="F51" s="375"/>
      <c r="G51" s="375"/>
      <c r="H51" s="436"/>
      <c r="I51" s="34">
        <f t="shared" si="1"/>
        <v>0</v>
      </c>
      <c r="J51" s="436"/>
      <c r="K51" s="437"/>
      <c r="L51" s="436"/>
      <c r="M51" s="34"/>
      <c r="N51" s="34">
        <f t="shared" si="0"/>
        <v>0</v>
      </c>
      <c r="O51" s="436"/>
      <c r="P51" s="375"/>
      <c r="Q51" s="436"/>
      <c r="R51" s="438"/>
      <c r="S51" s="437"/>
    </row>
    <row r="52" spans="2:20" x14ac:dyDescent="0.2">
      <c r="B52">
        <v>22</v>
      </c>
      <c r="C52" s="374">
        <v>162526</v>
      </c>
      <c r="D52" s="433">
        <v>10409</v>
      </c>
      <c r="E52" s="374"/>
      <c r="F52" s="374">
        <v>147008</v>
      </c>
      <c r="G52" s="374"/>
      <c r="H52" s="433"/>
      <c r="I52" s="34">
        <f t="shared" si="1"/>
        <v>5109</v>
      </c>
      <c r="J52" s="433">
        <v>30242</v>
      </c>
      <c r="K52" s="434">
        <v>6652</v>
      </c>
      <c r="L52" s="433"/>
      <c r="M52" s="34"/>
      <c r="N52" s="34">
        <f t="shared" si="0"/>
        <v>23590</v>
      </c>
      <c r="O52" s="433">
        <v>4681</v>
      </c>
      <c r="P52" s="374">
        <v>1057</v>
      </c>
      <c r="Q52" s="433">
        <v>1250</v>
      </c>
      <c r="R52" s="435">
        <v>3423</v>
      </c>
      <c r="S52" s="434">
        <v>15816</v>
      </c>
      <c r="T52">
        <v>22</v>
      </c>
    </row>
    <row r="53" spans="2:20" x14ac:dyDescent="0.2">
      <c r="C53" s="375"/>
      <c r="D53" s="436"/>
      <c r="E53" s="375"/>
      <c r="F53" s="375"/>
      <c r="G53" s="375"/>
      <c r="H53" s="436"/>
      <c r="I53" s="34">
        <f t="shared" si="1"/>
        <v>0</v>
      </c>
      <c r="J53" s="436"/>
      <c r="K53" s="437"/>
      <c r="L53" s="436"/>
      <c r="M53" s="34"/>
      <c r="N53" s="34">
        <f t="shared" si="0"/>
        <v>0</v>
      </c>
      <c r="O53" s="436"/>
      <c r="P53" s="375"/>
      <c r="Q53" s="436"/>
      <c r="R53" s="438"/>
      <c r="S53" s="437"/>
    </row>
    <row r="54" spans="2:20" x14ac:dyDescent="0.2">
      <c r="B54">
        <v>23</v>
      </c>
      <c r="C54" s="374">
        <v>23410</v>
      </c>
      <c r="D54" s="433">
        <v>7060</v>
      </c>
      <c r="E54" s="374"/>
      <c r="F54" s="374"/>
      <c r="G54" s="374"/>
      <c r="H54" s="433"/>
      <c r="I54" s="34">
        <f t="shared" si="1"/>
        <v>16350</v>
      </c>
      <c r="J54" s="433">
        <v>1350</v>
      </c>
      <c r="K54" s="434">
        <v>1350</v>
      </c>
      <c r="L54" s="433"/>
      <c r="M54" s="34"/>
      <c r="N54" s="34">
        <f t="shared" si="0"/>
        <v>0</v>
      </c>
      <c r="O54" s="433">
        <v>4859</v>
      </c>
      <c r="P54" s="374">
        <v>1528</v>
      </c>
      <c r="Q54" s="433"/>
      <c r="R54" s="435">
        <v>675</v>
      </c>
      <c r="S54" s="434">
        <v>11976</v>
      </c>
      <c r="T54">
        <v>23</v>
      </c>
    </row>
    <row r="55" spans="2:20" x14ac:dyDescent="0.2">
      <c r="C55" s="375"/>
      <c r="D55" s="436"/>
      <c r="E55" s="375"/>
      <c r="F55" s="375"/>
      <c r="G55" s="375"/>
      <c r="H55" s="436"/>
      <c r="I55" s="34">
        <f t="shared" si="1"/>
        <v>0</v>
      </c>
      <c r="J55" s="436"/>
      <c r="K55" s="437"/>
      <c r="L55" s="436"/>
      <c r="M55" s="34"/>
      <c r="N55" s="34">
        <f t="shared" si="0"/>
        <v>0</v>
      </c>
      <c r="O55" s="436"/>
      <c r="P55" s="375"/>
      <c r="Q55" s="436"/>
      <c r="R55" s="438"/>
      <c r="S55" s="437"/>
    </row>
    <row r="56" spans="2:20" x14ac:dyDescent="0.2">
      <c r="B56">
        <v>24</v>
      </c>
      <c r="C56" s="374">
        <v>34504</v>
      </c>
      <c r="D56" s="433">
        <v>5800</v>
      </c>
      <c r="E56" s="374"/>
      <c r="F56" s="374"/>
      <c r="G56" s="374"/>
      <c r="H56" s="433"/>
      <c r="I56" s="34">
        <f t="shared" si="1"/>
        <v>28704</v>
      </c>
      <c r="J56" s="433">
        <v>7300</v>
      </c>
      <c r="K56" s="434">
        <v>1800</v>
      </c>
      <c r="L56" s="433"/>
      <c r="M56" s="34"/>
      <c r="N56" s="34">
        <f t="shared" si="0"/>
        <v>5500</v>
      </c>
      <c r="O56" s="433">
        <v>3050</v>
      </c>
      <c r="P56" s="374"/>
      <c r="Q56" s="433">
        <v>2750</v>
      </c>
      <c r="R56" s="435"/>
      <c r="S56" s="434">
        <v>2416</v>
      </c>
      <c r="T56">
        <v>24</v>
      </c>
    </row>
    <row r="57" spans="2:20" x14ac:dyDescent="0.2">
      <c r="C57" s="375"/>
      <c r="D57" s="436"/>
      <c r="E57" s="375"/>
      <c r="F57" s="375"/>
      <c r="G57" s="375"/>
      <c r="H57" s="436"/>
      <c r="I57" s="34">
        <f t="shared" si="1"/>
        <v>0</v>
      </c>
      <c r="J57" s="436"/>
      <c r="K57" s="437"/>
      <c r="L57" s="436"/>
      <c r="M57" s="34"/>
      <c r="N57" s="34">
        <f t="shared" si="0"/>
        <v>0</v>
      </c>
      <c r="O57" s="436"/>
      <c r="P57" s="375"/>
      <c r="Q57" s="436"/>
      <c r="R57" s="438"/>
      <c r="S57" s="437"/>
    </row>
    <row r="58" spans="2:20" x14ac:dyDescent="0.2">
      <c r="B58">
        <v>25</v>
      </c>
      <c r="C58" s="374">
        <v>86209</v>
      </c>
      <c r="D58" s="433">
        <v>26134</v>
      </c>
      <c r="E58" s="374"/>
      <c r="F58" s="374"/>
      <c r="G58" s="374">
        <v>2914</v>
      </c>
      <c r="H58" s="433"/>
      <c r="I58" s="34">
        <f t="shared" si="1"/>
        <v>57161</v>
      </c>
      <c r="J58" s="433">
        <v>35487</v>
      </c>
      <c r="K58" s="434">
        <v>6836</v>
      </c>
      <c r="L58" s="433"/>
      <c r="M58" s="34"/>
      <c r="N58" s="34">
        <f t="shared" si="0"/>
        <v>28651</v>
      </c>
      <c r="O58" s="433">
        <v>6959</v>
      </c>
      <c r="P58" s="374">
        <v>2800</v>
      </c>
      <c r="Q58" s="433">
        <v>5731</v>
      </c>
      <c r="R58" s="435">
        <v>10645</v>
      </c>
      <c r="S58" s="434">
        <v>25272</v>
      </c>
      <c r="T58">
        <v>25</v>
      </c>
    </row>
    <row r="59" spans="2:20" x14ac:dyDescent="0.2">
      <c r="C59" s="375"/>
      <c r="D59" s="436"/>
      <c r="E59" s="375"/>
      <c r="F59" s="375"/>
      <c r="G59" s="375"/>
      <c r="H59" s="436"/>
      <c r="I59" s="34">
        <f t="shared" si="1"/>
        <v>0</v>
      </c>
      <c r="J59" s="436"/>
      <c r="K59" s="437"/>
      <c r="L59" s="436"/>
      <c r="M59" s="34"/>
      <c r="N59" s="34">
        <f t="shared" si="0"/>
        <v>0</v>
      </c>
      <c r="O59" s="436"/>
      <c r="P59" s="375"/>
      <c r="Q59" s="436"/>
      <c r="R59" s="438"/>
      <c r="S59" s="437"/>
    </row>
    <row r="60" spans="2:20" x14ac:dyDescent="0.2">
      <c r="B60">
        <v>26</v>
      </c>
      <c r="C60" s="374">
        <v>31917</v>
      </c>
      <c r="D60" s="433">
        <v>14919</v>
      </c>
      <c r="E60" s="374"/>
      <c r="F60" s="374"/>
      <c r="G60" s="374"/>
      <c r="H60" s="433"/>
      <c r="I60" s="34">
        <f t="shared" si="1"/>
        <v>16998</v>
      </c>
      <c r="J60" s="433">
        <v>2447</v>
      </c>
      <c r="K60" s="434">
        <v>2447</v>
      </c>
      <c r="L60" s="433"/>
      <c r="M60" s="34"/>
      <c r="N60" s="34">
        <f t="shared" si="0"/>
        <v>0</v>
      </c>
      <c r="O60" s="433">
        <v>2732</v>
      </c>
      <c r="P60" s="374">
        <v>10558</v>
      </c>
      <c r="Q60" s="433"/>
      <c r="R60" s="435">
        <v>1630</v>
      </c>
      <c r="S60" s="434">
        <v>3583</v>
      </c>
      <c r="T60">
        <v>26</v>
      </c>
    </row>
    <row r="61" spans="2:20" x14ac:dyDescent="0.2">
      <c r="C61" s="375"/>
      <c r="D61" s="436"/>
      <c r="E61" s="375"/>
      <c r="F61" s="375"/>
      <c r="G61" s="375"/>
      <c r="H61" s="436"/>
      <c r="I61" s="34">
        <f t="shared" si="1"/>
        <v>0</v>
      </c>
      <c r="J61" s="436"/>
      <c r="K61" s="437"/>
      <c r="L61" s="436"/>
      <c r="M61" s="34"/>
      <c r="N61" s="34">
        <f t="shared" si="0"/>
        <v>0</v>
      </c>
      <c r="O61" s="436"/>
      <c r="P61" s="375"/>
      <c r="Q61" s="436"/>
      <c r="R61" s="438"/>
      <c r="S61" s="437"/>
    </row>
    <row r="62" spans="2:20" x14ac:dyDescent="0.2">
      <c r="B62">
        <v>27</v>
      </c>
      <c r="C62" s="374">
        <v>33502</v>
      </c>
      <c r="D62" s="433">
        <v>1548</v>
      </c>
      <c r="E62" s="374"/>
      <c r="F62" s="374"/>
      <c r="G62" s="374"/>
      <c r="H62" s="433"/>
      <c r="I62" s="34">
        <f t="shared" si="1"/>
        <v>31954</v>
      </c>
      <c r="J62" s="433">
        <v>27761</v>
      </c>
      <c r="K62" s="434">
        <v>3071</v>
      </c>
      <c r="L62" s="433"/>
      <c r="M62" s="34"/>
      <c r="N62" s="34">
        <f t="shared" si="0"/>
        <v>24690</v>
      </c>
      <c r="O62" s="433"/>
      <c r="P62" s="374">
        <v>872</v>
      </c>
      <c r="Q62" s="433"/>
      <c r="R62" s="435">
        <v>675</v>
      </c>
      <c r="S62" s="434">
        <v>4171</v>
      </c>
      <c r="T62">
        <v>27</v>
      </c>
    </row>
    <row r="63" spans="2:20" x14ac:dyDescent="0.2">
      <c r="C63" s="375"/>
      <c r="D63" s="436"/>
      <c r="E63" s="375"/>
      <c r="F63" s="375"/>
      <c r="G63" s="375"/>
      <c r="H63" s="436"/>
      <c r="I63" s="34">
        <f t="shared" si="1"/>
        <v>0</v>
      </c>
      <c r="J63" s="436"/>
      <c r="K63" s="437"/>
      <c r="L63" s="436"/>
      <c r="M63" s="34"/>
      <c r="N63" s="34">
        <f t="shared" si="0"/>
        <v>0</v>
      </c>
      <c r="O63" s="436"/>
      <c r="P63" s="375"/>
      <c r="Q63" s="436"/>
      <c r="R63" s="438"/>
      <c r="S63" s="437"/>
    </row>
    <row r="64" spans="2:20" x14ac:dyDescent="0.2">
      <c r="B64">
        <v>28</v>
      </c>
      <c r="C64" s="374">
        <v>7443</v>
      </c>
      <c r="D64" s="433">
        <v>3056</v>
      </c>
      <c r="E64" s="374"/>
      <c r="F64" s="374"/>
      <c r="G64" s="374"/>
      <c r="H64" s="433"/>
      <c r="I64" s="34">
        <f t="shared" si="1"/>
        <v>4387</v>
      </c>
      <c r="J64" s="433">
        <v>6836</v>
      </c>
      <c r="K64" s="434">
        <v>6836</v>
      </c>
      <c r="L64" s="433"/>
      <c r="M64" s="34"/>
      <c r="N64" s="34">
        <f t="shared" si="0"/>
        <v>0</v>
      </c>
      <c r="O64" s="433"/>
      <c r="P64" s="374">
        <v>2500</v>
      </c>
      <c r="Q64" s="433">
        <v>556</v>
      </c>
      <c r="R64" s="435"/>
      <c r="S64" s="434">
        <v>12527</v>
      </c>
      <c r="T64">
        <v>28</v>
      </c>
    </row>
    <row r="65" spans="1:25" x14ac:dyDescent="0.2">
      <c r="C65" s="375"/>
      <c r="D65" s="436"/>
      <c r="E65" s="375"/>
      <c r="F65" s="375"/>
      <c r="G65" s="375"/>
      <c r="H65" s="436"/>
      <c r="I65" s="34">
        <f t="shared" si="1"/>
        <v>0</v>
      </c>
      <c r="J65" s="436"/>
      <c r="K65" s="437"/>
      <c r="L65" s="436"/>
      <c r="M65" s="34"/>
      <c r="N65" s="34">
        <f t="shared" si="0"/>
        <v>0</v>
      </c>
      <c r="O65" s="436"/>
      <c r="P65" s="375"/>
      <c r="Q65" s="436"/>
      <c r="R65" s="438"/>
      <c r="S65" s="437"/>
    </row>
    <row r="66" spans="1:25" x14ac:dyDescent="0.2">
      <c r="B66">
        <v>29</v>
      </c>
      <c r="C66" s="374">
        <v>23004</v>
      </c>
      <c r="D66" s="433">
        <v>8891</v>
      </c>
      <c r="E66" s="374"/>
      <c r="F66" s="374"/>
      <c r="G66" s="374"/>
      <c r="H66" s="433"/>
      <c r="I66" s="34">
        <f t="shared" si="1"/>
        <v>14113</v>
      </c>
      <c r="J66" s="433">
        <v>4321</v>
      </c>
      <c r="K66" s="434">
        <v>3500</v>
      </c>
      <c r="L66" s="433"/>
      <c r="M66" s="34"/>
      <c r="N66" s="34">
        <f t="shared" si="0"/>
        <v>821</v>
      </c>
      <c r="O66" s="464">
        <v>2910</v>
      </c>
      <c r="P66" s="374">
        <v>4351</v>
      </c>
      <c r="Q66" s="433"/>
      <c r="R66" s="435">
        <v>1630</v>
      </c>
      <c r="S66" s="434">
        <v>9314</v>
      </c>
      <c r="T66">
        <v>29</v>
      </c>
    </row>
    <row r="67" spans="1:25" x14ac:dyDescent="0.2">
      <c r="C67" s="375"/>
      <c r="D67" s="436"/>
      <c r="E67" s="375"/>
      <c r="F67" s="375"/>
      <c r="G67" s="375"/>
      <c r="H67" s="436"/>
      <c r="I67" s="34">
        <f t="shared" si="1"/>
        <v>0</v>
      </c>
      <c r="J67" s="436"/>
      <c r="K67" s="437"/>
      <c r="L67" s="436"/>
      <c r="M67" s="34"/>
      <c r="N67" s="34">
        <f t="shared" si="0"/>
        <v>0</v>
      </c>
      <c r="O67" s="436"/>
      <c r="P67" s="375"/>
      <c r="Q67" s="436"/>
      <c r="R67" s="438"/>
      <c r="S67" s="437"/>
      <c r="V67" s="483" t="s">
        <v>672</v>
      </c>
      <c r="W67" s="42">
        <f>E73+F73+H73+I73+N73+G73</f>
        <v>1376673</v>
      </c>
    </row>
    <row r="68" spans="1:25" x14ac:dyDescent="0.2">
      <c r="B68">
        <v>30</v>
      </c>
      <c r="C68" s="374">
        <v>290952</v>
      </c>
      <c r="D68" s="433">
        <v>150892</v>
      </c>
      <c r="E68" s="374"/>
      <c r="F68" s="374">
        <v>22000</v>
      </c>
      <c r="G68" s="374">
        <v>3289</v>
      </c>
      <c r="H68" s="433">
        <v>4770</v>
      </c>
      <c r="I68" s="34">
        <f>C68-D68-E68-H68-F68-G68</f>
        <v>110001</v>
      </c>
      <c r="J68" s="433">
        <v>198132</v>
      </c>
      <c r="K68" s="434">
        <v>105541</v>
      </c>
      <c r="L68" s="433"/>
      <c r="M68" s="34"/>
      <c r="N68" s="34">
        <f t="shared" si="0"/>
        <v>92591</v>
      </c>
      <c r="O68" s="433">
        <v>79473</v>
      </c>
      <c r="P68" s="374">
        <v>30366</v>
      </c>
      <c r="Q68" s="433">
        <v>9332</v>
      </c>
      <c r="R68" s="435">
        <v>31722</v>
      </c>
      <c r="S68" s="434">
        <v>224066</v>
      </c>
      <c r="T68">
        <v>30</v>
      </c>
      <c r="U68" s="54" t="s">
        <v>823</v>
      </c>
      <c r="V68" s="183" t="s">
        <v>674</v>
      </c>
      <c r="W68" s="449"/>
      <c r="X68" s="42">
        <f>W69-W67</f>
        <v>-194920</v>
      </c>
    </row>
    <row r="69" spans="1:25" x14ac:dyDescent="0.2">
      <c r="C69" s="375"/>
      <c r="D69" s="436"/>
      <c r="E69" s="375"/>
      <c r="F69" s="375"/>
      <c r="G69" s="375"/>
      <c r="H69" s="436"/>
      <c r="I69" s="34">
        <f t="shared" si="1"/>
        <v>0</v>
      </c>
      <c r="J69" s="436"/>
      <c r="K69" s="437"/>
      <c r="L69" s="436"/>
      <c r="M69" s="34"/>
      <c r="N69" s="34">
        <f t="shared" si="0"/>
        <v>0</v>
      </c>
      <c r="O69" s="436"/>
      <c r="P69" s="375"/>
      <c r="Q69" s="436"/>
      <c r="R69" s="438"/>
      <c r="S69" s="437"/>
      <c r="V69" s="183" t="s">
        <v>673</v>
      </c>
      <c r="W69" s="42">
        <f>S73+O73+P73+Q73+R73</f>
        <v>1181753</v>
      </c>
    </row>
    <row r="70" spans="1:25" x14ac:dyDescent="0.2">
      <c r="B70">
        <v>31</v>
      </c>
      <c r="C70" s="374"/>
      <c r="D70" s="433"/>
      <c r="E70" s="374"/>
      <c r="F70" s="374"/>
      <c r="G70" s="374"/>
      <c r="H70" s="433"/>
      <c r="I70" s="34">
        <f t="shared" si="1"/>
        <v>0</v>
      </c>
      <c r="J70" s="433"/>
      <c r="K70" s="434"/>
      <c r="L70" s="433"/>
      <c r="M70" s="34"/>
      <c r="N70" s="34">
        <f t="shared" si="0"/>
        <v>0</v>
      </c>
      <c r="O70" s="433"/>
      <c r="P70" s="374"/>
      <c r="Q70" s="433"/>
      <c r="R70" s="435"/>
      <c r="S70" s="34"/>
      <c r="T70">
        <v>31</v>
      </c>
    </row>
    <row r="71" spans="1:25" ht="13.5" thickBot="1" x14ac:dyDescent="0.25">
      <c r="C71" s="22"/>
      <c r="D71" s="29"/>
      <c r="E71" s="22"/>
      <c r="F71" s="22"/>
      <c r="G71" s="22"/>
      <c r="H71" s="29"/>
      <c r="I71" s="34">
        <f t="shared" si="1"/>
        <v>0</v>
      </c>
      <c r="J71" s="29"/>
      <c r="K71" s="34"/>
      <c r="L71" s="29"/>
      <c r="M71" s="35"/>
      <c r="N71" s="34">
        <f t="shared" si="0"/>
        <v>0</v>
      </c>
      <c r="O71" s="29"/>
      <c r="P71" s="22"/>
      <c r="Q71" s="29"/>
      <c r="R71" s="28"/>
      <c r="S71" s="34"/>
      <c r="V71" s="183" t="s">
        <v>672</v>
      </c>
      <c r="W71" s="42">
        <f>E78+F78+G78+H78+I78+N78</f>
        <v>1345082</v>
      </c>
    </row>
    <row r="72" spans="1:25" x14ac:dyDescent="0.2">
      <c r="C72" s="40"/>
      <c r="D72" s="33"/>
      <c r="E72" s="33"/>
      <c r="F72" s="439"/>
      <c r="G72" s="33"/>
      <c r="H72" s="33"/>
      <c r="I72" s="439"/>
      <c r="J72" s="33"/>
      <c r="K72" s="439"/>
      <c r="L72" s="33"/>
      <c r="M72" s="439"/>
      <c r="N72" s="439"/>
      <c r="O72" s="33"/>
      <c r="P72" s="439"/>
      <c r="Q72" s="33"/>
      <c r="R72" s="439"/>
      <c r="S72" s="33"/>
      <c r="U72" s="54" t="s">
        <v>824</v>
      </c>
      <c r="V72" s="183" t="s">
        <v>674</v>
      </c>
      <c r="W72" s="449"/>
      <c r="X72" s="42">
        <f>W73-W71</f>
        <v>-168879</v>
      </c>
      <c r="Y72" s="42"/>
    </row>
    <row r="73" spans="1:25" x14ac:dyDescent="0.2">
      <c r="A73" s="54" t="s">
        <v>671</v>
      </c>
      <c r="B73" s="1"/>
      <c r="C73" s="34">
        <f>SUM(C9:C71)</f>
        <v>1397206</v>
      </c>
      <c r="D73" s="441">
        <f>SUM(D9:D71)</f>
        <v>525759</v>
      </c>
      <c r="E73" s="34">
        <v>158870</v>
      </c>
      <c r="F73" s="442">
        <f>SUM(F9:F71)</f>
        <v>222821</v>
      </c>
      <c r="G73" s="441">
        <f>SUM(G9:G71)</f>
        <v>12873</v>
      </c>
      <c r="H73" s="441">
        <f>SUM(H9:H71)</f>
        <v>38210</v>
      </c>
      <c r="I73" s="446">
        <f>SUM(I9:I71)</f>
        <v>597543</v>
      </c>
      <c r="J73" s="34">
        <f>SUM(J9:J71)</f>
        <v>635582</v>
      </c>
      <c r="K73" s="441">
        <f t="shared" ref="K73:P73" si="2">SUM(K9:K71)</f>
        <v>289226</v>
      </c>
      <c r="L73" s="441">
        <f>SUM(L9:L71)</f>
        <v>0</v>
      </c>
      <c r="M73" s="441">
        <f t="shared" si="2"/>
        <v>0</v>
      </c>
      <c r="N73" s="446">
        <f>SUM(N9:N71)</f>
        <v>346356</v>
      </c>
      <c r="O73" s="441">
        <f>SUM(O9:O71)</f>
        <v>235060</v>
      </c>
      <c r="P73" s="441">
        <f t="shared" si="2"/>
        <v>109125</v>
      </c>
      <c r="Q73" s="441">
        <f>SUM(Q9:Q71)</f>
        <v>60527</v>
      </c>
      <c r="R73" s="441">
        <f>SUM(R9:R71)</f>
        <v>121056</v>
      </c>
      <c r="S73" s="446">
        <f>SUM(S9:S71)</f>
        <v>655985</v>
      </c>
      <c r="V73" s="183" t="s">
        <v>673</v>
      </c>
      <c r="W73" s="42">
        <f>S78+O78+P78+Q78+R78</f>
        <v>1176203</v>
      </c>
      <c r="X73" s="42">
        <v>-211057</v>
      </c>
    </row>
    <row r="74" spans="1:25" ht="13.5" thickBot="1" x14ac:dyDescent="0.25">
      <c r="C74" s="440"/>
      <c r="D74" s="35"/>
      <c r="E74" s="35"/>
      <c r="F74" s="37"/>
      <c r="G74" s="35"/>
      <c r="H74" s="35"/>
      <c r="I74" s="37"/>
      <c r="J74" s="35"/>
      <c r="K74" s="37"/>
      <c r="L74" s="35"/>
      <c r="M74" s="37"/>
      <c r="N74" s="37"/>
      <c r="O74" s="35"/>
      <c r="P74" s="37"/>
      <c r="Q74" s="35"/>
      <c r="R74" s="37"/>
      <c r="S74" s="35"/>
    </row>
    <row r="75" spans="1:25" x14ac:dyDescent="0.2"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>
        <f>L75+K75</f>
        <v>0</v>
      </c>
      <c r="O75" s="29"/>
      <c r="P75" s="29"/>
      <c r="Q75" s="29"/>
      <c r="R75" s="29"/>
      <c r="S75" s="29"/>
    </row>
    <row r="76" spans="1:25" ht="13.5" thickBot="1" x14ac:dyDescent="0.25">
      <c r="A76" s="94">
        <v>42143</v>
      </c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U76" s="54" t="s">
        <v>837</v>
      </c>
      <c r="V76" s="183" t="s">
        <v>672</v>
      </c>
      <c r="W76" s="42">
        <f>E82+F82+G82+H82+I82+N82</f>
        <v>1069745</v>
      </c>
    </row>
    <row r="77" spans="1:25" x14ac:dyDescent="0.2">
      <c r="A77" s="255"/>
      <c r="C77" s="33"/>
      <c r="D77" s="444"/>
      <c r="E77" s="374"/>
      <c r="F77" s="465"/>
      <c r="G77" s="374"/>
      <c r="H77" s="374"/>
      <c r="I77" s="435"/>
      <c r="J77" s="40"/>
      <c r="K77" s="374"/>
      <c r="L77" s="374"/>
      <c r="M77" s="374"/>
      <c r="N77" s="374"/>
      <c r="O77" s="374"/>
      <c r="P77" s="374"/>
      <c r="Q77" s="374"/>
      <c r="R77" s="374"/>
      <c r="S77" s="374"/>
      <c r="V77" s="183" t="s">
        <v>674</v>
      </c>
      <c r="W77" s="449"/>
      <c r="X77" s="42">
        <f>W78-W76</f>
        <v>-100727</v>
      </c>
      <c r="Y77" s="50"/>
    </row>
    <row r="78" spans="1:25" x14ac:dyDescent="0.2">
      <c r="A78" s="843" t="s">
        <v>652</v>
      </c>
      <c r="C78" s="847">
        <v>1499800</v>
      </c>
      <c r="D78" s="846">
        <v>533029</v>
      </c>
      <c r="E78" s="844"/>
      <c r="F78" s="845">
        <v>312782</v>
      </c>
      <c r="G78" s="844">
        <v>46678</v>
      </c>
      <c r="H78" s="844">
        <v>38210</v>
      </c>
      <c r="I78" s="447">
        <f>C78-D78-E78-H78-F78-G78</f>
        <v>569101</v>
      </c>
      <c r="J78" s="849">
        <v>972285</v>
      </c>
      <c r="K78" s="844">
        <v>349877</v>
      </c>
      <c r="L78" s="844">
        <v>140670</v>
      </c>
      <c r="M78" s="848">
        <v>103427</v>
      </c>
      <c r="N78" s="446">
        <f>J78-K78-L78-M78</f>
        <v>378311</v>
      </c>
      <c r="O78" s="844">
        <v>286035</v>
      </c>
      <c r="P78" s="844">
        <v>59831</v>
      </c>
      <c r="Q78" s="844">
        <v>52041</v>
      </c>
      <c r="R78" s="844">
        <v>135123</v>
      </c>
      <c r="S78" s="448">
        <v>643173</v>
      </c>
      <c r="V78" s="183" t="s">
        <v>673</v>
      </c>
      <c r="W78" s="42">
        <f>S82+O82+P82+Q82+R82</f>
        <v>969018</v>
      </c>
      <c r="X78" s="42">
        <v>-123245</v>
      </c>
      <c r="Y78" s="50"/>
    </row>
    <row r="79" spans="1:25" ht="13.5" thickBot="1" x14ac:dyDescent="0.25">
      <c r="A79" s="261"/>
      <c r="C79" s="16"/>
      <c r="D79" s="84"/>
      <c r="E79" s="981"/>
      <c r="F79" s="466"/>
      <c r="G79" s="981"/>
      <c r="H79" s="981"/>
      <c r="I79" s="89"/>
      <c r="J79" s="11"/>
      <c r="K79" s="981"/>
      <c r="L79" s="981"/>
      <c r="M79" s="981"/>
      <c r="N79" s="981"/>
      <c r="O79" s="981"/>
      <c r="P79" s="981"/>
      <c r="Q79" s="981"/>
      <c r="R79" s="981"/>
      <c r="S79" s="981"/>
      <c r="Y79" s="56"/>
    </row>
    <row r="80" spans="1:25" ht="13.5" thickBot="1" x14ac:dyDescent="0.25">
      <c r="A80" s="204"/>
      <c r="C80" s="15"/>
      <c r="D80" s="81"/>
      <c r="E80" s="66"/>
      <c r="F80" s="450"/>
      <c r="G80" s="66"/>
      <c r="H80" s="66"/>
      <c r="I80" s="88"/>
      <c r="J80" s="5"/>
      <c r="K80" s="66"/>
      <c r="L80" s="66"/>
      <c r="M80" s="66"/>
      <c r="N80" s="66"/>
      <c r="O80" s="66"/>
      <c r="P80" s="66"/>
      <c r="Q80" s="66"/>
      <c r="R80" s="66"/>
      <c r="S80" s="66"/>
      <c r="Y80" s="56"/>
    </row>
    <row r="81" spans="1:25" x14ac:dyDescent="0.2">
      <c r="A81" s="443"/>
      <c r="C81" s="33"/>
      <c r="D81" s="444"/>
      <c r="E81" s="374"/>
      <c r="F81" s="465"/>
      <c r="G81" s="374"/>
      <c r="H81" s="374"/>
      <c r="I81" s="435"/>
      <c r="J81" s="40"/>
      <c r="K81" s="374"/>
      <c r="L81" s="374"/>
      <c r="M81" s="374"/>
      <c r="N81" s="374"/>
      <c r="O81" s="374"/>
      <c r="P81" s="374"/>
      <c r="Q81" s="374"/>
      <c r="R81" s="374"/>
      <c r="S81" s="374"/>
    </row>
    <row r="82" spans="1:25" x14ac:dyDescent="0.2">
      <c r="A82" s="843" t="s">
        <v>803</v>
      </c>
      <c r="C82" s="847">
        <v>1216090</v>
      </c>
      <c r="D82" s="846">
        <v>474934</v>
      </c>
      <c r="E82" s="844"/>
      <c r="F82" s="845">
        <v>219858</v>
      </c>
      <c r="G82" s="844">
        <v>35387</v>
      </c>
      <c r="H82" s="844">
        <v>47242</v>
      </c>
      <c r="I82" s="447">
        <f>C82-D82-E82-H82-F82-G82</f>
        <v>438669</v>
      </c>
      <c r="J82" s="849">
        <v>780384</v>
      </c>
      <c r="K82" s="844">
        <v>286105</v>
      </c>
      <c r="L82" s="844">
        <v>24166</v>
      </c>
      <c r="M82" s="848">
        <v>141524</v>
      </c>
      <c r="N82" s="446">
        <f>J82-K82-L82-M82</f>
        <v>328589</v>
      </c>
      <c r="O82" s="844">
        <v>288675</v>
      </c>
      <c r="P82" s="844">
        <v>46350</v>
      </c>
      <c r="Q82" s="844">
        <v>15103</v>
      </c>
      <c r="R82" s="844">
        <v>124806</v>
      </c>
      <c r="S82" s="448">
        <v>494084</v>
      </c>
    </row>
    <row r="83" spans="1:25" ht="13.5" thickBot="1" x14ac:dyDescent="0.25">
      <c r="A83" s="981"/>
      <c r="C83" s="16"/>
      <c r="D83" s="84"/>
      <c r="E83" s="981"/>
      <c r="F83" s="466"/>
      <c r="G83" s="981"/>
      <c r="H83" s="981"/>
      <c r="I83" s="89"/>
      <c r="J83" s="11"/>
      <c r="K83" s="981"/>
      <c r="L83" s="981"/>
      <c r="M83" s="981"/>
      <c r="N83" s="981"/>
      <c r="O83" s="981"/>
      <c r="P83" s="981"/>
      <c r="Q83" s="981"/>
      <c r="R83" s="981"/>
      <c r="S83" s="981"/>
    </row>
    <row r="84" spans="1:25" x14ac:dyDescent="0.2">
      <c r="U84" s="183"/>
    </row>
    <row r="85" spans="1:25" x14ac:dyDescent="0.2">
      <c r="U85" s="183"/>
      <c r="V85" s="183"/>
      <c r="W85" s="183"/>
      <c r="X85" s="17"/>
      <c r="Y85" s="50"/>
    </row>
    <row r="86" spans="1:25" x14ac:dyDescent="0.2">
      <c r="W86" s="183"/>
      <c r="X86" s="17"/>
      <c r="Y86" s="50"/>
    </row>
    <row r="87" spans="1:25" x14ac:dyDescent="0.2">
      <c r="Y87" s="56"/>
    </row>
    <row r="88" spans="1:25" x14ac:dyDescent="0.2">
      <c r="U88" s="183"/>
      <c r="V88" s="183"/>
      <c r="W88" s="183"/>
      <c r="X88" s="17"/>
      <c r="Y88" s="50"/>
    </row>
  </sheetData>
  <pageMargins left="0.70866141732283472" right="0.70866141732283472" top="0.74803149606299213" bottom="0.74803149606299213" header="0.31496062992125984" footer="0.31496062992125984"/>
  <pageSetup paperSize="9" scale="46" fitToWidth="2" orientation="landscape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>
    <pageSetUpPr fitToPage="1"/>
  </sheetPr>
  <dimension ref="A1:Y88"/>
  <sheetViews>
    <sheetView workbookViewId="0">
      <selection sqref="A1:X92"/>
    </sheetView>
  </sheetViews>
  <sheetFormatPr defaultColWidth="11.42578125" defaultRowHeight="12.75" x14ac:dyDescent="0.2"/>
  <cols>
    <col min="1" max="1" width="12.28515625" customWidth="1"/>
    <col min="2" max="2" width="3.28515625" customWidth="1"/>
    <col min="3" max="3" width="11.85546875" bestFit="1" customWidth="1"/>
    <col min="4" max="5" width="11.5703125" bestFit="1" customWidth="1"/>
    <col min="6" max="7" width="11.5703125" customWidth="1"/>
    <col min="8" max="8" width="11.5703125" bestFit="1" customWidth="1"/>
    <col min="9" max="10" width="11.85546875" bestFit="1" customWidth="1"/>
    <col min="11" max="12" width="11.5703125" bestFit="1" customWidth="1"/>
    <col min="13" max="13" width="11.5703125" customWidth="1"/>
    <col min="14" max="19" width="11.5703125" bestFit="1" customWidth="1"/>
    <col min="20" max="20" width="4.85546875" customWidth="1"/>
    <col min="22" max="22" width="15.85546875" customWidth="1"/>
    <col min="23" max="24" width="11.85546875" bestFit="1" customWidth="1"/>
    <col min="25" max="25" width="12.85546875" bestFit="1" customWidth="1"/>
  </cols>
  <sheetData>
    <row r="1" spans="2:20" ht="18" x14ac:dyDescent="0.25">
      <c r="J1" s="208" t="s">
        <v>1030</v>
      </c>
      <c r="Q1" s="94">
        <v>42174</v>
      </c>
    </row>
    <row r="3" spans="2:20" ht="13.5" thickBot="1" x14ac:dyDescent="0.25"/>
    <row r="4" spans="2:20" ht="15.75" x14ac:dyDescent="0.25">
      <c r="C4" s="102"/>
      <c r="D4" s="87"/>
      <c r="E4" s="430" t="s">
        <v>33</v>
      </c>
      <c r="F4" s="430"/>
      <c r="G4" s="430"/>
      <c r="H4" s="430"/>
      <c r="I4" s="431"/>
      <c r="J4" s="432"/>
      <c r="K4" s="430" t="s">
        <v>664</v>
      </c>
      <c r="L4" s="430"/>
      <c r="M4" s="430"/>
      <c r="N4" s="430"/>
      <c r="O4" s="432"/>
      <c r="P4" s="430" t="s">
        <v>668</v>
      </c>
      <c r="Q4" s="430"/>
      <c r="R4" s="87"/>
      <c r="S4" s="13"/>
    </row>
    <row r="5" spans="2:20" ht="13.5" thickBot="1" x14ac:dyDescent="0.25">
      <c r="C5" s="89"/>
      <c r="D5" s="90"/>
      <c r="E5" s="90"/>
      <c r="F5" s="90"/>
      <c r="G5" s="90"/>
      <c r="H5" s="90"/>
      <c r="I5" s="81"/>
      <c r="J5" s="89"/>
      <c r="K5" s="6"/>
      <c r="L5" s="90"/>
      <c r="M5" s="6"/>
      <c r="N5" s="6"/>
      <c r="O5" s="88"/>
      <c r="P5" s="6"/>
      <c r="Q5" s="6"/>
      <c r="R5" s="6"/>
      <c r="S5" s="205" t="s">
        <v>32</v>
      </c>
    </row>
    <row r="6" spans="2:20" x14ac:dyDescent="0.2">
      <c r="C6" s="255"/>
      <c r="D6" s="6"/>
      <c r="E6" s="255"/>
      <c r="F6" s="255"/>
      <c r="G6" s="255"/>
      <c r="H6" s="6"/>
      <c r="I6" s="13"/>
      <c r="J6" s="6"/>
      <c r="K6" s="428"/>
      <c r="L6" s="6"/>
      <c r="M6" s="26" t="s">
        <v>702</v>
      </c>
      <c r="N6" s="2"/>
      <c r="O6" s="255"/>
      <c r="P6" s="87"/>
      <c r="Q6" s="255"/>
      <c r="R6" s="87"/>
      <c r="S6" s="205" t="s">
        <v>669</v>
      </c>
    </row>
    <row r="7" spans="2:20" x14ac:dyDescent="0.2">
      <c r="C7" s="73" t="s">
        <v>132</v>
      </c>
      <c r="D7" s="1022" t="s">
        <v>287</v>
      </c>
      <c r="E7" s="73" t="s">
        <v>660</v>
      </c>
      <c r="F7" s="148" t="s">
        <v>485</v>
      </c>
      <c r="G7" s="148" t="s">
        <v>670</v>
      </c>
      <c r="H7" s="1022" t="s">
        <v>661</v>
      </c>
      <c r="I7" s="205" t="s">
        <v>662</v>
      </c>
      <c r="J7" s="1022" t="s">
        <v>132</v>
      </c>
      <c r="K7" s="205" t="s">
        <v>663</v>
      </c>
      <c r="L7" s="93" t="s">
        <v>701</v>
      </c>
      <c r="M7" s="205" t="s">
        <v>495</v>
      </c>
      <c r="N7" s="396" t="s">
        <v>662</v>
      </c>
      <c r="O7" s="131" t="s">
        <v>665</v>
      </c>
      <c r="P7" s="135" t="s">
        <v>666</v>
      </c>
      <c r="Q7" s="131" t="s">
        <v>667</v>
      </c>
      <c r="R7" s="135" t="s">
        <v>397</v>
      </c>
      <c r="S7" s="15"/>
    </row>
    <row r="8" spans="2:20" x14ac:dyDescent="0.2">
      <c r="C8" s="1023"/>
      <c r="D8" s="424"/>
      <c r="E8" s="1023"/>
      <c r="F8" s="1023"/>
      <c r="G8" s="1023"/>
      <c r="H8" s="424"/>
      <c r="I8" s="425"/>
      <c r="J8" s="424"/>
      <c r="K8" s="429"/>
      <c r="L8" s="424"/>
      <c r="M8" s="425"/>
      <c r="N8" s="426"/>
      <c r="O8" s="1024"/>
      <c r="P8" s="90"/>
      <c r="Q8" s="1024"/>
      <c r="R8" s="90"/>
      <c r="S8" s="427"/>
    </row>
    <row r="9" spans="2:20" x14ac:dyDescent="0.2">
      <c r="C9" s="374"/>
      <c r="D9" s="433"/>
      <c r="E9" s="374"/>
      <c r="F9" s="374"/>
      <c r="G9" s="374"/>
      <c r="H9" s="433"/>
      <c r="I9" s="434"/>
      <c r="J9" s="433"/>
      <c r="K9" s="434"/>
      <c r="L9" s="433"/>
      <c r="M9" s="434"/>
      <c r="N9" s="434"/>
      <c r="O9" s="433"/>
      <c r="P9" s="374"/>
      <c r="Q9" s="433"/>
      <c r="R9" s="435"/>
      <c r="S9" s="434"/>
    </row>
    <row r="10" spans="2:20" ht="14.25" customHeight="1" x14ac:dyDescent="0.2">
      <c r="B10">
        <v>1</v>
      </c>
      <c r="C10" s="22">
        <v>170922</v>
      </c>
      <c r="D10" s="29">
        <v>6591</v>
      </c>
      <c r="E10" s="22"/>
      <c r="F10" s="22">
        <v>156010</v>
      </c>
      <c r="G10" s="22"/>
      <c r="H10" s="29">
        <v>8321</v>
      </c>
      <c r="I10" s="34">
        <f>C10-D10-E10-H10-F10-G10</f>
        <v>0</v>
      </c>
      <c r="J10" s="29">
        <v>3648</v>
      </c>
      <c r="K10" s="34"/>
      <c r="L10" s="29"/>
      <c r="M10" s="34"/>
      <c r="N10" s="34">
        <f>J10-K10-L10-M10</f>
        <v>3648</v>
      </c>
      <c r="O10" s="463">
        <v>1660</v>
      </c>
      <c r="P10" s="22"/>
      <c r="Q10" s="29"/>
      <c r="R10" s="28">
        <v>4931</v>
      </c>
      <c r="S10" s="34">
        <v>10421</v>
      </c>
      <c r="T10">
        <v>1</v>
      </c>
    </row>
    <row r="11" spans="2:20" x14ac:dyDescent="0.2">
      <c r="C11" s="375"/>
      <c r="D11" s="436"/>
      <c r="E11" s="375"/>
      <c r="F11" s="894"/>
      <c r="G11" s="375"/>
      <c r="H11" s="436"/>
      <c r="I11" s="437"/>
      <c r="J11" s="436"/>
      <c r="K11" s="437"/>
      <c r="L11" s="436"/>
      <c r="M11" s="437"/>
      <c r="N11" s="34">
        <f t="shared" ref="N11:N71" si="0">J11-K11-L11-M11</f>
        <v>0</v>
      </c>
      <c r="O11" s="436"/>
      <c r="P11" s="375"/>
      <c r="Q11" s="436"/>
      <c r="R11" s="438"/>
      <c r="S11" s="437"/>
    </row>
    <row r="12" spans="2:20" x14ac:dyDescent="0.2">
      <c r="B12">
        <v>2</v>
      </c>
      <c r="C12" s="374">
        <v>3130</v>
      </c>
      <c r="D12" s="433">
        <v>3130</v>
      </c>
      <c r="E12" s="374"/>
      <c r="F12" s="374"/>
      <c r="G12" s="374"/>
      <c r="H12" s="433"/>
      <c r="I12" s="34">
        <f>C12-D12-E12-H12-F12-G12</f>
        <v>0</v>
      </c>
      <c r="J12" s="433">
        <v>2861</v>
      </c>
      <c r="K12" s="434"/>
      <c r="L12" s="433">
        <v>2861</v>
      </c>
      <c r="M12" s="34"/>
      <c r="N12" s="34">
        <f t="shared" si="0"/>
        <v>0</v>
      </c>
      <c r="O12" s="433">
        <v>3130</v>
      </c>
      <c r="P12" s="374"/>
      <c r="Q12" s="433"/>
      <c r="R12" s="435"/>
      <c r="S12" s="434">
        <v>2861</v>
      </c>
      <c r="T12">
        <v>2</v>
      </c>
    </row>
    <row r="13" spans="2:20" x14ac:dyDescent="0.2">
      <c r="C13" s="375"/>
      <c r="D13" s="436"/>
      <c r="E13" s="375"/>
      <c r="F13" s="375"/>
      <c r="G13" s="375"/>
      <c r="H13" s="436"/>
      <c r="I13" s="34"/>
      <c r="J13" s="436"/>
      <c r="K13" s="437"/>
      <c r="L13" s="436"/>
      <c r="M13" s="34"/>
      <c r="N13" s="34">
        <f t="shared" si="0"/>
        <v>0</v>
      </c>
      <c r="O13" s="436"/>
      <c r="P13" s="375"/>
      <c r="Q13" s="436"/>
      <c r="R13" s="438"/>
      <c r="S13" s="437"/>
    </row>
    <row r="14" spans="2:20" x14ac:dyDescent="0.2">
      <c r="B14">
        <v>3</v>
      </c>
      <c r="C14" s="374">
        <v>9924</v>
      </c>
      <c r="D14" s="433">
        <v>1424</v>
      </c>
      <c r="E14" s="374"/>
      <c r="F14" s="374"/>
      <c r="G14" s="374"/>
      <c r="H14" s="433"/>
      <c r="I14" s="34">
        <f t="shared" ref="I14:I71" si="1">C14-D14-E14-H14-F14-G14</f>
        <v>8500</v>
      </c>
      <c r="J14" s="433">
        <v>14747</v>
      </c>
      <c r="K14" s="434">
        <v>6998</v>
      </c>
      <c r="L14" s="433"/>
      <c r="M14" s="34"/>
      <c r="N14" s="34">
        <f>J14-K14-L14-M14</f>
        <v>7749</v>
      </c>
      <c r="O14" s="433">
        <v>800</v>
      </c>
      <c r="P14" s="374"/>
      <c r="Q14" s="433"/>
      <c r="R14" s="435">
        <v>624</v>
      </c>
      <c r="S14" s="434">
        <v>7277</v>
      </c>
      <c r="T14">
        <v>3</v>
      </c>
    </row>
    <row r="15" spans="2:20" x14ac:dyDescent="0.2">
      <c r="C15" s="375"/>
      <c r="D15" s="436"/>
      <c r="E15" s="375"/>
      <c r="F15" s="375"/>
      <c r="G15" s="375"/>
      <c r="H15" s="436"/>
      <c r="I15" s="34">
        <f t="shared" si="1"/>
        <v>0</v>
      </c>
      <c r="J15" s="436"/>
      <c r="K15" s="437"/>
      <c r="L15" s="436"/>
      <c r="M15" s="34"/>
      <c r="N15" s="34">
        <f t="shared" si="0"/>
        <v>0</v>
      </c>
      <c r="O15" s="436"/>
      <c r="P15" s="375"/>
      <c r="Q15" s="436"/>
      <c r="R15" s="438"/>
      <c r="S15" s="437"/>
    </row>
    <row r="16" spans="2:20" x14ac:dyDescent="0.2">
      <c r="B16">
        <v>4</v>
      </c>
      <c r="C16" s="374">
        <v>4646</v>
      </c>
      <c r="D16" s="433">
        <v>2599</v>
      </c>
      <c r="E16" s="374"/>
      <c r="F16" s="374"/>
      <c r="G16" s="374"/>
      <c r="H16" s="433"/>
      <c r="I16" s="34">
        <f t="shared" si="1"/>
        <v>2047</v>
      </c>
      <c r="J16" s="433">
        <v>2157</v>
      </c>
      <c r="K16" s="434"/>
      <c r="L16" s="433"/>
      <c r="M16" s="34">
        <v>1032</v>
      </c>
      <c r="N16" s="34">
        <f t="shared" si="0"/>
        <v>1125</v>
      </c>
      <c r="O16" s="464"/>
      <c r="P16" s="374"/>
      <c r="Q16" s="433"/>
      <c r="R16" s="435">
        <v>2599</v>
      </c>
      <c r="S16" s="434">
        <v>1032</v>
      </c>
      <c r="T16">
        <v>4</v>
      </c>
    </row>
    <row r="17" spans="2:20" x14ac:dyDescent="0.2">
      <c r="C17" s="375"/>
      <c r="D17" s="436"/>
      <c r="E17" s="375"/>
      <c r="F17" s="375"/>
      <c r="G17" s="375"/>
      <c r="H17" s="436"/>
      <c r="I17" s="34">
        <f t="shared" si="1"/>
        <v>0</v>
      </c>
      <c r="J17" s="436"/>
      <c r="K17" s="437"/>
      <c r="L17" s="436"/>
      <c r="M17" s="34"/>
      <c r="N17" s="34">
        <f t="shared" si="0"/>
        <v>0</v>
      </c>
      <c r="O17" s="436"/>
      <c r="P17" s="375"/>
      <c r="Q17" s="436"/>
      <c r="R17" s="438"/>
      <c r="S17" s="437"/>
    </row>
    <row r="18" spans="2:20" x14ac:dyDescent="0.2">
      <c r="B18">
        <v>5</v>
      </c>
      <c r="C18" s="374">
        <v>51884</v>
      </c>
      <c r="D18" s="433">
        <v>21216</v>
      </c>
      <c r="E18" s="374"/>
      <c r="F18" s="374"/>
      <c r="G18" s="374"/>
      <c r="H18" s="433"/>
      <c r="I18" s="34">
        <f t="shared" si="1"/>
        <v>30668</v>
      </c>
      <c r="J18" s="433">
        <v>16426</v>
      </c>
      <c r="K18" s="434">
        <v>13865</v>
      </c>
      <c r="L18" s="433">
        <v>2561</v>
      </c>
      <c r="M18" s="34"/>
      <c r="N18" s="34">
        <f t="shared" si="0"/>
        <v>0</v>
      </c>
      <c r="O18" s="433">
        <v>13920</v>
      </c>
      <c r="P18" s="374">
        <v>6243</v>
      </c>
      <c r="Q18" s="433">
        <v>1053</v>
      </c>
      <c r="R18" s="435"/>
      <c r="S18" s="434">
        <v>19665</v>
      </c>
      <c r="T18">
        <v>5</v>
      </c>
    </row>
    <row r="19" spans="2:20" x14ac:dyDescent="0.2">
      <c r="C19" s="375"/>
      <c r="D19" s="436"/>
      <c r="E19" s="375"/>
      <c r="F19" s="375"/>
      <c r="G19" s="375"/>
      <c r="H19" s="436"/>
      <c r="I19" s="34">
        <f t="shared" si="1"/>
        <v>0</v>
      </c>
      <c r="J19" s="436"/>
      <c r="K19" s="437"/>
      <c r="L19" s="436"/>
      <c r="M19" s="34"/>
      <c r="N19" s="34">
        <f t="shared" si="0"/>
        <v>0</v>
      </c>
      <c r="O19" s="436"/>
      <c r="P19" s="375"/>
      <c r="Q19" s="436"/>
      <c r="R19" s="438"/>
      <c r="S19" s="437"/>
    </row>
    <row r="20" spans="2:20" x14ac:dyDescent="0.2">
      <c r="B20">
        <v>6</v>
      </c>
      <c r="C20" s="374">
        <v>188117</v>
      </c>
      <c r="D20" s="433">
        <v>5833</v>
      </c>
      <c r="E20" s="374"/>
      <c r="F20" s="374">
        <v>156000</v>
      </c>
      <c r="G20" s="374"/>
      <c r="H20" s="433"/>
      <c r="I20" s="34">
        <f t="shared" si="1"/>
        <v>26284</v>
      </c>
      <c r="J20" s="433">
        <v>12863</v>
      </c>
      <c r="K20" s="434">
        <v>1348</v>
      </c>
      <c r="L20" s="433">
        <v>2861</v>
      </c>
      <c r="M20" s="34">
        <v>952</v>
      </c>
      <c r="N20" s="34">
        <f t="shared" si="0"/>
        <v>7702</v>
      </c>
      <c r="O20" s="464">
        <v>3160</v>
      </c>
      <c r="P20" s="374"/>
      <c r="Q20" s="433">
        <v>1448</v>
      </c>
      <c r="R20" s="435">
        <v>1225</v>
      </c>
      <c r="S20" s="434">
        <v>7540</v>
      </c>
      <c r="T20">
        <v>6</v>
      </c>
    </row>
    <row r="21" spans="2:20" x14ac:dyDescent="0.2">
      <c r="C21" s="375"/>
      <c r="D21" s="436"/>
      <c r="E21" s="375"/>
      <c r="F21" s="893"/>
      <c r="G21" s="375"/>
      <c r="H21" s="436"/>
      <c r="I21" s="34">
        <f t="shared" si="1"/>
        <v>0</v>
      </c>
      <c r="J21" s="436"/>
      <c r="K21" s="437"/>
      <c r="L21" s="436"/>
      <c r="M21" s="34"/>
      <c r="N21" s="34">
        <f t="shared" si="0"/>
        <v>0</v>
      </c>
      <c r="O21" s="436"/>
      <c r="P21" s="375"/>
      <c r="Q21" s="436"/>
      <c r="R21" s="438"/>
      <c r="S21" s="437"/>
    </row>
    <row r="22" spans="2:20" x14ac:dyDescent="0.2">
      <c r="B22">
        <v>7</v>
      </c>
      <c r="C22" s="374">
        <v>16865</v>
      </c>
      <c r="D22" s="433">
        <v>580</v>
      </c>
      <c r="E22" s="374"/>
      <c r="F22" s="374"/>
      <c r="G22" s="374">
        <v>4112</v>
      </c>
      <c r="H22" s="433"/>
      <c r="I22" s="34">
        <f t="shared" si="1"/>
        <v>12173</v>
      </c>
      <c r="J22" s="433">
        <v>19700</v>
      </c>
      <c r="K22" s="434"/>
      <c r="L22" s="433"/>
      <c r="M22" s="34"/>
      <c r="N22" s="34">
        <f t="shared" si="0"/>
        <v>19700</v>
      </c>
      <c r="O22" s="433"/>
      <c r="P22" s="374"/>
      <c r="Q22" s="433"/>
      <c r="R22" s="435">
        <v>580</v>
      </c>
      <c r="S22" s="434">
        <v>1419</v>
      </c>
      <c r="T22">
        <v>7</v>
      </c>
    </row>
    <row r="23" spans="2:20" x14ac:dyDescent="0.2">
      <c r="C23" s="375"/>
      <c r="D23" s="436"/>
      <c r="E23" s="375"/>
      <c r="F23" s="375"/>
      <c r="G23" s="375"/>
      <c r="H23" s="436"/>
      <c r="I23" s="34">
        <f t="shared" si="1"/>
        <v>0</v>
      </c>
      <c r="J23" s="436"/>
      <c r="K23" s="437"/>
      <c r="L23" s="436"/>
      <c r="M23" s="34"/>
      <c r="N23" s="34">
        <f t="shared" si="0"/>
        <v>0</v>
      </c>
      <c r="O23" s="436"/>
      <c r="P23" s="375"/>
      <c r="Q23" s="436"/>
      <c r="R23" s="438"/>
      <c r="S23" s="437"/>
    </row>
    <row r="24" spans="2:20" x14ac:dyDescent="0.2">
      <c r="B24">
        <v>8</v>
      </c>
      <c r="C24" s="374">
        <v>20426</v>
      </c>
      <c r="D24" s="433">
        <v>18028</v>
      </c>
      <c r="E24" s="374"/>
      <c r="F24" s="374"/>
      <c r="G24" s="374"/>
      <c r="H24" s="433"/>
      <c r="I24" s="34">
        <f t="shared" si="1"/>
        <v>2398</v>
      </c>
      <c r="J24" s="433">
        <v>13590</v>
      </c>
      <c r="K24" s="434">
        <v>3265</v>
      </c>
      <c r="L24" s="433">
        <v>1475</v>
      </c>
      <c r="M24" s="34">
        <v>8850</v>
      </c>
      <c r="N24" s="34">
        <f t="shared" si="0"/>
        <v>0</v>
      </c>
      <c r="O24" s="433">
        <v>9876</v>
      </c>
      <c r="P24" s="374"/>
      <c r="Q24" s="433">
        <v>2203</v>
      </c>
      <c r="R24" s="435">
        <v>5949</v>
      </c>
      <c r="S24" s="434">
        <v>16590</v>
      </c>
      <c r="T24">
        <v>8</v>
      </c>
    </row>
    <row r="25" spans="2:20" x14ac:dyDescent="0.2">
      <c r="C25" s="375"/>
      <c r="D25" s="436"/>
      <c r="E25" s="375"/>
      <c r="F25" s="375"/>
      <c r="G25" s="375"/>
      <c r="H25" s="436"/>
      <c r="I25" s="34">
        <f t="shared" si="1"/>
        <v>0</v>
      </c>
      <c r="J25" s="436"/>
      <c r="K25" s="437"/>
      <c r="L25" s="436"/>
      <c r="M25" s="34"/>
      <c r="N25" s="34">
        <f t="shared" si="0"/>
        <v>0</v>
      </c>
      <c r="O25" s="436"/>
      <c r="P25" s="375"/>
      <c r="Q25" s="436"/>
      <c r="R25" s="438"/>
      <c r="S25" s="437"/>
    </row>
    <row r="26" spans="2:20" x14ac:dyDescent="0.2">
      <c r="B26">
        <v>9</v>
      </c>
      <c r="C26" s="374">
        <v>21373</v>
      </c>
      <c r="D26" s="433">
        <v>3647</v>
      </c>
      <c r="E26" s="374"/>
      <c r="F26" s="374"/>
      <c r="G26" s="374"/>
      <c r="H26" s="433"/>
      <c r="I26" s="34">
        <f t="shared" si="1"/>
        <v>17726</v>
      </c>
      <c r="J26" s="433">
        <v>2862</v>
      </c>
      <c r="K26" s="434"/>
      <c r="L26" s="433">
        <v>2862</v>
      </c>
      <c r="M26" s="34"/>
      <c r="N26" s="34">
        <f t="shared" si="0"/>
        <v>0</v>
      </c>
      <c r="O26" s="433">
        <v>3647</v>
      </c>
      <c r="P26" s="374"/>
      <c r="Q26" s="433"/>
      <c r="R26" s="435"/>
      <c r="S26" s="434">
        <v>3094</v>
      </c>
      <c r="T26">
        <v>9</v>
      </c>
    </row>
    <row r="27" spans="2:20" x14ac:dyDescent="0.2">
      <c r="C27" s="375"/>
      <c r="D27" s="436"/>
      <c r="E27" s="375"/>
      <c r="F27" s="375"/>
      <c r="G27" s="375"/>
      <c r="H27" s="436"/>
      <c r="I27" s="34">
        <f t="shared" si="1"/>
        <v>0</v>
      </c>
      <c r="J27" s="436"/>
      <c r="K27" s="437"/>
      <c r="L27" s="436"/>
      <c r="M27" s="34"/>
      <c r="N27" s="34">
        <f t="shared" si="0"/>
        <v>0</v>
      </c>
      <c r="O27" s="436"/>
      <c r="P27" s="375"/>
      <c r="Q27" s="436"/>
      <c r="R27" s="438"/>
      <c r="S27" s="437"/>
    </row>
    <row r="28" spans="2:20" x14ac:dyDescent="0.2">
      <c r="B28">
        <v>10</v>
      </c>
      <c r="C28" s="374">
        <v>86249</v>
      </c>
      <c r="D28" s="433">
        <v>60577</v>
      </c>
      <c r="E28" s="374"/>
      <c r="F28" s="374"/>
      <c r="G28" s="374"/>
      <c r="H28" s="433"/>
      <c r="I28" s="34">
        <f t="shared" si="1"/>
        <v>25672</v>
      </c>
      <c r="J28" s="433">
        <v>105636</v>
      </c>
      <c r="K28" s="434">
        <v>50038</v>
      </c>
      <c r="L28" s="433">
        <v>11100</v>
      </c>
      <c r="M28" s="34">
        <v>4450</v>
      </c>
      <c r="N28" s="34">
        <f t="shared" si="0"/>
        <v>40048</v>
      </c>
      <c r="O28" s="433">
        <v>26329</v>
      </c>
      <c r="P28" s="374">
        <v>7082</v>
      </c>
      <c r="Q28" s="433">
        <v>4340</v>
      </c>
      <c r="R28" s="435">
        <v>22826</v>
      </c>
      <c r="S28" s="434">
        <v>71199</v>
      </c>
      <c r="T28">
        <v>10</v>
      </c>
    </row>
    <row r="29" spans="2:20" x14ac:dyDescent="0.2">
      <c r="C29" s="375"/>
      <c r="D29" s="436"/>
      <c r="E29" s="375"/>
      <c r="F29" s="375"/>
      <c r="G29" s="375"/>
      <c r="H29" s="436"/>
      <c r="I29" s="34">
        <f t="shared" si="1"/>
        <v>0</v>
      </c>
      <c r="J29" s="436"/>
      <c r="K29" s="437"/>
      <c r="L29" s="436"/>
      <c r="M29" s="34"/>
      <c r="N29" s="34">
        <f t="shared" si="0"/>
        <v>0</v>
      </c>
      <c r="O29" s="436"/>
      <c r="P29" s="375"/>
      <c r="Q29" s="436"/>
      <c r="R29" s="438"/>
      <c r="S29" s="437"/>
    </row>
    <row r="30" spans="2:20" s="58" customFormat="1" x14ac:dyDescent="0.2">
      <c r="B30" s="58">
        <v>11</v>
      </c>
      <c r="C30" s="919">
        <v>7573</v>
      </c>
      <c r="D30" s="920">
        <v>7573</v>
      </c>
      <c r="E30" s="919"/>
      <c r="F30" s="919"/>
      <c r="G30" s="919"/>
      <c r="H30" s="920"/>
      <c r="I30" s="492">
        <f t="shared" si="1"/>
        <v>0</v>
      </c>
      <c r="J30" s="920">
        <v>12597</v>
      </c>
      <c r="K30" s="921"/>
      <c r="L30" s="920"/>
      <c r="M30" s="492"/>
      <c r="N30" s="492">
        <f t="shared" si="0"/>
        <v>12597</v>
      </c>
      <c r="O30" s="920">
        <v>2306</v>
      </c>
      <c r="P30" s="919">
        <v>2599</v>
      </c>
      <c r="Q30" s="920"/>
      <c r="R30" s="922">
        <v>2668</v>
      </c>
      <c r="S30" s="921">
        <v>281</v>
      </c>
      <c r="T30" s="58">
        <v>11</v>
      </c>
    </row>
    <row r="31" spans="2:20" x14ac:dyDescent="0.2">
      <c r="C31" s="375"/>
      <c r="D31" s="436"/>
      <c r="E31" s="375"/>
      <c r="F31" s="375"/>
      <c r="G31" s="375"/>
      <c r="H31" s="436"/>
      <c r="I31" s="34">
        <f t="shared" si="1"/>
        <v>0</v>
      </c>
      <c r="J31" s="436"/>
      <c r="K31" s="437"/>
      <c r="L31" s="436"/>
      <c r="M31" s="34"/>
      <c r="N31" s="34">
        <f t="shared" si="0"/>
        <v>0</v>
      </c>
      <c r="O31" s="436"/>
      <c r="P31" s="375"/>
      <c r="Q31" s="436"/>
      <c r="R31" s="438"/>
      <c r="S31" s="437"/>
    </row>
    <row r="32" spans="2:20" x14ac:dyDescent="0.2">
      <c r="B32">
        <v>12</v>
      </c>
      <c r="C32" s="374">
        <v>10846</v>
      </c>
      <c r="D32" s="433">
        <v>4668</v>
      </c>
      <c r="E32" s="374"/>
      <c r="F32" s="374"/>
      <c r="G32" s="374"/>
      <c r="H32" s="433"/>
      <c r="I32" s="34">
        <f t="shared" si="1"/>
        <v>6178</v>
      </c>
      <c r="J32" s="433">
        <v>18189</v>
      </c>
      <c r="K32" s="434">
        <v>10714</v>
      </c>
      <c r="L32" s="433">
        <v>1475</v>
      </c>
      <c r="M32" s="34">
        <v>6000</v>
      </c>
      <c r="N32" s="34">
        <f t="shared" si="0"/>
        <v>0</v>
      </c>
      <c r="O32" s="464">
        <v>4668</v>
      </c>
      <c r="P32" s="374"/>
      <c r="Q32" s="433"/>
      <c r="R32" s="435"/>
      <c r="S32" s="434">
        <v>19468</v>
      </c>
      <c r="T32">
        <v>12</v>
      </c>
    </row>
    <row r="33" spans="2:20" x14ac:dyDescent="0.2">
      <c r="C33" s="375"/>
      <c r="D33" s="436"/>
      <c r="E33" s="375"/>
      <c r="F33" s="375"/>
      <c r="G33" s="375"/>
      <c r="H33" s="436"/>
      <c r="I33" s="34">
        <f t="shared" si="1"/>
        <v>0</v>
      </c>
      <c r="J33" s="436"/>
      <c r="K33" s="437"/>
      <c r="L33" s="436"/>
      <c r="M33" s="34"/>
      <c r="N33" s="34">
        <f t="shared" si="0"/>
        <v>0</v>
      </c>
      <c r="O33" s="436"/>
      <c r="P33" s="375"/>
      <c r="Q33" s="436"/>
      <c r="R33" s="438"/>
      <c r="S33" s="437"/>
    </row>
    <row r="34" spans="2:20" x14ac:dyDescent="0.2">
      <c r="B34">
        <v>13</v>
      </c>
      <c r="C34" s="374">
        <v>15381</v>
      </c>
      <c r="D34" s="433">
        <v>13899</v>
      </c>
      <c r="E34" s="374"/>
      <c r="F34" s="374"/>
      <c r="G34" s="374"/>
      <c r="H34" s="433"/>
      <c r="I34" s="34">
        <f t="shared" si="1"/>
        <v>1482</v>
      </c>
      <c r="J34" s="433">
        <v>23884</v>
      </c>
      <c r="K34" s="434">
        <v>950</v>
      </c>
      <c r="L34" s="433">
        <v>10361</v>
      </c>
      <c r="M34" s="34"/>
      <c r="N34" s="34">
        <f t="shared" si="0"/>
        <v>12573</v>
      </c>
      <c r="O34" s="433">
        <v>5806</v>
      </c>
      <c r="P34" s="374">
        <v>450</v>
      </c>
      <c r="Q34" s="433"/>
      <c r="R34" s="435">
        <v>7643</v>
      </c>
      <c r="S34" s="434">
        <v>15754</v>
      </c>
      <c r="T34">
        <v>13</v>
      </c>
    </row>
    <row r="35" spans="2:20" x14ac:dyDescent="0.2">
      <c r="C35" s="375"/>
      <c r="D35" s="436"/>
      <c r="E35" s="375"/>
      <c r="F35" s="375"/>
      <c r="G35" s="375"/>
      <c r="H35" s="436"/>
      <c r="I35" s="34">
        <f t="shared" si="1"/>
        <v>0</v>
      </c>
      <c r="J35" s="436"/>
      <c r="K35" s="437"/>
      <c r="L35" s="436"/>
      <c r="M35" s="34"/>
      <c r="N35" s="34">
        <f t="shared" si="0"/>
        <v>0</v>
      </c>
      <c r="O35" s="436"/>
      <c r="P35" s="375"/>
      <c r="Q35" s="436"/>
      <c r="R35" s="438"/>
      <c r="S35" s="437"/>
    </row>
    <row r="36" spans="2:20" x14ac:dyDescent="0.2">
      <c r="B36">
        <v>14</v>
      </c>
      <c r="C36" s="374">
        <v>24453</v>
      </c>
      <c r="D36" s="433">
        <v>4955</v>
      </c>
      <c r="E36" s="374"/>
      <c r="F36" s="374"/>
      <c r="G36" s="374"/>
      <c r="H36" s="433"/>
      <c r="I36" s="34">
        <f t="shared" si="1"/>
        <v>19498</v>
      </c>
      <c r="J36" s="433">
        <v>1000</v>
      </c>
      <c r="K36" s="434"/>
      <c r="L36" s="433"/>
      <c r="M36" s="34">
        <v>1000</v>
      </c>
      <c r="N36" s="34">
        <f t="shared" si="0"/>
        <v>0</v>
      </c>
      <c r="O36" s="464">
        <v>2306</v>
      </c>
      <c r="P36" s="374"/>
      <c r="Q36" s="433"/>
      <c r="R36" s="435">
        <v>2649</v>
      </c>
      <c r="S36" s="434">
        <v>2418</v>
      </c>
      <c r="T36">
        <v>14</v>
      </c>
    </row>
    <row r="37" spans="2:20" x14ac:dyDescent="0.2">
      <c r="C37" s="375"/>
      <c r="D37" s="436"/>
      <c r="E37" s="375"/>
      <c r="F37" s="375"/>
      <c r="G37" s="375"/>
      <c r="H37" s="436"/>
      <c r="I37" s="34">
        <f t="shared" si="1"/>
        <v>0</v>
      </c>
      <c r="J37" s="436"/>
      <c r="K37" s="437"/>
      <c r="L37" s="436"/>
      <c r="M37" s="34"/>
      <c r="N37" s="34">
        <f t="shared" si="0"/>
        <v>0</v>
      </c>
      <c r="O37" s="436"/>
      <c r="P37" s="375"/>
      <c r="Q37" s="436"/>
      <c r="R37" s="438"/>
      <c r="S37" s="437"/>
    </row>
    <row r="38" spans="2:20" x14ac:dyDescent="0.2">
      <c r="B38">
        <v>15</v>
      </c>
      <c r="C38" s="374">
        <v>71281</v>
      </c>
      <c r="D38" s="433">
        <v>41744</v>
      </c>
      <c r="E38" s="374"/>
      <c r="F38" s="374"/>
      <c r="G38" s="374"/>
      <c r="H38" s="433"/>
      <c r="I38" s="34">
        <f t="shared" si="1"/>
        <v>29537</v>
      </c>
      <c r="J38" s="433">
        <v>121358</v>
      </c>
      <c r="K38" s="434">
        <v>61816</v>
      </c>
      <c r="L38" s="433">
        <v>17880</v>
      </c>
      <c r="M38" s="34">
        <v>14739</v>
      </c>
      <c r="N38" s="34">
        <f t="shared" si="0"/>
        <v>26923</v>
      </c>
      <c r="O38" s="433">
        <v>18953</v>
      </c>
      <c r="P38" s="374">
        <v>1710</v>
      </c>
      <c r="Q38" s="433">
        <v>2602</v>
      </c>
      <c r="R38" s="435">
        <v>18479</v>
      </c>
      <c r="S38" s="434">
        <v>93282</v>
      </c>
      <c r="T38">
        <v>15</v>
      </c>
    </row>
    <row r="39" spans="2:20" x14ac:dyDescent="0.2">
      <c r="C39" s="375"/>
      <c r="D39" s="436"/>
      <c r="E39" s="375"/>
      <c r="F39" s="375"/>
      <c r="G39" s="375"/>
      <c r="H39" s="436"/>
      <c r="I39" s="34">
        <f t="shared" si="1"/>
        <v>0</v>
      </c>
      <c r="J39" s="436"/>
      <c r="K39" s="437"/>
      <c r="L39" s="436"/>
      <c r="M39" s="34"/>
      <c r="N39" s="34">
        <f t="shared" si="0"/>
        <v>0</v>
      </c>
      <c r="O39" s="436"/>
      <c r="P39" s="375"/>
      <c r="Q39" s="436"/>
      <c r="R39" s="438"/>
      <c r="S39" s="437"/>
    </row>
    <row r="40" spans="2:20" x14ac:dyDescent="0.2">
      <c r="B40">
        <v>16</v>
      </c>
      <c r="C40" s="374">
        <v>7597</v>
      </c>
      <c r="D40" s="433">
        <v>4155</v>
      </c>
      <c r="E40" s="374"/>
      <c r="F40" s="374"/>
      <c r="G40" s="374"/>
      <c r="H40" s="433"/>
      <c r="I40" s="34">
        <f t="shared" si="1"/>
        <v>3442</v>
      </c>
      <c r="J40" s="433">
        <v>27087</v>
      </c>
      <c r="K40" s="434"/>
      <c r="L40" s="433">
        <v>8337</v>
      </c>
      <c r="M40" s="34">
        <v>5950</v>
      </c>
      <c r="N40" s="34">
        <f t="shared" si="0"/>
        <v>12800</v>
      </c>
      <c r="O40" s="433">
        <v>4155</v>
      </c>
      <c r="P40" s="374"/>
      <c r="Q40" s="433"/>
      <c r="R40" s="435"/>
      <c r="S40" s="434">
        <v>14567</v>
      </c>
      <c r="T40">
        <v>16</v>
      </c>
    </row>
    <row r="41" spans="2:20" x14ac:dyDescent="0.2">
      <c r="C41" s="375"/>
      <c r="D41" s="436"/>
      <c r="E41" s="375"/>
      <c r="F41" s="375"/>
      <c r="G41" s="375"/>
      <c r="H41" s="436"/>
      <c r="I41" s="34">
        <f t="shared" si="1"/>
        <v>0</v>
      </c>
      <c r="J41" s="436"/>
      <c r="K41" s="437"/>
      <c r="L41" s="436"/>
      <c r="M41" s="34"/>
      <c r="N41" s="34">
        <f t="shared" si="0"/>
        <v>0</v>
      </c>
      <c r="O41" s="436"/>
      <c r="P41" s="375"/>
      <c r="Q41" s="436"/>
      <c r="R41" s="438"/>
      <c r="S41" s="437"/>
    </row>
    <row r="42" spans="2:20" x14ac:dyDescent="0.2">
      <c r="B42">
        <v>17</v>
      </c>
      <c r="C42" s="374">
        <v>6880</v>
      </c>
      <c r="D42" s="433">
        <v>6880</v>
      </c>
      <c r="E42" s="374"/>
      <c r="F42" s="374"/>
      <c r="G42" s="374"/>
      <c r="H42" s="433"/>
      <c r="I42" s="34">
        <f t="shared" si="1"/>
        <v>0</v>
      </c>
      <c r="J42" s="433">
        <v>9942</v>
      </c>
      <c r="K42" s="434">
        <v>5154</v>
      </c>
      <c r="L42" s="433"/>
      <c r="M42" s="34">
        <v>4788</v>
      </c>
      <c r="N42" s="34">
        <f t="shared" si="0"/>
        <v>0</v>
      </c>
      <c r="O42" s="433">
        <v>5630</v>
      </c>
      <c r="P42" s="374"/>
      <c r="Q42" s="433"/>
      <c r="R42" s="435">
        <v>1250</v>
      </c>
      <c r="S42" s="434">
        <v>10800</v>
      </c>
      <c r="T42">
        <v>17</v>
      </c>
    </row>
    <row r="43" spans="2:20" x14ac:dyDescent="0.2">
      <c r="C43" s="375"/>
      <c r="D43" s="436"/>
      <c r="E43" s="375"/>
      <c r="F43" s="375"/>
      <c r="G43" s="375"/>
      <c r="H43" s="436"/>
      <c r="I43" s="34"/>
      <c r="J43" s="436"/>
      <c r="K43" s="437"/>
      <c r="L43" s="436"/>
      <c r="M43" s="34"/>
      <c r="N43" s="34">
        <f t="shared" si="0"/>
        <v>0</v>
      </c>
      <c r="O43" s="436"/>
      <c r="P43" s="375"/>
      <c r="Q43" s="436"/>
      <c r="R43" s="438"/>
      <c r="S43" s="437"/>
    </row>
    <row r="44" spans="2:20" x14ac:dyDescent="0.2">
      <c r="B44">
        <v>18</v>
      </c>
      <c r="C44" s="374">
        <v>14584</v>
      </c>
      <c r="D44" s="433">
        <v>14584</v>
      </c>
      <c r="E44" s="374"/>
      <c r="F44" s="374"/>
      <c r="G44" s="374"/>
      <c r="H44" s="433"/>
      <c r="I44" s="34">
        <f t="shared" si="1"/>
        <v>0</v>
      </c>
      <c r="J44" s="433">
        <v>11199</v>
      </c>
      <c r="K44" s="434">
        <v>2875</v>
      </c>
      <c r="L44" s="433">
        <v>1475</v>
      </c>
      <c r="M44" s="34"/>
      <c r="N44" s="34">
        <f t="shared" si="0"/>
        <v>6849</v>
      </c>
      <c r="O44" s="433">
        <v>2348</v>
      </c>
      <c r="P44" s="374">
        <v>11219</v>
      </c>
      <c r="Q44" s="433"/>
      <c r="R44" s="435">
        <v>1017</v>
      </c>
      <c r="S44" s="434">
        <v>6194</v>
      </c>
      <c r="T44">
        <v>18</v>
      </c>
    </row>
    <row r="45" spans="2:20" x14ac:dyDescent="0.2">
      <c r="C45" s="375"/>
      <c r="D45" s="436"/>
      <c r="E45" s="375"/>
      <c r="F45" s="375"/>
      <c r="G45" s="375"/>
      <c r="H45" s="436"/>
      <c r="I45" s="34">
        <f t="shared" si="1"/>
        <v>0</v>
      </c>
      <c r="J45" s="436"/>
      <c r="K45" s="437"/>
      <c r="L45" s="436"/>
      <c r="M45" s="34"/>
      <c r="N45" s="34">
        <f t="shared" si="0"/>
        <v>0</v>
      </c>
      <c r="O45" s="436"/>
      <c r="P45" s="375"/>
      <c r="Q45" s="436"/>
      <c r="R45" s="438"/>
      <c r="S45" s="437"/>
    </row>
    <row r="46" spans="2:20" x14ac:dyDescent="0.2">
      <c r="B46">
        <v>19</v>
      </c>
      <c r="C46" s="374">
        <v>14486</v>
      </c>
      <c r="D46" s="433">
        <v>675</v>
      </c>
      <c r="E46" s="374"/>
      <c r="F46" s="374"/>
      <c r="G46" s="374"/>
      <c r="H46" s="433"/>
      <c r="I46" s="34">
        <f t="shared" si="1"/>
        <v>13811</v>
      </c>
      <c r="J46" s="433">
        <v>17900</v>
      </c>
      <c r="K46" s="434">
        <v>4000</v>
      </c>
      <c r="L46" s="433"/>
      <c r="M46" s="34">
        <v>1200</v>
      </c>
      <c r="N46" s="34">
        <f t="shared" si="0"/>
        <v>12700</v>
      </c>
      <c r="O46" s="433">
        <v>675</v>
      </c>
      <c r="P46" s="374"/>
      <c r="Q46" s="433"/>
      <c r="R46" s="435"/>
      <c r="S46" s="434">
        <v>5480</v>
      </c>
      <c r="T46">
        <v>19</v>
      </c>
    </row>
    <row r="47" spans="2:20" x14ac:dyDescent="0.2">
      <c r="C47" s="375"/>
      <c r="D47" s="436"/>
      <c r="E47" s="375"/>
      <c r="F47" s="375"/>
      <c r="G47" s="375"/>
      <c r="H47" s="436"/>
      <c r="I47" s="34">
        <f t="shared" si="1"/>
        <v>0</v>
      </c>
      <c r="J47" s="436"/>
      <c r="K47" s="437"/>
      <c r="L47" s="436"/>
      <c r="M47" s="34"/>
      <c r="N47" s="34">
        <f t="shared" si="0"/>
        <v>0</v>
      </c>
      <c r="O47" s="436"/>
      <c r="P47" s="375"/>
      <c r="Q47" s="436"/>
      <c r="R47" s="438"/>
      <c r="S47" s="437"/>
    </row>
    <row r="48" spans="2:20" x14ac:dyDescent="0.2">
      <c r="B48">
        <v>20</v>
      </c>
      <c r="C48" s="374">
        <v>126456</v>
      </c>
      <c r="D48" s="433">
        <v>58332</v>
      </c>
      <c r="E48" s="374"/>
      <c r="F48" s="374"/>
      <c r="G48" s="374"/>
      <c r="H48" s="433">
        <f>24442+676</f>
        <v>25118</v>
      </c>
      <c r="I48" s="34">
        <f>C48-D48-E48-H48-F48-G48</f>
        <v>43006</v>
      </c>
      <c r="J48" s="433">
        <v>71893</v>
      </c>
      <c r="K48" s="434">
        <v>19488</v>
      </c>
      <c r="L48" s="433">
        <v>6885</v>
      </c>
      <c r="M48" s="34">
        <v>15153</v>
      </c>
      <c r="N48" s="34">
        <f t="shared" si="0"/>
        <v>30367</v>
      </c>
      <c r="O48" s="433">
        <v>29598</v>
      </c>
      <c r="P48" s="374">
        <v>7057</v>
      </c>
      <c r="Q48" s="433">
        <v>4342</v>
      </c>
      <c r="R48" s="435">
        <v>17335</v>
      </c>
      <c r="S48" s="434">
        <v>50692</v>
      </c>
      <c r="T48">
        <v>20</v>
      </c>
    </row>
    <row r="49" spans="2:20" x14ac:dyDescent="0.2">
      <c r="C49" s="375"/>
      <c r="D49" s="436"/>
      <c r="E49" s="375"/>
      <c r="F49" s="375"/>
      <c r="G49" s="375"/>
      <c r="H49" s="436"/>
      <c r="I49" s="34">
        <f t="shared" si="1"/>
        <v>0</v>
      </c>
      <c r="J49" s="436"/>
      <c r="K49" s="437"/>
      <c r="L49" s="436"/>
      <c r="M49" s="34"/>
      <c r="N49" s="34">
        <f t="shared" si="0"/>
        <v>0</v>
      </c>
      <c r="O49" s="436"/>
      <c r="P49" s="375"/>
      <c r="Q49" s="436"/>
      <c r="R49" s="438"/>
      <c r="S49" s="437"/>
    </row>
    <row r="50" spans="2:20" x14ac:dyDescent="0.2">
      <c r="B50">
        <v>21</v>
      </c>
      <c r="C50" s="374">
        <v>14828</v>
      </c>
      <c r="D50" s="433">
        <v>1564</v>
      </c>
      <c r="E50" s="374"/>
      <c r="F50" s="374"/>
      <c r="G50" s="374">
        <v>13264</v>
      </c>
      <c r="H50" s="433"/>
      <c r="I50" s="34">
        <f t="shared" si="1"/>
        <v>0</v>
      </c>
      <c r="J50" s="433">
        <v>10066</v>
      </c>
      <c r="K50" s="434">
        <v>2941</v>
      </c>
      <c r="L50" s="433">
        <v>7125</v>
      </c>
      <c r="M50" s="34"/>
      <c r="N50" s="34">
        <f t="shared" si="0"/>
        <v>0</v>
      </c>
      <c r="O50" s="433">
        <v>1000</v>
      </c>
      <c r="P50" s="374"/>
      <c r="Q50" s="433"/>
      <c r="R50" s="435">
        <v>564</v>
      </c>
      <c r="S50" s="434">
        <v>14447</v>
      </c>
      <c r="T50">
        <v>21</v>
      </c>
    </row>
    <row r="51" spans="2:20" x14ac:dyDescent="0.2">
      <c r="C51" s="375"/>
      <c r="D51" s="436"/>
      <c r="E51" s="375"/>
      <c r="F51" s="375"/>
      <c r="G51" s="375"/>
      <c r="H51" s="436"/>
      <c r="I51" s="34">
        <f t="shared" si="1"/>
        <v>0</v>
      </c>
      <c r="J51" s="436"/>
      <c r="K51" s="437"/>
      <c r="L51" s="436"/>
      <c r="M51" s="34"/>
      <c r="N51" s="34">
        <f t="shared" si="0"/>
        <v>0</v>
      </c>
      <c r="O51" s="436"/>
      <c r="P51" s="375"/>
      <c r="Q51" s="436"/>
      <c r="R51" s="438"/>
      <c r="S51" s="437"/>
    </row>
    <row r="52" spans="2:20" x14ac:dyDescent="0.2">
      <c r="B52">
        <v>22</v>
      </c>
      <c r="C52" s="374">
        <v>45953</v>
      </c>
      <c r="D52" s="433">
        <v>6822</v>
      </c>
      <c r="E52" s="374"/>
      <c r="F52" s="374"/>
      <c r="G52" s="374">
        <v>25530</v>
      </c>
      <c r="H52" s="433"/>
      <c r="I52" s="34">
        <f t="shared" si="1"/>
        <v>13601</v>
      </c>
      <c r="J52" s="433">
        <v>15545</v>
      </c>
      <c r="K52" s="434">
        <v>964</v>
      </c>
      <c r="L52" s="433"/>
      <c r="M52" s="34">
        <v>1980</v>
      </c>
      <c r="N52" s="34">
        <f t="shared" si="0"/>
        <v>12601</v>
      </c>
      <c r="O52" s="433">
        <v>4908</v>
      </c>
      <c r="P52" s="374">
        <v>664</v>
      </c>
      <c r="Q52" s="433"/>
      <c r="R52" s="435">
        <v>1250</v>
      </c>
      <c r="S52" s="434">
        <v>7619</v>
      </c>
      <c r="T52">
        <v>22</v>
      </c>
    </row>
    <row r="53" spans="2:20" x14ac:dyDescent="0.2">
      <c r="C53" s="375"/>
      <c r="D53" s="436"/>
      <c r="E53" s="375"/>
      <c r="F53" s="375"/>
      <c r="G53" s="375"/>
      <c r="H53" s="436"/>
      <c r="I53" s="34">
        <f t="shared" si="1"/>
        <v>0</v>
      </c>
      <c r="J53" s="436"/>
      <c r="K53" s="437"/>
      <c r="L53" s="436"/>
      <c r="M53" s="34"/>
      <c r="N53" s="34">
        <f t="shared" si="0"/>
        <v>0</v>
      </c>
      <c r="O53" s="436"/>
      <c r="P53" s="375"/>
      <c r="Q53" s="436"/>
      <c r="R53" s="438"/>
      <c r="S53" s="437"/>
    </row>
    <row r="54" spans="2:20" x14ac:dyDescent="0.2">
      <c r="B54">
        <v>23</v>
      </c>
      <c r="C54" s="374">
        <v>17647</v>
      </c>
      <c r="D54" s="433">
        <v>8815</v>
      </c>
      <c r="E54" s="374"/>
      <c r="F54" s="374"/>
      <c r="G54" s="374">
        <v>3774</v>
      </c>
      <c r="H54" s="433"/>
      <c r="I54" s="34">
        <f t="shared" si="1"/>
        <v>5058</v>
      </c>
      <c r="J54" s="433">
        <v>26928</v>
      </c>
      <c r="K54" s="434">
        <v>4689</v>
      </c>
      <c r="L54" s="433">
        <v>8255</v>
      </c>
      <c r="M54" s="34">
        <v>7960</v>
      </c>
      <c r="N54" s="34">
        <f t="shared" si="0"/>
        <v>6024</v>
      </c>
      <c r="O54" s="433">
        <v>6292</v>
      </c>
      <c r="P54" s="374">
        <v>2523</v>
      </c>
      <c r="Q54" s="433"/>
      <c r="R54" s="435"/>
      <c r="S54" s="434">
        <v>21980</v>
      </c>
      <c r="T54">
        <v>23</v>
      </c>
    </row>
    <row r="55" spans="2:20" x14ac:dyDescent="0.2">
      <c r="C55" s="375"/>
      <c r="D55" s="436"/>
      <c r="E55" s="375"/>
      <c r="F55" s="375"/>
      <c r="G55" s="375"/>
      <c r="H55" s="436"/>
      <c r="I55" s="34">
        <f t="shared" si="1"/>
        <v>0</v>
      </c>
      <c r="J55" s="436"/>
      <c r="K55" s="437"/>
      <c r="L55" s="436"/>
      <c r="M55" s="34"/>
      <c r="N55" s="34">
        <f t="shared" si="0"/>
        <v>0</v>
      </c>
      <c r="O55" s="436"/>
      <c r="P55" s="375"/>
      <c r="Q55" s="436"/>
      <c r="R55" s="438"/>
      <c r="S55" s="437"/>
    </row>
    <row r="56" spans="2:20" x14ac:dyDescent="0.2">
      <c r="B56">
        <v>24</v>
      </c>
      <c r="C56" s="374">
        <v>37222</v>
      </c>
      <c r="D56" s="433">
        <v>8969</v>
      </c>
      <c r="E56" s="374"/>
      <c r="F56" s="374"/>
      <c r="G56" s="374"/>
      <c r="H56" s="433"/>
      <c r="I56" s="34">
        <f t="shared" si="1"/>
        <v>28253</v>
      </c>
      <c r="J56" s="433">
        <v>2000</v>
      </c>
      <c r="K56" s="434"/>
      <c r="L56" s="433"/>
      <c r="M56" s="34">
        <v>2000</v>
      </c>
      <c r="N56" s="34">
        <f t="shared" si="0"/>
        <v>0</v>
      </c>
      <c r="O56" s="433">
        <v>1675</v>
      </c>
      <c r="P56" s="374">
        <v>2080</v>
      </c>
      <c r="Q56" s="433">
        <v>1080</v>
      </c>
      <c r="R56" s="435">
        <v>4134</v>
      </c>
      <c r="S56" s="434">
        <v>2280</v>
      </c>
      <c r="T56">
        <v>24</v>
      </c>
    </row>
    <row r="57" spans="2:20" x14ac:dyDescent="0.2">
      <c r="C57" s="375"/>
      <c r="D57" s="436"/>
      <c r="E57" s="375"/>
      <c r="F57" s="375"/>
      <c r="G57" s="375"/>
      <c r="H57" s="436"/>
      <c r="I57" s="34">
        <f t="shared" si="1"/>
        <v>0</v>
      </c>
      <c r="J57" s="436"/>
      <c r="K57" s="437"/>
      <c r="L57" s="436"/>
      <c r="M57" s="34"/>
      <c r="N57" s="34">
        <f t="shared" si="0"/>
        <v>0</v>
      </c>
      <c r="O57" s="436"/>
      <c r="P57" s="375"/>
      <c r="Q57" s="436"/>
      <c r="R57" s="438"/>
      <c r="S57" s="437"/>
    </row>
    <row r="58" spans="2:20" x14ac:dyDescent="0.2">
      <c r="B58">
        <v>25</v>
      </c>
      <c r="C58" s="374">
        <v>73155</v>
      </c>
      <c r="D58" s="433">
        <v>8563</v>
      </c>
      <c r="E58" s="374"/>
      <c r="F58" s="374"/>
      <c r="G58" s="374"/>
      <c r="H58" s="433"/>
      <c r="I58" s="34">
        <f t="shared" si="1"/>
        <v>64592</v>
      </c>
      <c r="J58" s="433">
        <v>62021</v>
      </c>
      <c r="K58" s="434">
        <v>15649</v>
      </c>
      <c r="L58" s="433">
        <v>11342</v>
      </c>
      <c r="M58" s="34">
        <v>4299</v>
      </c>
      <c r="N58" s="34">
        <f t="shared" si="0"/>
        <v>30731</v>
      </c>
      <c r="O58" s="433">
        <v>2000</v>
      </c>
      <c r="P58" s="374">
        <v>6563</v>
      </c>
      <c r="Q58" s="433"/>
      <c r="R58" s="435"/>
      <c r="S58" s="434">
        <v>35487</v>
      </c>
      <c r="T58">
        <v>25</v>
      </c>
    </row>
    <row r="59" spans="2:20" x14ac:dyDescent="0.2">
      <c r="C59" s="375"/>
      <c r="D59" s="436"/>
      <c r="E59" s="375"/>
      <c r="F59" s="375"/>
      <c r="G59" s="375"/>
      <c r="H59" s="436"/>
      <c r="I59" s="34">
        <f t="shared" si="1"/>
        <v>0</v>
      </c>
      <c r="J59" s="436"/>
      <c r="K59" s="437"/>
      <c r="L59" s="436"/>
      <c r="M59" s="34"/>
      <c r="N59" s="34">
        <f t="shared" si="0"/>
        <v>0</v>
      </c>
      <c r="O59" s="436"/>
      <c r="P59" s="375"/>
      <c r="Q59" s="436"/>
      <c r="R59" s="438"/>
      <c r="S59" s="437"/>
    </row>
    <row r="60" spans="2:20" x14ac:dyDescent="0.2">
      <c r="B60">
        <v>26</v>
      </c>
      <c r="C60" s="374">
        <v>17780</v>
      </c>
      <c r="D60" s="433">
        <v>1630</v>
      </c>
      <c r="E60" s="374"/>
      <c r="F60" s="374"/>
      <c r="G60" s="374"/>
      <c r="H60" s="433"/>
      <c r="I60" s="34">
        <f t="shared" si="1"/>
        <v>16150</v>
      </c>
      <c r="J60" s="433">
        <v>6755</v>
      </c>
      <c r="K60" s="434">
        <v>6755</v>
      </c>
      <c r="L60" s="433"/>
      <c r="M60" s="34"/>
      <c r="N60" s="34">
        <f t="shared" si="0"/>
        <v>0</v>
      </c>
      <c r="O60" s="433">
        <v>1630</v>
      </c>
      <c r="P60" s="374"/>
      <c r="Q60" s="433"/>
      <c r="R60" s="435"/>
      <c r="S60" s="434">
        <v>6755</v>
      </c>
      <c r="T60">
        <v>26</v>
      </c>
    </row>
    <row r="61" spans="2:20" x14ac:dyDescent="0.2">
      <c r="C61" s="375"/>
      <c r="D61" s="436"/>
      <c r="E61" s="375"/>
      <c r="F61" s="375"/>
      <c r="G61" s="375"/>
      <c r="H61" s="436"/>
      <c r="I61" s="34">
        <f t="shared" si="1"/>
        <v>0</v>
      </c>
      <c r="J61" s="436"/>
      <c r="K61" s="437"/>
      <c r="L61" s="436"/>
      <c r="M61" s="34"/>
      <c r="N61" s="34">
        <f t="shared" si="0"/>
        <v>0</v>
      </c>
      <c r="O61" s="436"/>
      <c r="P61" s="375"/>
      <c r="Q61" s="436"/>
      <c r="R61" s="438"/>
      <c r="S61" s="437"/>
    </row>
    <row r="62" spans="2:20" x14ac:dyDescent="0.2">
      <c r="B62">
        <v>27</v>
      </c>
      <c r="C62" s="374">
        <v>24764</v>
      </c>
      <c r="D62" s="433">
        <v>18576</v>
      </c>
      <c r="E62" s="374"/>
      <c r="F62" s="374"/>
      <c r="G62" s="374"/>
      <c r="H62" s="433"/>
      <c r="I62" s="34">
        <f t="shared" si="1"/>
        <v>6188</v>
      </c>
      <c r="J62" s="433">
        <v>21586</v>
      </c>
      <c r="K62" s="434">
        <v>7463</v>
      </c>
      <c r="L62" s="433">
        <v>3145</v>
      </c>
      <c r="M62" s="34"/>
      <c r="N62" s="34">
        <f t="shared" si="0"/>
        <v>10978</v>
      </c>
      <c r="O62" s="433">
        <v>7483</v>
      </c>
      <c r="P62" s="374">
        <v>10013</v>
      </c>
      <c r="Q62" s="433"/>
      <c r="R62" s="435">
        <v>1080</v>
      </c>
      <c r="S62" s="434">
        <v>13284</v>
      </c>
      <c r="T62">
        <v>27</v>
      </c>
    </row>
    <row r="63" spans="2:20" x14ac:dyDescent="0.2">
      <c r="C63" s="375"/>
      <c r="D63" s="436"/>
      <c r="E63" s="375"/>
      <c r="F63" s="375"/>
      <c r="G63" s="375"/>
      <c r="H63" s="436"/>
      <c r="I63" s="34">
        <f t="shared" si="1"/>
        <v>0</v>
      </c>
      <c r="J63" s="436"/>
      <c r="K63" s="437"/>
      <c r="L63" s="436"/>
      <c r="M63" s="34"/>
      <c r="N63" s="34">
        <f t="shared" si="0"/>
        <v>0</v>
      </c>
      <c r="O63" s="436"/>
      <c r="P63" s="375"/>
      <c r="Q63" s="436"/>
      <c r="R63" s="438"/>
      <c r="S63" s="437"/>
    </row>
    <row r="64" spans="2:20" x14ac:dyDescent="0.2">
      <c r="B64">
        <v>28</v>
      </c>
      <c r="C64" s="374">
        <v>36665</v>
      </c>
      <c r="D64" s="433">
        <v>4963</v>
      </c>
      <c r="E64" s="374"/>
      <c r="F64" s="374"/>
      <c r="G64" s="374"/>
      <c r="H64" s="433"/>
      <c r="I64" s="34">
        <f t="shared" si="1"/>
        <v>31702</v>
      </c>
      <c r="J64" s="433">
        <v>46115</v>
      </c>
      <c r="K64" s="434">
        <v>8215</v>
      </c>
      <c r="L64" s="433"/>
      <c r="M64" s="34"/>
      <c r="N64" s="34">
        <f t="shared" si="0"/>
        <v>37900</v>
      </c>
      <c r="O64" s="433"/>
      <c r="P64" s="374"/>
      <c r="Q64" s="433">
        <v>1608</v>
      </c>
      <c r="R64" s="435">
        <v>3355</v>
      </c>
      <c r="S64" s="434">
        <v>9401</v>
      </c>
      <c r="T64">
        <v>28</v>
      </c>
    </row>
    <row r="65" spans="1:25" x14ac:dyDescent="0.2">
      <c r="C65" s="375"/>
      <c r="D65" s="436"/>
      <c r="E65" s="375"/>
      <c r="F65" s="375"/>
      <c r="G65" s="375"/>
      <c r="H65" s="436"/>
      <c r="I65" s="34">
        <f t="shared" si="1"/>
        <v>0</v>
      </c>
      <c r="J65" s="436"/>
      <c r="K65" s="437"/>
      <c r="L65" s="436"/>
      <c r="M65" s="34"/>
      <c r="N65" s="34">
        <f t="shared" si="0"/>
        <v>0</v>
      </c>
      <c r="O65" s="436"/>
      <c r="P65" s="375"/>
      <c r="Q65" s="436"/>
      <c r="R65" s="438"/>
      <c r="S65" s="437"/>
    </row>
    <row r="66" spans="1:25" x14ac:dyDescent="0.2">
      <c r="B66">
        <v>29</v>
      </c>
      <c r="C66" s="374">
        <v>17086</v>
      </c>
      <c r="D66" s="433">
        <v>7336</v>
      </c>
      <c r="E66" s="374"/>
      <c r="F66" s="374"/>
      <c r="G66" s="374"/>
      <c r="H66" s="433"/>
      <c r="I66" s="34">
        <f t="shared" si="1"/>
        <v>9750</v>
      </c>
      <c r="J66" s="433">
        <v>4980</v>
      </c>
      <c r="K66" s="434">
        <v>3780</v>
      </c>
      <c r="L66" s="433"/>
      <c r="M66" s="34">
        <v>1200</v>
      </c>
      <c r="N66" s="34">
        <f t="shared" si="0"/>
        <v>0</v>
      </c>
      <c r="O66" s="464">
        <v>6871</v>
      </c>
      <c r="P66" s="374">
        <v>465</v>
      </c>
      <c r="Q66" s="433"/>
      <c r="R66" s="435"/>
      <c r="S66" s="434">
        <v>4980</v>
      </c>
      <c r="T66">
        <v>29</v>
      </c>
    </row>
    <row r="67" spans="1:25" x14ac:dyDescent="0.2">
      <c r="C67" s="375"/>
      <c r="D67" s="436"/>
      <c r="E67" s="375"/>
      <c r="F67" s="375"/>
      <c r="G67" s="375"/>
      <c r="H67" s="436"/>
      <c r="I67" s="34">
        <f t="shared" si="1"/>
        <v>0</v>
      </c>
      <c r="J67" s="436"/>
      <c r="K67" s="437"/>
      <c r="L67" s="436"/>
      <c r="M67" s="34"/>
      <c r="N67" s="34">
        <f t="shared" si="0"/>
        <v>0</v>
      </c>
      <c r="O67" s="436"/>
      <c r="P67" s="375"/>
      <c r="Q67" s="436"/>
      <c r="R67" s="438"/>
      <c r="S67" s="437"/>
      <c r="V67" s="483" t="s">
        <v>672</v>
      </c>
      <c r="W67" s="42">
        <f>E73+F73+H73+I73+N73+G73</f>
        <v>1449123</v>
      </c>
    </row>
    <row r="68" spans="1:25" x14ac:dyDescent="0.2">
      <c r="B68">
        <v>30</v>
      </c>
      <c r="C68" s="374">
        <v>148818</v>
      </c>
      <c r="D68" s="433">
        <v>55314</v>
      </c>
      <c r="E68" s="374"/>
      <c r="F68" s="374"/>
      <c r="G68" s="374"/>
      <c r="H68" s="433"/>
      <c r="I68" s="34">
        <f>C68-D68-E68-H68-F68-G68</f>
        <v>93504</v>
      </c>
      <c r="J68" s="433">
        <v>81433</v>
      </c>
      <c r="K68" s="434">
        <v>60069</v>
      </c>
      <c r="L68" s="433">
        <v>11040</v>
      </c>
      <c r="M68" s="34">
        <v>10324</v>
      </c>
      <c r="N68" s="34">
        <f t="shared" si="0"/>
        <v>0</v>
      </c>
      <c r="O68" s="433">
        <v>27163</v>
      </c>
      <c r="P68" s="374">
        <v>599</v>
      </c>
      <c r="Q68" s="433">
        <v>4453</v>
      </c>
      <c r="R68" s="435">
        <v>23099</v>
      </c>
      <c r="S68" s="434">
        <v>97773</v>
      </c>
      <c r="T68">
        <v>30</v>
      </c>
      <c r="U68" s="54" t="s">
        <v>824</v>
      </c>
      <c r="V68" s="183" t="s">
        <v>674</v>
      </c>
      <c r="W68" s="449"/>
      <c r="X68" s="42">
        <f>W69-W67</f>
        <v>-169660</v>
      </c>
    </row>
    <row r="69" spans="1:25" x14ac:dyDescent="0.2">
      <c r="C69" s="375"/>
      <c r="D69" s="436"/>
      <c r="E69" s="375"/>
      <c r="F69" s="375"/>
      <c r="G69" s="375"/>
      <c r="H69" s="436"/>
      <c r="I69" s="34">
        <f t="shared" si="1"/>
        <v>0</v>
      </c>
      <c r="J69" s="436"/>
      <c r="K69" s="437"/>
      <c r="L69" s="436"/>
      <c r="M69" s="34"/>
      <c r="N69" s="34">
        <f t="shared" si="0"/>
        <v>0</v>
      </c>
      <c r="O69" s="436"/>
      <c r="P69" s="375"/>
      <c r="Q69" s="436"/>
      <c r="R69" s="438"/>
      <c r="S69" s="437"/>
      <c r="V69" s="183" t="s">
        <v>673</v>
      </c>
      <c r="W69" s="42">
        <f>S73+O73+P73+Q73+R73</f>
        <v>1279463</v>
      </c>
    </row>
    <row r="70" spans="1:25" x14ac:dyDescent="0.2">
      <c r="B70">
        <v>31</v>
      </c>
      <c r="C70" s="374">
        <v>218685</v>
      </c>
      <c r="D70" s="433">
        <v>145309</v>
      </c>
      <c r="E70" s="374"/>
      <c r="F70" s="374"/>
      <c r="G70" s="374"/>
      <c r="H70" s="433">
        <v>4770</v>
      </c>
      <c r="I70" s="34">
        <f t="shared" si="1"/>
        <v>68606</v>
      </c>
      <c r="J70" s="433">
        <v>237576</v>
      </c>
      <c r="K70" s="434">
        <v>75178</v>
      </c>
      <c r="L70" s="433">
        <v>29628</v>
      </c>
      <c r="M70" s="34">
        <v>28481</v>
      </c>
      <c r="N70" s="34">
        <f t="shared" si="0"/>
        <v>104289</v>
      </c>
      <c r="O70" s="433">
        <v>88048</v>
      </c>
      <c r="P70" s="374">
        <v>8092</v>
      </c>
      <c r="Q70" s="433">
        <v>29665</v>
      </c>
      <c r="R70" s="435">
        <v>19504</v>
      </c>
      <c r="S70" s="34">
        <v>156472</v>
      </c>
      <c r="T70">
        <v>31</v>
      </c>
    </row>
    <row r="71" spans="1:25" ht="13.5" thickBot="1" x14ac:dyDescent="0.25">
      <c r="C71" s="22"/>
      <c r="D71" s="29"/>
      <c r="E71" s="22"/>
      <c r="F71" s="22"/>
      <c r="G71" s="22"/>
      <c r="H71" s="29"/>
      <c r="I71" s="34">
        <f t="shared" si="1"/>
        <v>0</v>
      </c>
      <c r="J71" s="29"/>
      <c r="K71" s="34"/>
      <c r="L71" s="29"/>
      <c r="M71" s="35"/>
      <c r="N71" s="34">
        <f t="shared" si="0"/>
        <v>0</v>
      </c>
      <c r="O71" s="29"/>
      <c r="P71" s="22"/>
      <c r="Q71" s="29"/>
      <c r="R71" s="28"/>
      <c r="S71" s="34"/>
      <c r="V71" s="183" t="s">
        <v>672</v>
      </c>
      <c r="W71" s="42">
        <f>E78+F78+G78+H78+I78+N78</f>
        <v>1505195</v>
      </c>
    </row>
    <row r="72" spans="1:25" x14ac:dyDescent="0.2">
      <c r="C72" s="40"/>
      <c r="D72" s="33"/>
      <c r="E72" s="33"/>
      <c r="F72" s="439"/>
      <c r="G72" s="33"/>
      <c r="H72" s="33"/>
      <c r="I72" s="439"/>
      <c r="J72" s="33"/>
      <c r="K72" s="439"/>
      <c r="L72" s="33"/>
      <c r="M72" s="439"/>
      <c r="N72" s="439"/>
      <c r="O72" s="33"/>
      <c r="P72" s="439"/>
      <c r="Q72" s="33"/>
      <c r="R72" s="439"/>
      <c r="S72" s="33"/>
      <c r="U72" s="54" t="s">
        <v>837</v>
      </c>
      <c r="V72" s="183" t="s">
        <v>674</v>
      </c>
      <c r="W72" s="449"/>
      <c r="X72" s="42">
        <f>W73-W71</f>
        <v>-274818</v>
      </c>
      <c r="Y72" s="42"/>
    </row>
    <row r="73" spans="1:25" x14ac:dyDescent="0.2">
      <c r="A73" s="54" t="s">
        <v>671</v>
      </c>
      <c r="B73" s="1"/>
      <c r="C73" s="34">
        <f>SUM(C9:C71)</f>
        <v>1525676</v>
      </c>
      <c r="D73" s="441">
        <f>SUM(D9:D71)</f>
        <v>548951</v>
      </c>
      <c r="E73" s="34">
        <v>75094</v>
      </c>
      <c r="F73" s="442">
        <f>SUM(F9:F71)</f>
        <v>312010</v>
      </c>
      <c r="G73" s="441">
        <f>SUM(G9:G71)</f>
        <v>46680</v>
      </c>
      <c r="H73" s="441">
        <f>SUM(H9:H71)</f>
        <v>38209</v>
      </c>
      <c r="I73" s="446">
        <f>SUM(I9:I71)</f>
        <v>579826</v>
      </c>
      <c r="J73" s="34">
        <f>SUM(J9:J71)</f>
        <v>1024544</v>
      </c>
      <c r="K73" s="441">
        <f t="shared" ref="K73:P73" si="2">SUM(K9:K71)</f>
        <v>366214</v>
      </c>
      <c r="L73" s="441">
        <f>SUM(L9:L71)</f>
        <v>140668</v>
      </c>
      <c r="M73" s="441">
        <f t="shared" si="2"/>
        <v>120358</v>
      </c>
      <c r="N73" s="446">
        <f>SUM(N9:N71)</f>
        <v>397304</v>
      </c>
      <c r="O73" s="441">
        <f>SUM(O9:O71)</f>
        <v>286037</v>
      </c>
      <c r="P73" s="441">
        <f t="shared" si="2"/>
        <v>67359</v>
      </c>
      <c r="Q73" s="441">
        <f>SUM(Q9:Q71)</f>
        <v>52794</v>
      </c>
      <c r="R73" s="441">
        <f>SUM(R9:R71)</f>
        <v>142761</v>
      </c>
      <c r="S73" s="446">
        <f>SUM(S9:S71)</f>
        <v>730512</v>
      </c>
      <c r="V73" s="183" t="s">
        <v>673</v>
      </c>
      <c r="W73" s="42">
        <f>S78+O78+P78+Q78+R78</f>
        <v>1230377</v>
      </c>
      <c r="X73" s="42">
        <v>-326430</v>
      </c>
    </row>
    <row r="74" spans="1:25" ht="13.5" thickBot="1" x14ac:dyDescent="0.25">
      <c r="C74" s="440"/>
      <c r="D74" s="35"/>
      <c r="E74" s="35"/>
      <c r="F74" s="37"/>
      <c r="G74" s="35"/>
      <c r="H74" s="35"/>
      <c r="I74" s="37"/>
      <c r="J74" s="35"/>
      <c r="K74" s="37"/>
      <c r="L74" s="35"/>
      <c r="M74" s="37"/>
      <c r="N74" s="37"/>
      <c r="O74" s="35"/>
      <c r="P74" s="37"/>
      <c r="Q74" s="35"/>
      <c r="R74" s="37"/>
      <c r="S74" s="35"/>
    </row>
    <row r="75" spans="1:25" x14ac:dyDescent="0.2"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>
        <f>L75+K75</f>
        <v>0</v>
      </c>
      <c r="O75" s="29"/>
      <c r="P75" s="29"/>
      <c r="Q75" s="29"/>
      <c r="R75" s="29"/>
      <c r="S75" s="29"/>
    </row>
    <row r="76" spans="1:25" ht="13.5" thickBot="1" x14ac:dyDescent="0.25">
      <c r="A76" s="94">
        <v>42174</v>
      </c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U76" s="54" t="s">
        <v>838</v>
      </c>
      <c r="V76" s="183" t="s">
        <v>672</v>
      </c>
      <c r="W76" s="42">
        <f>E82+F82+G82+H82+I82+N82</f>
        <v>1348034</v>
      </c>
    </row>
    <row r="77" spans="1:25" x14ac:dyDescent="0.2">
      <c r="A77" s="255"/>
      <c r="C77" s="33"/>
      <c r="D77" s="444"/>
      <c r="E77" s="374"/>
      <c r="F77" s="465"/>
      <c r="G77" s="374"/>
      <c r="H77" s="374"/>
      <c r="I77" s="435"/>
      <c r="J77" s="40"/>
      <c r="K77" s="374"/>
      <c r="L77" s="374"/>
      <c r="M77" s="374"/>
      <c r="N77" s="374"/>
      <c r="O77" s="374"/>
      <c r="P77" s="374"/>
      <c r="Q77" s="374"/>
      <c r="R77" s="374"/>
      <c r="S77" s="374"/>
      <c r="V77" s="183" t="s">
        <v>674</v>
      </c>
      <c r="W77" s="449"/>
      <c r="X77" s="42">
        <f>W78-W76</f>
        <v>-347051</v>
      </c>
      <c r="Y77" s="50"/>
    </row>
    <row r="78" spans="1:25" x14ac:dyDescent="0.2">
      <c r="A78" s="843" t="s">
        <v>837</v>
      </c>
      <c r="C78" s="847">
        <v>1589017</v>
      </c>
      <c r="D78" s="846">
        <v>534180</v>
      </c>
      <c r="E78" s="844"/>
      <c r="F78" s="845">
        <v>294537</v>
      </c>
      <c r="G78" s="844">
        <v>39823</v>
      </c>
      <c r="H78" s="844">
        <v>47241</v>
      </c>
      <c r="I78" s="447">
        <f>C78-D78-E78-H78-F78-G78</f>
        <v>673236</v>
      </c>
      <c r="J78" s="849">
        <v>1079121</v>
      </c>
      <c r="K78" s="844">
        <v>386583</v>
      </c>
      <c r="L78" s="844">
        <v>24167</v>
      </c>
      <c r="M78" s="848">
        <v>218013</v>
      </c>
      <c r="N78" s="446">
        <f>J78-K78-L78-M78</f>
        <v>450358</v>
      </c>
      <c r="O78" s="844">
        <v>288674</v>
      </c>
      <c r="P78" s="844">
        <v>60674</v>
      </c>
      <c r="Q78" s="844">
        <v>28919</v>
      </c>
      <c r="R78" s="844">
        <v>155913</v>
      </c>
      <c r="S78" s="448">
        <v>696197</v>
      </c>
      <c r="V78" s="183" t="s">
        <v>673</v>
      </c>
      <c r="W78" s="42">
        <f>S82+O82+P82+Q82+R82</f>
        <v>1000983</v>
      </c>
      <c r="X78" s="42"/>
      <c r="Y78" s="50"/>
    </row>
    <row r="79" spans="1:25" ht="13.5" thickBot="1" x14ac:dyDescent="0.25">
      <c r="A79" s="261"/>
      <c r="C79" s="16"/>
      <c r="D79" s="84"/>
      <c r="E79" s="1024"/>
      <c r="F79" s="466"/>
      <c r="G79" s="1024"/>
      <c r="H79" s="1024"/>
      <c r="I79" s="89"/>
      <c r="J79" s="11"/>
      <c r="K79" s="1024"/>
      <c r="L79" s="1024"/>
      <c r="M79" s="1024"/>
      <c r="N79" s="1024"/>
      <c r="O79" s="1024"/>
      <c r="P79" s="1024"/>
      <c r="Q79" s="1024"/>
      <c r="R79" s="1024"/>
      <c r="S79" s="1024"/>
      <c r="Y79" s="56"/>
    </row>
    <row r="80" spans="1:25" ht="13.5" thickBot="1" x14ac:dyDescent="0.25">
      <c r="A80" s="204"/>
      <c r="C80" s="15"/>
      <c r="D80" s="81"/>
      <c r="E80" s="66"/>
      <c r="F80" s="450"/>
      <c r="G80" s="66"/>
      <c r="H80" s="66"/>
      <c r="I80" s="88"/>
      <c r="J80" s="5"/>
      <c r="K80" s="66"/>
      <c r="L80" s="66"/>
      <c r="M80" s="66"/>
      <c r="N80" s="66"/>
      <c r="O80" s="66"/>
      <c r="P80" s="66"/>
      <c r="Q80" s="66"/>
      <c r="R80" s="66"/>
      <c r="S80" s="66"/>
      <c r="Y80" s="56"/>
    </row>
    <row r="81" spans="1:25" x14ac:dyDescent="0.2">
      <c r="A81" s="443"/>
      <c r="C81" s="33"/>
      <c r="D81" s="444"/>
      <c r="E81" s="374"/>
      <c r="F81" s="465"/>
      <c r="G81" s="374"/>
      <c r="H81" s="374"/>
      <c r="I81" s="435"/>
      <c r="J81" s="40"/>
      <c r="K81" s="374"/>
      <c r="L81" s="374"/>
      <c r="M81" s="374"/>
      <c r="N81" s="374"/>
      <c r="O81" s="374"/>
      <c r="P81" s="374"/>
      <c r="Q81" s="374"/>
      <c r="R81" s="374"/>
      <c r="S81" s="374"/>
    </row>
    <row r="82" spans="1:25" x14ac:dyDescent="0.2">
      <c r="A82" s="843" t="s">
        <v>838</v>
      </c>
      <c r="C82" s="847">
        <v>1473025</v>
      </c>
      <c r="D82" s="846">
        <v>459671</v>
      </c>
      <c r="E82" s="844"/>
      <c r="F82" s="845">
        <v>301020</v>
      </c>
      <c r="G82" s="844">
        <v>3594</v>
      </c>
      <c r="H82" s="844">
        <v>38209</v>
      </c>
      <c r="I82" s="447">
        <f>C82-D82-E82-H82-F82-G82</f>
        <v>670531</v>
      </c>
      <c r="J82" s="849">
        <v>810380</v>
      </c>
      <c r="K82" s="844">
        <v>193488</v>
      </c>
      <c r="L82" s="844">
        <v>41245</v>
      </c>
      <c r="M82" s="848">
        <v>240967</v>
      </c>
      <c r="N82" s="446">
        <f>J82-K82-L82-M82</f>
        <v>334680</v>
      </c>
      <c r="O82" s="844">
        <v>219594</v>
      </c>
      <c r="P82" s="844">
        <v>45266</v>
      </c>
      <c r="Q82" s="844">
        <v>36280</v>
      </c>
      <c r="R82" s="844">
        <v>158531</v>
      </c>
      <c r="S82" s="448">
        <v>541312</v>
      </c>
    </row>
    <row r="83" spans="1:25" ht="13.5" thickBot="1" x14ac:dyDescent="0.25">
      <c r="A83" s="1024"/>
      <c r="C83" s="16"/>
      <c r="D83" s="84"/>
      <c r="E83" s="1024"/>
      <c r="F83" s="466"/>
      <c r="G83" s="1024"/>
      <c r="H83" s="1024"/>
      <c r="I83" s="89"/>
      <c r="J83" s="11"/>
      <c r="K83" s="1024"/>
      <c r="L83" s="1024"/>
      <c r="M83" s="1024"/>
      <c r="N83" s="1024"/>
      <c r="O83" s="1024"/>
      <c r="P83" s="1024"/>
      <c r="Q83" s="1024"/>
      <c r="R83" s="1024"/>
      <c r="S83" s="1024"/>
    </row>
    <row r="84" spans="1:25" x14ac:dyDescent="0.2">
      <c r="U84" s="183"/>
    </row>
    <row r="85" spans="1:25" x14ac:dyDescent="0.2">
      <c r="U85" s="183"/>
      <c r="V85" s="183"/>
      <c r="W85" s="183"/>
      <c r="X85" s="17"/>
      <c r="Y85" s="50"/>
    </row>
    <row r="86" spans="1:25" x14ac:dyDescent="0.2">
      <c r="W86" s="183"/>
      <c r="X86" s="17"/>
      <c r="Y86" s="50"/>
    </row>
    <row r="87" spans="1:25" x14ac:dyDescent="0.2">
      <c r="Y87" s="56"/>
    </row>
    <row r="88" spans="1:25" x14ac:dyDescent="0.2">
      <c r="U88" s="183"/>
      <c r="V88" s="183"/>
      <c r="W88" s="183"/>
      <c r="X88" s="17"/>
      <c r="Y88" s="50"/>
    </row>
  </sheetData>
  <pageMargins left="0.70866141732283472" right="0.70866141732283472" top="0.74803149606299213" bottom="0.74803149606299213" header="0.31496062992125984" footer="0.31496062992125984"/>
  <pageSetup paperSize="9" scale="42" fitToWidth="2" orientation="landscape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>
    <pageSetUpPr fitToPage="1"/>
  </sheetPr>
  <dimension ref="A1:Y88"/>
  <sheetViews>
    <sheetView workbookViewId="0">
      <selection sqref="A1:X89"/>
    </sheetView>
  </sheetViews>
  <sheetFormatPr defaultColWidth="11.42578125" defaultRowHeight="12.75" x14ac:dyDescent="0.2"/>
  <cols>
    <col min="1" max="1" width="12.28515625" customWidth="1"/>
    <col min="2" max="2" width="3.28515625" customWidth="1"/>
    <col min="3" max="3" width="11.85546875" bestFit="1" customWidth="1"/>
    <col min="4" max="5" width="11.5703125" bestFit="1" customWidth="1"/>
    <col min="6" max="7" width="11.5703125" customWidth="1"/>
    <col min="8" max="8" width="11.5703125" bestFit="1" customWidth="1"/>
    <col min="9" max="10" width="11.85546875" bestFit="1" customWidth="1"/>
    <col min="11" max="12" width="11.5703125" bestFit="1" customWidth="1"/>
    <col min="13" max="13" width="11.5703125" customWidth="1"/>
    <col min="14" max="19" width="11.5703125" bestFit="1" customWidth="1"/>
    <col min="20" max="20" width="4.85546875" customWidth="1"/>
    <col min="22" max="22" width="15.85546875" customWidth="1"/>
    <col min="23" max="24" width="11.85546875" bestFit="1" customWidth="1"/>
    <col min="25" max="25" width="12.85546875" bestFit="1" customWidth="1"/>
  </cols>
  <sheetData>
    <row r="1" spans="2:20" ht="18" x14ac:dyDescent="0.25">
      <c r="J1" s="208" t="s">
        <v>1037</v>
      </c>
      <c r="Q1" s="94">
        <v>42209</v>
      </c>
    </row>
    <row r="3" spans="2:20" ht="13.5" thickBot="1" x14ac:dyDescent="0.25"/>
    <row r="4" spans="2:20" ht="15.75" x14ac:dyDescent="0.25">
      <c r="C4" s="102"/>
      <c r="D4" s="87"/>
      <c r="E4" s="430" t="s">
        <v>33</v>
      </c>
      <c r="F4" s="430"/>
      <c r="G4" s="430"/>
      <c r="H4" s="430"/>
      <c r="I4" s="431"/>
      <c r="J4" s="432"/>
      <c r="K4" s="430" t="s">
        <v>664</v>
      </c>
      <c r="L4" s="430"/>
      <c r="M4" s="430"/>
      <c r="N4" s="430"/>
      <c r="O4" s="432"/>
      <c r="P4" s="430" t="s">
        <v>668</v>
      </c>
      <c r="Q4" s="430"/>
      <c r="R4" s="87"/>
      <c r="S4" s="13"/>
    </row>
    <row r="5" spans="2:20" ht="13.5" thickBot="1" x14ac:dyDescent="0.25">
      <c r="C5" s="89"/>
      <c r="D5" s="90"/>
      <c r="E5" s="90"/>
      <c r="F5" s="90"/>
      <c r="G5" s="90"/>
      <c r="H5" s="90"/>
      <c r="I5" s="81"/>
      <c r="J5" s="89"/>
      <c r="K5" s="6"/>
      <c r="L5" s="90"/>
      <c r="M5" s="6"/>
      <c r="N5" s="6"/>
      <c r="O5" s="88"/>
      <c r="P5" s="6"/>
      <c r="Q5" s="6"/>
      <c r="R5" s="6"/>
      <c r="S5" s="205" t="s">
        <v>32</v>
      </c>
    </row>
    <row r="6" spans="2:20" x14ac:dyDescent="0.2">
      <c r="C6" s="255"/>
      <c r="D6" s="6"/>
      <c r="E6" s="255"/>
      <c r="F6" s="255"/>
      <c r="G6" s="255"/>
      <c r="H6" s="6"/>
      <c r="I6" s="13"/>
      <c r="J6" s="6"/>
      <c r="K6" s="428"/>
      <c r="L6" s="6"/>
      <c r="M6" s="26" t="s">
        <v>702</v>
      </c>
      <c r="N6" s="2"/>
      <c r="O6" s="255"/>
      <c r="P6" s="87"/>
      <c r="Q6" s="255"/>
      <c r="R6" s="87"/>
      <c r="S6" s="205" t="s">
        <v>669</v>
      </c>
    </row>
    <row r="7" spans="2:20" x14ac:dyDescent="0.2">
      <c r="C7" s="73" t="s">
        <v>132</v>
      </c>
      <c r="D7" s="1036" t="s">
        <v>287</v>
      </c>
      <c r="E7" s="73" t="s">
        <v>660</v>
      </c>
      <c r="F7" s="148" t="s">
        <v>485</v>
      </c>
      <c r="G7" s="148" t="s">
        <v>670</v>
      </c>
      <c r="H7" s="1036" t="s">
        <v>661</v>
      </c>
      <c r="I7" s="205" t="s">
        <v>662</v>
      </c>
      <c r="J7" s="1036" t="s">
        <v>132</v>
      </c>
      <c r="K7" s="205" t="s">
        <v>663</v>
      </c>
      <c r="L7" s="93" t="s">
        <v>701</v>
      </c>
      <c r="M7" s="205" t="s">
        <v>495</v>
      </c>
      <c r="N7" s="396" t="s">
        <v>662</v>
      </c>
      <c r="O7" s="131" t="s">
        <v>665</v>
      </c>
      <c r="P7" s="135" t="s">
        <v>666</v>
      </c>
      <c r="Q7" s="131" t="s">
        <v>667</v>
      </c>
      <c r="R7" s="135" t="s">
        <v>397</v>
      </c>
      <c r="S7" s="15"/>
    </row>
    <row r="8" spans="2:20" x14ac:dyDescent="0.2">
      <c r="C8" s="1037"/>
      <c r="D8" s="424"/>
      <c r="E8" s="1037"/>
      <c r="F8" s="1037"/>
      <c r="G8" s="1037"/>
      <c r="H8" s="424"/>
      <c r="I8" s="425"/>
      <c r="J8" s="424"/>
      <c r="K8" s="429"/>
      <c r="L8" s="424"/>
      <c r="M8" s="425"/>
      <c r="N8" s="426"/>
      <c r="O8" s="1038"/>
      <c r="P8" s="90"/>
      <c r="Q8" s="1038"/>
      <c r="R8" s="90"/>
      <c r="S8" s="427"/>
    </row>
    <row r="9" spans="2:20" x14ac:dyDescent="0.2">
      <c r="C9" s="374"/>
      <c r="D9" s="433"/>
      <c r="E9" s="374"/>
      <c r="F9" s="374"/>
      <c r="G9" s="374"/>
      <c r="H9" s="433"/>
      <c r="I9" s="434"/>
      <c r="J9" s="433"/>
      <c r="K9" s="434"/>
      <c r="L9" s="433"/>
      <c r="M9" s="434"/>
      <c r="N9" s="434"/>
      <c r="O9" s="433"/>
      <c r="P9" s="374"/>
      <c r="Q9" s="433"/>
      <c r="R9" s="435"/>
      <c r="S9" s="434"/>
    </row>
    <row r="10" spans="2:20" ht="14.25" customHeight="1" x14ac:dyDescent="0.2">
      <c r="B10">
        <v>1</v>
      </c>
      <c r="C10" s="22">
        <v>17821</v>
      </c>
      <c r="D10" s="29">
        <v>9500</v>
      </c>
      <c r="E10" s="22"/>
      <c r="F10" s="22"/>
      <c r="G10" s="22"/>
      <c r="H10" s="29">
        <v>8321</v>
      </c>
      <c r="I10" s="34">
        <f>C10-D10-E10-H10-F10-G10</f>
        <v>0</v>
      </c>
      <c r="J10" s="29">
        <v>15564</v>
      </c>
      <c r="K10" s="34">
        <v>12176</v>
      </c>
      <c r="L10" s="29"/>
      <c r="M10" s="34">
        <v>1200</v>
      </c>
      <c r="N10" s="34">
        <f>J10-K10-L10-M10</f>
        <v>2188</v>
      </c>
      <c r="O10" s="463">
        <v>2000</v>
      </c>
      <c r="P10" s="22"/>
      <c r="Q10" s="29">
        <v>2500</v>
      </c>
      <c r="R10" s="28">
        <v>5000</v>
      </c>
      <c r="S10" s="34">
        <v>13376</v>
      </c>
      <c r="T10">
        <v>1</v>
      </c>
    </row>
    <row r="11" spans="2:20" x14ac:dyDescent="0.2">
      <c r="C11" s="375"/>
      <c r="D11" s="436"/>
      <c r="E11" s="375"/>
      <c r="F11" s="894"/>
      <c r="G11" s="375"/>
      <c r="H11" s="436"/>
      <c r="I11" s="437"/>
      <c r="J11" s="436"/>
      <c r="K11" s="437"/>
      <c r="L11" s="436"/>
      <c r="M11" s="437"/>
      <c r="N11" s="34">
        <f t="shared" ref="N11:N71" si="0">J11-K11-L11-M11</f>
        <v>0</v>
      </c>
      <c r="O11" s="436"/>
      <c r="P11" s="375"/>
      <c r="Q11" s="436"/>
      <c r="R11" s="438"/>
      <c r="S11" s="437"/>
    </row>
    <row r="12" spans="2:20" x14ac:dyDescent="0.2">
      <c r="B12">
        <v>2</v>
      </c>
      <c r="C12" s="374"/>
      <c r="D12" s="433"/>
      <c r="E12" s="374"/>
      <c r="F12" s="374"/>
      <c r="G12" s="374"/>
      <c r="H12" s="433"/>
      <c r="I12" s="34">
        <f>C12-D12-E12-H12-F12-G12</f>
        <v>0</v>
      </c>
      <c r="J12" s="433"/>
      <c r="K12" s="434"/>
      <c r="L12" s="433"/>
      <c r="M12" s="34"/>
      <c r="N12" s="34">
        <f t="shared" si="0"/>
        <v>0</v>
      </c>
      <c r="O12" s="433"/>
      <c r="P12" s="374"/>
      <c r="Q12" s="433"/>
      <c r="R12" s="435"/>
      <c r="S12" s="434">
        <v>816</v>
      </c>
      <c r="T12">
        <v>2</v>
      </c>
    </row>
    <row r="13" spans="2:20" x14ac:dyDescent="0.2">
      <c r="C13" s="375"/>
      <c r="D13" s="436"/>
      <c r="E13" s="375"/>
      <c r="F13" s="375"/>
      <c r="G13" s="375"/>
      <c r="H13" s="436"/>
      <c r="I13" s="34"/>
      <c r="J13" s="436"/>
      <c r="K13" s="437"/>
      <c r="L13" s="436"/>
      <c r="M13" s="34"/>
      <c r="N13" s="34">
        <f t="shared" si="0"/>
        <v>0</v>
      </c>
      <c r="O13" s="436"/>
      <c r="P13" s="375"/>
      <c r="Q13" s="436"/>
      <c r="R13" s="438"/>
      <c r="S13" s="437"/>
    </row>
    <row r="14" spans="2:20" x14ac:dyDescent="0.2">
      <c r="B14">
        <v>3</v>
      </c>
      <c r="C14" s="374">
        <v>16251</v>
      </c>
      <c r="D14" s="433">
        <v>15365</v>
      </c>
      <c r="E14" s="374"/>
      <c r="F14" s="374"/>
      <c r="G14" s="374"/>
      <c r="H14" s="433"/>
      <c r="I14" s="34">
        <f t="shared" ref="I14:I71" si="1">C14-D14-E14-H14-F14-G14</f>
        <v>886</v>
      </c>
      <c r="J14" s="433">
        <v>32671</v>
      </c>
      <c r="K14" s="434">
        <v>2600</v>
      </c>
      <c r="L14" s="433">
        <v>3145</v>
      </c>
      <c r="M14" s="34"/>
      <c r="N14" s="34">
        <f>J14-K14-L14-M14</f>
        <v>26926</v>
      </c>
      <c r="O14" s="433">
        <v>4240</v>
      </c>
      <c r="P14" s="374">
        <v>7000</v>
      </c>
      <c r="Q14" s="433"/>
      <c r="R14" s="435">
        <v>4125</v>
      </c>
      <c r="S14" s="434">
        <v>5745</v>
      </c>
      <c r="T14">
        <v>3</v>
      </c>
    </row>
    <row r="15" spans="2:20" x14ac:dyDescent="0.2">
      <c r="C15" s="375"/>
      <c r="D15" s="436"/>
      <c r="E15" s="375"/>
      <c r="F15" s="375"/>
      <c r="G15" s="375"/>
      <c r="H15" s="436"/>
      <c r="I15" s="34">
        <f t="shared" si="1"/>
        <v>0</v>
      </c>
      <c r="J15" s="436"/>
      <c r="K15" s="437"/>
      <c r="L15" s="436"/>
      <c r="M15" s="34"/>
      <c r="N15" s="34">
        <f t="shared" si="0"/>
        <v>0</v>
      </c>
      <c r="O15" s="436"/>
      <c r="P15" s="375"/>
      <c r="Q15" s="436"/>
      <c r="R15" s="438"/>
      <c r="S15" s="437"/>
    </row>
    <row r="16" spans="2:20" x14ac:dyDescent="0.2">
      <c r="B16">
        <v>4</v>
      </c>
      <c r="C16" s="374">
        <v>10766</v>
      </c>
      <c r="D16" s="433">
        <v>8868</v>
      </c>
      <c r="E16" s="374"/>
      <c r="F16" s="374"/>
      <c r="G16" s="374"/>
      <c r="H16" s="433"/>
      <c r="I16" s="34">
        <f t="shared" si="1"/>
        <v>1898</v>
      </c>
      <c r="J16" s="433"/>
      <c r="K16" s="434"/>
      <c r="L16" s="433"/>
      <c r="M16" s="34"/>
      <c r="N16" s="34">
        <f t="shared" si="0"/>
        <v>0</v>
      </c>
      <c r="O16" s="464">
        <v>2000</v>
      </c>
      <c r="P16" s="374">
        <v>1961</v>
      </c>
      <c r="Q16" s="433"/>
      <c r="R16" s="435">
        <v>4907</v>
      </c>
      <c r="S16" s="434"/>
      <c r="T16">
        <v>4</v>
      </c>
    </row>
    <row r="17" spans="2:20" x14ac:dyDescent="0.2">
      <c r="C17" s="375"/>
      <c r="D17" s="436"/>
      <c r="E17" s="375"/>
      <c r="F17" s="375"/>
      <c r="G17" s="375"/>
      <c r="H17" s="436"/>
      <c r="I17" s="34">
        <f t="shared" si="1"/>
        <v>0</v>
      </c>
      <c r="J17" s="436"/>
      <c r="K17" s="437"/>
      <c r="L17" s="436"/>
      <c r="M17" s="34"/>
      <c r="N17" s="34">
        <f t="shared" si="0"/>
        <v>0</v>
      </c>
      <c r="O17" s="436"/>
      <c r="P17" s="375"/>
      <c r="Q17" s="436"/>
      <c r="R17" s="438"/>
      <c r="S17" s="437"/>
    </row>
    <row r="18" spans="2:20" x14ac:dyDescent="0.2">
      <c r="B18">
        <v>5</v>
      </c>
      <c r="C18" s="374">
        <v>38073</v>
      </c>
      <c r="D18" s="433">
        <v>15578</v>
      </c>
      <c r="E18" s="374"/>
      <c r="F18" s="374"/>
      <c r="G18" s="374"/>
      <c r="H18" s="433"/>
      <c r="I18" s="34">
        <f t="shared" si="1"/>
        <v>22495</v>
      </c>
      <c r="J18" s="433">
        <v>29541</v>
      </c>
      <c r="K18" s="434">
        <v>17219</v>
      </c>
      <c r="L18" s="433">
        <v>890</v>
      </c>
      <c r="M18" s="34">
        <v>11432</v>
      </c>
      <c r="N18" s="34">
        <f t="shared" si="0"/>
        <v>0</v>
      </c>
      <c r="O18" s="433">
        <v>10109</v>
      </c>
      <c r="P18" s="374">
        <v>612</v>
      </c>
      <c r="Q18" s="433"/>
      <c r="R18" s="435">
        <v>4857</v>
      </c>
      <c r="S18" s="434">
        <v>40142</v>
      </c>
      <c r="T18">
        <v>5</v>
      </c>
    </row>
    <row r="19" spans="2:20" x14ac:dyDescent="0.2">
      <c r="C19" s="375"/>
      <c r="D19" s="436"/>
      <c r="E19" s="375"/>
      <c r="F19" s="375"/>
      <c r="G19" s="375"/>
      <c r="H19" s="436"/>
      <c r="I19" s="34">
        <f t="shared" si="1"/>
        <v>0</v>
      </c>
      <c r="J19" s="436"/>
      <c r="K19" s="437"/>
      <c r="L19" s="436"/>
      <c r="M19" s="34"/>
      <c r="N19" s="34">
        <f t="shared" si="0"/>
        <v>0</v>
      </c>
      <c r="O19" s="436"/>
      <c r="P19" s="375"/>
      <c r="Q19" s="436"/>
      <c r="R19" s="438"/>
      <c r="S19" s="437"/>
    </row>
    <row r="20" spans="2:20" x14ac:dyDescent="0.2">
      <c r="B20">
        <v>6</v>
      </c>
      <c r="C20" s="374">
        <v>49472</v>
      </c>
      <c r="D20" s="433">
        <v>11421</v>
      </c>
      <c r="E20" s="374"/>
      <c r="F20" s="1041">
        <v>24083</v>
      </c>
      <c r="G20" s="374"/>
      <c r="H20" s="433"/>
      <c r="I20" s="34">
        <f t="shared" si="1"/>
        <v>13968</v>
      </c>
      <c r="J20" s="433">
        <v>18781</v>
      </c>
      <c r="K20" s="434">
        <v>4031</v>
      </c>
      <c r="L20" s="433"/>
      <c r="M20" s="34">
        <v>1200</v>
      </c>
      <c r="N20" s="34">
        <f t="shared" si="0"/>
        <v>13550</v>
      </c>
      <c r="O20" s="464">
        <v>7486</v>
      </c>
      <c r="P20" s="374"/>
      <c r="Q20" s="433"/>
      <c r="R20" s="435">
        <v>3935</v>
      </c>
      <c r="S20" s="434">
        <v>6681</v>
      </c>
      <c r="T20">
        <v>6</v>
      </c>
    </row>
    <row r="21" spans="2:20" x14ac:dyDescent="0.2">
      <c r="C21" s="375"/>
      <c r="D21" s="436"/>
      <c r="E21" s="375"/>
      <c r="F21" s="893"/>
      <c r="G21" s="375"/>
      <c r="H21" s="436"/>
      <c r="I21" s="34">
        <f t="shared" si="1"/>
        <v>0</v>
      </c>
      <c r="J21" s="436"/>
      <c r="K21" s="437"/>
      <c r="L21" s="436"/>
      <c r="M21" s="34"/>
      <c r="N21" s="34">
        <f t="shared" si="0"/>
        <v>0</v>
      </c>
      <c r="O21" s="436"/>
      <c r="P21" s="375"/>
      <c r="Q21" s="436"/>
      <c r="R21" s="438"/>
      <c r="S21" s="437"/>
    </row>
    <row r="22" spans="2:20" x14ac:dyDescent="0.2">
      <c r="B22">
        <v>7</v>
      </c>
      <c r="C22" s="374">
        <v>30222</v>
      </c>
      <c r="D22" s="433">
        <v>8592</v>
      </c>
      <c r="E22" s="374"/>
      <c r="F22" s="374"/>
      <c r="G22" s="374">
        <v>7503</v>
      </c>
      <c r="H22" s="433"/>
      <c r="I22" s="34">
        <f t="shared" si="1"/>
        <v>14127</v>
      </c>
      <c r="J22" s="433">
        <v>6325</v>
      </c>
      <c r="K22" s="434">
        <v>6325</v>
      </c>
      <c r="L22" s="433"/>
      <c r="M22" s="34"/>
      <c r="N22" s="34">
        <f t="shared" si="0"/>
        <v>0</v>
      </c>
      <c r="O22" s="433">
        <v>860</v>
      </c>
      <c r="P22" s="374">
        <v>449</v>
      </c>
      <c r="Q22" s="433">
        <v>860</v>
      </c>
      <c r="R22" s="435">
        <v>6423</v>
      </c>
      <c r="S22" s="434">
        <v>7120</v>
      </c>
      <c r="T22">
        <v>7</v>
      </c>
    </row>
    <row r="23" spans="2:20" x14ac:dyDescent="0.2">
      <c r="C23" s="375"/>
      <c r="D23" s="436"/>
      <c r="E23" s="375"/>
      <c r="F23" s="375"/>
      <c r="G23" s="375"/>
      <c r="H23" s="436"/>
      <c r="I23" s="34">
        <f t="shared" si="1"/>
        <v>0</v>
      </c>
      <c r="J23" s="436"/>
      <c r="K23" s="437"/>
      <c r="L23" s="436"/>
      <c r="M23" s="34"/>
      <c r="N23" s="34">
        <f t="shared" si="0"/>
        <v>0</v>
      </c>
      <c r="O23" s="436"/>
      <c r="P23" s="375"/>
      <c r="Q23" s="436"/>
      <c r="R23" s="438"/>
      <c r="S23" s="437"/>
    </row>
    <row r="24" spans="2:20" x14ac:dyDescent="0.2">
      <c r="B24">
        <v>8</v>
      </c>
      <c r="C24" s="374">
        <v>24705</v>
      </c>
      <c r="D24" s="433">
        <v>7345</v>
      </c>
      <c r="E24" s="374"/>
      <c r="F24" s="374"/>
      <c r="G24" s="374">
        <v>8488</v>
      </c>
      <c r="H24" s="433"/>
      <c r="I24" s="34">
        <f t="shared" si="1"/>
        <v>8872</v>
      </c>
      <c r="J24" s="433">
        <v>10358</v>
      </c>
      <c r="K24" s="434">
        <v>3633</v>
      </c>
      <c r="L24" s="433"/>
      <c r="M24" s="34">
        <v>6725</v>
      </c>
      <c r="N24" s="34">
        <f t="shared" si="0"/>
        <v>0</v>
      </c>
      <c r="O24" s="433">
        <v>4727</v>
      </c>
      <c r="P24" s="374"/>
      <c r="Q24" s="433"/>
      <c r="R24" s="435">
        <v>2618</v>
      </c>
      <c r="S24" s="434">
        <v>10358</v>
      </c>
      <c r="T24">
        <v>8</v>
      </c>
    </row>
    <row r="25" spans="2:20" x14ac:dyDescent="0.2">
      <c r="C25" s="375"/>
      <c r="D25" s="436"/>
      <c r="E25" s="375"/>
      <c r="F25" s="375"/>
      <c r="G25" s="375"/>
      <c r="H25" s="436"/>
      <c r="I25" s="34">
        <f t="shared" si="1"/>
        <v>0</v>
      </c>
      <c r="J25" s="436"/>
      <c r="K25" s="437"/>
      <c r="L25" s="436"/>
      <c r="M25" s="34"/>
      <c r="N25" s="34">
        <f t="shared" si="0"/>
        <v>0</v>
      </c>
      <c r="O25" s="436"/>
      <c r="P25" s="375"/>
      <c r="Q25" s="436"/>
      <c r="R25" s="438"/>
      <c r="S25" s="437"/>
    </row>
    <row r="26" spans="2:20" x14ac:dyDescent="0.2">
      <c r="B26">
        <v>9</v>
      </c>
      <c r="C26" s="374">
        <v>28491</v>
      </c>
      <c r="D26" s="433">
        <v>9830</v>
      </c>
      <c r="E26" s="374"/>
      <c r="F26" s="374"/>
      <c r="G26" s="374"/>
      <c r="H26" s="433"/>
      <c r="I26" s="34">
        <f t="shared" si="1"/>
        <v>18661</v>
      </c>
      <c r="J26" s="433">
        <v>13600</v>
      </c>
      <c r="K26" s="434"/>
      <c r="L26" s="433"/>
      <c r="M26" s="34"/>
      <c r="N26" s="34">
        <f t="shared" si="0"/>
        <v>13600</v>
      </c>
      <c r="O26" s="433">
        <v>1470</v>
      </c>
      <c r="P26" s="374">
        <v>8360</v>
      </c>
      <c r="Q26" s="433"/>
      <c r="R26" s="435"/>
      <c r="S26" s="434">
        <v>1839</v>
      </c>
      <c r="T26">
        <v>9</v>
      </c>
    </row>
    <row r="27" spans="2:20" x14ac:dyDescent="0.2">
      <c r="C27" s="375"/>
      <c r="D27" s="436"/>
      <c r="E27" s="375"/>
      <c r="F27" s="375"/>
      <c r="G27" s="375"/>
      <c r="H27" s="436"/>
      <c r="I27" s="34">
        <f t="shared" si="1"/>
        <v>0</v>
      </c>
      <c r="J27" s="436"/>
      <c r="K27" s="437"/>
      <c r="L27" s="436"/>
      <c r="M27" s="34"/>
      <c r="N27" s="34">
        <f t="shared" si="0"/>
        <v>0</v>
      </c>
      <c r="O27" s="436"/>
      <c r="P27" s="375"/>
      <c r="Q27" s="436"/>
      <c r="R27" s="438"/>
      <c r="S27" s="437"/>
    </row>
    <row r="28" spans="2:20" x14ac:dyDescent="0.2">
      <c r="B28">
        <v>10</v>
      </c>
      <c r="C28" s="374">
        <v>68415</v>
      </c>
      <c r="D28" s="433">
        <v>59768</v>
      </c>
      <c r="E28" s="374"/>
      <c r="F28" s="374"/>
      <c r="G28" s="374"/>
      <c r="H28" s="433"/>
      <c r="I28" s="34">
        <f>C28-D28-E28-H28-F28-G28</f>
        <v>8647</v>
      </c>
      <c r="J28" s="433">
        <v>49451</v>
      </c>
      <c r="K28" s="434">
        <v>25294</v>
      </c>
      <c r="L28" s="433">
        <v>5750</v>
      </c>
      <c r="M28" s="34">
        <v>11207</v>
      </c>
      <c r="N28" s="34">
        <f t="shared" si="0"/>
        <v>7200</v>
      </c>
      <c r="O28" s="433">
        <v>25619</v>
      </c>
      <c r="P28" s="374">
        <v>19173</v>
      </c>
      <c r="Q28" s="433">
        <v>3885</v>
      </c>
      <c r="R28" s="435">
        <v>11091</v>
      </c>
      <c r="S28" s="434">
        <v>48621</v>
      </c>
      <c r="T28">
        <v>10</v>
      </c>
    </row>
    <row r="29" spans="2:20" x14ac:dyDescent="0.2">
      <c r="C29" s="375"/>
      <c r="D29" s="436"/>
      <c r="E29" s="375"/>
      <c r="F29" s="375"/>
      <c r="G29" s="375"/>
      <c r="H29" s="436"/>
      <c r="I29" s="34">
        <f t="shared" si="1"/>
        <v>0</v>
      </c>
      <c r="J29" s="436"/>
      <c r="K29" s="437"/>
      <c r="L29" s="436"/>
      <c r="M29" s="34"/>
      <c r="N29" s="34">
        <f t="shared" si="0"/>
        <v>0</v>
      </c>
      <c r="O29" s="436"/>
      <c r="P29" s="375"/>
      <c r="Q29" s="436"/>
      <c r="R29" s="438"/>
      <c r="S29" s="437"/>
    </row>
    <row r="30" spans="2:20" s="58" customFormat="1" x14ac:dyDescent="0.2">
      <c r="B30" s="58">
        <v>11</v>
      </c>
      <c r="C30" s="919">
        <v>2819</v>
      </c>
      <c r="D30" s="920">
        <v>1080</v>
      </c>
      <c r="E30" s="919"/>
      <c r="F30" s="919"/>
      <c r="G30" s="919"/>
      <c r="H30" s="920"/>
      <c r="I30" s="492">
        <f t="shared" si="1"/>
        <v>1739</v>
      </c>
      <c r="J30" s="920">
        <v>5000</v>
      </c>
      <c r="K30" s="921">
        <v>2000</v>
      </c>
      <c r="L30" s="920"/>
      <c r="M30" s="492">
        <v>3000</v>
      </c>
      <c r="N30" s="492">
        <f t="shared" si="0"/>
        <v>0</v>
      </c>
      <c r="O30" s="920">
        <v>1080</v>
      </c>
      <c r="P30" s="919"/>
      <c r="Q30" s="920"/>
      <c r="R30" s="922"/>
      <c r="S30" s="921">
        <v>5000</v>
      </c>
      <c r="T30" s="58">
        <v>11</v>
      </c>
    </row>
    <row r="31" spans="2:20" x14ac:dyDescent="0.2">
      <c r="C31" s="375"/>
      <c r="D31" s="436"/>
      <c r="E31" s="375"/>
      <c r="F31" s="375"/>
      <c r="G31" s="375"/>
      <c r="H31" s="436"/>
      <c r="I31" s="34">
        <f t="shared" si="1"/>
        <v>0</v>
      </c>
      <c r="J31" s="436"/>
      <c r="K31" s="437"/>
      <c r="L31" s="436"/>
      <c r="M31" s="34"/>
      <c r="N31" s="34">
        <f t="shared" si="0"/>
        <v>0</v>
      </c>
      <c r="O31" s="436"/>
      <c r="P31" s="375"/>
      <c r="Q31" s="436"/>
      <c r="R31" s="438"/>
      <c r="S31" s="437"/>
    </row>
    <row r="32" spans="2:20" x14ac:dyDescent="0.2">
      <c r="B32">
        <v>12</v>
      </c>
      <c r="C32" s="374">
        <v>18819</v>
      </c>
      <c r="D32" s="433">
        <v>4639</v>
      </c>
      <c r="E32" s="374"/>
      <c r="F32" s="374"/>
      <c r="G32" s="374">
        <v>4437</v>
      </c>
      <c r="H32" s="433"/>
      <c r="I32" s="34">
        <f t="shared" si="1"/>
        <v>9743</v>
      </c>
      <c r="J32" s="433">
        <v>22829</v>
      </c>
      <c r="K32" s="434">
        <v>4651</v>
      </c>
      <c r="L32" s="433"/>
      <c r="M32" s="34">
        <v>4997</v>
      </c>
      <c r="N32" s="34">
        <f t="shared" si="0"/>
        <v>13181</v>
      </c>
      <c r="O32" s="464">
        <v>3469</v>
      </c>
      <c r="P32" s="374"/>
      <c r="Q32" s="433"/>
      <c r="R32" s="435">
        <v>1170</v>
      </c>
      <c r="S32" s="434">
        <v>9929</v>
      </c>
      <c r="T32">
        <v>12</v>
      </c>
    </row>
    <row r="33" spans="2:20" x14ac:dyDescent="0.2">
      <c r="C33" s="375"/>
      <c r="D33" s="436"/>
      <c r="E33" s="375"/>
      <c r="F33" s="375"/>
      <c r="G33" s="375"/>
      <c r="H33" s="436"/>
      <c r="I33" s="34">
        <f t="shared" si="1"/>
        <v>0</v>
      </c>
      <c r="J33" s="436"/>
      <c r="K33" s="437"/>
      <c r="L33" s="436"/>
      <c r="M33" s="34"/>
      <c r="N33" s="34">
        <f t="shared" si="0"/>
        <v>0</v>
      </c>
      <c r="O33" s="436"/>
      <c r="P33" s="375"/>
      <c r="Q33" s="436"/>
      <c r="R33" s="438"/>
      <c r="S33" s="437"/>
    </row>
    <row r="34" spans="2:20" x14ac:dyDescent="0.2">
      <c r="B34">
        <v>13</v>
      </c>
      <c r="C34" s="374">
        <v>32792</v>
      </c>
      <c r="D34" s="433">
        <v>8924</v>
      </c>
      <c r="E34" s="374"/>
      <c r="F34" s="374"/>
      <c r="G34" s="374"/>
      <c r="H34" s="433"/>
      <c r="I34" s="34">
        <f t="shared" si="1"/>
        <v>23868</v>
      </c>
      <c r="J34" s="433">
        <v>4960</v>
      </c>
      <c r="K34" s="434">
        <v>1400</v>
      </c>
      <c r="L34" s="433"/>
      <c r="M34" s="34">
        <v>3560</v>
      </c>
      <c r="N34" s="34">
        <f t="shared" si="0"/>
        <v>0</v>
      </c>
      <c r="O34" s="433">
        <v>2000</v>
      </c>
      <c r="P34" s="374"/>
      <c r="Q34" s="433"/>
      <c r="R34" s="435">
        <v>6924</v>
      </c>
      <c r="S34" s="434">
        <v>6030</v>
      </c>
      <c r="T34">
        <v>13</v>
      </c>
    </row>
    <row r="35" spans="2:20" x14ac:dyDescent="0.2">
      <c r="C35" s="375"/>
      <c r="D35" s="436"/>
      <c r="E35" s="375"/>
      <c r="F35" s="375"/>
      <c r="G35" s="375"/>
      <c r="H35" s="436"/>
      <c r="I35" s="34">
        <f t="shared" si="1"/>
        <v>0</v>
      </c>
      <c r="J35" s="436"/>
      <c r="K35" s="437"/>
      <c r="L35" s="436"/>
      <c r="M35" s="34"/>
      <c r="N35" s="34">
        <f t="shared" si="0"/>
        <v>0</v>
      </c>
      <c r="O35" s="436"/>
      <c r="P35" s="375"/>
      <c r="Q35" s="436"/>
      <c r="R35" s="438"/>
      <c r="S35" s="437"/>
    </row>
    <row r="36" spans="2:20" x14ac:dyDescent="0.2">
      <c r="B36">
        <v>14</v>
      </c>
      <c r="C36" s="374">
        <v>63230</v>
      </c>
      <c r="D36" s="433">
        <v>5290</v>
      </c>
      <c r="E36" s="374"/>
      <c r="F36" s="1042">
        <v>36701</v>
      </c>
      <c r="G36" s="374">
        <v>8541</v>
      </c>
      <c r="H36" s="433"/>
      <c r="I36" s="34">
        <f t="shared" si="1"/>
        <v>12698</v>
      </c>
      <c r="J36" s="433">
        <v>5549</v>
      </c>
      <c r="K36" s="434">
        <v>4789</v>
      </c>
      <c r="L36" s="433"/>
      <c r="M36" s="34">
        <v>760</v>
      </c>
      <c r="N36" s="34">
        <f t="shared" si="0"/>
        <v>0</v>
      </c>
      <c r="O36" s="464">
        <v>830</v>
      </c>
      <c r="P36" s="374">
        <v>435</v>
      </c>
      <c r="Q36" s="433"/>
      <c r="R36" s="435">
        <v>4025</v>
      </c>
      <c r="S36" s="434">
        <v>6613</v>
      </c>
      <c r="T36">
        <v>14</v>
      </c>
    </row>
    <row r="37" spans="2:20" x14ac:dyDescent="0.2">
      <c r="C37" s="375"/>
      <c r="D37" s="436"/>
      <c r="E37" s="375"/>
      <c r="F37" s="375"/>
      <c r="G37" s="375"/>
      <c r="H37" s="436"/>
      <c r="I37" s="34">
        <f t="shared" si="1"/>
        <v>0</v>
      </c>
      <c r="J37" s="436"/>
      <c r="K37" s="437"/>
      <c r="L37" s="436"/>
      <c r="M37" s="34"/>
      <c r="N37" s="34">
        <f t="shared" si="0"/>
        <v>0</v>
      </c>
      <c r="O37" s="436"/>
      <c r="P37" s="375"/>
      <c r="Q37" s="436"/>
      <c r="R37" s="438"/>
      <c r="S37" s="437"/>
    </row>
    <row r="38" spans="2:20" x14ac:dyDescent="0.2">
      <c r="B38">
        <v>15</v>
      </c>
      <c r="C38" s="374">
        <v>117095</v>
      </c>
      <c r="D38" s="433">
        <v>68266</v>
      </c>
      <c r="E38" s="374"/>
      <c r="F38" s="374"/>
      <c r="G38" s="374"/>
      <c r="H38" s="433">
        <v>9031</v>
      </c>
      <c r="I38" s="34">
        <f t="shared" si="1"/>
        <v>39798</v>
      </c>
      <c r="J38" s="433">
        <v>92948</v>
      </c>
      <c r="K38" s="434">
        <v>51382</v>
      </c>
      <c r="L38" s="433">
        <v>893</v>
      </c>
      <c r="M38" s="34">
        <v>37453</v>
      </c>
      <c r="N38" s="34">
        <f t="shared" si="0"/>
        <v>3220</v>
      </c>
      <c r="O38" s="433">
        <v>39819</v>
      </c>
      <c r="P38" s="374">
        <v>809</v>
      </c>
      <c r="Q38" s="433">
        <v>10107</v>
      </c>
      <c r="R38" s="435">
        <v>17531</v>
      </c>
      <c r="S38" s="434">
        <v>99138</v>
      </c>
      <c r="T38">
        <v>15</v>
      </c>
    </row>
    <row r="39" spans="2:20" x14ac:dyDescent="0.2">
      <c r="C39" s="375"/>
      <c r="D39" s="436"/>
      <c r="E39" s="375"/>
      <c r="F39" s="375"/>
      <c r="G39" s="375"/>
      <c r="H39" s="436"/>
      <c r="I39" s="34">
        <f t="shared" si="1"/>
        <v>0</v>
      </c>
      <c r="J39" s="436"/>
      <c r="K39" s="437"/>
      <c r="L39" s="436"/>
      <c r="M39" s="34"/>
      <c r="N39" s="34">
        <f t="shared" si="0"/>
        <v>0</v>
      </c>
      <c r="O39" s="436"/>
      <c r="P39" s="375"/>
      <c r="Q39" s="436"/>
      <c r="R39" s="438"/>
      <c r="S39" s="437"/>
    </row>
    <row r="40" spans="2:20" x14ac:dyDescent="0.2">
      <c r="B40">
        <v>16</v>
      </c>
      <c r="C40" s="374">
        <v>19741</v>
      </c>
      <c r="D40" s="433">
        <v>2000</v>
      </c>
      <c r="E40" s="374"/>
      <c r="F40" s="374"/>
      <c r="G40" s="374"/>
      <c r="H40" s="433"/>
      <c r="I40" s="34">
        <f t="shared" si="1"/>
        <v>17741</v>
      </c>
      <c r="J40" s="433">
        <v>22215</v>
      </c>
      <c r="K40" s="434">
        <v>10435</v>
      </c>
      <c r="L40" s="433"/>
      <c r="M40" s="34">
        <v>6725</v>
      </c>
      <c r="N40" s="34">
        <f t="shared" si="0"/>
        <v>5055</v>
      </c>
      <c r="O40" s="433">
        <v>2000</v>
      </c>
      <c r="P40" s="374"/>
      <c r="Q40" s="433"/>
      <c r="R40" s="435"/>
      <c r="S40" s="434">
        <v>17159</v>
      </c>
      <c r="T40">
        <v>16</v>
      </c>
    </row>
    <row r="41" spans="2:20" x14ac:dyDescent="0.2">
      <c r="C41" s="375"/>
      <c r="D41" s="436"/>
      <c r="E41" s="375"/>
      <c r="F41" s="375"/>
      <c r="G41" s="375"/>
      <c r="H41" s="436"/>
      <c r="I41" s="34">
        <f t="shared" si="1"/>
        <v>0</v>
      </c>
      <c r="J41" s="436"/>
      <c r="K41" s="437"/>
      <c r="L41" s="436"/>
      <c r="M41" s="34"/>
      <c r="N41" s="34">
        <f t="shared" si="0"/>
        <v>0</v>
      </c>
      <c r="O41" s="436"/>
      <c r="P41" s="375"/>
      <c r="Q41" s="436"/>
      <c r="R41" s="438"/>
      <c r="S41" s="437"/>
    </row>
    <row r="42" spans="2:20" x14ac:dyDescent="0.2">
      <c r="B42">
        <v>17</v>
      </c>
      <c r="C42" s="374">
        <v>146914</v>
      </c>
      <c r="D42" s="433">
        <v>9456</v>
      </c>
      <c r="E42" s="374"/>
      <c r="F42" s="1042">
        <v>118347</v>
      </c>
      <c r="G42" s="374"/>
      <c r="H42" s="433"/>
      <c r="I42" s="34">
        <f t="shared" si="1"/>
        <v>19111</v>
      </c>
      <c r="J42" s="433">
        <v>34147</v>
      </c>
      <c r="K42" s="434">
        <v>11570</v>
      </c>
      <c r="L42" s="433">
        <v>750</v>
      </c>
      <c r="M42" s="34">
        <v>1887</v>
      </c>
      <c r="N42" s="34">
        <f t="shared" si="0"/>
        <v>19940</v>
      </c>
      <c r="O42" s="433">
        <v>4351</v>
      </c>
      <c r="P42" s="374"/>
      <c r="Q42" s="433"/>
      <c r="R42" s="435">
        <v>5105</v>
      </c>
      <c r="S42" s="434">
        <v>14487</v>
      </c>
      <c r="T42">
        <v>17</v>
      </c>
    </row>
    <row r="43" spans="2:20" x14ac:dyDescent="0.2">
      <c r="C43" s="375"/>
      <c r="D43" s="436"/>
      <c r="E43" s="375"/>
      <c r="F43" s="375"/>
      <c r="G43" s="375"/>
      <c r="H43" s="436"/>
      <c r="I43" s="34"/>
      <c r="J43" s="436"/>
      <c r="K43" s="437"/>
      <c r="L43" s="436"/>
      <c r="M43" s="34"/>
      <c r="N43" s="34">
        <f t="shared" si="0"/>
        <v>0</v>
      </c>
      <c r="O43" s="436"/>
      <c r="P43" s="375"/>
      <c r="Q43" s="436"/>
      <c r="R43" s="438"/>
      <c r="S43" s="437"/>
    </row>
    <row r="44" spans="2:20" x14ac:dyDescent="0.2">
      <c r="B44">
        <v>18</v>
      </c>
      <c r="C44" s="374">
        <v>20301</v>
      </c>
      <c r="D44" s="433">
        <v>9214</v>
      </c>
      <c r="E44" s="374"/>
      <c r="F44" s="374"/>
      <c r="G44" s="374"/>
      <c r="H44" s="433"/>
      <c r="I44" s="34">
        <f t="shared" si="1"/>
        <v>11087</v>
      </c>
      <c r="J44" s="433">
        <v>11734</v>
      </c>
      <c r="K44" s="434">
        <v>9399</v>
      </c>
      <c r="L44" s="433"/>
      <c r="M44" s="34">
        <v>2335</v>
      </c>
      <c r="N44" s="34">
        <f t="shared" si="0"/>
        <v>0</v>
      </c>
      <c r="O44" s="433">
        <v>9214</v>
      </c>
      <c r="P44" s="374"/>
      <c r="Q44" s="433"/>
      <c r="R44" s="435"/>
      <c r="S44" s="434">
        <v>12534</v>
      </c>
      <c r="T44">
        <v>18</v>
      </c>
    </row>
    <row r="45" spans="2:20" x14ac:dyDescent="0.2">
      <c r="C45" s="375"/>
      <c r="D45" s="436"/>
      <c r="E45" s="375"/>
      <c r="F45" s="375"/>
      <c r="G45" s="375"/>
      <c r="H45" s="436"/>
      <c r="I45" s="34">
        <f t="shared" si="1"/>
        <v>0</v>
      </c>
      <c r="J45" s="436"/>
      <c r="K45" s="437"/>
      <c r="L45" s="436"/>
      <c r="M45" s="34"/>
      <c r="N45" s="34">
        <f t="shared" si="0"/>
        <v>0</v>
      </c>
      <c r="O45" s="436"/>
      <c r="P45" s="375"/>
      <c r="Q45" s="436"/>
      <c r="R45" s="438"/>
      <c r="S45" s="437"/>
    </row>
    <row r="46" spans="2:20" x14ac:dyDescent="0.2">
      <c r="B46">
        <v>19</v>
      </c>
      <c r="C46" s="374">
        <v>5712</v>
      </c>
      <c r="D46" s="433">
        <v>5046</v>
      </c>
      <c r="E46" s="374"/>
      <c r="F46" s="374"/>
      <c r="G46" s="374"/>
      <c r="H46" s="433"/>
      <c r="I46" s="34">
        <f t="shared" si="1"/>
        <v>666</v>
      </c>
      <c r="J46" s="433">
        <v>23319</v>
      </c>
      <c r="K46" s="434">
        <v>3469</v>
      </c>
      <c r="L46" s="433"/>
      <c r="M46" s="34"/>
      <c r="N46" s="34">
        <f t="shared" si="0"/>
        <v>19850</v>
      </c>
      <c r="O46" s="433">
        <v>1981</v>
      </c>
      <c r="P46" s="374">
        <v>1400</v>
      </c>
      <c r="Q46" s="433"/>
      <c r="R46" s="435">
        <v>1665</v>
      </c>
      <c r="S46" s="434">
        <v>3749</v>
      </c>
      <c r="T46">
        <v>19</v>
      </c>
    </row>
    <row r="47" spans="2:20" x14ac:dyDescent="0.2">
      <c r="C47" s="375"/>
      <c r="D47" s="436"/>
      <c r="E47" s="375"/>
      <c r="F47" s="375"/>
      <c r="G47" s="375"/>
      <c r="H47" s="436"/>
      <c r="I47" s="34">
        <f t="shared" si="1"/>
        <v>0</v>
      </c>
      <c r="J47" s="436"/>
      <c r="K47" s="437"/>
      <c r="L47" s="436"/>
      <c r="M47" s="34"/>
      <c r="N47" s="34">
        <f t="shared" si="0"/>
        <v>0</v>
      </c>
      <c r="O47" s="436"/>
      <c r="P47" s="375"/>
      <c r="Q47" s="436"/>
      <c r="R47" s="438"/>
      <c r="S47" s="437"/>
    </row>
    <row r="48" spans="2:20" x14ac:dyDescent="0.2">
      <c r="B48">
        <v>20</v>
      </c>
      <c r="C48" s="374">
        <v>119944</v>
      </c>
      <c r="D48" s="433">
        <v>33441</v>
      </c>
      <c r="E48" s="374"/>
      <c r="F48" s="374"/>
      <c r="G48" s="374">
        <v>10854</v>
      </c>
      <c r="H48" s="433">
        <v>25119</v>
      </c>
      <c r="I48" s="34">
        <f>C48-D48-E48-H48-F48-G48</f>
        <v>50530</v>
      </c>
      <c r="J48" s="433">
        <v>85952</v>
      </c>
      <c r="K48" s="434">
        <v>31613</v>
      </c>
      <c r="L48" s="433">
        <v>5000</v>
      </c>
      <c r="M48" s="34">
        <v>21094</v>
      </c>
      <c r="N48" s="34">
        <f t="shared" si="0"/>
        <v>28245</v>
      </c>
      <c r="O48" s="433">
        <v>20837</v>
      </c>
      <c r="P48" s="374"/>
      <c r="Q48" s="433">
        <v>2626</v>
      </c>
      <c r="R48" s="435">
        <v>9978</v>
      </c>
      <c r="S48" s="434">
        <v>74824</v>
      </c>
      <c r="T48">
        <v>20</v>
      </c>
    </row>
    <row r="49" spans="2:20" x14ac:dyDescent="0.2">
      <c r="C49" s="375"/>
      <c r="D49" s="436"/>
      <c r="E49" s="375"/>
      <c r="F49" s="375"/>
      <c r="G49" s="375"/>
      <c r="H49" s="436"/>
      <c r="I49" s="34">
        <f t="shared" si="1"/>
        <v>0</v>
      </c>
      <c r="J49" s="436"/>
      <c r="K49" s="437"/>
      <c r="L49" s="436"/>
      <c r="M49" s="34"/>
      <c r="N49" s="34">
        <f t="shared" si="0"/>
        <v>0</v>
      </c>
      <c r="O49" s="436"/>
      <c r="P49" s="375"/>
      <c r="Q49" s="436"/>
      <c r="R49" s="438"/>
      <c r="S49" s="437"/>
    </row>
    <row r="50" spans="2:20" x14ac:dyDescent="0.2">
      <c r="B50">
        <v>21</v>
      </c>
      <c r="C50" s="374">
        <v>10114</v>
      </c>
      <c r="D50" s="433">
        <v>5179</v>
      </c>
      <c r="E50" s="374"/>
      <c r="F50" s="374"/>
      <c r="G50" s="374"/>
      <c r="H50" s="433"/>
      <c r="I50" s="34">
        <f t="shared" si="1"/>
        <v>4935</v>
      </c>
      <c r="J50" s="433">
        <v>34207</v>
      </c>
      <c r="K50" s="434">
        <v>11079</v>
      </c>
      <c r="L50" s="433"/>
      <c r="M50" s="34">
        <v>3177</v>
      </c>
      <c r="N50" s="34">
        <f t="shared" si="0"/>
        <v>19951</v>
      </c>
      <c r="O50" s="433">
        <v>2469</v>
      </c>
      <c r="P50" s="374"/>
      <c r="Q50" s="433"/>
      <c r="R50" s="435">
        <v>2710</v>
      </c>
      <c r="S50" s="434">
        <v>15523</v>
      </c>
      <c r="T50">
        <v>21</v>
      </c>
    </row>
    <row r="51" spans="2:20" x14ac:dyDescent="0.2">
      <c r="C51" s="375"/>
      <c r="D51" s="436"/>
      <c r="E51" s="375"/>
      <c r="F51" s="375"/>
      <c r="G51" s="375"/>
      <c r="H51" s="436"/>
      <c r="I51" s="34">
        <f t="shared" si="1"/>
        <v>0</v>
      </c>
      <c r="J51" s="436"/>
      <c r="K51" s="437"/>
      <c r="L51" s="436"/>
      <c r="M51" s="34"/>
      <c r="N51" s="34">
        <f t="shared" si="0"/>
        <v>0</v>
      </c>
      <c r="O51" s="436"/>
      <c r="P51" s="375"/>
      <c r="Q51" s="436"/>
      <c r="R51" s="438"/>
      <c r="S51" s="437"/>
    </row>
    <row r="52" spans="2:20" x14ac:dyDescent="0.2">
      <c r="B52">
        <v>22</v>
      </c>
      <c r="C52" s="374">
        <v>27823</v>
      </c>
      <c r="D52" s="433">
        <v>15169</v>
      </c>
      <c r="E52" s="374"/>
      <c r="F52" s="374"/>
      <c r="G52" s="374"/>
      <c r="H52" s="433"/>
      <c r="I52" s="34">
        <f t="shared" si="1"/>
        <v>12654</v>
      </c>
      <c r="J52" s="433">
        <v>5225</v>
      </c>
      <c r="K52" s="434">
        <v>2303</v>
      </c>
      <c r="L52" s="433"/>
      <c r="M52" s="34"/>
      <c r="N52" s="34">
        <f t="shared" si="0"/>
        <v>2922</v>
      </c>
      <c r="O52" s="433">
        <v>11359</v>
      </c>
      <c r="P52" s="374"/>
      <c r="Q52" s="433">
        <v>2684</v>
      </c>
      <c r="R52" s="435">
        <v>1126</v>
      </c>
      <c r="S52" s="434">
        <v>2731</v>
      </c>
      <c r="T52">
        <v>22</v>
      </c>
    </row>
    <row r="53" spans="2:20" x14ac:dyDescent="0.2">
      <c r="C53" s="375"/>
      <c r="D53" s="436"/>
      <c r="E53" s="375"/>
      <c r="F53" s="375"/>
      <c r="G53" s="375"/>
      <c r="H53" s="436"/>
      <c r="I53" s="34">
        <f t="shared" si="1"/>
        <v>0</v>
      </c>
      <c r="J53" s="436"/>
      <c r="K53" s="437"/>
      <c r="L53" s="436"/>
      <c r="M53" s="34"/>
      <c r="N53" s="34">
        <f t="shared" si="0"/>
        <v>0</v>
      </c>
      <c r="O53" s="436"/>
      <c r="P53" s="375"/>
      <c r="Q53" s="436"/>
      <c r="R53" s="438"/>
      <c r="S53" s="437"/>
    </row>
    <row r="54" spans="2:20" x14ac:dyDescent="0.2">
      <c r="B54">
        <v>23</v>
      </c>
      <c r="C54" s="374">
        <v>31170</v>
      </c>
      <c r="D54" s="433">
        <v>3000</v>
      </c>
      <c r="E54" s="374"/>
      <c r="F54" s="374"/>
      <c r="G54" s="374"/>
      <c r="H54" s="433"/>
      <c r="I54" s="34">
        <f t="shared" si="1"/>
        <v>28170</v>
      </c>
      <c r="J54" s="433">
        <v>33527</v>
      </c>
      <c r="K54" s="434">
        <v>7147</v>
      </c>
      <c r="L54" s="433"/>
      <c r="M54" s="34">
        <v>6450</v>
      </c>
      <c r="N54" s="34">
        <f t="shared" si="0"/>
        <v>19930</v>
      </c>
      <c r="O54" s="433">
        <v>3000</v>
      </c>
      <c r="P54" s="374"/>
      <c r="Q54" s="433"/>
      <c r="R54" s="435"/>
      <c r="S54" s="434">
        <v>13876</v>
      </c>
      <c r="T54">
        <v>23</v>
      </c>
    </row>
    <row r="55" spans="2:20" x14ac:dyDescent="0.2">
      <c r="C55" s="375"/>
      <c r="D55" s="436"/>
      <c r="E55" s="375"/>
      <c r="F55" s="375"/>
      <c r="G55" s="375"/>
      <c r="H55" s="436"/>
      <c r="I55" s="34">
        <f t="shared" si="1"/>
        <v>0</v>
      </c>
      <c r="J55" s="436"/>
      <c r="K55" s="437"/>
      <c r="L55" s="436"/>
      <c r="M55" s="34"/>
      <c r="N55" s="34">
        <f t="shared" si="0"/>
        <v>0</v>
      </c>
      <c r="O55" s="436"/>
      <c r="P55" s="375"/>
      <c r="Q55" s="436"/>
      <c r="R55" s="438"/>
      <c r="S55" s="437"/>
    </row>
    <row r="56" spans="2:20" x14ac:dyDescent="0.2">
      <c r="B56">
        <v>24</v>
      </c>
      <c r="C56" s="374">
        <v>89633</v>
      </c>
      <c r="D56" s="433">
        <v>27716</v>
      </c>
      <c r="E56" s="374"/>
      <c r="F56" s="1042">
        <v>23895</v>
      </c>
      <c r="G56" s="374"/>
      <c r="H56" s="433"/>
      <c r="I56" s="34">
        <f t="shared" si="1"/>
        <v>38022</v>
      </c>
      <c r="J56" s="433">
        <v>7134</v>
      </c>
      <c r="K56" s="434">
        <v>6345</v>
      </c>
      <c r="L56" s="433">
        <v>789</v>
      </c>
      <c r="M56" s="34"/>
      <c r="N56" s="34">
        <f t="shared" si="0"/>
        <v>0</v>
      </c>
      <c r="O56" s="433">
        <v>16849</v>
      </c>
      <c r="P56" s="374">
        <v>7574</v>
      </c>
      <c r="Q56" s="433">
        <v>860</v>
      </c>
      <c r="R56" s="435">
        <v>2433</v>
      </c>
      <c r="S56" s="434">
        <v>7134</v>
      </c>
      <c r="T56">
        <v>24</v>
      </c>
    </row>
    <row r="57" spans="2:20" x14ac:dyDescent="0.2">
      <c r="C57" s="375"/>
      <c r="D57" s="436"/>
      <c r="E57" s="375"/>
      <c r="F57" s="375"/>
      <c r="G57" s="375"/>
      <c r="H57" s="436"/>
      <c r="I57" s="34">
        <f t="shared" si="1"/>
        <v>0</v>
      </c>
      <c r="J57" s="436"/>
      <c r="K57" s="437"/>
      <c r="L57" s="436"/>
      <c r="M57" s="34"/>
      <c r="N57" s="34">
        <f t="shared" si="0"/>
        <v>0</v>
      </c>
      <c r="O57" s="436"/>
      <c r="P57" s="375"/>
      <c r="Q57" s="436"/>
      <c r="R57" s="438"/>
      <c r="S57" s="437"/>
    </row>
    <row r="58" spans="2:20" x14ac:dyDescent="0.2">
      <c r="B58">
        <v>25</v>
      </c>
      <c r="C58" s="374">
        <v>99765</v>
      </c>
      <c r="D58" s="433">
        <v>22195</v>
      </c>
      <c r="E58" s="374"/>
      <c r="F58" s="1042">
        <v>28605</v>
      </c>
      <c r="G58" s="374"/>
      <c r="H58" s="433"/>
      <c r="I58" s="34">
        <f t="shared" si="1"/>
        <v>48965</v>
      </c>
      <c r="J58" s="433">
        <v>76465</v>
      </c>
      <c r="K58" s="434">
        <v>21821</v>
      </c>
      <c r="L58" s="433">
        <v>1899</v>
      </c>
      <c r="M58" s="34">
        <v>16109</v>
      </c>
      <c r="N58" s="34">
        <f t="shared" si="0"/>
        <v>36636</v>
      </c>
      <c r="O58" s="433">
        <v>13154</v>
      </c>
      <c r="P58" s="374"/>
      <c r="Q58" s="433"/>
      <c r="R58" s="435">
        <v>9041</v>
      </c>
      <c r="S58" s="434">
        <v>42342</v>
      </c>
      <c r="T58">
        <v>25</v>
      </c>
    </row>
    <row r="59" spans="2:20" x14ac:dyDescent="0.2">
      <c r="C59" s="375"/>
      <c r="D59" s="436"/>
      <c r="E59" s="375"/>
      <c r="F59" s="375"/>
      <c r="G59" s="375"/>
      <c r="H59" s="436"/>
      <c r="I59" s="34">
        <f t="shared" si="1"/>
        <v>0</v>
      </c>
      <c r="J59" s="436"/>
      <c r="K59" s="437"/>
      <c r="L59" s="436"/>
      <c r="M59" s="34"/>
      <c r="N59" s="34">
        <f t="shared" si="0"/>
        <v>0</v>
      </c>
      <c r="O59" s="436"/>
      <c r="P59" s="375"/>
      <c r="Q59" s="436"/>
      <c r="R59" s="438"/>
      <c r="S59" s="437"/>
    </row>
    <row r="60" spans="2:20" x14ac:dyDescent="0.2">
      <c r="B60">
        <v>26</v>
      </c>
      <c r="C60" s="374">
        <v>56262</v>
      </c>
      <c r="D60" s="433">
        <v>6188</v>
      </c>
      <c r="E60" s="374"/>
      <c r="F60" s="1040">
        <v>13400</v>
      </c>
      <c r="G60" s="374"/>
      <c r="H60" s="433"/>
      <c r="I60" s="34">
        <f t="shared" si="1"/>
        <v>36674</v>
      </c>
      <c r="J60" s="433">
        <v>34716</v>
      </c>
      <c r="K60" s="434">
        <v>10086</v>
      </c>
      <c r="L60" s="433"/>
      <c r="M60" s="34">
        <v>3030</v>
      </c>
      <c r="N60" s="34">
        <f t="shared" si="0"/>
        <v>21600</v>
      </c>
      <c r="O60" s="433">
        <v>3098</v>
      </c>
      <c r="P60" s="374"/>
      <c r="Q60" s="433"/>
      <c r="R60" s="435">
        <v>3090</v>
      </c>
      <c r="S60" s="434">
        <v>13117</v>
      </c>
      <c r="T60">
        <v>26</v>
      </c>
    </row>
    <row r="61" spans="2:20" x14ac:dyDescent="0.2">
      <c r="C61" s="375"/>
      <c r="D61" s="436"/>
      <c r="E61" s="375"/>
      <c r="F61" s="375"/>
      <c r="G61" s="375"/>
      <c r="H61" s="436"/>
      <c r="I61" s="34">
        <f t="shared" si="1"/>
        <v>0</v>
      </c>
      <c r="J61" s="436"/>
      <c r="K61" s="437"/>
      <c r="L61" s="436"/>
      <c r="M61" s="34"/>
      <c r="N61" s="34">
        <f t="shared" si="0"/>
        <v>0</v>
      </c>
      <c r="O61" s="436"/>
      <c r="P61" s="375"/>
      <c r="Q61" s="436"/>
      <c r="R61" s="438"/>
      <c r="S61" s="437"/>
    </row>
    <row r="62" spans="2:20" x14ac:dyDescent="0.2">
      <c r="B62">
        <v>27</v>
      </c>
      <c r="C62" s="374">
        <v>38784</v>
      </c>
      <c r="D62" s="433">
        <v>6020</v>
      </c>
      <c r="E62" s="374"/>
      <c r="F62" s="374"/>
      <c r="G62" s="374"/>
      <c r="H62" s="433"/>
      <c r="I62" s="34">
        <f t="shared" si="1"/>
        <v>32764</v>
      </c>
      <c r="J62" s="433">
        <v>39601</v>
      </c>
      <c r="K62" s="434">
        <v>2601</v>
      </c>
      <c r="L62" s="433"/>
      <c r="M62" s="34"/>
      <c r="N62" s="34">
        <f t="shared" si="0"/>
        <v>37000</v>
      </c>
      <c r="O62" s="433">
        <v>3753</v>
      </c>
      <c r="P62" s="374"/>
      <c r="Q62" s="433">
        <v>860</v>
      </c>
      <c r="R62" s="435">
        <v>1407</v>
      </c>
      <c r="S62" s="434">
        <v>4715</v>
      </c>
      <c r="T62">
        <v>27</v>
      </c>
    </row>
    <row r="63" spans="2:20" x14ac:dyDescent="0.2">
      <c r="C63" s="375"/>
      <c r="D63" s="436"/>
      <c r="E63" s="375"/>
      <c r="F63" s="375"/>
      <c r="G63" s="375"/>
      <c r="H63" s="436"/>
      <c r="I63" s="34">
        <f t="shared" si="1"/>
        <v>0</v>
      </c>
      <c r="J63" s="436"/>
      <c r="K63" s="437"/>
      <c r="L63" s="436"/>
      <c r="M63" s="34"/>
      <c r="N63" s="34">
        <f t="shared" si="0"/>
        <v>0</v>
      </c>
      <c r="O63" s="436"/>
      <c r="P63" s="375"/>
      <c r="Q63" s="436"/>
      <c r="R63" s="438"/>
      <c r="S63" s="437"/>
    </row>
    <row r="64" spans="2:20" x14ac:dyDescent="0.2">
      <c r="B64">
        <v>28</v>
      </c>
      <c r="C64" s="374">
        <v>25878</v>
      </c>
      <c r="D64" s="433">
        <v>8269</v>
      </c>
      <c r="E64" s="374"/>
      <c r="F64" s="374"/>
      <c r="G64" s="374"/>
      <c r="H64" s="433"/>
      <c r="I64" s="34">
        <f t="shared" si="1"/>
        <v>17609</v>
      </c>
      <c r="J64" s="433">
        <v>32954</v>
      </c>
      <c r="K64" s="434">
        <v>3651</v>
      </c>
      <c r="L64" s="433"/>
      <c r="M64" s="34">
        <v>647</v>
      </c>
      <c r="N64" s="34">
        <f t="shared" si="0"/>
        <v>28656</v>
      </c>
      <c r="O64" s="433">
        <v>3722</v>
      </c>
      <c r="P64" s="374"/>
      <c r="Q64" s="433">
        <v>2197</v>
      </c>
      <c r="R64" s="435">
        <v>2350</v>
      </c>
      <c r="S64" s="434">
        <v>5104</v>
      </c>
      <c r="T64">
        <v>28</v>
      </c>
    </row>
    <row r="65" spans="1:25" x14ac:dyDescent="0.2">
      <c r="C65" s="375"/>
      <c r="D65" s="436"/>
      <c r="E65" s="375"/>
      <c r="F65" s="375"/>
      <c r="G65" s="375"/>
      <c r="H65" s="436"/>
      <c r="I65" s="34">
        <f t="shared" si="1"/>
        <v>0</v>
      </c>
      <c r="J65" s="436"/>
      <c r="K65" s="437"/>
      <c r="L65" s="436"/>
      <c r="M65" s="34"/>
      <c r="N65" s="34">
        <f t="shared" si="0"/>
        <v>0</v>
      </c>
      <c r="O65" s="436"/>
      <c r="P65" s="375"/>
      <c r="Q65" s="436"/>
      <c r="R65" s="438"/>
      <c r="S65" s="437"/>
    </row>
    <row r="66" spans="1:25" x14ac:dyDescent="0.2">
      <c r="B66">
        <v>29</v>
      </c>
      <c r="C66" s="374">
        <v>33077</v>
      </c>
      <c r="D66" s="433">
        <v>6487</v>
      </c>
      <c r="E66" s="374"/>
      <c r="F66" s="374"/>
      <c r="G66" s="374"/>
      <c r="H66" s="433"/>
      <c r="I66" s="34">
        <f t="shared" si="1"/>
        <v>26590</v>
      </c>
      <c r="J66" s="433">
        <v>40309</v>
      </c>
      <c r="K66" s="434">
        <v>7338</v>
      </c>
      <c r="L66" s="433"/>
      <c r="M66" s="34">
        <v>3971</v>
      </c>
      <c r="N66" s="34">
        <f t="shared" si="0"/>
        <v>29000</v>
      </c>
      <c r="O66" s="464">
        <v>6487</v>
      </c>
      <c r="P66" s="374"/>
      <c r="Q66" s="433"/>
      <c r="R66" s="435"/>
      <c r="S66" s="434">
        <v>11308</v>
      </c>
      <c r="T66">
        <v>29</v>
      </c>
    </row>
    <row r="67" spans="1:25" x14ac:dyDescent="0.2">
      <c r="C67" s="375"/>
      <c r="D67" s="436"/>
      <c r="E67" s="375"/>
      <c r="F67" s="375"/>
      <c r="G67" s="375"/>
      <c r="H67" s="436"/>
      <c r="I67" s="34">
        <f t="shared" si="1"/>
        <v>0</v>
      </c>
      <c r="J67" s="436"/>
      <c r="K67" s="437"/>
      <c r="L67" s="436"/>
      <c r="M67" s="34"/>
      <c r="N67" s="34">
        <f t="shared" si="0"/>
        <v>0</v>
      </c>
      <c r="O67" s="436"/>
      <c r="P67" s="375"/>
      <c r="Q67" s="436"/>
      <c r="R67" s="438"/>
      <c r="S67" s="437"/>
      <c r="V67" s="483" t="s">
        <v>672</v>
      </c>
      <c r="W67" s="42">
        <f>E73+F73+H73+I73+N73+G73</f>
        <v>1585320</v>
      </c>
    </row>
    <row r="68" spans="1:25" x14ac:dyDescent="0.2">
      <c r="B68">
        <v>30</v>
      </c>
      <c r="C68" s="374">
        <v>152131</v>
      </c>
      <c r="D68" s="433">
        <v>42108</v>
      </c>
      <c r="E68" s="374"/>
      <c r="F68" s="374"/>
      <c r="G68" s="374"/>
      <c r="H68" s="433"/>
      <c r="I68" s="34">
        <f>C68-D68-E68-H68-F68-G68</f>
        <v>110023</v>
      </c>
      <c r="J68" s="433">
        <v>84248</v>
      </c>
      <c r="K68" s="434">
        <v>43762</v>
      </c>
      <c r="L68" s="433">
        <v>1000</v>
      </c>
      <c r="M68" s="34">
        <v>32024</v>
      </c>
      <c r="N68" s="34">
        <f t="shared" si="0"/>
        <v>7462</v>
      </c>
      <c r="O68" s="433">
        <v>17445</v>
      </c>
      <c r="P68" s="374">
        <v>3166</v>
      </c>
      <c r="Q68" s="433">
        <v>6068</v>
      </c>
      <c r="R68" s="435">
        <v>15429</v>
      </c>
      <c r="S68" s="434">
        <v>95627</v>
      </c>
      <c r="T68">
        <v>30</v>
      </c>
      <c r="U68" s="54" t="s">
        <v>837</v>
      </c>
      <c r="V68" s="183" t="s">
        <v>674</v>
      </c>
      <c r="W68" s="449"/>
      <c r="X68" s="42">
        <f>W69-W67</f>
        <v>-268532</v>
      </c>
    </row>
    <row r="69" spans="1:25" x14ac:dyDescent="0.2">
      <c r="C69" s="375"/>
      <c r="D69" s="436"/>
      <c r="E69" s="375"/>
      <c r="F69" s="375"/>
      <c r="G69" s="375"/>
      <c r="H69" s="436"/>
      <c r="I69" s="34">
        <f t="shared" si="1"/>
        <v>0</v>
      </c>
      <c r="J69" s="436"/>
      <c r="K69" s="437"/>
      <c r="L69" s="436"/>
      <c r="M69" s="34"/>
      <c r="N69" s="34">
        <f t="shared" si="0"/>
        <v>0</v>
      </c>
      <c r="O69" s="436"/>
      <c r="P69" s="375"/>
      <c r="Q69" s="436"/>
      <c r="R69" s="438"/>
      <c r="S69" s="437"/>
      <c r="V69" s="183" t="s">
        <v>673</v>
      </c>
      <c r="W69" s="42">
        <f>S73+O73+P73+Q73+R73</f>
        <v>1316788</v>
      </c>
    </row>
    <row r="70" spans="1:25" x14ac:dyDescent="0.2">
      <c r="B70">
        <v>31</v>
      </c>
      <c r="C70" s="374">
        <v>198353</v>
      </c>
      <c r="D70" s="433">
        <v>130987</v>
      </c>
      <c r="E70" s="374"/>
      <c r="F70" s="1042">
        <v>53812</v>
      </c>
      <c r="G70" s="374"/>
      <c r="H70" s="433">
        <v>4771</v>
      </c>
      <c r="I70" s="34">
        <f t="shared" si="1"/>
        <v>8783</v>
      </c>
      <c r="J70" s="433">
        <v>249136</v>
      </c>
      <c r="K70" s="434">
        <v>91766</v>
      </c>
      <c r="L70" s="433">
        <v>4049</v>
      </c>
      <c r="M70" s="34">
        <v>46539</v>
      </c>
      <c r="N70" s="34">
        <f t="shared" si="0"/>
        <v>106782</v>
      </c>
      <c r="O70" s="433">
        <v>68109</v>
      </c>
      <c r="P70" s="374">
        <v>12150</v>
      </c>
      <c r="Q70" s="433">
        <v>16366</v>
      </c>
      <c r="R70" s="435">
        <v>34362</v>
      </c>
      <c r="S70" s="34">
        <v>154209</v>
      </c>
      <c r="T70">
        <v>31</v>
      </c>
    </row>
    <row r="71" spans="1:25" ht="13.5" thickBot="1" x14ac:dyDescent="0.25">
      <c r="C71" s="22"/>
      <c r="D71" s="29"/>
      <c r="E71" s="22"/>
      <c r="F71" s="22"/>
      <c r="G71" s="22"/>
      <c r="H71" s="29"/>
      <c r="I71" s="34">
        <f t="shared" si="1"/>
        <v>0</v>
      </c>
      <c r="J71" s="29"/>
      <c r="K71" s="34"/>
      <c r="L71" s="29"/>
      <c r="M71" s="35"/>
      <c r="N71" s="34">
        <f t="shared" si="0"/>
        <v>0</v>
      </c>
      <c r="O71" s="29"/>
      <c r="P71" s="22"/>
      <c r="Q71" s="29"/>
      <c r="R71" s="28"/>
      <c r="S71" s="34"/>
      <c r="V71" s="183" t="s">
        <v>672</v>
      </c>
      <c r="W71" s="42">
        <f>E78+F78+G78+H78+I78+N78</f>
        <v>1558413</v>
      </c>
    </row>
    <row r="72" spans="1:25" x14ac:dyDescent="0.2">
      <c r="C72" s="40"/>
      <c r="D72" s="33"/>
      <c r="E72" s="33"/>
      <c r="F72" s="439"/>
      <c r="G72" s="33"/>
      <c r="H72" s="33"/>
      <c r="I72" s="439"/>
      <c r="J72" s="33"/>
      <c r="K72" s="439"/>
      <c r="L72" s="33"/>
      <c r="M72" s="439"/>
      <c r="N72" s="439"/>
      <c r="O72" s="33"/>
      <c r="P72" s="439"/>
      <c r="Q72" s="33"/>
      <c r="R72" s="439"/>
      <c r="S72" s="33"/>
      <c r="U72" s="54" t="s">
        <v>838</v>
      </c>
      <c r="V72" s="183" t="s">
        <v>674</v>
      </c>
      <c r="W72" s="449"/>
      <c r="X72" s="42">
        <f>W73-W71</f>
        <v>-318574</v>
      </c>
      <c r="Y72" s="42"/>
    </row>
    <row r="73" spans="1:25" x14ac:dyDescent="0.2">
      <c r="A73" s="54" t="s">
        <v>671</v>
      </c>
      <c r="B73" s="1"/>
      <c r="C73" s="34">
        <f>SUM(C9:C71)</f>
        <v>1594573</v>
      </c>
      <c r="D73" s="441">
        <f>SUM(D9:D71)</f>
        <v>566941</v>
      </c>
      <c r="E73" s="34">
        <v>94794</v>
      </c>
      <c r="F73" s="442">
        <f>SUM(F9:F71)</f>
        <v>298843</v>
      </c>
      <c r="G73" s="441">
        <f>SUM(G9:G71)</f>
        <v>39823</v>
      </c>
      <c r="H73" s="441">
        <f>SUM(H9:H71)</f>
        <v>47242</v>
      </c>
      <c r="I73" s="446">
        <f>SUM(I9:I71)</f>
        <v>641724</v>
      </c>
      <c r="J73" s="34">
        <f>SUM(J9:J71)</f>
        <v>1122466</v>
      </c>
      <c r="K73" s="441">
        <f t="shared" ref="K73:P73" si="2">SUM(K9:K71)</f>
        <v>409885</v>
      </c>
      <c r="L73" s="441">
        <f>SUM(L9:L71)</f>
        <v>24165</v>
      </c>
      <c r="M73" s="441">
        <f t="shared" si="2"/>
        <v>225522</v>
      </c>
      <c r="N73" s="446">
        <f>SUM(N9:N71)</f>
        <v>462894</v>
      </c>
      <c r="O73" s="441">
        <f>SUM(O9:O71)</f>
        <v>293537</v>
      </c>
      <c r="P73" s="441">
        <f t="shared" si="2"/>
        <v>63089</v>
      </c>
      <c r="Q73" s="441">
        <f>SUM(Q9:Q71)</f>
        <v>49013</v>
      </c>
      <c r="R73" s="441">
        <f>SUM(R9:R71)</f>
        <v>161302</v>
      </c>
      <c r="S73" s="446">
        <f>SUM(S9:S71)</f>
        <v>749847</v>
      </c>
      <c r="V73" s="183" t="s">
        <v>673</v>
      </c>
      <c r="W73" s="42">
        <f>S78+O78+P78+Q78+R78</f>
        <v>1239839</v>
      </c>
      <c r="X73" s="42"/>
    </row>
    <row r="74" spans="1:25" ht="13.5" thickBot="1" x14ac:dyDescent="0.25">
      <c r="C74" s="440"/>
      <c r="D74" s="35"/>
      <c r="E74" s="35"/>
      <c r="F74" s="37"/>
      <c r="G74" s="35"/>
      <c r="H74" s="35"/>
      <c r="I74" s="37"/>
      <c r="J74" s="35"/>
      <c r="K74" s="37"/>
      <c r="L74" s="35"/>
      <c r="M74" s="37"/>
      <c r="N74" s="37"/>
      <c r="O74" s="35"/>
      <c r="P74" s="37"/>
      <c r="Q74" s="35"/>
      <c r="R74" s="37"/>
      <c r="S74" s="35"/>
    </row>
    <row r="75" spans="1:25" x14ac:dyDescent="0.2"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>
        <f>L75+K75</f>
        <v>0</v>
      </c>
      <c r="O75" s="29"/>
      <c r="P75" s="29"/>
      <c r="Q75" s="29"/>
      <c r="R75" s="29"/>
      <c r="S75" s="29"/>
    </row>
    <row r="76" spans="1:25" ht="13.5" thickBot="1" x14ac:dyDescent="0.25">
      <c r="A76" s="94">
        <v>42209</v>
      </c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U76" s="54" t="s">
        <v>852</v>
      </c>
      <c r="V76" s="183" t="s">
        <v>672</v>
      </c>
      <c r="W76" s="42">
        <f>E82+F82+G82+H82+I82+N82</f>
        <v>1117453</v>
      </c>
    </row>
    <row r="77" spans="1:25" x14ac:dyDescent="0.2">
      <c r="A77" s="255"/>
      <c r="C77" s="33"/>
      <c r="D77" s="444"/>
      <c r="E77" s="374"/>
      <c r="F77" s="465"/>
      <c r="G77" s="374"/>
      <c r="H77" s="374"/>
      <c r="I77" s="435"/>
      <c r="J77" s="40"/>
      <c r="K77" s="374"/>
      <c r="L77" s="374"/>
      <c r="M77" s="374"/>
      <c r="N77" s="374"/>
      <c r="O77" s="374"/>
      <c r="P77" s="374"/>
      <c r="Q77" s="374"/>
      <c r="R77" s="374"/>
      <c r="S77" s="374"/>
      <c r="V77" s="183" t="s">
        <v>674</v>
      </c>
      <c r="W77" s="449"/>
      <c r="X77" s="42">
        <f>W78-W76</f>
        <v>23584</v>
      </c>
      <c r="Y77" s="50"/>
    </row>
    <row r="78" spans="1:25" x14ac:dyDescent="0.2">
      <c r="A78" s="843" t="s">
        <v>838</v>
      </c>
      <c r="C78" s="847">
        <v>1706867</v>
      </c>
      <c r="D78" s="846">
        <v>538023</v>
      </c>
      <c r="E78" s="844"/>
      <c r="F78" s="1043">
        <v>350254</v>
      </c>
      <c r="G78" s="844">
        <v>3594</v>
      </c>
      <c r="H78" s="844">
        <v>39601</v>
      </c>
      <c r="I78" s="447">
        <f>C78-D78-E78-H78-F78-G78</f>
        <v>775395</v>
      </c>
      <c r="J78" s="849">
        <v>1055510</v>
      </c>
      <c r="K78" s="844">
        <v>354541</v>
      </c>
      <c r="L78" s="844">
        <v>52382</v>
      </c>
      <c r="M78" s="848">
        <v>259018</v>
      </c>
      <c r="N78" s="446">
        <f>J78-K78-L78-M78</f>
        <v>389569</v>
      </c>
      <c r="O78" s="844">
        <v>229543</v>
      </c>
      <c r="P78" s="844">
        <v>46743</v>
      </c>
      <c r="Q78" s="844">
        <v>87060</v>
      </c>
      <c r="R78" s="844">
        <v>174677</v>
      </c>
      <c r="S78" s="448">
        <v>701816</v>
      </c>
      <c r="V78" s="183" t="s">
        <v>673</v>
      </c>
      <c r="W78" s="42">
        <f>S82+O82+P82+Q82+R82</f>
        <v>1141037</v>
      </c>
      <c r="X78" s="42"/>
      <c r="Y78" s="50"/>
    </row>
    <row r="79" spans="1:25" ht="13.5" thickBot="1" x14ac:dyDescent="0.25">
      <c r="A79" s="261"/>
      <c r="C79" s="16"/>
      <c r="D79" s="84"/>
      <c r="E79" s="1038"/>
      <c r="F79" s="466"/>
      <c r="G79" s="1038"/>
      <c r="H79" s="1038"/>
      <c r="I79" s="89"/>
      <c r="J79" s="11"/>
      <c r="K79" s="1038"/>
      <c r="L79" s="1038"/>
      <c r="M79" s="1038"/>
      <c r="N79" s="1038"/>
      <c r="O79" s="1038"/>
      <c r="P79" s="1038"/>
      <c r="Q79" s="1038"/>
      <c r="R79" s="1038"/>
      <c r="S79" s="1038"/>
      <c r="Y79" s="56"/>
    </row>
    <row r="80" spans="1:25" ht="13.5" thickBot="1" x14ac:dyDescent="0.25">
      <c r="A80" s="204"/>
      <c r="C80" s="15"/>
      <c r="D80" s="81"/>
      <c r="E80" s="66"/>
      <c r="F80" s="450"/>
      <c r="G80" s="66"/>
      <c r="H80" s="66"/>
      <c r="I80" s="88"/>
      <c r="J80" s="5"/>
      <c r="K80" s="66"/>
      <c r="L80" s="66"/>
      <c r="M80" s="66"/>
      <c r="N80" s="66"/>
      <c r="O80" s="66"/>
      <c r="P80" s="66"/>
      <c r="Q80" s="66"/>
      <c r="R80" s="66"/>
      <c r="S80" s="66"/>
      <c r="Y80" s="56"/>
    </row>
    <row r="81" spans="1:25" x14ac:dyDescent="0.2">
      <c r="A81" s="443"/>
      <c r="C81" s="33"/>
      <c r="D81" s="444"/>
      <c r="E81" s="374"/>
      <c r="F81" s="465"/>
      <c r="G81" s="374"/>
      <c r="H81" s="374"/>
      <c r="I81" s="435"/>
      <c r="J81" s="40"/>
      <c r="K81" s="374"/>
      <c r="L81" s="374"/>
      <c r="M81" s="374"/>
      <c r="N81" s="374"/>
      <c r="O81" s="374"/>
      <c r="P81" s="374"/>
      <c r="Q81" s="374"/>
      <c r="R81" s="374"/>
      <c r="S81" s="374"/>
    </row>
    <row r="82" spans="1:25" x14ac:dyDescent="0.2">
      <c r="A82" s="843" t="s">
        <v>852</v>
      </c>
      <c r="C82" s="847">
        <v>1285476</v>
      </c>
      <c r="D82" s="846">
        <v>497849</v>
      </c>
      <c r="E82" s="844"/>
      <c r="F82" s="845">
        <v>171126</v>
      </c>
      <c r="G82" s="844">
        <v>16596</v>
      </c>
      <c r="H82" s="844">
        <v>39601</v>
      </c>
      <c r="I82" s="447">
        <f>C82-D82-E82-H82-F82-G82</f>
        <v>560304</v>
      </c>
      <c r="J82" s="849">
        <v>915584</v>
      </c>
      <c r="K82" s="844">
        <v>291583</v>
      </c>
      <c r="L82" s="844">
        <v>49541</v>
      </c>
      <c r="M82" s="848">
        <v>244634</v>
      </c>
      <c r="N82" s="446">
        <f>J82-K82-L82-M82</f>
        <v>329826</v>
      </c>
      <c r="O82" s="844">
        <v>324142</v>
      </c>
      <c r="P82" s="844">
        <v>25387</v>
      </c>
      <c r="Q82" s="844">
        <v>49980</v>
      </c>
      <c r="R82" s="844">
        <v>98340</v>
      </c>
      <c r="S82" s="448">
        <v>643188</v>
      </c>
    </row>
    <row r="83" spans="1:25" ht="13.5" thickBot="1" x14ac:dyDescent="0.25">
      <c r="A83" s="1038"/>
      <c r="C83" s="16"/>
      <c r="D83" s="84"/>
      <c r="E83" s="1038"/>
      <c r="F83" s="466"/>
      <c r="G83" s="1038"/>
      <c r="H83" s="1038"/>
      <c r="I83" s="89"/>
      <c r="J83" s="11"/>
      <c r="K83" s="1038"/>
      <c r="L83" s="1038"/>
      <c r="M83" s="1038"/>
      <c r="N83" s="1038"/>
      <c r="O83" s="1038"/>
      <c r="P83" s="1038"/>
      <c r="Q83" s="1038"/>
      <c r="R83" s="1038"/>
      <c r="S83" s="1038"/>
    </row>
    <row r="84" spans="1:25" x14ac:dyDescent="0.2">
      <c r="U84" s="183"/>
    </row>
    <row r="85" spans="1:25" x14ac:dyDescent="0.2">
      <c r="U85" s="183"/>
      <c r="V85" s="183"/>
      <c r="W85" s="183"/>
      <c r="X85" s="17"/>
      <c r="Y85" s="50"/>
    </row>
    <row r="86" spans="1:25" x14ac:dyDescent="0.2">
      <c r="W86" s="183"/>
      <c r="X86" s="17"/>
      <c r="Y86" s="50"/>
    </row>
    <row r="87" spans="1:25" x14ac:dyDescent="0.2">
      <c r="Y87" s="56"/>
    </row>
    <row r="88" spans="1:25" x14ac:dyDescent="0.2">
      <c r="U88" s="183"/>
      <c r="V88" s="183"/>
      <c r="W88" s="183"/>
      <c r="X88" s="17"/>
      <c r="Y88" s="50"/>
    </row>
  </sheetData>
  <pageMargins left="0.70866141732283472" right="0.70866141732283472" top="0.74803149606299213" bottom="0.74803149606299213" header="0.31496062992125984" footer="0.31496062992125984"/>
  <pageSetup paperSize="9" scale="43" fitToWidth="2" orientation="landscape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>
    <pageSetUpPr fitToPage="1"/>
  </sheetPr>
  <dimension ref="A1:Y88"/>
  <sheetViews>
    <sheetView workbookViewId="0">
      <selection activeCell="E3" sqref="E3"/>
    </sheetView>
  </sheetViews>
  <sheetFormatPr defaultColWidth="11.42578125" defaultRowHeight="12.75" x14ac:dyDescent="0.2"/>
  <cols>
    <col min="1" max="1" width="12.28515625" customWidth="1"/>
    <col min="2" max="2" width="3.28515625" customWidth="1"/>
    <col min="3" max="3" width="11.85546875" bestFit="1" customWidth="1"/>
    <col min="4" max="5" width="11.5703125" bestFit="1" customWidth="1"/>
    <col min="6" max="7" width="11.5703125" customWidth="1"/>
    <col min="8" max="8" width="11.5703125" bestFit="1" customWidth="1"/>
    <col min="9" max="10" width="11.85546875" bestFit="1" customWidth="1"/>
    <col min="11" max="12" width="11.5703125" bestFit="1" customWidth="1"/>
    <col min="13" max="13" width="11.5703125" customWidth="1"/>
    <col min="14" max="19" width="11.5703125" bestFit="1" customWidth="1"/>
    <col min="20" max="20" width="4.85546875" customWidth="1"/>
    <col min="21" max="21" width="12.85546875" customWidth="1"/>
    <col min="22" max="22" width="15.85546875" customWidth="1"/>
    <col min="23" max="24" width="11.85546875" bestFit="1" customWidth="1"/>
    <col min="25" max="25" width="12.85546875" bestFit="1" customWidth="1"/>
  </cols>
  <sheetData>
    <row r="1" spans="2:20" ht="18" x14ac:dyDescent="0.25">
      <c r="J1" s="208" t="s">
        <v>1045</v>
      </c>
      <c r="Q1" s="94">
        <v>42236</v>
      </c>
    </row>
    <row r="3" spans="2:20" ht="13.5" thickBot="1" x14ac:dyDescent="0.25"/>
    <row r="4" spans="2:20" ht="15.75" x14ac:dyDescent="0.25">
      <c r="C4" s="102"/>
      <c r="D4" s="87"/>
      <c r="E4" s="430" t="s">
        <v>33</v>
      </c>
      <c r="F4" s="430"/>
      <c r="G4" s="430"/>
      <c r="H4" s="430"/>
      <c r="I4" s="431"/>
      <c r="J4" s="432"/>
      <c r="K4" s="430" t="s">
        <v>664</v>
      </c>
      <c r="L4" s="430"/>
      <c r="M4" s="430"/>
      <c r="N4" s="430"/>
      <c r="O4" s="432"/>
      <c r="P4" s="430" t="s">
        <v>668</v>
      </c>
      <c r="Q4" s="430"/>
      <c r="R4" s="87"/>
      <c r="S4" s="13"/>
    </row>
    <row r="5" spans="2:20" ht="13.5" thickBot="1" x14ac:dyDescent="0.25">
      <c r="C5" s="89"/>
      <c r="D5" s="90"/>
      <c r="E5" s="90"/>
      <c r="F5" s="90"/>
      <c r="G5" s="90"/>
      <c r="H5" s="90"/>
      <c r="I5" s="81"/>
      <c r="J5" s="89"/>
      <c r="K5" s="6"/>
      <c r="L5" s="90"/>
      <c r="M5" s="6"/>
      <c r="N5" s="6"/>
      <c r="O5" s="88"/>
      <c r="P5" s="6"/>
      <c r="Q5" s="6"/>
      <c r="R5" s="6"/>
      <c r="S5" s="205" t="s">
        <v>32</v>
      </c>
    </row>
    <row r="6" spans="2:20" x14ac:dyDescent="0.2">
      <c r="C6" s="255"/>
      <c r="D6" s="6"/>
      <c r="E6" s="255"/>
      <c r="F6" s="255"/>
      <c r="G6" s="255"/>
      <c r="H6" s="6"/>
      <c r="I6" s="13"/>
      <c r="J6" s="6"/>
      <c r="K6" s="428"/>
      <c r="L6" s="6"/>
      <c r="M6" s="26" t="s">
        <v>702</v>
      </c>
      <c r="N6" s="2"/>
      <c r="O6" s="255"/>
      <c r="P6" s="87"/>
      <c r="Q6" s="255"/>
      <c r="R6" s="87"/>
      <c r="S6" s="205" t="s">
        <v>669</v>
      </c>
    </row>
    <row r="7" spans="2:20" x14ac:dyDescent="0.2">
      <c r="C7" s="73" t="s">
        <v>132</v>
      </c>
      <c r="D7" s="1052" t="s">
        <v>287</v>
      </c>
      <c r="E7" s="73" t="s">
        <v>660</v>
      </c>
      <c r="F7" s="148" t="s">
        <v>485</v>
      </c>
      <c r="G7" s="148" t="s">
        <v>670</v>
      </c>
      <c r="H7" s="1052" t="s">
        <v>661</v>
      </c>
      <c r="I7" s="205" t="s">
        <v>662</v>
      </c>
      <c r="J7" s="1052" t="s">
        <v>132</v>
      </c>
      <c r="K7" s="205" t="s">
        <v>663</v>
      </c>
      <c r="L7" s="93" t="s">
        <v>701</v>
      </c>
      <c r="M7" s="205" t="s">
        <v>495</v>
      </c>
      <c r="N7" s="396" t="s">
        <v>662</v>
      </c>
      <c r="O7" s="131" t="s">
        <v>665</v>
      </c>
      <c r="P7" s="135" t="s">
        <v>666</v>
      </c>
      <c r="Q7" s="131" t="s">
        <v>667</v>
      </c>
      <c r="R7" s="135" t="s">
        <v>397</v>
      </c>
      <c r="S7" s="15"/>
    </row>
    <row r="8" spans="2:20" x14ac:dyDescent="0.2">
      <c r="C8" s="1054"/>
      <c r="D8" s="424"/>
      <c r="E8" s="1054"/>
      <c r="F8" s="1054"/>
      <c r="G8" s="1054"/>
      <c r="H8" s="424"/>
      <c r="I8" s="425"/>
      <c r="J8" s="424"/>
      <c r="K8" s="429"/>
      <c r="L8" s="424"/>
      <c r="M8" s="425"/>
      <c r="N8" s="426"/>
      <c r="O8" s="1053"/>
      <c r="P8" s="90"/>
      <c r="Q8" s="1053"/>
      <c r="R8" s="90"/>
      <c r="S8" s="427"/>
    </row>
    <row r="9" spans="2:20" x14ac:dyDescent="0.2">
      <c r="C9" s="374"/>
      <c r="D9" s="433"/>
      <c r="E9" s="374"/>
      <c r="F9" s="374"/>
      <c r="G9" s="374"/>
      <c r="H9" s="433"/>
      <c r="I9" s="434"/>
      <c r="J9" s="433"/>
      <c r="K9" s="434"/>
      <c r="L9" s="433"/>
      <c r="M9" s="434"/>
      <c r="N9" s="434"/>
      <c r="O9" s="433"/>
      <c r="P9" s="374"/>
      <c r="Q9" s="433"/>
      <c r="R9" s="435"/>
      <c r="S9" s="434"/>
    </row>
    <row r="10" spans="2:20" ht="14.25" customHeight="1" x14ac:dyDescent="0.2">
      <c r="B10">
        <v>1</v>
      </c>
      <c r="C10" s="22">
        <v>39488</v>
      </c>
      <c r="D10" s="29">
        <v>9666</v>
      </c>
      <c r="E10" s="22"/>
      <c r="F10" s="22"/>
      <c r="G10" s="22"/>
      <c r="H10" s="29">
        <v>8321</v>
      </c>
      <c r="I10" s="34">
        <f>C10-D10-E10-H10-F10-G10</f>
        <v>21501</v>
      </c>
      <c r="J10" s="29">
        <v>14282</v>
      </c>
      <c r="K10" s="34">
        <v>6945</v>
      </c>
      <c r="L10" s="29"/>
      <c r="M10" s="34">
        <v>3427</v>
      </c>
      <c r="N10" s="34">
        <f>J10-K10-L10-M10</f>
        <v>3910</v>
      </c>
      <c r="O10" s="463">
        <v>5000</v>
      </c>
      <c r="P10" s="22">
        <v>456</v>
      </c>
      <c r="Q10" s="29">
        <v>850</v>
      </c>
      <c r="R10" s="28">
        <v>3360</v>
      </c>
      <c r="S10" s="34">
        <v>15668</v>
      </c>
      <c r="T10">
        <v>1</v>
      </c>
    </row>
    <row r="11" spans="2:20" x14ac:dyDescent="0.2">
      <c r="C11" s="375"/>
      <c r="D11" s="436"/>
      <c r="E11" s="375"/>
      <c r="F11" s="894"/>
      <c r="G11" s="375"/>
      <c r="H11" s="436"/>
      <c r="I11" s="437"/>
      <c r="J11" s="436"/>
      <c r="K11" s="437"/>
      <c r="L11" s="436"/>
      <c r="M11" s="437"/>
      <c r="N11" s="34">
        <f t="shared" ref="N11:N71" si="0">J11-K11-L11-M11</f>
        <v>0</v>
      </c>
      <c r="O11" s="436"/>
      <c r="P11" s="375"/>
      <c r="Q11" s="436"/>
      <c r="R11" s="438"/>
      <c r="S11" s="437"/>
    </row>
    <row r="12" spans="2:20" x14ac:dyDescent="0.2">
      <c r="B12">
        <v>2</v>
      </c>
      <c r="C12" s="374">
        <v>2388</v>
      </c>
      <c r="D12" s="433">
        <v>2388</v>
      </c>
      <c r="E12" s="374"/>
      <c r="F12" s="374"/>
      <c r="G12" s="374"/>
      <c r="H12" s="433"/>
      <c r="I12" s="34">
        <f>C12-D12-E12-H12-F12-G12</f>
        <v>0</v>
      </c>
      <c r="J12" s="433"/>
      <c r="K12" s="434"/>
      <c r="L12" s="433"/>
      <c r="M12" s="34"/>
      <c r="N12" s="34">
        <f t="shared" si="0"/>
        <v>0</v>
      </c>
      <c r="O12" s="433">
        <v>830</v>
      </c>
      <c r="P12" s="374"/>
      <c r="Q12" s="433"/>
      <c r="R12" s="435">
        <v>1558</v>
      </c>
      <c r="S12" s="434">
        <v>147</v>
      </c>
      <c r="T12">
        <v>2</v>
      </c>
    </row>
    <row r="13" spans="2:20" x14ac:dyDescent="0.2">
      <c r="C13" s="375"/>
      <c r="D13" s="436"/>
      <c r="E13" s="375"/>
      <c r="F13" s="375"/>
      <c r="G13" s="375"/>
      <c r="H13" s="436"/>
      <c r="I13" s="34"/>
      <c r="J13" s="436"/>
      <c r="K13" s="437"/>
      <c r="L13" s="436"/>
      <c r="M13" s="34"/>
      <c r="N13" s="34">
        <f t="shared" si="0"/>
        <v>0</v>
      </c>
      <c r="O13" s="436"/>
      <c r="P13" s="375"/>
      <c r="Q13" s="436"/>
      <c r="R13" s="438"/>
      <c r="S13" s="437"/>
    </row>
    <row r="14" spans="2:20" x14ac:dyDescent="0.2">
      <c r="B14">
        <v>3</v>
      </c>
      <c r="C14" s="374">
        <v>27413</v>
      </c>
      <c r="D14" s="433">
        <v>6513</v>
      </c>
      <c r="E14" s="374"/>
      <c r="F14" s="374"/>
      <c r="G14" s="374"/>
      <c r="H14" s="433"/>
      <c r="I14" s="34">
        <f t="shared" ref="I14:I71" si="1">C14-D14-E14-H14-F14-G14</f>
        <v>20900</v>
      </c>
      <c r="J14" s="433">
        <v>38699</v>
      </c>
      <c r="K14" s="434">
        <v>7823</v>
      </c>
      <c r="L14" s="433"/>
      <c r="M14" s="34"/>
      <c r="N14" s="34">
        <f>J14-K14-L14-M14</f>
        <v>30876</v>
      </c>
      <c r="O14" s="433">
        <v>1503</v>
      </c>
      <c r="P14" s="374">
        <v>2662</v>
      </c>
      <c r="Q14" s="433">
        <v>2348</v>
      </c>
      <c r="R14" s="435"/>
      <c r="S14" s="434">
        <v>9435</v>
      </c>
      <c r="T14">
        <v>3</v>
      </c>
    </row>
    <row r="15" spans="2:20" x14ac:dyDescent="0.2">
      <c r="C15" s="375"/>
      <c r="D15" s="436"/>
      <c r="E15" s="375"/>
      <c r="F15" s="375"/>
      <c r="G15" s="375"/>
      <c r="H15" s="436"/>
      <c r="I15" s="34">
        <f t="shared" si="1"/>
        <v>0</v>
      </c>
      <c r="J15" s="436"/>
      <c r="K15" s="437"/>
      <c r="L15" s="436"/>
      <c r="M15" s="34"/>
      <c r="N15" s="34">
        <f t="shared" si="0"/>
        <v>0</v>
      </c>
      <c r="O15" s="436"/>
      <c r="P15" s="375"/>
      <c r="Q15" s="436"/>
      <c r="R15" s="438"/>
      <c r="S15" s="437"/>
    </row>
    <row r="16" spans="2:20" x14ac:dyDescent="0.2">
      <c r="B16">
        <v>4</v>
      </c>
      <c r="C16" s="374">
        <v>29930</v>
      </c>
      <c r="D16" s="433">
        <v>3762</v>
      </c>
      <c r="E16" s="374"/>
      <c r="F16" s="374"/>
      <c r="G16" s="374"/>
      <c r="H16" s="433"/>
      <c r="I16" s="34">
        <f t="shared" si="1"/>
        <v>26168</v>
      </c>
      <c r="J16" s="433">
        <v>4612</v>
      </c>
      <c r="K16" s="434">
        <v>4612</v>
      </c>
      <c r="L16" s="433"/>
      <c r="M16" s="34"/>
      <c r="N16" s="34">
        <f t="shared" si="0"/>
        <v>0</v>
      </c>
      <c r="O16" s="464">
        <v>861</v>
      </c>
      <c r="P16" s="374"/>
      <c r="Q16" s="433">
        <v>1301</v>
      </c>
      <c r="R16" s="435">
        <v>1600</v>
      </c>
      <c r="S16" s="434">
        <v>5247</v>
      </c>
      <c r="T16">
        <v>4</v>
      </c>
    </row>
    <row r="17" spans="2:20" x14ac:dyDescent="0.2">
      <c r="C17" s="375"/>
      <c r="D17" s="436"/>
      <c r="E17" s="375"/>
      <c r="F17" s="375"/>
      <c r="G17" s="375"/>
      <c r="H17" s="436"/>
      <c r="I17" s="34">
        <f t="shared" si="1"/>
        <v>0</v>
      </c>
      <c r="J17" s="436"/>
      <c r="K17" s="437"/>
      <c r="L17" s="436"/>
      <c r="M17" s="34"/>
      <c r="N17" s="34">
        <f t="shared" si="0"/>
        <v>0</v>
      </c>
      <c r="O17" s="436"/>
      <c r="P17" s="375"/>
      <c r="Q17" s="436"/>
      <c r="R17" s="438"/>
      <c r="S17" s="437"/>
    </row>
    <row r="18" spans="2:20" x14ac:dyDescent="0.2">
      <c r="B18">
        <v>5</v>
      </c>
      <c r="C18" s="374">
        <v>59065</v>
      </c>
      <c r="D18" s="433">
        <v>42465</v>
      </c>
      <c r="E18" s="374"/>
      <c r="F18" s="374"/>
      <c r="G18" s="374"/>
      <c r="H18" s="433"/>
      <c r="I18" s="34">
        <f t="shared" si="1"/>
        <v>16600</v>
      </c>
      <c r="J18" s="433">
        <v>34384</v>
      </c>
      <c r="K18" s="434">
        <v>21814</v>
      </c>
      <c r="L18" s="433"/>
      <c r="M18" s="34">
        <v>5670</v>
      </c>
      <c r="N18" s="34">
        <f t="shared" si="0"/>
        <v>6900</v>
      </c>
      <c r="O18" s="433">
        <v>31390</v>
      </c>
      <c r="P18" s="374">
        <v>2200</v>
      </c>
      <c r="Q18" s="433">
        <v>5255</v>
      </c>
      <c r="R18" s="435">
        <v>3620</v>
      </c>
      <c r="S18" s="434">
        <v>32963</v>
      </c>
      <c r="T18">
        <v>5</v>
      </c>
    </row>
    <row r="19" spans="2:20" x14ac:dyDescent="0.2">
      <c r="C19" s="375"/>
      <c r="D19" s="436"/>
      <c r="E19" s="375"/>
      <c r="F19" s="375"/>
      <c r="G19" s="375"/>
      <c r="H19" s="436"/>
      <c r="I19" s="34">
        <f t="shared" si="1"/>
        <v>0</v>
      </c>
      <c r="J19" s="436"/>
      <c r="K19" s="437"/>
      <c r="L19" s="436"/>
      <c r="M19" s="34"/>
      <c r="N19" s="34">
        <f t="shared" si="0"/>
        <v>0</v>
      </c>
      <c r="O19" s="436"/>
      <c r="P19" s="375"/>
      <c r="Q19" s="436"/>
      <c r="R19" s="438"/>
      <c r="S19" s="437"/>
    </row>
    <row r="20" spans="2:20" x14ac:dyDescent="0.2">
      <c r="B20">
        <v>6</v>
      </c>
      <c r="C20" s="374">
        <v>38596</v>
      </c>
      <c r="D20" s="433">
        <v>1501</v>
      </c>
      <c r="E20" s="374"/>
      <c r="F20" s="1041"/>
      <c r="G20" s="374"/>
      <c r="H20" s="433"/>
      <c r="I20" s="34">
        <f t="shared" si="1"/>
        <v>37095</v>
      </c>
      <c r="J20" s="433">
        <v>16894</v>
      </c>
      <c r="K20" s="434">
        <v>2801</v>
      </c>
      <c r="L20" s="433"/>
      <c r="M20" s="34">
        <v>5446</v>
      </c>
      <c r="N20" s="34">
        <f t="shared" si="0"/>
        <v>8647</v>
      </c>
      <c r="O20" s="464">
        <v>1501</v>
      </c>
      <c r="P20" s="374"/>
      <c r="Q20" s="433"/>
      <c r="R20" s="435"/>
      <c r="S20" s="434">
        <v>8394</v>
      </c>
      <c r="T20">
        <v>6</v>
      </c>
    </row>
    <row r="21" spans="2:20" x14ac:dyDescent="0.2">
      <c r="C21" s="375"/>
      <c r="D21" s="436"/>
      <c r="E21" s="375"/>
      <c r="F21" s="893"/>
      <c r="G21" s="375"/>
      <c r="H21" s="436"/>
      <c r="I21" s="34">
        <f t="shared" si="1"/>
        <v>0</v>
      </c>
      <c r="J21" s="436"/>
      <c r="K21" s="437"/>
      <c r="L21" s="436"/>
      <c r="M21" s="34"/>
      <c r="N21" s="34">
        <f t="shared" si="0"/>
        <v>0</v>
      </c>
      <c r="O21" s="436"/>
      <c r="P21" s="375"/>
      <c r="Q21" s="436"/>
      <c r="R21" s="438"/>
      <c r="S21" s="437"/>
    </row>
    <row r="22" spans="2:20" x14ac:dyDescent="0.2">
      <c r="B22">
        <v>7</v>
      </c>
      <c r="C22" s="374">
        <v>27287</v>
      </c>
      <c r="D22" s="433">
        <v>13917</v>
      </c>
      <c r="E22" s="374"/>
      <c r="F22" s="374"/>
      <c r="G22" s="374"/>
      <c r="H22" s="433"/>
      <c r="I22" s="34">
        <f t="shared" si="1"/>
        <v>13370</v>
      </c>
      <c r="J22" s="433">
        <v>18060</v>
      </c>
      <c r="K22" s="434">
        <v>10905</v>
      </c>
      <c r="L22" s="433"/>
      <c r="M22" s="34"/>
      <c r="N22" s="34">
        <f t="shared" si="0"/>
        <v>7155</v>
      </c>
      <c r="O22" s="433"/>
      <c r="P22" s="374">
        <v>10000</v>
      </c>
      <c r="Q22" s="433">
        <v>2317</v>
      </c>
      <c r="R22" s="435">
        <v>1600</v>
      </c>
      <c r="S22" s="434">
        <v>8795</v>
      </c>
      <c r="T22">
        <v>7</v>
      </c>
    </row>
    <row r="23" spans="2:20" x14ac:dyDescent="0.2">
      <c r="C23" s="375"/>
      <c r="D23" s="436"/>
      <c r="E23" s="375"/>
      <c r="F23" s="375"/>
      <c r="G23" s="375"/>
      <c r="H23" s="436"/>
      <c r="I23" s="34">
        <f t="shared" si="1"/>
        <v>0</v>
      </c>
      <c r="J23" s="436"/>
      <c r="K23" s="437"/>
      <c r="L23" s="436"/>
      <c r="M23" s="34"/>
      <c r="N23" s="34">
        <f t="shared" si="0"/>
        <v>0</v>
      </c>
      <c r="O23" s="436"/>
      <c r="P23" s="375"/>
      <c r="Q23" s="436"/>
      <c r="R23" s="438"/>
      <c r="S23" s="437"/>
    </row>
    <row r="24" spans="2:20" x14ac:dyDescent="0.2">
      <c r="B24">
        <v>8</v>
      </c>
      <c r="C24" s="374">
        <v>7083</v>
      </c>
      <c r="D24" s="433">
        <v>7083</v>
      </c>
      <c r="E24" s="374"/>
      <c r="F24" s="374"/>
      <c r="G24" s="374"/>
      <c r="H24" s="433"/>
      <c r="I24" s="34">
        <f t="shared" si="1"/>
        <v>0</v>
      </c>
      <c r="J24" s="433">
        <v>15473</v>
      </c>
      <c r="K24" s="434">
        <v>7153</v>
      </c>
      <c r="L24" s="433"/>
      <c r="M24" s="34">
        <v>8320</v>
      </c>
      <c r="N24" s="34">
        <f t="shared" si="0"/>
        <v>0</v>
      </c>
      <c r="O24" s="433">
        <v>980</v>
      </c>
      <c r="P24" s="374">
        <v>1875</v>
      </c>
      <c r="Q24" s="433">
        <v>3368</v>
      </c>
      <c r="R24" s="435">
        <v>860</v>
      </c>
      <c r="S24" s="434">
        <v>15472</v>
      </c>
      <c r="T24">
        <v>8</v>
      </c>
    </row>
    <row r="25" spans="2:20" x14ac:dyDescent="0.2">
      <c r="C25" s="375"/>
      <c r="D25" s="436"/>
      <c r="E25" s="375"/>
      <c r="F25" s="375"/>
      <c r="G25" s="375"/>
      <c r="H25" s="436"/>
      <c r="I25" s="34">
        <f t="shared" si="1"/>
        <v>0</v>
      </c>
      <c r="J25" s="436"/>
      <c r="K25" s="437"/>
      <c r="L25" s="436"/>
      <c r="M25" s="34"/>
      <c r="N25" s="34">
        <f t="shared" si="0"/>
        <v>0</v>
      </c>
      <c r="O25" s="436"/>
      <c r="P25" s="375"/>
      <c r="Q25" s="436"/>
      <c r="R25" s="438"/>
      <c r="S25" s="437"/>
    </row>
    <row r="26" spans="2:20" x14ac:dyDescent="0.2">
      <c r="B26">
        <v>9</v>
      </c>
      <c r="C26" s="374">
        <v>32076</v>
      </c>
      <c r="D26" s="433">
        <v>8081</v>
      </c>
      <c r="E26" s="374"/>
      <c r="F26" s="374"/>
      <c r="G26" s="374">
        <v>3594</v>
      </c>
      <c r="H26" s="433"/>
      <c r="I26" s="34">
        <f t="shared" si="1"/>
        <v>20401</v>
      </c>
      <c r="J26" s="433">
        <v>14851</v>
      </c>
      <c r="K26" s="434">
        <v>6500</v>
      </c>
      <c r="L26" s="433">
        <v>1000</v>
      </c>
      <c r="M26" s="34"/>
      <c r="N26" s="34">
        <f t="shared" si="0"/>
        <v>7351</v>
      </c>
      <c r="O26" s="433">
        <v>1501</v>
      </c>
      <c r="P26" s="374">
        <v>1159</v>
      </c>
      <c r="Q26" s="433"/>
      <c r="R26" s="435">
        <v>5421</v>
      </c>
      <c r="S26" s="434">
        <v>8998</v>
      </c>
      <c r="T26">
        <v>9</v>
      </c>
    </row>
    <row r="27" spans="2:20" x14ac:dyDescent="0.2">
      <c r="C27" s="375"/>
      <c r="D27" s="436"/>
      <c r="E27" s="375"/>
      <c r="F27" s="375"/>
      <c r="G27" s="375"/>
      <c r="H27" s="436"/>
      <c r="I27" s="34">
        <f t="shared" si="1"/>
        <v>0</v>
      </c>
      <c r="J27" s="436"/>
      <c r="K27" s="437"/>
      <c r="L27" s="436"/>
      <c r="M27" s="34"/>
      <c r="N27" s="34">
        <f t="shared" si="0"/>
        <v>0</v>
      </c>
      <c r="O27" s="436"/>
      <c r="P27" s="375"/>
      <c r="Q27" s="436"/>
      <c r="R27" s="438"/>
      <c r="S27" s="437"/>
    </row>
    <row r="28" spans="2:20" x14ac:dyDescent="0.2">
      <c r="B28">
        <v>10</v>
      </c>
      <c r="C28" s="374">
        <v>46098</v>
      </c>
      <c r="D28" s="433">
        <v>33237</v>
      </c>
      <c r="E28" s="374"/>
      <c r="F28" s="374"/>
      <c r="G28" s="374"/>
      <c r="H28" s="433"/>
      <c r="I28" s="34">
        <f>C28-D28-E28-H28-F28-G28</f>
        <v>12861</v>
      </c>
      <c r="J28" s="433">
        <v>71211</v>
      </c>
      <c r="K28" s="434">
        <v>21374</v>
      </c>
      <c r="L28" s="433">
        <v>7346</v>
      </c>
      <c r="M28" s="34">
        <v>14157</v>
      </c>
      <c r="N28" s="34">
        <f t="shared" si="0"/>
        <v>28334</v>
      </c>
      <c r="O28" s="433">
        <v>14701</v>
      </c>
      <c r="P28" s="374">
        <v>1477</v>
      </c>
      <c r="Q28" s="433">
        <v>9334</v>
      </c>
      <c r="R28" s="435">
        <v>7725</v>
      </c>
      <c r="S28" s="434">
        <v>49560</v>
      </c>
      <c r="T28">
        <v>10</v>
      </c>
    </row>
    <row r="29" spans="2:20" x14ac:dyDescent="0.2">
      <c r="C29" s="375"/>
      <c r="D29" s="436"/>
      <c r="E29" s="375"/>
      <c r="F29" s="375"/>
      <c r="G29" s="375"/>
      <c r="H29" s="436"/>
      <c r="I29" s="34">
        <f t="shared" si="1"/>
        <v>0</v>
      </c>
      <c r="J29" s="436"/>
      <c r="K29" s="437"/>
      <c r="L29" s="436"/>
      <c r="M29" s="34"/>
      <c r="N29" s="34">
        <f t="shared" si="0"/>
        <v>0</v>
      </c>
      <c r="O29" s="436"/>
      <c r="P29" s="375"/>
      <c r="Q29" s="436"/>
      <c r="R29" s="438"/>
      <c r="S29" s="437"/>
    </row>
    <row r="30" spans="2:20" s="58" customFormat="1" x14ac:dyDescent="0.2">
      <c r="B30" s="58">
        <v>11</v>
      </c>
      <c r="C30" s="919">
        <v>37094</v>
      </c>
      <c r="D30" s="920">
        <v>8538</v>
      </c>
      <c r="E30" s="919"/>
      <c r="F30" s="919"/>
      <c r="G30" s="919"/>
      <c r="H30" s="920"/>
      <c r="I30" s="492">
        <f t="shared" si="1"/>
        <v>28556</v>
      </c>
      <c r="J30" s="920">
        <v>14923</v>
      </c>
      <c r="K30" s="921">
        <v>1541</v>
      </c>
      <c r="L30" s="920"/>
      <c r="M30" s="492"/>
      <c r="N30" s="492">
        <f t="shared" si="0"/>
        <v>13382</v>
      </c>
      <c r="O30" s="920">
        <v>2700</v>
      </c>
      <c r="P30" s="919"/>
      <c r="Q30" s="920">
        <v>417</v>
      </c>
      <c r="R30" s="922">
        <v>5421</v>
      </c>
      <c r="S30" s="921">
        <v>2491</v>
      </c>
      <c r="T30" s="58">
        <v>11</v>
      </c>
    </row>
    <row r="31" spans="2:20" x14ac:dyDescent="0.2">
      <c r="C31" s="375"/>
      <c r="D31" s="436"/>
      <c r="E31" s="375"/>
      <c r="F31" s="375"/>
      <c r="G31" s="375"/>
      <c r="H31" s="436"/>
      <c r="I31" s="34">
        <f t="shared" si="1"/>
        <v>0</v>
      </c>
      <c r="J31" s="436"/>
      <c r="K31" s="437"/>
      <c r="L31" s="436"/>
      <c r="M31" s="34"/>
      <c r="N31" s="34">
        <f t="shared" si="0"/>
        <v>0</v>
      </c>
      <c r="O31" s="436"/>
      <c r="P31" s="375"/>
      <c r="Q31" s="436"/>
      <c r="R31" s="438"/>
      <c r="S31" s="437"/>
    </row>
    <row r="32" spans="2:20" x14ac:dyDescent="0.2">
      <c r="B32">
        <v>12</v>
      </c>
      <c r="C32" s="374">
        <v>38998</v>
      </c>
      <c r="D32" s="433">
        <v>15629</v>
      </c>
      <c r="E32" s="374"/>
      <c r="F32" s="374"/>
      <c r="G32" s="374"/>
      <c r="H32" s="433"/>
      <c r="I32" s="34">
        <f t="shared" si="1"/>
        <v>23369</v>
      </c>
      <c r="J32" s="433">
        <v>9583</v>
      </c>
      <c r="K32" s="434">
        <v>5883</v>
      </c>
      <c r="L32" s="433">
        <v>1400</v>
      </c>
      <c r="M32" s="34">
        <v>2300</v>
      </c>
      <c r="N32" s="34">
        <f t="shared" si="0"/>
        <v>0</v>
      </c>
      <c r="O32" s="464">
        <v>2901</v>
      </c>
      <c r="P32" s="374">
        <v>1551</v>
      </c>
      <c r="Q32" s="433">
        <v>11177</v>
      </c>
      <c r="R32" s="435"/>
      <c r="S32" s="434">
        <v>9875</v>
      </c>
      <c r="T32">
        <v>12</v>
      </c>
    </row>
    <row r="33" spans="2:20" x14ac:dyDescent="0.2">
      <c r="C33" s="375"/>
      <c r="D33" s="436"/>
      <c r="E33" s="375"/>
      <c r="F33" s="375"/>
      <c r="G33" s="375"/>
      <c r="H33" s="436"/>
      <c r="I33" s="34">
        <f t="shared" si="1"/>
        <v>0</v>
      </c>
      <c r="J33" s="436"/>
      <c r="K33" s="437"/>
      <c r="L33" s="436"/>
      <c r="M33" s="34"/>
      <c r="N33" s="34">
        <f t="shared" si="0"/>
        <v>0</v>
      </c>
      <c r="O33" s="436"/>
      <c r="P33" s="375"/>
      <c r="Q33" s="436"/>
      <c r="R33" s="438"/>
      <c r="S33" s="437"/>
    </row>
    <row r="34" spans="2:20" x14ac:dyDescent="0.2">
      <c r="B34">
        <v>13</v>
      </c>
      <c r="C34" s="374">
        <v>9226</v>
      </c>
      <c r="D34" s="433">
        <v>9226</v>
      </c>
      <c r="E34" s="374"/>
      <c r="F34" s="374"/>
      <c r="G34" s="374"/>
      <c r="H34" s="433"/>
      <c r="I34" s="34">
        <f t="shared" si="1"/>
        <v>0</v>
      </c>
      <c r="J34" s="433">
        <v>25314</v>
      </c>
      <c r="K34" s="434">
        <v>8152</v>
      </c>
      <c r="L34" s="433">
        <v>780</v>
      </c>
      <c r="M34" s="34">
        <v>2187</v>
      </c>
      <c r="N34" s="34">
        <f t="shared" si="0"/>
        <v>14195</v>
      </c>
      <c r="O34" s="433">
        <v>3480</v>
      </c>
      <c r="P34" s="374"/>
      <c r="Q34" s="433"/>
      <c r="R34" s="435">
        <v>5746</v>
      </c>
      <c r="S34" s="434">
        <v>11224</v>
      </c>
      <c r="T34">
        <v>13</v>
      </c>
    </row>
    <row r="35" spans="2:20" x14ac:dyDescent="0.2">
      <c r="C35" s="375"/>
      <c r="D35" s="436"/>
      <c r="E35" s="375"/>
      <c r="F35" s="375"/>
      <c r="G35" s="375"/>
      <c r="H35" s="436"/>
      <c r="I35" s="34">
        <f t="shared" si="1"/>
        <v>0</v>
      </c>
      <c r="J35" s="436"/>
      <c r="K35" s="437"/>
      <c r="L35" s="436"/>
      <c r="M35" s="34"/>
      <c r="N35" s="34">
        <f t="shared" si="0"/>
        <v>0</v>
      </c>
      <c r="O35" s="436"/>
      <c r="P35" s="375"/>
      <c r="Q35" s="436"/>
      <c r="R35" s="438"/>
      <c r="S35" s="437"/>
    </row>
    <row r="36" spans="2:20" x14ac:dyDescent="0.2">
      <c r="B36">
        <v>14</v>
      </c>
      <c r="C36" s="374">
        <v>40567</v>
      </c>
      <c r="D36" s="433">
        <v>19317</v>
      </c>
      <c r="E36" s="374"/>
      <c r="F36" s="1042"/>
      <c r="G36" s="374"/>
      <c r="H36" s="433"/>
      <c r="I36" s="34">
        <f t="shared" si="1"/>
        <v>21250</v>
      </c>
      <c r="J36" s="433">
        <v>15949</v>
      </c>
      <c r="K36" s="434">
        <v>3278</v>
      </c>
      <c r="L36" s="433"/>
      <c r="M36" s="34">
        <v>6198</v>
      </c>
      <c r="N36" s="34">
        <f t="shared" si="0"/>
        <v>6473</v>
      </c>
      <c r="O36" s="464">
        <v>2250</v>
      </c>
      <c r="P36" s="374"/>
      <c r="Q36" s="433">
        <v>15467</v>
      </c>
      <c r="R36" s="435">
        <v>1600</v>
      </c>
      <c r="S36" s="434">
        <v>9477</v>
      </c>
      <c r="T36">
        <v>14</v>
      </c>
    </row>
    <row r="37" spans="2:20" x14ac:dyDescent="0.2">
      <c r="C37" s="375"/>
      <c r="D37" s="436"/>
      <c r="E37" s="375"/>
      <c r="F37" s="375"/>
      <c r="G37" s="375"/>
      <c r="H37" s="436"/>
      <c r="I37" s="34">
        <f t="shared" si="1"/>
        <v>0</v>
      </c>
      <c r="J37" s="436"/>
      <c r="K37" s="437"/>
      <c r="L37" s="436"/>
      <c r="M37" s="34"/>
      <c r="N37" s="34">
        <f t="shared" si="0"/>
        <v>0</v>
      </c>
      <c r="O37" s="436"/>
      <c r="P37" s="375"/>
      <c r="Q37" s="436"/>
      <c r="R37" s="438"/>
      <c r="S37" s="437"/>
    </row>
    <row r="38" spans="2:20" x14ac:dyDescent="0.2">
      <c r="B38">
        <v>15</v>
      </c>
      <c r="C38" s="374">
        <v>113700</v>
      </c>
      <c r="D38" s="433">
        <v>48151</v>
      </c>
      <c r="E38" s="374"/>
      <c r="F38" s="374">
        <v>23300</v>
      </c>
      <c r="G38" s="374"/>
      <c r="H38" s="433"/>
      <c r="I38" s="34">
        <f t="shared" si="1"/>
        <v>42249</v>
      </c>
      <c r="J38" s="433">
        <v>104551</v>
      </c>
      <c r="K38" s="434">
        <v>54022</v>
      </c>
      <c r="L38" s="433">
        <v>3762</v>
      </c>
      <c r="M38" s="34">
        <v>24738</v>
      </c>
      <c r="N38" s="34">
        <f t="shared" si="0"/>
        <v>22029</v>
      </c>
      <c r="O38" s="433">
        <v>21616</v>
      </c>
      <c r="P38" s="374">
        <v>3546</v>
      </c>
      <c r="Q38" s="433">
        <v>17516</v>
      </c>
      <c r="R38" s="435">
        <v>5473</v>
      </c>
      <c r="S38" s="434">
        <v>84979</v>
      </c>
      <c r="T38">
        <v>15</v>
      </c>
    </row>
    <row r="39" spans="2:20" x14ac:dyDescent="0.2">
      <c r="C39" s="375"/>
      <c r="D39" s="436"/>
      <c r="E39" s="375"/>
      <c r="F39" s="375"/>
      <c r="G39" s="375"/>
      <c r="H39" s="436"/>
      <c r="I39" s="34">
        <f t="shared" si="1"/>
        <v>0</v>
      </c>
      <c r="J39" s="436"/>
      <c r="K39" s="437"/>
      <c r="L39" s="436"/>
      <c r="M39" s="34"/>
      <c r="N39" s="34">
        <f t="shared" si="0"/>
        <v>0</v>
      </c>
      <c r="O39" s="436"/>
      <c r="P39" s="375"/>
      <c r="Q39" s="436"/>
      <c r="R39" s="438"/>
      <c r="S39" s="437"/>
    </row>
    <row r="40" spans="2:20" x14ac:dyDescent="0.2">
      <c r="B40">
        <v>16</v>
      </c>
      <c r="C40" s="374">
        <v>17521</v>
      </c>
      <c r="D40" s="433">
        <v>8689</v>
      </c>
      <c r="E40" s="374"/>
      <c r="F40" s="374"/>
      <c r="G40" s="374"/>
      <c r="H40" s="433"/>
      <c r="I40" s="34">
        <f t="shared" si="1"/>
        <v>8832</v>
      </c>
      <c r="J40" s="433">
        <v>31609</v>
      </c>
      <c r="K40" s="434">
        <v>9310</v>
      </c>
      <c r="L40" s="433">
        <v>2180</v>
      </c>
      <c r="M40" s="34">
        <v>6770</v>
      </c>
      <c r="N40" s="34">
        <f t="shared" si="0"/>
        <v>13349</v>
      </c>
      <c r="O40" s="433">
        <v>2250</v>
      </c>
      <c r="P40" s="374"/>
      <c r="Q40" s="433">
        <v>4839</v>
      </c>
      <c r="R40" s="435">
        <v>1600</v>
      </c>
      <c r="S40" s="434">
        <v>18550</v>
      </c>
      <c r="T40">
        <v>16</v>
      </c>
    </row>
    <row r="41" spans="2:20" x14ac:dyDescent="0.2">
      <c r="C41" s="375"/>
      <c r="D41" s="436"/>
      <c r="E41" s="375"/>
      <c r="F41" s="375"/>
      <c r="G41" s="375"/>
      <c r="H41" s="436"/>
      <c r="I41" s="34">
        <f t="shared" si="1"/>
        <v>0</v>
      </c>
      <c r="J41" s="436"/>
      <c r="K41" s="437"/>
      <c r="L41" s="436"/>
      <c r="M41" s="34"/>
      <c r="N41" s="34">
        <f t="shared" si="0"/>
        <v>0</v>
      </c>
      <c r="O41" s="436"/>
      <c r="P41" s="375"/>
      <c r="Q41" s="436"/>
      <c r="R41" s="438"/>
      <c r="S41" s="437"/>
    </row>
    <row r="42" spans="2:20" x14ac:dyDescent="0.2">
      <c r="B42">
        <v>17</v>
      </c>
      <c r="C42" s="374">
        <v>43299</v>
      </c>
      <c r="D42" s="433">
        <v>943</v>
      </c>
      <c r="E42" s="374"/>
      <c r="F42" s="1042"/>
      <c r="G42" s="374"/>
      <c r="H42" s="433"/>
      <c r="I42" s="34">
        <f t="shared" si="1"/>
        <v>42356</v>
      </c>
      <c r="J42" s="433">
        <v>9246</v>
      </c>
      <c r="K42" s="434">
        <v>8199</v>
      </c>
      <c r="L42" s="433"/>
      <c r="M42" s="34">
        <v>1047</v>
      </c>
      <c r="N42" s="34">
        <f t="shared" si="0"/>
        <v>0</v>
      </c>
      <c r="O42" s="433">
        <v>943</v>
      </c>
      <c r="P42" s="374"/>
      <c r="Q42" s="433"/>
      <c r="R42" s="435"/>
      <c r="S42" s="434">
        <v>7645</v>
      </c>
      <c r="T42">
        <v>17</v>
      </c>
    </row>
    <row r="43" spans="2:20" x14ac:dyDescent="0.2">
      <c r="C43" s="375"/>
      <c r="D43" s="436"/>
      <c r="E43" s="375"/>
      <c r="F43" s="375"/>
      <c r="G43" s="375"/>
      <c r="H43" s="436"/>
      <c r="I43" s="34"/>
      <c r="J43" s="436"/>
      <c r="K43" s="437"/>
      <c r="L43" s="436"/>
      <c r="M43" s="34"/>
      <c r="N43" s="34">
        <f t="shared" si="0"/>
        <v>0</v>
      </c>
      <c r="O43" s="436"/>
      <c r="P43" s="375"/>
      <c r="Q43" s="436"/>
      <c r="R43" s="438"/>
      <c r="S43" s="437"/>
    </row>
    <row r="44" spans="2:20" x14ac:dyDescent="0.2">
      <c r="B44">
        <v>18</v>
      </c>
      <c r="C44" s="374">
        <v>40031</v>
      </c>
      <c r="D44" s="433">
        <v>16131</v>
      </c>
      <c r="E44" s="374"/>
      <c r="F44" s="374"/>
      <c r="G44" s="374"/>
      <c r="H44" s="433"/>
      <c r="I44" s="34">
        <f t="shared" si="1"/>
        <v>23900</v>
      </c>
      <c r="J44" s="433">
        <v>10996</v>
      </c>
      <c r="K44" s="434">
        <v>5109</v>
      </c>
      <c r="L44" s="433">
        <v>1400</v>
      </c>
      <c r="M44" s="34">
        <v>4487</v>
      </c>
      <c r="N44" s="34">
        <f t="shared" si="0"/>
        <v>0</v>
      </c>
      <c r="O44" s="433">
        <v>11674</v>
      </c>
      <c r="P44" s="374">
        <v>2857</v>
      </c>
      <c r="Q44" s="433"/>
      <c r="R44" s="435">
        <v>1600</v>
      </c>
      <c r="S44" s="434">
        <v>10997</v>
      </c>
      <c r="T44">
        <v>18</v>
      </c>
    </row>
    <row r="45" spans="2:20" x14ac:dyDescent="0.2">
      <c r="C45" s="375"/>
      <c r="D45" s="436"/>
      <c r="E45" s="375"/>
      <c r="F45" s="375"/>
      <c r="G45" s="375"/>
      <c r="H45" s="436"/>
      <c r="I45" s="34">
        <f t="shared" si="1"/>
        <v>0</v>
      </c>
      <c r="J45" s="436"/>
      <c r="K45" s="437"/>
      <c r="L45" s="436"/>
      <c r="M45" s="34"/>
      <c r="N45" s="34">
        <f t="shared" si="0"/>
        <v>0</v>
      </c>
      <c r="O45" s="436"/>
      <c r="P45" s="375"/>
      <c r="Q45" s="436"/>
      <c r="R45" s="438"/>
      <c r="S45" s="437"/>
    </row>
    <row r="46" spans="2:20" x14ac:dyDescent="0.2">
      <c r="B46">
        <v>19</v>
      </c>
      <c r="C46" s="374">
        <v>11798</v>
      </c>
      <c r="D46" s="433">
        <v>2557</v>
      </c>
      <c r="E46" s="374"/>
      <c r="F46" s="374"/>
      <c r="G46" s="374"/>
      <c r="H46" s="433"/>
      <c r="I46" s="34">
        <f t="shared" si="1"/>
        <v>9241</v>
      </c>
      <c r="J46" s="433">
        <v>16199</v>
      </c>
      <c r="K46" s="434">
        <v>1989</v>
      </c>
      <c r="L46" s="433">
        <v>760</v>
      </c>
      <c r="M46" s="34"/>
      <c r="N46" s="34">
        <f t="shared" si="0"/>
        <v>13450</v>
      </c>
      <c r="O46" s="433">
        <v>1815</v>
      </c>
      <c r="P46" s="374"/>
      <c r="Q46" s="433">
        <v>742</v>
      </c>
      <c r="R46" s="435"/>
      <c r="S46" s="434">
        <v>3040</v>
      </c>
      <c r="T46">
        <v>19</v>
      </c>
    </row>
    <row r="47" spans="2:20" x14ac:dyDescent="0.2">
      <c r="C47" s="375"/>
      <c r="D47" s="436"/>
      <c r="E47" s="375"/>
      <c r="F47" s="375"/>
      <c r="G47" s="375"/>
      <c r="H47" s="436"/>
      <c r="I47" s="34">
        <f t="shared" si="1"/>
        <v>0</v>
      </c>
      <c r="J47" s="436"/>
      <c r="K47" s="437"/>
      <c r="L47" s="436"/>
      <c r="M47" s="34"/>
      <c r="N47" s="34">
        <f t="shared" si="0"/>
        <v>0</v>
      </c>
      <c r="O47" s="436"/>
      <c r="P47" s="375"/>
      <c r="Q47" s="436"/>
      <c r="R47" s="438"/>
      <c r="S47" s="437"/>
    </row>
    <row r="48" spans="2:20" x14ac:dyDescent="0.2">
      <c r="B48">
        <v>20</v>
      </c>
      <c r="C48" s="374">
        <v>90459</v>
      </c>
      <c r="D48" s="433">
        <v>27555</v>
      </c>
      <c r="E48" s="374"/>
      <c r="F48" s="374"/>
      <c r="G48" s="374"/>
      <c r="H48" s="433">
        <f>24442+676+1349+1399</f>
        <v>27866</v>
      </c>
      <c r="I48" s="34">
        <f>C48-D48-E48-H48-F48-G48</f>
        <v>35038</v>
      </c>
      <c r="J48" s="433">
        <v>76870</v>
      </c>
      <c r="K48" s="434">
        <v>37496</v>
      </c>
      <c r="L48" s="433">
        <v>3450</v>
      </c>
      <c r="M48" s="34">
        <v>19960</v>
      </c>
      <c r="N48" s="34">
        <f t="shared" si="0"/>
        <v>15964</v>
      </c>
      <c r="O48" s="433">
        <v>10471</v>
      </c>
      <c r="P48" s="374">
        <v>2655</v>
      </c>
      <c r="Q48" s="433">
        <v>8792</v>
      </c>
      <c r="R48" s="435">
        <v>5637</v>
      </c>
      <c r="S48" s="434">
        <v>68977</v>
      </c>
      <c r="T48">
        <v>20</v>
      </c>
    </row>
    <row r="49" spans="2:22" x14ac:dyDescent="0.2">
      <c r="C49" s="375"/>
      <c r="D49" s="436"/>
      <c r="E49" s="375"/>
      <c r="F49" s="375"/>
      <c r="G49" s="375"/>
      <c r="H49" s="436"/>
      <c r="I49" s="34">
        <f t="shared" si="1"/>
        <v>0</v>
      </c>
      <c r="J49" s="436"/>
      <c r="K49" s="437"/>
      <c r="L49" s="436"/>
      <c r="M49" s="34"/>
      <c r="N49" s="34">
        <f t="shared" si="0"/>
        <v>0</v>
      </c>
      <c r="O49" s="436"/>
      <c r="P49" s="375"/>
      <c r="Q49" s="436"/>
      <c r="R49" s="438"/>
      <c r="S49" s="437"/>
    </row>
    <row r="50" spans="2:22" x14ac:dyDescent="0.2">
      <c r="B50">
        <v>21</v>
      </c>
      <c r="C50" s="374">
        <v>125223</v>
      </c>
      <c r="D50" s="433">
        <v>8952</v>
      </c>
      <c r="E50" s="374"/>
      <c r="F50" s="374">
        <v>88240</v>
      </c>
      <c r="G50" s="374"/>
      <c r="H50" s="433"/>
      <c r="I50" s="34">
        <f t="shared" si="1"/>
        <v>28031</v>
      </c>
      <c r="J50" s="433">
        <v>25752</v>
      </c>
      <c r="K50" s="434">
        <v>1500</v>
      </c>
      <c r="L50" s="433">
        <v>1400</v>
      </c>
      <c r="M50" s="34">
        <v>9351</v>
      </c>
      <c r="N50" s="34">
        <f t="shared" si="0"/>
        <v>13501</v>
      </c>
      <c r="O50" s="433">
        <v>4867</v>
      </c>
      <c r="P50" s="374">
        <v>1035</v>
      </c>
      <c r="Q50" s="433">
        <v>3050</v>
      </c>
      <c r="R50" s="435"/>
      <c r="S50" s="434">
        <v>13067</v>
      </c>
      <c r="T50">
        <v>21</v>
      </c>
    </row>
    <row r="51" spans="2:22" x14ac:dyDescent="0.2">
      <c r="C51" s="375"/>
      <c r="D51" s="436"/>
      <c r="E51" s="375"/>
      <c r="F51" s="375"/>
      <c r="G51" s="375"/>
      <c r="H51" s="436"/>
      <c r="I51" s="34">
        <f t="shared" si="1"/>
        <v>0</v>
      </c>
      <c r="J51" s="436"/>
      <c r="K51" s="437"/>
      <c r="L51" s="436"/>
      <c r="M51" s="34"/>
      <c r="N51" s="34">
        <f t="shared" si="0"/>
        <v>0</v>
      </c>
      <c r="O51" s="436"/>
      <c r="P51" s="375"/>
      <c r="Q51" s="436"/>
      <c r="R51" s="438"/>
      <c r="S51" s="437"/>
    </row>
    <row r="52" spans="2:22" x14ac:dyDescent="0.2">
      <c r="B52">
        <v>22</v>
      </c>
      <c r="C52" s="374">
        <v>67445</v>
      </c>
      <c r="D52" s="433">
        <v>13071</v>
      </c>
      <c r="E52" s="374"/>
      <c r="F52" s="374">
        <v>17200</v>
      </c>
      <c r="G52" s="374"/>
      <c r="H52" s="433"/>
      <c r="I52" s="34">
        <f t="shared" si="1"/>
        <v>37174</v>
      </c>
      <c r="J52" s="433">
        <v>28395</v>
      </c>
      <c r="K52" s="434">
        <v>5241</v>
      </c>
      <c r="L52" s="433"/>
      <c r="M52" s="34">
        <v>3598</v>
      </c>
      <c r="N52" s="34">
        <f t="shared" si="0"/>
        <v>19556</v>
      </c>
      <c r="O52" s="433">
        <v>2852</v>
      </c>
      <c r="P52" s="374"/>
      <c r="Q52" s="433">
        <v>10219</v>
      </c>
      <c r="R52" s="435"/>
      <c r="S52" s="434">
        <v>8840</v>
      </c>
      <c r="T52">
        <v>22</v>
      </c>
    </row>
    <row r="53" spans="2:22" x14ac:dyDescent="0.2">
      <c r="C53" s="375"/>
      <c r="D53" s="436"/>
      <c r="E53" s="375"/>
      <c r="F53" s="375"/>
      <c r="G53" s="375"/>
      <c r="H53" s="436"/>
      <c r="I53" s="34">
        <f t="shared" si="1"/>
        <v>0</v>
      </c>
      <c r="J53" s="436"/>
      <c r="K53" s="437"/>
      <c r="L53" s="436"/>
      <c r="M53" s="34"/>
      <c r="N53" s="34">
        <f t="shared" si="0"/>
        <v>0</v>
      </c>
      <c r="O53" s="436"/>
      <c r="P53" s="375"/>
      <c r="Q53" s="436"/>
      <c r="R53" s="438"/>
      <c r="S53" s="437"/>
    </row>
    <row r="54" spans="2:22" x14ac:dyDescent="0.2">
      <c r="B54">
        <v>23</v>
      </c>
      <c r="C54" s="374">
        <v>30432</v>
      </c>
      <c r="D54" s="433">
        <v>9479</v>
      </c>
      <c r="E54" s="374"/>
      <c r="F54" s="374"/>
      <c r="G54" s="374"/>
      <c r="H54" s="433"/>
      <c r="I54" s="34">
        <f t="shared" si="1"/>
        <v>20953</v>
      </c>
      <c r="J54" s="433">
        <v>25881</v>
      </c>
      <c r="K54" s="434">
        <v>5182</v>
      </c>
      <c r="L54" s="433">
        <v>2160</v>
      </c>
      <c r="M54" s="34">
        <v>6826</v>
      </c>
      <c r="N54" s="34">
        <f t="shared" si="0"/>
        <v>11713</v>
      </c>
      <c r="O54" s="433">
        <v>3361</v>
      </c>
      <c r="P54" s="374">
        <v>2449</v>
      </c>
      <c r="Q54" s="433">
        <v>3669</v>
      </c>
      <c r="R54" s="435"/>
      <c r="S54" s="434">
        <v>15257</v>
      </c>
      <c r="T54">
        <v>23</v>
      </c>
    </row>
    <row r="55" spans="2:22" x14ac:dyDescent="0.2">
      <c r="C55" s="375"/>
      <c r="D55" s="436"/>
      <c r="E55" s="375"/>
      <c r="F55" s="375"/>
      <c r="G55" s="375"/>
      <c r="H55" s="436"/>
      <c r="I55" s="34">
        <f t="shared" si="1"/>
        <v>0</v>
      </c>
      <c r="J55" s="436"/>
      <c r="K55" s="437"/>
      <c r="L55" s="436"/>
      <c r="M55" s="34"/>
      <c r="N55" s="34">
        <f t="shared" si="0"/>
        <v>0</v>
      </c>
      <c r="O55" s="436"/>
      <c r="P55" s="375"/>
      <c r="Q55" s="436"/>
      <c r="R55" s="438"/>
      <c r="S55" s="437"/>
    </row>
    <row r="56" spans="2:22" x14ac:dyDescent="0.2">
      <c r="B56">
        <v>24</v>
      </c>
      <c r="C56" s="374">
        <v>16082</v>
      </c>
      <c r="D56" s="433">
        <v>4001</v>
      </c>
      <c r="E56" s="374"/>
      <c r="F56" s="1042"/>
      <c r="G56" s="374"/>
      <c r="H56" s="433"/>
      <c r="I56" s="34">
        <f t="shared" si="1"/>
        <v>12081</v>
      </c>
      <c r="J56" s="433">
        <v>36290</v>
      </c>
      <c r="K56" s="434">
        <v>3600</v>
      </c>
      <c r="L56" s="433"/>
      <c r="M56" s="34">
        <v>13645</v>
      </c>
      <c r="N56" s="34">
        <f t="shared" si="0"/>
        <v>19045</v>
      </c>
      <c r="O56" s="433">
        <v>4001</v>
      </c>
      <c r="P56" s="374"/>
      <c r="Q56" s="433"/>
      <c r="R56" s="435"/>
      <c r="S56" s="434">
        <v>17245</v>
      </c>
      <c r="T56">
        <v>24</v>
      </c>
    </row>
    <row r="57" spans="2:22" x14ac:dyDescent="0.2">
      <c r="C57" s="375"/>
      <c r="D57" s="436"/>
      <c r="E57" s="375"/>
      <c r="F57" s="375"/>
      <c r="G57" s="375"/>
      <c r="H57" s="436"/>
      <c r="I57" s="34">
        <f t="shared" si="1"/>
        <v>0</v>
      </c>
      <c r="J57" s="436"/>
      <c r="K57" s="437"/>
      <c r="L57" s="436"/>
      <c r="M57" s="34"/>
      <c r="N57" s="34">
        <f t="shared" si="0"/>
        <v>0</v>
      </c>
      <c r="O57" s="436"/>
      <c r="P57" s="375"/>
      <c r="Q57" s="436"/>
      <c r="R57" s="438"/>
      <c r="S57" s="437"/>
    </row>
    <row r="58" spans="2:22" x14ac:dyDescent="0.2">
      <c r="B58">
        <v>25</v>
      </c>
      <c r="C58" s="374">
        <v>55479</v>
      </c>
      <c r="D58" s="433">
        <v>21464</v>
      </c>
      <c r="E58" s="374"/>
      <c r="F58" s="1042"/>
      <c r="G58" s="374"/>
      <c r="H58" s="433"/>
      <c r="I58" s="34">
        <f t="shared" si="1"/>
        <v>34015</v>
      </c>
      <c r="J58" s="433">
        <v>25095</v>
      </c>
      <c r="K58" s="434">
        <v>8709</v>
      </c>
      <c r="L58" s="433">
        <v>1100</v>
      </c>
      <c r="M58" s="34">
        <v>5786</v>
      </c>
      <c r="N58" s="34">
        <f t="shared" si="0"/>
        <v>9500</v>
      </c>
      <c r="O58" s="433">
        <v>7175</v>
      </c>
      <c r="P58" s="374">
        <v>2306</v>
      </c>
      <c r="Q58" s="433">
        <v>9825</v>
      </c>
      <c r="R58" s="435">
        <v>2158</v>
      </c>
      <c r="S58" s="434">
        <v>18858</v>
      </c>
      <c r="T58">
        <v>25</v>
      </c>
    </row>
    <row r="59" spans="2:22" x14ac:dyDescent="0.2">
      <c r="C59" s="375"/>
      <c r="D59" s="436"/>
      <c r="E59" s="375"/>
      <c r="F59" s="375"/>
      <c r="G59" s="375"/>
      <c r="H59" s="436"/>
      <c r="I59" s="34">
        <f t="shared" si="1"/>
        <v>0</v>
      </c>
      <c r="J59" s="436"/>
      <c r="K59" s="437"/>
      <c r="L59" s="436"/>
      <c r="M59" s="34"/>
      <c r="N59" s="34">
        <f t="shared" si="0"/>
        <v>0</v>
      </c>
      <c r="O59" s="436"/>
      <c r="P59" s="375"/>
      <c r="Q59" s="436"/>
      <c r="R59" s="438"/>
      <c r="S59" s="437"/>
    </row>
    <row r="60" spans="2:22" x14ac:dyDescent="0.2">
      <c r="B60">
        <v>26</v>
      </c>
      <c r="C60" s="374">
        <v>37075</v>
      </c>
      <c r="D60" s="433">
        <v>8586</v>
      </c>
      <c r="E60" s="374"/>
      <c r="F60" s="1040"/>
      <c r="G60" s="374"/>
      <c r="H60" s="433"/>
      <c r="I60" s="34">
        <f t="shared" si="1"/>
        <v>28489</v>
      </c>
      <c r="J60" s="433">
        <v>17001</v>
      </c>
      <c r="K60" s="434">
        <v>3452</v>
      </c>
      <c r="L60" s="433"/>
      <c r="M60" s="34"/>
      <c r="N60" s="34">
        <f t="shared" si="0"/>
        <v>13549</v>
      </c>
      <c r="O60" s="433">
        <v>7550</v>
      </c>
      <c r="P60" s="374">
        <v>1036</v>
      </c>
      <c r="Q60" s="433"/>
      <c r="R60" s="435"/>
      <c r="S60" s="434">
        <v>3451</v>
      </c>
      <c r="T60">
        <v>26</v>
      </c>
    </row>
    <row r="61" spans="2:22" x14ac:dyDescent="0.2">
      <c r="C61" s="375"/>
      <c r="D61" s="436"/>
      <c r="E61" s="375"/>
      <c r="F61" s="375"/>
      <c r="G61" s="375"/>
      <c r="H61" s="436"/>
      <c r="I61" s="34">
        <f t="shared" si="1"/>
        <v>0</v>
      </c>
      <c r="J61" s="436"/>
      <c r="K61" s="437"/>
      <c r="L61" s="436"/>
      <c r="M61" s="34"/>
      <c r="N61" s="34">
        <f t="shared" si="0"/>
        <v>0</v>
      </c>
      <c r="O61" s="436"/>
      <c r="P61" s="375"/>
      <c r="Q61" s="436"/>
      <c r="R61" s="438"/>
      <c r="S61" s="437"/>
    </row>
    <row r="62" spans="2:22" x14ac:dyDescent="0.2">
      <c r="B62">
        <v>27</v>
      </c>
      <c r="C62" s="374">
        <v>61433</v>
      </c>
      <c r="D62" s="433">
        <v>1501</v>
      </c>
      <c r="E62" s="374"/>
      <c r="F62" s="374"/>
      <c r="G62" s="374"/>
      <c r="H62" s="433"/>
      <c r="I62" s="34">
        <f t="shared" si="1"/>
        <v>59932</v>
      </c>
      <c r="J62" s="433">
        <v>38301</v>
      </c>
      <c r="K62" s="434">
        <v>6000</v>
      </c>
      <c r="L62" s="433">
        <v>760</v>
      </c>
      <c r="M62" s="34">
        <v>4197</v>
      </c>
      <c r="N62" s="34">
        <f t="shared" si="0"/>
        <v>27344</v>
      </c>
      <c r="O62" s="433">
        <v>1501</v>
      </c>
      <c r="P62" s="374"/>
      <c r="Q62" s="433"/>
      <c r="R62" s="435"/>
      <c r="S62" s="434">
        <v>11248</v>
      </c>
      <c r="T62">
        <v>27</v>
      </c>
    </row>
    <row r="63" spans="2:22" x14ac:dyDescent="0.2">
      <c r="C63" s="375"/>
      <c r="D63" s="436"/>
      <c r="E63" s="375"/>
      <c r="F63" s="375"/>
      <c r="G63" s="375"/>
      <c r="H63" s="436"/>
      <c r="I63" s="34">
        <f t="shared" si="1"/>
        <v>0</v>
      </c>
      <c r="J63" s="436"/>
      <c r="K63" s="437"/>
      <c r="L63" s="436"/>
      <c r="M63" s="34"/>
      <c r="N63" s="34">
        <f t="shared" si="0"/>
        <v>0</v>
      </c>
      <c r="O63" s="436"/>
      <c r="P63" s="375"/>
      <c r="Q63" s="436"/>
      <c r="R63" s="438"/>
      <c r="S63" s="437"/>
    </row>
    <row r="64" spans="2:22" x14ac:dyDescent="0.2">
      <c r="B64">
        <v>28</v>
      </c>
      <c r="C64" s="374">
        <v>203006</v>
      </c>
      <c r="D64" s="433">
        <v>21684</v>
      </c>
      <c r="E64" s="374"/>
      <c r="F64" s="374">
        <v>164119</v>
      </c>
      <c r="G64" s="374"/>
      <c r="H64" s="433"/>
      <c r="I64" s="34">
        <f t="shared" si="1"/>
        <v>17203</v>
      </c>
      <c r="J64" s="433">
        <v>14670</v>
      </c>
      <c r="K64" s="434">
        <v>14670</v>
      </c>
      <c r="L64" s="433"/>
      <c r="M64" s="34"/>
      <c r="N64" s="34">
        <f t="shared" si="0"/>
        <v>0</v>
      </c>
      <c r="O64" s="433">
        <v>12110</v>
      </c>
      <c r="P64" s="374"/>
      <c r="Q64" s="433">
        <v>1239</v>
      </c>
      <c r="R64" s="435">
        <v>8335</v>
      </c>
      <c r="S64" s="434">
        <v>15471</v>
      </c>
      <c r="T64">
        <v>28</v>
      </c>
      <c r="V64" s="54"/>
    </row>
    <row r="65" spans="1:25" x14ac:dyDescent="0.2">
      <c r="C65" s="375"/>
      <c r="D65" s="436"/>
      <c r="E65" s="375"/>
      <c r="F65" s="375"/>
      <c r="G65" s="375"/>
      <c r="H65" s="436"/>
      <c r="I65" s="34">
        <f t="shared" si="1"/>
        <v>0</v>
      </c>
      <c r="J65" s="436"/>
      <c r="K65" s="437"/>
      <c r="L65" s="436"/>
      <c r="M65" s="34"/>
      <c r="N65" s="34">
        <f t="shared" si="0"/>
        <v>0</v>
      </c>
      <c r="O65" s="436"/>
      <c r="P65" s="375"/>
      <c r="Q65" s="436"/>
      <c r="R65" s="438"/>
      <c r="S65" s="437"/>
    </row>
    <row r="66" spans="1:25" x14ac:dyDescent="0.2">
      <c r="B66">
        <v>29</v>
      </c>
      <c r="C66" s="374">
        <v>63736</v>
      </c>
      <c r="D66" s="433">
        <v>21480</v>
      </c>
      <c r="E66" s="374"/>
      <c r="F66" s="374"/>
      <c r="G66" s="374"/>
      <c r="H66" s="433"/>
      <c r="I66" s="34">
        <f t="shared" si="1"/>
        <v>42256</v>
      </c>
      <c r="J66" s="433">
        <v>5884</v>
      </c>
      <c r="K66" s="434">
        <v>1000</v>
      </c>
      <c r="L66" s="433"/>
      <c r="M66" s="34">
        <v>4884</v>
      </c>
      <c r="N66" s="34">
        <f t="shared" si="0"/>
        <v>0</v>
      </c>
      <c r="O66" s="464">
        <v>4886</v>
      </c>
      <c r="P66" s="374"/>
      <c r="Q66" s="433">
        <v>16594</v>
      </c>
      <c r="R66" s="435"/>
      <c r="S66" s="434">
        <v>9114</v>
      </c>
      <c r="T66">
        <v>29</v>
      </c>
    </row>
    <row r="67" spans="1:25" x14ac:dyDescent="0.2">
      <c r="C67" s="375"/>
      <c r="D67" s="436"/>
      <c r="E67" s="375"/>
      <c r="F67" s="375"/>
      <c r="G67" s="375"/>
      <c r="H67" s="436"/>
      <c r="I67" s="34">
        <f t="shared" si="1"/>
        <v>0</v>
      </c>
      <c r="J67" s="436"/>
      <c r="K67" s="437"/>
      <c r="L67" s="436"/>
      <c r="M67" s="34"/>
      <c r="N67" s="34">
        <f t="shared" si="0"/>
        <v>0</v>
      </c>
      <c r="O67" s="436"/>
      <c r="P67" s="375"/>
      <c r="Q67" s="436"/>
      <c r="R67" s="438"/>
      <c r="S67" s="437"/>
      <c r="V67" s="483" t="s">
        <v>672</v>
      </c>
      <c r="W67" s="42">
        <f>E73+F73+H73+I73+N73+G73</f>
        <v>1665188</v>
      </c>
    </row>
    <row r="68" spans="1:25" x14ac:dyDescent="0.2">
      <c r="B68">
        <v>30</v>
      </c>
      <c r="C68" s="374">
        <v>291929</v>
      </c>
      <c r="D68" s="433">
        <v>152068</v>
      </c>
      <c r="E68" s="374"/>
      <c r="F68" s="374">
        <v>11500</v>
      </c>
      <c r="G68" s="374"/>
      <c r="H68" s="433">
        <f>4770+6217</f>
        <v>10987</v>
      </c>
      <c r="I68" s="34">
        <f>C68-D68-E68-H68-F68-G68</f>
        <v>117374</v>
      </c>
      <c r="J68" s="433">
        <v>342476</v>
      </c>
      <c r="K68" s="434">
        <v>108291</v>
      </c>
      <c r="L68" s="433">
        <v>24884</v>
      </c>
      <c r="M68" s="34">
        <v>106023</v>
      </c>
      <c r="N68" s="34">
        <f t="shared" si="0"/>
        <v>103278</v>
      </c>
      <c r="O68" s="433">
        <v>72483</v>
      </c>
      <c r="P68" s="374">
        <v>9478</v>
      </c>
      <c r="Q68" s="433">
        <v>46358</v>
      </c>
      <c r="R68" s="435">
        <v>23749</v>
      </c>
      <c r="S68" s="434">
        <v>262745</v>
      </c>
      <c r="T68">
        <v>30</v>
      </c>
      <c r="U68" s="54" t="s">
        <v>838</v>
      </c>
      <c r="V68" s="183" t="s">
        <v>674</v>
      </c>
      <c r="W68" s="449"/>
      <c r="X68" s="42">
        <f>W69-W67</f>
        <v>-360323</v>
      </c>
    </row>
    <row r="69" spans="1:25" x14ac:dyDescent="0.2">
      <c r="C69" s="375"/>
      <c r="D69" s="436"/>
      <c r="E69" s="375"/>
      <c r="F69" s="375"/>
      <c r="G69" s="375"/>
      <c r="H69" s="436"/>
      <c r="I69" s="34">
        <f t="shared" si="1"/>
        <v>0</v>
      </c>
      <c r="J69" s="436"/>
      <c r="K69" s="437"/>
      <c r="L69" s="436"/>
      <c r="M69" s="34"/>
      <c r="N69" s="34">
        <f t="shared" si="0"/>
        <v>0</v>
      </c>
      <c r="O69" s="436"/>
      <c r="P69" s="375"/>
      <c r="Q69" s="436"/>
      <c r="R69" s="438"/>
      <c r="S69" s="437"/>
      <c r="V69" s="183" t="s">
        <v>673</v>
      </c>
      <c r="W69" s="42">
        <f>S73+O73+P73+Q73+R73</f>
        <v>1304865</v>
      </c>
    </row>
    <row r="70" spans="1:25" x14ac:dyDescent="0.2">
      <c r="B70">
        <v>31</v>
      </c>
      <c r="C70" s="374"/>
      <c r="D70" s="433"/>
      <c r="E70" s="374"/>
      <c r="F70" s="1042"/>
      <c r="G70" s="374"/>
      <c r="H70" s="433"/>
      <c r="I70" s="34">
        <f t="shared" si="1"/>
        <v>0</v>
      </c>
      <c r="J70" s="433"/>
      <c r="K70" s="434"/>
      <c r="L70" s="433"/>
      <c r="M70" s="34"/>
      <c r="N70" s="34">
        <f t="shared" si="0"/>
        <v>0</v>
      </c>
      <c r="O70" s="433"/>
      <c r="P70" s="374"/>
      <c r="Q70" s="433"/>
      <c r="R70" s="435"/>
      <c r="S70" s="34"/>
      <c r="T70">
        <v>31</v>
      </c>
    </row>
    <row r="71" spans="1:25" ht="13.5" thickBot="1" x14ac:dyDescent="0.25">
      <c r="C71" s="22"/>
      <c r="D71" s="29"/>
      <c r="E71" s="22"/>
      <c r="F71" s="22"/>
      <c r="G71" s="22"/>
      <c r="H71" s="29"/>
      <c r="I71" s="34">
        <f t="shared" si="1"/>
        <v>0</v>
      </c>
      <c r="J71" s="29"/>
      <c r="K71" s="34"/>
      <c r="L71" s="29"/>
      <c r="M71" s="35"/>
      <c r="N71" s="34">
        <f t="shared" si="0"/>
        <v>0</v>
      </c>
      <c r="O71" s="29"/>
      <c r="P71" s="22"/>
      <c r="Q71" s="29"/>
      <c r="R71" s="28"/>
      <c r="S71" s="34"/>
      <c r="U71" s="54" t="s">
        <v>852</v>
      </c>
      <c r="V71" s="183" t="s">
        <v>672</v>
      </c>
      <c r="W71" s="42">
        <f>E78+F78+G78+H78+I78+N78</f>
        <v>1493855</v>
      </c>
    </row>
    <row r="72" spans="1:25" x14ac:dyDescent="0.2">
      <c r="C72" s="40"/>
      <c r="D72" s="33"/>
      <c r="E72" s="33"/>
      <c r="F72" s="439"/>
      <c r="G72" s="33"/>
      <c r="H72" s="33"/>
      <c r="I72" s="439"/>
      <c r="J72" s="33"/>
      <c r="K72" s="439"/>
      <c r="L72" s="33"/>
      <c r="M72" s="439"/>
      <c r="N72" s="439"/>
      <c r="O72" s="33"/>
      <c r="P72" s="439"/>
      <c r="Q72" s="33"/>
      <c r="R72" s="439"/>
      <c r="S72" s="33"/>
      <c r="V72" s="183" t="s">
        <v>674</v>
      </c>
      <c r="W72" s="449"/>
      <c r="X72" s="42">
        <f>W73-W71</f>
        <v>-177174</v>
      </c>
      <c r="Y72" s="42"/>
    </row>
    <row r="73" spans="1:25" x14ac:dyDescent="0.2">
      <c r="A73" s="54" t="s">
        <v>671</v>
      </c>
      <c r="B73" s="1"/>
      <c r="C73" s="34">
        <f>SUM(C9:C71)</f>
        <v>1703957</v>
      </c>
      <c r="D73" s="441">
        <f>SUM(D9:D71)</f>
        <v>547635</v>
      </c>
      <c r="E73" s="34">
        <v>99365</v>
      </c>
      <c r="F73" s="442">
        <f>SUM(F9:F71)</f>
        <v>304359</v>
      </c>
      <c r="G73" s="441">
        <f>SUM(G9:G71)</f>
        <v>3594</v>
      </c>
      <c r="H73" s="441">
        <f>SUM(H9:H71)</f>
        <v>47174</v>
      </c>
      <c r="I73" s="446">
        <f>SUM(I9:I71)</f>
        <v>801195</v>
      </c>
      <c r="J73" s="34">
        <f>SUM(J9:J71)</f>
        <v>1103451</v>
      </c>
      <c r="K73" s="441">
        <f t="shared" ref="K73:P73" si="2">SUM(K9:K71)</f>
        <v>382551</v>
      </c>
      <c r="L73" s="441">
        <f>SUM(L9:L71)</f>
        <v>52382</v>
      </c>
      <c r="M73" s="441">
        <f t="shared" si="2"/>
        <v>259017</v>
      </c>
      <c r="N73" s="446">
        <f>SUM(N9:N71)</f>
        <v>409501</v>
      </c>
      <c r="O73" s="441">
        <f>SUM(O9:O71)</f>
        <v>239153</v>
      </c>
      <c r="P73" s="441">
        <f t="shared" si="2"/>
        <v>46742</v>
      </c>
      <c r="Q73" s="441">
        <f>SUM(Q9:Q71)</f>
        <v>174677</v>
      </c>
      <c r="R73" s="441">
        <f>SUM(R9:R71)</f>
        <v>87063</v>
      </c>
      <c r="S73" s="446">
        <f>SUM(S9:S71)</f>
        <v>757230</v>
      </c>
      <c r="V73" s="183" t="s">
        <v>673</v>
      </c>
      <c r="W73" s="42">
        <f>S78+O78+P78+Q78+R78</f>
        <v>1316681</v>
      </c>
      <c r="X73" s="42">
        <v>-127754</v>
      </c>
    </row>
    <row r="74" spans="1:25" ht="13.5" thickBot="1" x14ac:dyDescent="0.25">
      <c r="C74" s="440"/>
      <c r="D74" s="35"/>
      <c r="E74" s="35"/>
      <c r="F74" s="37"/>
      <c r="G74" s="35"/>
      <c r="H74" s="35"/>
      <c r="I74" s="37"/>
      <c r="J74" s="35"/>
      <c r="K74" s="37"/>
      <c r="L74" s="35"/>
      <c r="M74" s="37"/>
      <c r="N74" s="37"/>
      <c r="O74" s="35"/>
      <c r="P74" s="37"/>
      <c r="Q74" s="35"/>
      <c r="R74" s="37"/>
      <c r="S74" s="35"/>
    </row>
    <row r="75" spans="1:25" x14ac:dyDescent="0.2"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>
        <f>L75+K75</f>
        <v>0</v>
      </c>
      <c r="O75" s="29"/>
      <c r="P75" s="29"/>
      <c r="Q75" s="29"/>
      <c r="R75" s="29"/>
      <c r="S75" s="29"/>
    </row>
    <row r="76" spans="1:25" ht="13.5" thickBot="1" x14ac:dyDescent="0.25">
      <c r="A76" s="94">
        <v>42236</v>
      </c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U76" s="54" t="s">
        <v>874</v>
      </c>
      <c r="V76" s="183" t="s">
        <v>672</v>
      </c>
      <c r="W76" s="42">
        <f>E82+F82+G82+H82+I82+N82</f>
        <v>1125014</v>
      </c>
    </row>
    <row r="77" spans="1:25" x14ac:dyDescent="0.2">
      <c r="A77" s="255"/>
      <c r="C77" s="33"/>
      <c r="D77" s="444"/>
      <c r="E77" s="374"/>
      <c r="F77" s="465"/>
      <c r="G77" s="374"/>
      <c r="H77" s="374"/>
      <c r="I77" s="435"/>
      <c r="J77" s="40"/>
      <c r="K77" s="374"/>
      <c r="L77" s="374"/>
      <c r="M77" s="374"/>
      <c r="N77" s="374"/>
      <c r="O77" s="374"/>
      <c r="P77" s="374"/>
      <c r="Q77" s="374"/>
      <c r="R77" s="374"/>
      <c r="S77" s="374"/>
      <c r="V77" s="183" t="s">
        <v>674</v>
      </c>
      <c r="W77" s="449"/>
      <c r="X77" s="42">
        <f>W78-W76</f>
        <v>-211355</v>
      </c>
      <c r="Y77" s="50"/>
    </row>
    <row r="78" spans="1:25" x14ac:dyDescent="0.2">
      <c r="A78" s="843" t="s">
        <v>852</v>
      </c>
      <c r="C78" s="847">
        <v>1581761</v>
      </c>
      <c r="D78" s="1060">
        <v>540972</v>
      </c>
      <c r="E78" s="844"/>
      <c r="F78" s="1043">
        <v>217022</v>
      </c>
      <c r="G78" s="1059">
        <v>38557</v>
      </c>
      <c r="H78" s="1059">
        <v>44264</v>
      </c>
      <c r="I78" s="447">
        <f>C78-D78-E78-H78-F78-G78</f>
        <v>740946</v>
      </c>
      <c r="J78" s="849">
        <v>1169659</v>
      </c>
      <c r="K78" s="844">
        <v>397054</v>
      </c>
      <c r="L78" s="844">
        <v>49541</v>
      </c>
      <c r="M78" s="848">
        <v>269998</v>
      </c>
      <c r="N78" s="446">
        <f>J78-K78-L78-M78</f>
        <v>453066</v>
      </c>
      <c r="O78" s="844">
        <v>367267</v>
      </c>
      <c r="P78" s="844">
        <v>25386</v>
      </c>
      <c r="Q78" s="844">
        <v>49977</v>
      </c>
      <c r="R78" s="844">
        <v>98340</v>
      </c>
      <c r="S78" s="448">
        <v>775711</v>
      </c>
      <c r="V78" s="183" t="s">
        <v>673</v>
      </c>
      <c r="W78" s="42">
        <f>S82+O82+P82+Q82+R82</f>
        <v>913659</v>
      </c>
      <c r="X78" s="42"/>
      <c r="Y78" s="50"/>
    </row>
    <row r="79" spans="1:25" ht="13.5" thickBot="1" x14ac:dyDescent="0.25">
      <c r="A79" s="261"/>
      <c r="C79" s="16"/>
      <c r="D79" s="84"/>
      <c r="E79" s="1053"/>
      <c r="F79" s="466"/>
      <c r="G79" s="1053"/>
      <c r="H79" s="1053"/>
      <c r="I79" s="89"/>
      <c r="J79" s="11"/>
      <c r="K79" s="1053"/>
      <c r="L79" s="1053"/>
      <c r="M79" s="1053"/>
      <c r="N79" s="1053"/>
      <c r="O79" s="1053"/>
      <c r="P79" s="1053"/>
      <c r="Q79" s="1053"/>
      <c r="R79" s="1053"/>
      <c r="S79" s="1053"/>
      <c r="Y79" s="56"/>
    </row>
    <row r="80" spans="1:25" ht="13.5" thickBot="1" x14ac:dyDescent="0.25">
      <c r="A80" s="204"/>
      <c r="C80" s="15"/>
      <c r="D80" s="81"/>
      <c r="E80" s="66"/>
      <c r="F80" s="450"/>
      <c r="G80" s="66"/>
      <c r="H80" s="66"/>
      <c r="I80" s="88"/>
      <c r="J80" s="5"/>
      <c r="K80" s="66"/>
      <c r="L80" s="66"/>
      <c r="M80" s="66"/>
      <c r="N80" s="66"/>
      <c r="O80" s="66"/>
      <c r="P80" s="66"/>
      <c r="Q80" s="66"/>
      <c r="R80" s="66"/>
      <c r="S80" s="66"/>
      <c r="Y80" s="56"/>
    </row>
    <row r="81" spans="1:25" x14ac:dyDescent="0.2">
      <c r="A81" s="443"/>
      <c r="C81" s="33"/>
      <c r="D81" s="444"/>
      <c r="E81" s="374"/>
      <c r="F81" s="465"/>
      <c r="G81" s="374"/>
      <c r="H81" s="374"/>
      <c r="I81" s="435"/>
      <c r="J81" s="40"/>
      <c r="K81" s="374"/>
      <c r="L81" s="374"/>
      <c r="M81" s="374"/>
      <c r="N81" s="374"/>
      <c r="O81" s="374"/>
      <c r="P81" s="374"/>
      <c r="Q81" s="374"/>
      <c r="R81" s="374"/>
      <c r="S81" s="374"/>
    </row>
    <row r="82" spans="1:25" x14ac:dyDescent="0.2">
      <c r="A82" s="843" t="s">
        <v>874</v>
      </c>
      <c r="C82" s="847">
        <v>1135521</v>
      </c>
      <c r="D82" s="846">
        <v>401641</v>
      </c>
      <c r="E82" s="844"/>
      <c r="F82" s="845">
        <v>197054</v>
      </c>
      <c r="G82" s="844">
        <v>29481</v>
      </c>
      <c r="H82" s="844">
        <v>53297</v>
      </c>
      <c r="I82" s="447">
        <f>C82-D82-E82-H82-F82-G82</f>
        <v>454048</v>
      </c>
      <c r="J82" s="849">
        <v>848574</v>
      </c>
      <c r="K82" s="844">
        <v>215828</v>
      </c>
      <c r="L82" s="844">
        <v>114919</v>
      </c>
      <c r="M82" s="848">
        <v>126693</v>
      </c>
      <c r="N82" s="446">
        <f>J82-K82-L82-M82</f>
        <v>391134</v>
      </c>
      <c r="O82" s="844">
        <v>309240</v>
      </c>
      <c r="P82" s="844">
        <v>7489</v>
      </c>
      <c r="Q82" s="844">
        <v>46940</v>
      </c>
      <c r="R82" s="844">
        <v>37973</v>
      </c>
      <c r="S82" s="448">
        <v>512017</v>
      </c>
    </row>
    <row r="83" spans="1:25" ht="13.5" thickBot="1" x14ac:dyDescent="0.25">
      <c r="A83" s="1053"/>
      <c r="C83" s="16"/>
      <c r="D83" s="84"/>
      <c r="E83" s="1053"/>
      <c r="F83" s="466"/>
      <c r="G83" s="1053"/>
      <c r="H83" s="1053"/>
      <c r="I83" s="89"/>
      <c r="J83" s="11"/>
      <c r="K83" s="1053"/>
      <c r="L83" s="1053"/>
      <c r="M83" s="1053"/>
      <c r="N83" s="1053"/>
      <c r="O83" s="1053"/>
      <c r="P83" s="1053"/>
      <c r="Q83" s="1053"/>
      <c r="R83" s="1053"/>
      <c r="S83" s="1053"/>
    </row>
    <row r="84" spans="1:25" x14ac:dyDescent="0.2">
      <c r="U84" s="183"/>
    </row>
    <row r="85" spans="1:25" x14ac:dyDescent="0.2">
      <c r="U85" s="183"/>
      <c r="V85" s="183"/>
      <c r="W85" s="183"/>
      <c r="X85" s="17"/>
      <c r="Y85" s="50"/>
    </row>
    <row r="86" spans="1:25" x14ac:dyDescent="0.2">
      <c r="W86" s="183"/>
      <c r="X86" s="17"/>
      <c r="Y86" s="50"/>
    </row>
    <row r="87" spans="1:25" x14ac:dyDescent="0.2">
      <c r="Y87" s="56"/>
    </row>
    <row r="88" spans="1:25" x14ac:dyDescent="0.2">
      <c r="U88" s="183"/>
      <c r="V88" s="183"/>
      <c r="W88" s="183"/>
      <c r="X88" s="17"/>
      <c r="Y88" s="50"/>
    </row>
  </sheetData>
  <pageMargins left="0.70866141732283472" right="0.70866141732283472" top="0.74803149606299213" bottom="0.74803149606299213" header="0.31496062992125984" footer="0.31496062992125984"/>
  <pageSetup paperSize="9" scale="44" fitToWidth="2" orientation="landscape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3:O96"/>
  <sheetViews>
    <sheetView topLeftCell="A4" workbookViewId="0">
      <selection activeCell="E16" sqref="E16"/>
    </sheetView>
  </sheetViews>
  <sheetFormatPr defaultColWidth="11.42578125" defaultRowHeight="12.75" x14ac:dyDescent="0.2"/>
  <cols>
    <col min="1" max="1" width="40.5703125" customWidth="1"/>
    <col min="2" max="6" width="16.140625" customWidth="1"/>
    <col min="7" max="7" width="17.42578125" customWidth="1"/>
    <col min="8" max="8" width="15.7109375" customWidth="1"/>
    <col min="9" max="9" width="3.140625" customWidth="1"/>
    <col min="10" max="10" width="40" customWidth="1"/>
    <col min="11" max="11" width="14.7109375" bestFit="1" customWidth="1"/>
    <col min="12" max="15" width="11.85546875" bestFit="1" customWidth="1"/>
  </cols>
  <sheetData>
    <row r="3" spans="1:15" ht="13.5" thickBot="1" x14ac:dyDescent="0.25"/>
    <row r="4" spans="1:15" x14ac:dyDescent="0.2">
      <c r="A4" s="2"/>
      <c r="B4" s="3"/>
      <c r="C4" s="3"/>
      <c r="D4" s="3"/>
      <c r="E4" s="3"/>
      <c r="F4" s="3"/>
      <c r="G4" s="3"/>
      <c r="H4" s="119">
        <v>42269</v>
      </c>
      <c r="I4" s="60"/>
    </row>
    <row r="5" spans="1:15" x14ac:dyDescent="0.2">
      <c r="A5" s="5"/>
      <c r="B5" s="6"/>
      <c r="C5" s="6"/>
      <c r="D5" s="6"/>
      <c r="E5" s="6"/>
      <c r="F5" s="6"/>
      <c r="G5" s="6"/>
      <c r="H5" s="7"/>
      <c r="I5" s="6"/>
    </row>
    <row r="6" spans="1:15" ht="23.25" x14ac:dyDescent="0.35">
      <c r="A6" s="5"/>
      <c r="B6" s="1733" t="s">
        <v>1092</v>
      </c>
      <c r="C6" s="1733"/>
      <c r="D6" s="1733"/>
      <c r="E6" s="1733"/>
      <c r="F6" s="1733"/>
      <c r="G6" s="1088" t="s">
        <v>1094</v>
      </c>
      <c r="H6" s="7"/>
      <c r="I6" s="6"/>
    </row>
    <row r="7" spans="1:15" x14ac:dyDescent="0.2">
      <c r="A7" s="5"/>
      <c r="B7" s="6"/>
      <c r="C7" s="6"/>
      <c r="D7" s="6"/>
      <c r="E7" s="6"/>
      <c r="F7" s="6"/>
      <c r="G7" s="6"/>
      <c r="H7" s="7"/>
      <c r="I7" s="6"/>
      <c r="K7" s="1084"/>
    </row>
    <row r="8" spans="1:15" ht="23.25" x14ac:dyDescent="0.35">
      <c r="A8" s="5"/>
      <c r="B8" s="6"/>
      <c r="C8" s="6"/>
      <c r="D8" s="1087" t="s">
        <v>1093</v>
      </c>
      <c r="E8" s="1087"/>
      <c r="F8" s="1087"/>
      <c r="G8" s="1087"/>
      <c r="H8" s="1087"/>
      <c r="I8" s="6"/>
    </row>
    <row r="9" spans="1:15" x14ac:dyDescent="0.2">
      <c r="A9" s="5"/>
      <c r="B9" s="6"/>
      <c r="C9" s="482"/>
      <c r="D9" s="482"/>
      <c r="E9" s="6"/>
      <c r="F9" s="6"/>
      <c r="G9" s="6"/>
      <c r="H9" s="7"/>
      <c r="I9" s="6"/>
    </row>
    <row r="10" spans="1:15" x14ac:dyDescent="0.2">
      <c r="A10" s="5"/>
      <c r="B10" s="6"/>
      <c r="C10" s="6"/>
      <c r="D10" s="6"/>
      <c r="E10" s="6"/>
      <c r="F10" s="6"/>
      <c r="G10" s="6"/>
      <c r="H10" s="7"/>
      <c r="I10" s="6"/>
    </row>
    <row r="11" spans="1:15" ht="13.5" thickBot="1" x14ac:dyDescent="0.25">
      <c r="A11" s="11"/>
      <c r="B11" s="12"/>
      <c r="C11" s="12"/>
      <c r="D11" s="12"/>
      <c r="E11" s="12"/>
      <c r="F11" s="12"/>
      <c r="G11" s="12"/>
      <c r="H11" s="130"/>
      <c r="I11" s="6"/>
    </row>
    <row r="12" spans="1:15" ht="13.5" thickBot="1" x14ac:dyDescent="0.25">
      <c r="A12" s="5"/>
      <c r="B12" s="1743" t="s">
        <v>1110</v>
      </c>
      <c r="C12" s="1734" t="s">
        <v>113</v>
      </c>
      <c r="D12" s="1734" t="s">
        <v>70</v>
      </c>
      <c r="E12" s="1734" t="s">
        <v>72</v>
      </c>
      <c r="F12" s="1734" t="s">
        <v>330</v>
      </c>
      <c r="G12" s="1734" t="s">
        <v>888</v>
      </c>
      <c r="H12" s="1734" t="s">
        <v>1095</v>
      </c>
      <c r="I12" s="96"/>
      <c r="J12" s="96" t="s">
        <v>1103</v>
      </c>
    </row>
    <row r="13" spans="1:15" ht="20.25" customHeight="1" thickBot="1" x14ac:dyDescent="0.25">
      <c r="A13" s="5"/>
      <c r="B13" s="1744"/>
      <c r="C13" s="1735"/>
      <c r="D13" s="1735"/>
      <c r="E13" s="1735"/>
      <c r="F13" s="1735"/>
      <c r="G13" s="1735"/>
      <c r="H13" s="1735"/>
      <c r="I13" s="93"/>
      <c r="J13" s="13"/>
    </row>
    <row r="14" spans="1:15" x14ac:dyDescent="0.2">
      <c r="A14" s="5"/>
      <c r="B14" s="33"/>
      <c r="C14" s="33"/>
      <c r="D14" s="33"/>
      <c r="E14" s="33"/>
      <c r="F14" s="33"/>
      <c r="G14" s="33"/>
      <c r="H14" s="33"/>
      <c r="I14" s="29"/>
      <c r="J14" s="15"/>
    </row>
    <row r="15" spans="1:15" ht="15.75" x14ac:dyDescent="0.25">
      <c r="A15" s="43" t="s">
        <v>25</v>
      </c>
      <c r="B15" s="45"/>
      <c r="C15" s="45"/>
      <c r="D15" s="45"/>
      <c r="E15" s="45"/>
      <c r="F15" s="45"/>
      <c r="G15" s="45"/>
      <c r="H15" s="45"/>
      <c r="I15" s="42"/>
      <c r="J15" s="1100"/>
      <c r="K15" s="42"/>
      <c r="L15" s="42"/>
      <c r="M15" s="42"/>
      <c r="N15" s="42"/>
      <c r="O15" s="42"/>
    </row>
    <row r="16" spans="1:15" ht="15.75" x14ac:dyDescent="0.25">
      <c r="A16" s="43"/>
      <c r="B16" s="45"/>
      <c r="C16" s="45"/>
      <c r="D16" s="45"/>
      <c r="E16" s="45"/>
      <c r="F16" s="45"/>
      <c r="G16" s="45"/>
      <c r="H16" s="45"/>
      <c r="I16" s="1082"/>
      <c r="J16" s="1101"/>
      <c r="K16" s="1082"/>
      <c r="L16" s="1082"/>
      <c r="M16" s="1082"/>
      <c r="N16" s="1082"/>
    </row>
    <row r="17" spans="1:15" x14ac:dyDescent="0.2">
      <c r="A17" s="10" t="s">
        <v>133</v>
      </c>
      <c r="B17" s="120">
        <f>585598-26800</f>
        <v>558798</v>
      </c>
      <c r="C17" s="1095">
        <f>605598-26800</f>
        <v>578798</v>
      </c>
      <c r="D17" s="120">
        <v>0</v>
      </c>
      <c r="E17" s="120">
        <v>0</v>
      </c>
      <c r="F17" s="120">
        <v>0</v>
      </c>
      <c r="G17" s="120">
        <f>C17+D17+E17+F17</f>
        <v>578798</v>
      </c>
      <c r="H17" s="120">
        <f>+B17-G17</f>
        <v>-20000</v>
      </c>
      <c r="I17" s="1085"/>
      <c r="J17" s="1102" t="s">
        <v>1104</v>
      </c>
    </row>
    <row r="18" spans="1:15" x14ac:dyDescent="0.2">
      <c r="A18" s="491" t="s">
        <v>804</v>
      </c>
      <c r="B18" s="120">
        <v>0</v>
      </c>
      <c r="C18" s="120">
        <v>0</v>
      </c>
      <c r="D18" s="120">
        <v>0</v>
      </c>
      <c r="E18" s="120">
        <v>0</v>
      </c>
      <c r="F18" s="120">
        <v>0</v>
      </c>
      <c r="G18" s="120">
        <f t="shared" ref="G18:G27" si="0">C18+D18+E18+F18</f>
        <v>0</v>
      </c>
      <c r="H18" s="120">
        <f t="shared" ref="H18:H27" si="1">+B18-G18</f>
        <v>0</v>
      </c>
      <c r="I18" s="42"/>
      <c r="J18" s="1100"/>
      <c r="K18" s="42"/>
      <c r="L18" s="42"/>
      <c r="M18" s="42"/>
      <c r="N18" s="42"/>
      <c r="O18" s="42"/>
    </row>
    <row r="19" spans="1:15" x14ac:dyDescent="0.2">
      <c r="A19" s="491" t="s">
        <v>805</v>
      </c>
      <c r="B19" s="120">
        <v>0</v>
      </c>
      <c r="C19" s="120">
        <v>0</v>
      </c>
      <c r="D19" s="120">
        <v>0</v>
      </c>
      <c r="E19" s="120">
        <v>0</v>
      </c>
      <c r="F19" s="120">
        <v>0</v>
      </c>
      <c r="G19" s="120">
        <f t="shared" si="0"/>
        <v>0</v>
      </c>
      <c r="H19" s="120">
        <f t="shared" si="1"/>
        <v>0</v>
      </c>
      <c r="I19" s="1082"/>
      <c r="J19" s="1101"/>
      <c r="K19" s="1082"/>
      <c r="L19" s="1082"/>
      <c r="M19" s="1082"/>
      <c r="N19" s="1082"/>
    </row>
    <row r="20" spans="1:15" x14ac:dyDescent="0.2">
      <c r="A20" s="10" t="s">
        <v>134</v>
      </c>
      <c r="B20" s="120">
        <v>40525</v>
      </c>
      <c r="C20" s="120">
        <v>0</v>
      </c>
      <c r="D20" s="729">
        <v>0</v>
      </c>
      <c r="E20" s="120">
        <v>0</v>
      </c>
      <c r="F20" s="120">
        <v>40525</v>
      </c>
      <c r="G20" s="120">
        <f t="shared" si="0"/>
        <v>40525</v>
      </c>
      <c r="H20" s="120">
        <f t="shared" si="1"/>
        <v>0</v>
      </c>
      <c r="I20" s="1085"/>
      <c r="J20" s="1103"/>
      <c r="N20" s="42"/>
    </row>
    <row r="21" spans="1:15" s="58" customFormat="1" x14ac:dyDescent="0.2">
      <c r="A21" s="727" t="s">
        <v>359</v>
      </c>
      <c r="B21" s="728">
        <v>164119</v>
      </c>
      <c r="C21" s="728">
        <v>164119</v>
      </c>
      <c r="D21" s="728">
        <v>0</v>
      </c>
      <c r="E21" s="728">
        <v>0</v>
      </c>
      <c r="F21" s="728">
        <v>0</v>
      </c>
      <c r="G21" s="120">
        <f t="shared" si="0"/>
        <v>164119</v>
      </c>
      <c r="H21" s="120">
        <f t="shared" si="1"/>
        <v>0</v>
      </c>
      <c r="I21" s="1086"/>
      <c r="J21" s="1104"/>
    </row>
    <row r="22" spans="1:15" s="58" customFormat="1" x14ac:dyDescent="0.2">
      <c r="A22" s="1099" t="s">
        <v>1101</v>
      </c>
      <c r="B22" s="728">
        <v>0</v>
      </c>
      <c r="C22" s="728">
        <v>156145</v>
      </c>
      <c r="D22" s="728"/>
      <c r="E22" s="728"/>
      <c r="F22" s="728"/>
      <c r="G22" s="120">
        <f t="shared" si="0"/>
        <v>156145</v>
      </c>
      <c r="H22" s="120">
        <f t="shared" si="1"/>
        <v>-156145</v>
      </c>
      <c r="I22" s="1086"/>
      <c r="J22" s="1105" t="s">
        <v>1109</v>
      </c>
    </row>
    <row r="23" spans="1:15" x14ac:dyDescent="0.2">
      <c r="A23" s="10" t="s">
        <v>292</v>
      </c>
      <c r="B23" s="120">
        <v>35000</v>
      </c>
      <c r="C23" s="120">
        <v>0</v>
      </c>
      <c r="D23" s="120">
        <v>0</v>
      </c>
      <c r="E23" s="120">
        <v>0</v>
      </c>
      <c r="F23" s="120">
        <v>0</v>
      </c>
      <c r="G23" s="120">
        <f t="shared" si="0"/>
        <v>0</v>
      </c>
      <c r="H23" s="120">
        <f t="shared" si="1"/>
        <v>35000</v>
      </c>
      <c r="I23" s="1085"/>
      <c r="J23" s="1102" t="s">
        <v>1106</v>
      </c>
    </row>
    <row r="24" spans="1:15" x14ac:dyDescent="0.2">
      <c r="A24" s="10" t="s">
        <v>358</v>
      </c>
      <c r="B24" s="120">
        <v>0</v>
      </c>
      <c r="C24" s="120">
        <v>0</v>
      </c>
      <c r="D24" s="120">
        <v>0</v>
      </c>
      <c r="E24" s="120">
        <v>0</v>
      </c>
      <c r="F24" s="120">
        <v>0</v>
      </c>
      <c r="G24" s="120">
        <f t="shared" si="0"/>
        <v>0</v>
      </c>
      <c r="H24" s="120">
        <f t="shared" si="1"/>
        <v>0</v>
      </c>
      <c r="I24" s="1085"/>
      <c r="J24" s="1103"/>
    </row>
    <row r="25" spans="1:15" x14ac:dyDescent="0.2">
      <c r="A25" s="491" t="s">
        <v>806</v>
      </c>
      <c r="B25" s="120">
        <v>10784</v>
      </c>
      <c r="C25" s="120">
        <v>0</v>
      </c>
      <c r="D25" s="120">
        <v>0</v>
      </c>
      <c r="E25" s="120">
        <v>4770</v>
      </c>
      <c r="F25" s="120">
        <v>6014</v>
      </c>
      <c r="G25" s="120">
        <f t="shared" si="0"/>
        <v>10784</v>
      </c>
      <c r="H25" s="120">
        <f t="shared" si="1"/>
        <v>0</v>
      </c>
      <c r="I25" s="1085"/>
      <c r="J25" s="1103"/>
    </row>
    <row r="26" spans="1:15" x14ac:dyDescent="0.2">
      <c r="A26" s="491" t="s">
        <v>1069</v>
      </c>
      <c r="B26" s="120">
        <v>20000</v>
      </c>
      <c r="C26" s="120">
        <v>0</v>
      </c>
      <c r="D26" s="120">
        <v>0</v>
      </c>
      <c r="E26" s="120">
        <v>0</v>
      </c>
      <c r="F26" s="120">
        <v>0</v>
      </c>
      <c r="G26" s="120">
        <f t="shared" si="0"/>
        <v>0</v>
      </c>
      <c r="H26" s="120">
        <f t="shared" si="1"/>
        <v>20000</v>
      </c>
      <c r="I26" s="1085"/>
      <c r="J26" s="1102" t="s">
        <v>1104</v>
      </c>
    </row>
    <row r="27" spans="1:15" x14ac:dyDescent="0.2">
      <c r="A27" s="10" t="s">
        <v>135</v>
      </c>
      <c r="B27" s="120">
        <v>100000</v>
      </c>
      <c r="C27" s="120">
        <v>0</v>
      </c>
      <c r="D27" s="120">
        <v>0</v>
      </c>
      <c r="E27" s="120">
        <v>10000</v>
      </c>
      <c r="F27" s="120">
        <v>100000</v>
      </c>
      <c r="G27" s="120">
        <f t="shared" si="0"/>
        <v>110000</v>
      </c>
      <c r="H27" s="120">
        <f t="shared" si="1"/>
        <v>-10000</v>
      </c>
      <c r="I27" s="1085"/>
      <c r="J27" s="1102" t="s">
        <v>1105</v>
      </c>
    </row>
    <row r="28" spans="1:15" ht="13.5" thickBot="1" x14ac:dyDescent="0.25">
      <c r="A28" s="10"/>
      <c r="B28" s="120"/>
      <c r="C28" s="120"/>
      <c r="D28" s="120"/>
      <c r="E28" s="120"/>
      <c r="F28" s="120"/>
      <c r="G28" s="120"/>
      <c r="H28" s="120"/>
      <c r="I28" s="1085"/>
      <c r="J28" s="1103"/>
    </row>
    <row r="29" spans="1:15" ht="33" customHeight="1" thickBot="1" x14ac:dyDescent="0.3">
      <c r="A29" s="1093" t="s">
        <v>1096</v>
      </c>
      <c r="B29" s="1090">
        <f>B17+B20+B27+B23+B21+B24+B28+B18+B19+B25+B26</f>
        <v>929226</v>
      </c>
      <c r="C29" s="1090">
        <f>SUM(C17:C28)</f>
        <v>899062</v>
      </c>
      <c r="D29" s="1090">
        <f>D17+D20+D27+D23+D21+D24+D28+D18+D19+D25+D26</f>
        <v>0</v>
      </c>
      <c r="E29" s="1090">
        <f>E17+E20+E27+E23+E21+E24+E28+E18+E19+E25+E26</f>
        <v>14770</v>
      </c>
      <c r="F29" s="1090">
        <f>F17+F20+F27+F23+F21+F24+F28+F18+F19+F25+F26</f>
        <v>146539</v>
      </c>
      <c r="G29" s="1090">
        <f>SUM(G17:G27)</f>
        <v>1060371</v>
      </c>
      <c r="H29" s="1090">
        <f>SUM(H17:H28)</f>
        <v>-131145</v>
      </c>
      <c r="I29" s="29"/>
      <c r="J29" s="1103"/>
    </row>
    <row r="30" spans="1:15" ht="33" customHeight="1" thickBot="1" x14ac:dyDescent="0.3">
      <c r="A30" s="1093" t="s">
        <v>1097</v>
      </c>
      <c r="B30" s="1098">
        <f>B29-G29</f>
        <v>-131145</v>
      </c>
      <c r="C30" s="1092"/>
      <c r="D30" s="1092"/>
      <c r="E30" s="1092"/>
      <c r="F30" s="1092"/>
      <c r="G30" s="1092"/>
      <c r="H30" s="1092"/>
      <c r="I30" s="29"/>
      <c r="J30" s="1103"/>
    </row>
    <row r="31" spans="1:15" x14ac:dyDescent="0.2">
      <c r="A31" s="5"/>
      <c r="B31" s="33"/>
      <c r="C31" s="21"/>
      <c r="D31" s="21"/>
      <c r="E31" s="21"/>
      <c r="F31" s="21"/>
      <c r="G31" s="21"/>
      <c r="H31" s="21"/>
      <c r="I31" s="29"/>
      <c r="J31" s="1103"/>
    </row>
    <row r="32" spans="1:15" ht="15.75" x14ac:dyDescent="0.25">
      <c r="A32" s="43" t="s">
        <v>136</v>
      </c>
      <c r="B32" s="45">
        <f>B35+B37+B38</f>
        <v>629450</v>
      </c>
      <c r="C32" s="45">
        <f>SUM(C35:C38)</f>
        <v>464313</v>
      </c>
      <c r="D32" s="45">
        <f>D35+D37+D38</f>
        <v>0</v>
      </c>
      <c r="E32" s="45">
        <f>E35+E37+E38</f>
        <v>0</v>
      </c>
      <c r="F32" s="45">
        <f>F35+F37+F38</f>
        <v>0</v>
      </c>
      <c r="G32" s="45">
        <f>SUM(G34:G38)</f>
        <v>464313</v>
      </c>
      <c r="H32" s="45">
        <f>SUM(H35:H38)</f>
        <v>165137</v>
      </c>
      <c r="I32" s="122"/>
      <c r="J32" s="1106"/>
      <c r="K32" s="722"/>
      <c r="L32" s="42"/>
    </row>
    <row r="33" spans="1:10" ht="10.5" customHeight="1" thickBot="1" x14ac:dyDescent="0.3">
      <c r="A33" s="43"/>
      <c r="B33" s="45"/>
      <c r="C33" s="46"/>
      <c r="D33" s="46"/>
      <c r="E33" s="46"/>
      <c r="F33" s="46"/>
      <c r="G33" s="46"/>
      <c r="H33" s="46"/>
      <c r="I33" s="122"/>
      <c r="J33" s="1103"/>
    </row>
    <row r="34" spans="1:10" x14ac:dyDescent="0.2">
      <c r="A34" s="14"/>
      <c r="B34" s="172"/>
      <c r="C34" s="504"/>
      <c r="D34" s="172"/>
      <c r="E34" s="504"/>
      <c r="F34" s="172"/>
      <c r="G34" s="504"/>
      <c r="H34" s="172"/>
      <c r="I34" s="123"/>
      <c r="J34" s="1103"/>
    </row>
    <row r="35" spans="1:10" x14ac:dyDescent="0.2">
      <c r="A35" s="15" t="s">
        <v>8</v>
      </c>
      <c r="B35" s="34">
        <v>362229</v>
      </c>
      <c r="C35" s="29">
        <v>362229</v>
      </c>
      <c r="D35" s="34">
        <v>0</v>
      </c>
      <c r="E35" s="29">
        <v>0</v>
      </c>
      <c r="F35" s="34">
        <v>0</v>
      </c>
      <c r="G35" s="29">
        <f>SUM(C35:F35)</f>
        <v>362229</v>
      </c>
      <c r="H35" s="34">
        <f>B35-G35</f>
        <v>0</v>
      </c>
      <c r="I35" s="29"/>
      <c r="J35" s="1103"/>
    </row>
    <row r="36" spans="1:10" x14ac:dyDescent="0.2">
      <c r="A36" s="1094" t="s">
        <v>1102</v>
      </c>
      <c r="B36" s="34">
        <v>0</v>
      </c>
      <c r="C36" s="29">
        <v>72278</v>
      </c>
      <c r="D36" s="34"/>
      <c r="E36" s="29"/>
      <c r="F36" s="34"/>
      <c r="G36" s="29">
        <f>SUM(C36:F36)</f>
        <v>72278</v>
      </c>
      <c r="H36" s="34">
        <f>B36-G36</f>
        <v>-72278</v>
      </c>
      <c r="I36" s="29"/>
      <c r="J36" s="1102" t="s">
        <v>1109</v>
      </c>
    </row>
    <row r="37" spans="1:10" x14ac:dyDescent="0.2">
      <c r="A37" s="15" t="s">
        <v>26</v>
      </c>
      <c r="B37" s="34">
        <v>100000</v>
      </c>
      <c r="C37" s="29">
        <v>0</v>
      </c>
      <c r="D37" s="34">
        <v>0</v>
      </c>
      <c r="E37" s="29">
        <v>0</v>
      </c>
      <c r="F37" s="34">
        <v>0</v>
      </c>
      <c r="G37" s="29">
        <f>SUM(C37:F37)</f>
        <v>0</v>
      </c>
      <c r="H37" s="34">
        <f>B37-G37</f>
        <v>100000</v>
      </c>
      <c r="I37" s="29"/>
      <c r="J37" s="1107" t="s">
        <v>1107</v>
      </c>
    </row>
    <row r="38" spans="1:10" x14ac:dyDescent="0.2">
      <c r="A38" s="1094" t="s">
        <v>1098</v>
      </c>
      <c r="B38" s="1095">
        <v>167221</v>
      </c>
      <c r="C38" s="1096">
        <v>29806</v>
      </c>
      <c r="D38" s="173">
        <v>0</v>
      </c>
      <c r="E38" s="123">
        <v>0</v>
      </c>
      <c r="F38" s="173">
        <v>0</v>
      </c>
      <c r="G38" s="29">
        <f>SUM(C38:F38)</f>
        <v>29806</v>
      </c>
      <c r="H38" s="34">
        <f>B38-G38</f>
        <v>137415</v>
      </c>
      <c r="I38" s="123"/>
      <c r="J38" s="1736" t="s">
        <v>1108</v>
      </c>
    </row>
    <row r="39" spans="1:10" ht="13.5" thickBot="1" x14ac:dyDescent="0.25">
      <c r="A39" s="1094"/>
      <c r="B39" s="173"/>
      <c r="C39" s="123"/>
      <c r="D39" s="173"/>
      <c r="E39" s="123"/>
      <c r="F39" s="173"/>
      <c r="G39" s="29"/>
      <c r="H39" s="34"/>
      <c r="I39" s="123"/>
      <c r="J39" s="1736"/>
    </row>
    <row r="40" spans="1:10" ht="33" customHeight="1" thickBot="1" x14ac:dyDescent="0.3">
      <c r="A40" s="1089" t="s">
        <v>1096</v>
      </c>
      <c r="B40" s="1090">
        <f>B32</f>
        <v>629450</v>
      </c>
      <c r="C40" s="1090"/>
      <c r="D40" s="1090">
        <f>D32</f>
        <v>0</v>
      </c>
      <c r="E40" s="1090">
        <f>E32</f>
        <v>0</v>
      </c>
      <c r="F40" s="1090">
        <f>F32</f>
        <v>0</v>
      </c>
      <c r="G40" s="1090">
        <f>G32</f>
        <v>464313</v>
      </c>
      <c r="H40" s="1090">
        <f>H32</f>
        <v>165137</v>
      </c>
      <c r="I40" s="29"/>
      <c r="J40" s="16"/>
    </row>
    <row r="41" spans="1:10" x14ac:dyDescent="0.2">
      <c r="A41" s="1737" t="s">
        <v>1097</v>
      </c>
      <c r="B41" s="1739">
        <f>B40-G40</f>
        <v>165137</v>
      </c>
      <c r="C41" s="21"/>
      <c r="D41" s="21"/>
      <c r="E41" s="21"/>
      <c r="F41" s="21"/>
      <c r="G41" s="21"/>
      <c r="H41" s="1741"/>
      <c r="I41" s="29"/>
    </row>
    <row r="42" spans="1:10" ht="21" customHeight="1" thickBot="1" x14ac:dyDescent="0.25">
      <c r="A42" s="1738"/>
      <c r="B42" s="1740"/>
      <c r="C42" s="35"/>
      <c r="D42" s="35"/>
      <c r="E42" s="35"/>
      <c r="F42" s="35"/>
      <c r="G42" s="35"/>
      <c r="H42" s="1742"/>
      <c r="I42" s="29"/>
    </row>
    <row r="43" spans="1:10" x14ac:dyDescent="0.2">
      <c r="A43" s="6"/>
      <c r="B43" s="29"/>
      <c r="C43" s="29"/>
      <c r="D43" s="29"/>
      <c r="E43" s="29"/>
      <c r="F43" s="29"/>
      <c r="G43" s="29"/>
      <c r="H43" s="439"/>
      <c r="I43" s="29"/>
    </row>
    <row r="45" spans="1:10" x14ac:dyDescent="0.2">
      <c r="A45" s="62"/>
    </row>
    <row r="46" spans="1:10" x14ac:dyDescent="0.2">
      <c r="A46" s="577" t="s">
        <v>1100</v>
      </c>
      <c r="B46" s="34">
        <f>-459173</f>
        <v>-459173</v>
      </c>
      <c r="C46" s="34">
        <v>-302274</v>
      </c>
      <c r="D46" s="34">
        <v>-17970</v>
      </c>
      <c r="E46" s="34">
        <v>-20469</v>
      </c>
      <c r="F46" s="34">
        <v>-118460</v>
      </c>
    </row>
    <row r="47" spans="1:10" x14ac:dyDescent="0.2">
      <c r="A47" s="577"/>
    </row>
    <row r="48" spans="1:10" x14ac:dyDescent="0.2">
      <c r="A48" s="577" t="s">
        <v>1111</v>
      </c>
      <c r="B48" s="34">
        <f>B46+B32-B29</f>
        <v>-758949</v>
      </c>
      <c r="C48" s="34">
        <f>+C46+C32-C29</f>
        <v>-737023</v>
      </c>
      <c r="D48" s="34">
        <f>+D46+D32-D29</f>
        <v>-17970</v>
      </c>
      <c r="E48" s="34">
        <f>+E46+E32-E29</f>
        <v>-35239</v>
      </c>
      <c r="F48" s="34">
        <f>+F46+F32-F29</f>
        <v>-264999</v>
      </c>
      <c r="G48" s="42"/>
    </row>
    <row r="49" spans="1:6" x14ac:dyDescent="0.2">
      <c r="A49" s="577"/>
    </row>
    <row r="50" spans="1:6" x14ac:dyDescent="0.2">
      <c r="A50" s="577"/>
      <c r="B50" s="42">
        <f>+B48-' TRESORERIE ATTIJARI 2209 '!B56</f>
        <v>-62779</v>
      </c>
      <c r="C50" s="34">
        <v>-737023.50199999998</v>
      </c>
      <c r="D50" s="34">
        <v>-17970.350999999999</v>
      </c>
      <c r="E50" s="34">
        <v>-35240.278999999995</v>
      </c>
      <c r="F50" s="34">
        <v>-264998.826</v>
      </c>
    </row>
    <row r="51" spans="1:6" x14ac:dyDescent="0.2">
      <c r="A51" s="577"/>
    </row>
    <row r="52" spans="1:6" x14ac:dyDescent="0.2">
      <c r="C52" s="42">
        <f>C50-C48</f>
        <v>-0.50199999997857958</v>
      </c>
      <c r="D52" s="42">
        <f>D50-D48</f>
        <v>-0.35099999999874854</v>
      </c>
      <c r="E52" s="42">
        <f>E50-E48</f>
        <v>-1.2789999999949941</v>
      </c>
      <c r="F52" s="42">
        <f>F50-F48</f>
        <v>0.17399999999906868</v>
      </c>
    </row>
    <row r="53" spans="1:6" x14ac:dyDescent="0.2">
      <c r="A53" s="1071"/>
    </row>
    <row r="54" spans="1:6" x14ac:dyDescent="0.2">
      <c r="A54" s="577"/>
    </row>
    <row r="55" spans="1:6" x14ac:dyDescent="0.2">
      <c r="A55" s="577"/>
    </row>
    <row r="56" spans="1:6" x14ac:dyDescent="0.2">
      <c r="A56" s="577"/>
    </row>
    <row r="58" spans="1:6" x14ac:dyDescent="0.2">
      <c r="A58" s="1071"/>
    </row>
    <row r="59" spans="1:6" x14ac:dyDescent="0.2">
      <c r="A59" s="577"/>
    </row>
    <row r="60" spans="1:6" x14ac:dyDescent="0.2">
      <c r="A60" s="577"/>
    </row>
    <row r="61" spans="1:6" x14ac:dyDescent="0.2">
      <c r="A61" s="577"/>
    </row>
    <row r="62" spans="1:6" x14ac:dyDescent="0.2">
      <c r="A62" s="577"/>
    </row>
    <row r="63" spans="1:6" x14ac:dyDescent="0.2">
      <c r="A63" s="577"/>
    </row>
    <row r="64" spans="1:6" x14ac:dyDescent="0.2">
      <c r="A64" s="577"/>
    </row>
    <row r="66" spans="1:3" x14ac:dyDescent="0.2">
      <c r="A66" s="577"/>
    </row>
    <row r="67" spans="1:3" x14ac:dyDescent="0.2">
      <c r="A67" s="577"/>
    </row>
    <row r="68" spans="1:3" x14ac:dyDescent="0.2">
      <c r="A68" s="577"/>
    </row>
    <row r="69" spans="1:3" x14ac:dyDescent="0.2">
      <c r="A69" s="577"/>
    </row>
    <row r="70" spans="1:3" x14ac:dyDescent="0.2">
      <c r="A70" s="577"/>
    </row>
    <row r="74" spans="1:3" x14ac:dyDescent="0.2">
      <c r="A74" s="62"/>
    </row>
    <row r="75" spans="1:3" x14ac:dyDescent="0.2">
      <c r="B75" s="568"/>
      <c r="C75" s="568"/>
    </row>
    <row r="76" spans="1:3" x14ac:dyDescent="0.2">
      <c r="A76" s="483"/>
      <c r="B76" s="25"/>
      <c r="C76" s="25"/>
    </row>
    <row r="77" spans="1:3" x14ac:dyDescent="0.2">
      <c r="A77" s="483"/>
      <c r="B77" s="25"/>
      <c r="C77" s="25"/>
    </row>
    <row r="78" spans="1:3" x14ac:dyDescent="0.2">
      <c r="A78" s="483"/>
      <c r="B78" s="25"/>
      <c r="C78" s="25"/>
    </row>
    <row r="79" spans="1:3" x14ac:dyDescent="0.2">
      <c r="A79" s="483"/>
      <c r="B79" s="25"/>
      <c r="C79" s="25"/>
    </row>
    <row r="80" spans="1:3" x14ac:dyDescent="0.2">
      <c r="A80" s="483"/>
      <c r="B80" s="25"/>
      <c r="C80" s="25"/>
    </row>
    <row r="81" spans="1:4" x14ac:dyDescent="0.2">
      <c r="A81" s="483"/>
      <c r="B81" s="25"/>
      <c r="C81" s="25"/>
    </row>
    <row r="82" spans="1:4" x14ac:dyDescent="0.2">
      <c r="A82" s="483"/>
      <c r="B82" s="25"/>
      <c r="C82" s="25"/>
    </row>
    <row r="83" spans="1:4" x14ac:dyDescent="0.2">
      <c r="A83" s="483"/>
      <c r="B83" s="25"/>
      <c r="C83" s="25"/>
    </row>
    <row r="84" spans="1:4" x14ac:dyDescent="0.2">
      <c r="A84" s="483"/>
      <c r="B84" s="1083"/>
      <c r="C84" s="25"/>
    </row>
    <row r="85" spans="1:4" x14ac:dyDescent="0.2">
      <c r="A85" s="483"/>
      <c r="B85" s="25"/>
      <c r="C85" s="25"/>
    </row>
    <row r="86" spans="1:4" x14ac:dyDescent="0.2">
      <c r="A86" s="483"/>
      <c r="B86" s="25"/>
      <c r="C86" s="25"/>
    </row>
    <row r="87" spans="1:4" x14ac:dyDescent="0.2">
      <c r="A87" s="483"/>
      <c r="B87" s="25"/>
      <c r="C87" s="25"/>
    </row>
    <row r="88" spans="1:4" x14ac:dyDescent="0.2">
      <c r="A88" s="483"/>
      <c r="B88" s="25"/>
      <c r="C88" s="25"/>
    </row>
    <row r="89" spans="1:4" x14ac:dyDescent="0.2">
      <c r="A89" s="483"/>
      <c r="B89" s="25"/>
      <c r="C89" s="25"/>
    </row>
    <row r="90" spans="1:4" x14ac:dyDescent="0.2">
      <c r="A90" s="483"/>
      <c r="B90" s="25"/>
      <c r="C90" s="25"/>
    </row>
    <row r="92" spans="1:4" x14ac:dyDescent="0.2">
      <c r="A92" s="483"/>
      <c r="B92" s="495"/>
      <c r="C92" s="495"/>
      <c r="D92" s="495"/>
    </row>
    <row r="93" spans="1:4" x14ac:dyDescent="0.2">
      <c r="B93" s="194"/>
      <c r="C93" s="495"/>
      <c r="D93" s="495"/>
    </row>
    <row r="94" spans="1:4" x14ac:dyDescent="0.2">
      <c r="B94" s="194"/>
      <c r="C94" s="194"/>
    </row>
    <row r="96" spans="1:4" x14ac:dyDescent="0.2">
      <c r="B96" s="194"/>
      <c r="C96" s="25"/>
    </row>
  </sheetData>
  <mergeCells count="12">
    <mergeCell ref="H41:H42"/>
    <mergeCell ref="B6:F6"/>
    <mergeCell ref="A41:A42"/>
    <mergeCell ref="B41:B42"/>
    <mergeCell ref="J38:J39"/>
    <mergeCell ref="B12:B13"/>
    <mergeCell ref="C12:C13"/>
    <mergeCell ref="D12:D13"/>
    <mergeCell ref="E12:E13"/>
    <mergeCell ref="F12:F13"/>
    <mergeCell ref="G12:G13"/>
    <mergeCell ref="H12:H13"/>
  </mergeCells>
  <pageMargins left="1.9685039370078741" right="0.39370078740157483" top="0.19685039370078741" bottom="0.78740157480314965" header="0.51181102362204722" footer="0"/>
  <pageSetup paperSize="9" orientation="landscape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>
    <pageSetUpPr fitToPage="1"/>
  </sheetPr>
  <dimension ref="A1:Y88"/>
  <sheetViews>
    <sheetView topLeftCell="E1" workbookViewId="0">
      <selection activeCell="N18" sqref="N18"/>
    </sheetView>
  </sheetViews>
  <sheetFormatPr defaultColWidth="11.42578125" defaultRowHeight="12.75" x14ac:dyDescent="0.2"/>
  <cols>
    <col min="1" max="1" width="12.28515625" customWidth="1"/>
    <col min="2" max="2" width="3.28515625" customWidth="1"/>
    <col min="3" max="3" width="11.85546875" bestFit="1" customWidth="1"/>
    <col min="4" max="5" width="11.5703125" bestFit="1" customWidth="1"/>
    <col min="6" max="7" width="11.5703125" customWidth="1"/>
    <col min="8" max="8" width="11.5703125" bestFit="1" customWidth="1"/>
    <col min="9" max="10" width="11.85546875" bestFit="1" customWidth="1"/>
    <col min="11" max="12" width="11.5703125" bestFit="1" customWidth="1"/>
    <col min="13" max="13" width="11.5703125" customWidth="1"/>
    <col min="14" max="19" width="11.5703125" bestFit="1" customWidth="1"/>
    <col min="20" max="20" width="4.85546875" customWidth="1"/>
    <col min="21" max="21" width="12.85546875" customWidth="1"/>
    <col min="22" max="22" width="15.85546875" customWidth="1"/>
    <col min="23" max="24" width="11.85546875" bestFit="1" customWidth="1"/>
    <col min="25" max="25" width="12.85546875" bestFit="1" customWidth="1"/>
  </cols>
  <sheetData>
    <row r="1" spans="2:20" ht="18" x14ac:dyDescent="0.25">
      <c r="J1" s="208" t="s">
        <v>1075</v>
      </c>
      <c r="Q1" s="94">
        <v>42266</v>
      </c>
    </row>
    <row r="3" spans="2:20" ht="13.5" thickBot="1" x14ac:dyDescent="0.25"/>
    <row r="4" spans="2:20" ht="15.75" x14ac:dyDescent="0.25">
      <c r="C4" s="102"/>
      <c r="D4" s="87"/>
      <c r="E4" s="430" t="s">
        <v>33</v>
      </c>
      <c r="F4" s="430"/>
      <c r="G4" s="430"/>
      <c r="H4" s="430"/>
      <c r="I4" s="431"/>
      <c r="J4" s="432"/>
      <c r="K4" s="430" t="s">
        <v>664</v>
      </c>
      <c r="L4" s="430"/>
      <c r="M4" s="430"/>
      <c r="N4" s="430"/>
      <c r="O4" s="432"/>
      <c r="P4" s="430" t="s">
        <v>668</v>
      </c>
      <c r="Q4" s="430"/>
      <c r="R4" s="87"/>
      <c r="S4" s="13"/>
    </row>
    <row r="5" spans="2:20" ht="13.5" thickBot="1" x14ac:dyDescent="0.25">
      <c r="C5" s="89"/>
      <c r="D5" s="90"/>
      <c r="E5" s="90"/>
      <c r="F5" s="90"/>
      <c r="G5" s="90"/>
      <c r="H5" s="90"/>
      <c r="I5" s="81"/>
      <c r="J5" s="89"/>
      <c r="K5" s="6"/>
      <c r="L5" s="90"/>
      <c r="M5" s="6"/>
      <c r="N5" s="6"/>
      <c r="O5" s="88"/>
      <c r="P5" s="6"/>
      <c r="Q5" s="6"/>
      <c r="R5" s="6"/>
      <c r="S5" s="205" t="s">
        <v>32</v>
      </c>
    </row>
    <row r="6" spans="2:20" x14ac:dyDescent="0.2">
      <c r="C6" s="255"/>
      <c r="D6" s="6"/>
      <c r="E6" s="255"/>
      <c r="F6" s="255"/>
      <c r="G6" s="255"/>
      <c r="H6" s="6"/>
      <c r="I6" s="13"/>
      <c r="J6" s="6"/>
      <c r="K6" s="428"/>
      <c r="L6" s="6"/>
      <c r="M6" s="26" t="s">
        <v>702</v>
      </c>
      <c r="N6" s="2"/>
      <c r="O6" s="255"/>
      <c r="P6" s="87"/>
      <c r="Q6" s="255"/>
      <c r="R6" s="87"/>
      <c r="S6" s="205" t="s">
        <v>669</v>
      </c>
    </row>
    <row r="7" spans="2:20" x14ac:dyDescent="0.2">
      <c r="C7" s="73" t="s">
        <v>132</v>
      </c>
      <c r="D7" s="1077" t="s">
        <v>287</v>
      </c>
      <c r="E7" s="73" t="s">
        <v>660</v>
      </c>
      <c r="F7" s="148" t="s">
        <v>485</v>
      </c>
      <c r="G7" s="148" t="s">
        <v>670</v>
      </c>
      <c r="H7" s="1077" t="s">
        <v>661</v>
      </c>
      <c r="I7" s="205" t="s">
        <v>662</v>
      </c>
      <c r="J7" s="1077" t="s">
        <v>132</v>
      </c>
      <c r="K7" s="205" t="s">
        <v>663</v>
      </c>
      <c r="L7" s="93" t="s">
        <v>701</v>
      </c>
      <c r="M7" s="205" t="s">
        <v>495</v>
      </c>
      <c r="N7" s="396" t="s">
        <v>662</v>
      </c>
      <c r="O7" s="131" t="s">
        <v>665</v>
      </c>
      <c r="P7" s="135" t="s">
        <v>666</v>
      </c>
      <c r="Q7" s="131" t="s">
        <v>667</v>
      </c>
      <c r="R7" s="135" t="s">
        <v>397</v>
      </c>
      <c r="S7" s="15"/>
    </row>
    <row r="8" spans="2:20" x14ac:dyDescent="0.2">
      <c r="C8" s="1079"/>
      <c r="D8" s="424"/>
      <c r="E8" s="1079"/>
      <c r="F8" s="1079"/>
      <c r="G8" s="1079"/>
      <c r="H8" s="424"/>
      <c r="I8" s="425"/>
      <c r="J8" s="424"/>
      <c r="K8" s="429"/>
      <c r="L8" s="424"/>
      <c r="M8" s="425"/>
      <c r="N8" s="426"/>
      <c r="O8" s="1078"/>
      <c r="P8" s="90"/>
      <c r="Q8" s="1078"/>
      <c r="R8" s="90"/>
      <c r="S8" s="427"/>
    </row>
    <row r="9" spans="2:20" x14ac:dyDescent="0.2">
      <c r="C9" s="374"/>
      <c r="D9" s="433"/>
      <c r="E9" s="374"/>
      <c r="F9" s="374"/>
      <c r="G9" s="374"/>
      <c r="H9" s="433"/>
      <c r="I9" s="434"/>
      <c r="J9" s="433"/>
      <c r="K9" s="434"/>
      <c r="L9" s="433"/>
      <c r="M9" s="434"/>
      <c r="N9" s="434"/>
      <c r="O9" s="433"/>
      <c r="P9" s="374"/>
      <c r="Q9" s="433"/>
      <c r="R9" s="435"/>
      <c r="S9" s="434"/>
    </row>
    <row r="10" spans="2:20" ht="14.25" customHeight="1" x14ac:dyDescent="0.2">
      <c r="B10">
        <v>1</v>
      </c>
      <c r="C10" s="22">
        <v>52784</v>
      </c>
      <c r="D10" s="29">
        <v>8935</v>
      </c>
      <c r="E10" s="22"/>
      <c r="F10" s="22">
        <v>38438</v>
      </c>
      <c r="G10" s="22"/>
      <c r="H10" s="29">
        <v>5411</v>
      </c>
      <c r="I10" s="34">
        <f>C10-D10-E10-H10-F10-G10</f>
        <v>0</v>
      </c>
      <c r="J10" s="29">
        <v>11161</v>
      </c>
      <c r="K10" s="34">
        <v>7514</v>
      </c>
      <c r="L10" s="29"/>
      <c r="M10" s="34"/>
      <c r="N10" s="34">
        <f>J10-K10-L10-M10</f>
        <v>3647</v>
      </c>
      <c r="O10" s="463">
        <v>8935</v>
      </c>
      <c r="P10" s="22"/>
      <c r="Q10" s="29"/>
      <c r="R10" s="28"/>
      <c r="S10" s="34">
        <v>7704</v>
      </c>
      <c r="T10">
        <v>1</v>
      </c>
    </row>
    <row r="11" spans="2:20" x14ac:dyDescent="0.2">
      <c r="C11" s="375"/>
      <c r="D11" s="436"/>
      <c r="E11" s="375"/>
      <c r="F11" s="894"/>
      <c r="G11" s="375"/>
      <c r="H11" s="436"/>
      <c r="I11" s="437"/>
      <c r="J11" s="436"/>
      <c r="K11" s="437"/>
      <c r="L11" s="436"/>
      <c r="M11" s="437"/>
      <c r="N11" s="34">
        <f t="shared" ref="N11:N71" si="0">J11-K11-L11-M11</f>
        <v>0</v>
      </c>
      <c r="O11" s="436"/>
      <c r="P11" s="375"/>
      <c r="Q11" s="436"/>
      <c r="R11" s="438"/>
      <c r="S11" s="437"/>
    </row>
    <row r="12" spans="2:20" x14ac:dyDescent="0.2">
      <c r="B12">
        <v>2</v>
      </c>
      <c r="C12" s="374">
        <v>17069</v>
      </c>
      <c r="D12" s="433">
        <v>7069</v>
      </c>
      <c r="E12" s="374"/>
      <c r="F12" s="374"/>
      <c r="G12" s="374"/>
      <c r="H12" s="433"/>
      <c r="I12" s="34">
        <f>C12-D12-E12-H12-F12-G12</f>
        <v>10000</v>
      </c>
      <c r="J12" s="433">
        <v>1000</v>
      </c>
      <c r="K12" s="434">
        <v>1000</v>
      </c>
      <c r="L12" s="433"/>
      <c r="M12" s="34"/>
      <c r="N12" s="34">
        <f t="shared" si="0"/>
        <v>0</v>
      </c>
      <c r="O12" s="433">
        <v>3756</v>
      </c>
      <c r="P12" s="374"/>
      <c r="Q12" s="433"/>
      <c r="R12" s="435">
        <v>3311</v>
      </c>
      <c r="S12" s="434">
        <v>2165</v>
      </c>
      <c r="T12">
        <v>2</v>
      </c>
    </row>
    <row r="13" spans="2:20" x14ac:dyDescent="0.2">
      <c r="C13" s="375"/>
      <c r="D13" s="436"/>
      <c r="E13" s="375"/>
      <c r="F13" s="375"/>
      <c r="G13" s="375"/>
      <c r="H13" s="436"/>
      <c r="I13" s="34"/>
      <c r="J13" s="436"/>
      <c r="K13" s="437"/>
      <c r="L13" s="436"/>
      <c r="M13" s="34"/>
      <c r="N13" s="34">
        <f t="shared" si="0"/>
        <v>0</v>
      </c>
      <c r="O13" s="436"/>
      <c r="P13" s="375"/>
      <c r="Q13" s="436"/>
      <c r="R13" s="438"/>
      <c r="S13" s="437"/>
    </row>
    <row r="14" spans="2:20" x14ac:dyDescent="0.2">
      <c r="B14">
        <v>3</v>
      </c>
      <c r="C14" s="374">
        <v>11619</v>
      </c>
      <c r="D14" s="433">
        <v>4037</v>
      </c>
      <c r="E14" s="374"/>
      <c r="F14" s="374"/>
      <c r="G14" s="374"/>
      <c r="H14" s="433"/>
      <c r="I14" s="34">
        <f t="shared" ref="I14:I71" si="1">C14-D14-E14-H14-F14-G14</f>
        <v>7582</v>
      </c>
      <c r="J14" s="433">
        <v>11518</v>
      </c>
      <c r="K14" s="434">
        <v>10508</v>
      </c>
      <c r="L14" s="433"/>
      <c r="M14" s="34">
        <v>1010</v>
      </c>
      <c r="N14" s="34">
        <f>J14-K14-L14-M14</f>
        <v>0</v>
      </c>
      <c r="O14" s="433">
        <v>4037</v>
      </c>
      <c r="P14" s="374"/>
      <c r="Q14" s="433"/>
      <c r="R14" s="435"/>
      <c r="S14" s="434">
        <v>14821</v>
      </c>
      <c r="T14">
        <v>3</v>
      </c>
    </row>
    <row r="15" spans="2:20" x14ac:dyDescent="0.2">
      <c r="C15" s="375"/>
      <c r="D15" s="436"/>
      <c r="E15" s="375"/>
      <c r="F15" s="375"/>
      <c r="G15" s="375"/>
      <c r="H15" s="436"/>
      <c r="I15" s="34">
        <f t="shared" si="1"/>
        <v>0</v>
      </c>
      <c r="J15" s="436"/>
      <c r="K15" s="437"/>
      <c r="L15" s="436"/>
      <c r="M15" s="34"/>
      <c r="N15" s="34">
        <f t="shared" si="0"/>
        <v>0</v>
      </c>
      <c r="O15" s="436"/>
      <c r="P15" s="375"/>
      <c r="Q15" s="436"/>
      <c r="R15" s="438"/>
      <c r="S15" s="437"/>
    </row>
    <row r="16" spans="2:20" x14ac:dyDescent="0.2">
      <c r="B16">
        <v>4</v>
      </c>
      <c r="C16" s="374">
        <v>43287</v>
      </c>
      <c r="D16" s="433">
        <v>1872</v>
      </c>
      <c r="E16" s="374"/>
      <c r="F16" s="374"/>
      <c r="G16" s="374"/>
      <c r="H16" s="433"/>
      <c r="I16" s="34">
        <f t="shared" si="1"/>
        <v>41415</v>
      </c>
      <c r="J16" s="433">
        <v>9913</v>
      </c>
      <c r="K16" s="434">
        <v>9913</v>
      </c>
      <c r="L16" s="433"/>
      <c r="M16" s="34"/>
      <c r="N16" s="34">
        <f t="shared" si="0"/>
        <v>0</v>
      </c>
      <c r="O16" s="464">
        <v>1872</v>
      </c>
      <c r="P16" s="374"/>
      <c r="Q16" s="433"/>
      <c r="R16" s="435"/>
      <c r="S16" s="434">
        <v>10826</v>
      </c>
      <c r="T16">
        <v>4</v>
      </c>
    </row>
    <row r="17" spans="2:20" x14ac:dyDescent="0.2">
      <c r="C17" s="375"/>
      <c r="D17" s="436"/>
      <c r="E17" s="375"/>
      <c r="F17" s="375"/>
      <c r="G17" s="375"/>
      <c r="H17" s="436"/>
      <c r="I17" s="34">
        <f t="shared" si="1"/>
        <v>0</v>
      </c>
      <c r="J17" s="436"/>
      <c r="K17" s="437"/>
      <c r="L17" s="436"/>
      <c r="M17" s="34"/>
      <c r="N17" s="34">
        <f t="shared" si="0"/>
        <v>0</v>
      </c>
      <c r="O17" s="436"/>
      <c r="P17" s="375"/>
      <c r="Q17" s="436"/>
      <c r="R17" s="438"/>
      <c r="S17" s="437"/>
    </row>
    <row r="18" spans="2:20" x14ac:dyDescent="0.2">
      <c r="B18">
        <v>5</v>
      </c>
      <c r="C18" s="374">
        <v>199525</v>
      </c>
      <c r="D18" s="433">
        <v>46926</v>
      </c>
      <c r="E18" s="374"/>
      <c r="F18" s="374">
        <v>132689</v>
      </c>
      <c r="G18" s="374"/>
      <c r="H18" s="433"/>
      <c r="I18" s="34">
        <f t="shared" si="1"/>
        <v>19910</v>
      </c>
      <c r="J18" s="433">
        <v>78991</v>
      </c>
      <c r="K18" s="434">
        <v>25081</v>
      </c>
      <c r="L18" s="433"/>
      <c r="M18" s="34">
        <v>16074</v>
      </c>
      <c r="N18" s="34">
        <f t="shared" si="0"/>
        <v>37836</v>
      </c>
      <c r="O18" s="433">
        <v>40995</v>
      </c>
      <c r="P18" s="374">
        <v>535</v>
      </c>
      <c r="Q18" s="433">
        <v>1152</v>
      </c>
      <c r="R18" s="435">
        <v>4245</v>
      </c>
      <c r="S18" s="434">
        <v>46372</v>
      </c>
      <c r="T18">
        <v>5</v>
      </c>
    </row>
    <row r="19" spans="2:20" x14ac:dyDescent="0.2">
      <c r="C19" s="375"/>
      <c r="D19" s="436"/>
      <c r="E19" s="375"/>
      <c r="F19" s="375"/>
      <c r="G19" s="375"/>
      <c r="H19" s="436"/>
      <c r="I19" s="34">
        <f t="shared" si="1"/>
        <v>0</v>
      </c>
      <c r="J19" s="436"/>
      <c r="K19" s="437"/>
      <c r="L19" s="436"/>
      <c r="M19" s="34"/>
      <c r="N19" s="34">
        <f t="shared" si="0"/>
        <v>0</v>
      </c>
      <c r="O19" s="436"/>
      <c r="P19" s="375"/>
      <c r="Q19" s="436"/>
      <c r="R19" s="438"/>
      <c r="S19" s="437"/>
    </row>
    <row r="20" spans="2:20" x14ac:dyDescent="0.2">
      <c r="B20">
        <v>6</v>
      </c>
      <c r="C20" s="374">
        <v>24619</v>
      </c>
      <c r="D20" s="433">
        <v>2868</v>
      </c>
      <c r="E20" s="374"/>
      <c r="F20" s="1041"/>
      <c r="G20" s="374"/>
      <c r="H20" s="433"/>
      <c r="I20" s="34">
        <f t="shared" si="1"/>
        <v>21751</v>
      </c>
      <c r="J20" s="433">
        <v>12885</v>
      </c>
      <c r="K20" s="434">
        <v>11285</v>
      </c>
      <c r="L20" s="433"/>
      <c r="M20" s="34">
        <v>1600</v>
      </c>
      <c r="N20" s="34">
        <f t="shared" si="0"/>
        <v>0</v>
      </c>
      <c r="O20" s="464">
        <v>2868</v>
      </c>
      <c r="P20" s="374"/>
      <c r="Q20" s="433"/>
      <c r="R20" s="435"/>
      <c r="S20" s="434">
        <v>12885</v>
      </c>
      <c r="T20">
        <v>6</v>
      </c>
    </row>
    <row r="21" spans="2:20" x14ac:dyDescent="0.2">
      <c r="C21" s="375"/>
      <c r="D21" s="436"/>
      <c r="E21" s="375"/>
      <c r="F21" s="893"/>
      <c r="G21" s="375"/>
      <c r="H21" s="436"/>
      <c r="I21" s="34">
        <f t="shared" si="1"/>
        <v>0</v>
      </c>
      <c r="J21" s="436"/>
      <c r="K21" s="437"/>
      <c r="L21" s="436"/>
      <c r="M21" s="34"/>
      <c r="N21" s="34">
        <f t="shared" si="0"/>
        <v>0</v>
      </c>
      <c r="O21" s="436"/>
      <c r="P21" s="375"/>
      <c r="Q21" s="436"/>
      <c r="R21" s="438"/>
      <c r="S21" s="437"/>
    </row>
    <row r="22" spans="2:20" x14ac:dyDescent="0.2">
      <c r="B22">
        <v>7</v>
      </c>
      <c r="C22" s="374">
        <v>51771</v>
      </c>
      <c r="D22" s="433">
        <v>7436</v>
      </c>
      <c r="E22" s="374"/>
      <c r="F22" s="374"/>
      <c r="G22" s="374"/>
      <c r="H22" s="433"/>
      <c r="I22" s="34">
        <f t="shared" si="1"/>
        <v>44335</v>
      </c>
      <c r="J22" s="433">
        <v>3300</v>
      </c>
      <c r="K22" s="434">
        <v>2000</v>
      </c>
      <c r="L22" s="433"/>
      <c r="M22" s="34">
        <v>1300</v>
      </c>
      <c r="N22" s="34">
        <f t="shared" si="0"/>
        <v>0</v>
      </c>
      <c r="O22" s="433">
        <v>3434</v>
      </c>
      <c r="P22" s="374">
        <v>745</v>
      </c>
      <c r="Q22" s="433"/>
      <c r="R22" s="435">
        <v>3258</v>
      </c>
      <c r="S22" s="434">
        <v>4300</v>
      </c>
      <c r="T22">
        <v>7</v>
      </c>
    </row>
    <row r="23" spans="2:20" x14ac:dyDescent="0.2">
      <c r="C23" s="375"/>
      <c r="D23" s="436"/>
      <c r="E23" s="375"/>
      <c r="F23" s="375"/>
      <c r="G23" s="375"/>
      <c r="H23" s="436"/>
      <c r="I23" s="34">
        <f t="shared" si="1"/>
        <v>0</v>
      </c>
      <c r="J23" s="436"/>
      <c r="K23" s="437"/>
      <c r="L23" s="436"/>
      <c r="M23" s="34"/>
      <c r="N23" s="34">
        <f t="shared" si="0"/>
        <v>0</v>
      </c>
      <c r="O23" s="436"/>
      <c r="P23" s="375"/>
      <c r="Q23" s="436"/>
      <c r="R23" s="438"/>
      <c r="S23" s="437"/>
    </row>
    <row r="24" spans="2:20" x14ac:dyDescent="0.2">
      <c r="B24">
        <v>8</v>
      </c>
      <c r="C24" s="374">
        <v>24671</v>
      </c>
      <c r="D24" s="433">
        <v>17848</v>
      </c>
      <c r="E24" s="374"/>
      <c r="F24" s="374"/>
      <c r="G24" s="374">
        <v>6823</v>
      </c>
      <c r="H24" s="433"/>
      <c r="I24" s="34">
        <f t="shared" si="1"/>
        <v>0</v>
      </c>
      <c r="J24" s="433">
        <v>7146</v>
      </c>
      <c r="K24" s="434">
        <v>2420</v>
      </c>
      <c r="L24" s="433">
        <v>3600</v>
      </c>
      <c r="M24" s="34"/>
      <c r="N24" s="34">
        <f t="shared" si="0"/>
        <v>1126</v>
      </c>
      <c r="O24" s="433">
        <v>13112</v>
      </c>
      <c r="P24" s="374"/>
      <c r="Q24" s="433">
        <v>4736</v>
      </c>
      <c r="R24" s="435"/>
      <c r="S24" s="434">
        <v>6410</v>
      </c>
      <c r="T24">
        <v>8</v>
      </c>
    </row>
    <row r="25" spans="2:20" x14ac:dyDescent="0.2">
      <c r="C25" s="375"/>
      <c r="D25" s="436"/>
      <c r="E25" s="375"/>
      <c r="F25" s="375"/>
      <c r="G25" s="375"/>
      <c r="H25" s="436"/>
      <c r="I25" s="34">
        <f t="shared" si="1"/>
        <v>0</v>
      </c>
      <c r="J25" s="436"/>
      <c r="K25" s="437"/>
      <c r="L25" s="436"/>
      <c r="M25" s="34"/>
      <c r="N25" s="34">
        <f t="shared" si="0"/>
        <v>0</v>
      </c>
      <c r="O25" s="436"/>
      <c r="P25" s="375"/>
      <c r="Q25" s="436"/>
      <c r="R25" s="438"/>
      <c r="S25" s="437"/>
    </row>
    <row r="26" spans="2:20" x14ac:dyDescent="0.2">
      <c r="B26">
        <v>9</v>
      </c>
      <c r="C26" s="374">
        <v>20659</v>
      </c>
      <c r="D26" s="433">
        <v>20659</v>
      </c>
      <c r="E26" s="374"/>
      <c r="F26" s="374"/>
      <c r="G26" s="374"/>
      <c r="H26" s="433"/>
      <c r="I26" s="34">
        <f t="shared" si="1"/>
        <v>0</v>
      </c>
      <c r="J26" s="433">
        <v>22564</v>
      </c>
      <c r="K26" s="434">
        <v>3625</v>
      </c>
      <c r="L26" s="433"/>
      <c r="M26" s="34">
        <v>3839</v>
      </c>
      <c r="N26" s="34">
        <f t="shared" si="0"/>
        <v>15100</v>
      </c>
      <c r="O26" s="433">
        <v>11023</v>
      </c>
      <c r="P26" s="374"/>
      <c r="Q26" s="433"/>
      <c r="R26" s="435">
        <v>9637</v>
      </c>
      <c r="S26" s="434">
        <v>8798</v>
      </c>
      <c r="T26">
        <v>9</v>
      </c>
    </row>
    <row r="27" spans="2:20" x14ac:dyDescent="0.2">
      <c r="C27" s="375"/>
      <c r="D27" s="436"/>
      <c r="E27" s="375"/>
      <c r="F27" s="375"/>
      <c r="G27" s="375"/>
      <c r="H27" s="436"/>
      <c r="I27" s="34">
        <f t="shared" si="1"/>
        <v>0</v>
      </c>
      <c r="J27" s="436"/>
      <c r="K27" s="437"/>
      <c r="L27" s="436"/>
      <c r="M27" s="34"/>
      <c r="N27" s="34">
        <f t="shared" si="0"/>
        <v>0</v>
      </c>
      <c r="O27" s="436"/>
      <c r="P27" s="375"/>
      <c r="Q27" s="436"/>
      <c r="R27" s="438"/>
      <c r="S27" s="437"/>
    </row>
    <row r="28" spans="2:20" x14ac:dyDescent="0.2">
      <c r="B28">
        <v>10</v>
      </c>
      <c r="C28" s="374">
        <v>86892</v>
      </c>
      <c r="D28" s="433">
        <v>46071</v>
      </c>
      <c r="E28" s="374"/>
      <c r="F28" s="374"/>
      <c r="G28" s="374">
        <v>7103</v>
      </c>
      <c r="H28" s="433"/>
      <c r="I28" s="34">
        <f>C28-D28-E28-H28-F28-G28</f>
        <v>33718</v>
      </c>
      <c r="J28" s="433">
        <v>111980</v>
      </c>
      <c r="K28" s="434">
        <v>37251</v>
      </c>
      <c r="L28" s="433">
        <v>3100</v>
      </c>
      <c r="M28" s="34">
        <v>20158</v>
      </c>
      <c r="N28" s="34">
        <f t="shared" si="0"/>
        <v>51471</v>
      </c>
      <c r="O28" s="433">
        <v>29056</v>
      </c>
      <c r="P28" s="374">
        <v>5469</v>
      </c>
      <c r="Q28" s="433">
        <v>1442</v>
      </c>
      <c r="R28" s="435">
        <v>10107</v>
      </c>
      <c r="S28" s="434">
        <v>67498</v>
      </c>
      <c r="T28">
        <v>10</v>
      </c>
    </row>
    <row r="29" spans="2:20" x14ac:dyDescent="0.2">
      <c r="C29" s="375"/>
      <c r="D29" s="436"/>
      <c r="E29" s="375"/>
      <c r="F29" s="375"/>
      <c r="G29" s="375"/>
      <c r="H29" s="436"/>
      <c r="I29" s="34">
        <f t="shared" si="1"/>
        <v>0</v>
      </c>
      <c r="J29" s="436"/>
      <c r="K29" s="437"/>
      <c r="L29" s="436"/>
      <c r="M29" s="34"/>
      <c r="N29" s="34">
        <f t="shared" si="0"/>
        <v>0</v>
      </c>
      <c r="O29" s="436"/>
      <c r="P29" s="375"/>
      <c r="Q29" s="436"/>
      <c r="R29" s="438"/>
      <c r="S29" s="437"/>
    </row>
    <row r="30" spans="2:20" s="58" customFormat="1" x14ac:dyDescent="0.2">
      <c r="B30" s="58">
        <v>11</v>
      </c>
      <c r="C30" s="919">
        <v>2492</v>
      </c>
      <c r="D30" s="920">
        <v>2492</v>
      </c>
      <c r="E30" s="919"/>
      <c r="F30" s="919"/>
      <c r="G30" s="919"/>
      <c r="H30" s="920"/>
      <c r="I30" s="492">
        <f t="shared" si="1"/>
        <v>0</v>
      </c>
      <c r="J30" s="920">
        <v>16677</v>
      </c>
      <c r="K30" s="921">
        <v>8898</v>
      </c>
      <c r="L30" s="920"/>
      <c r="M30" s="492">
        <v>2781</v>
      </c>
      <c r="N30" s="492">
        <f t="shared" si="0"/>
        <v>4998</v>
      </c>
      <c r="O30" s="920">
        <v>1491</v>
      </c>
      <c r="P30" s="919"/>
      <c r="Q30" s="920"/>
      <c r="R30" s="922">
        <v>1000</v>
      </c>
      <c r="S30" s="921">
        <v>12679</v>
      </c>
      <c r="T30" s="58">
        <v>11</v>
      </c>
    </row>
    <row r="31" spans="2:20" x14ac:dyDescent="0.2">
      <c r="C31" s="375"/>
      <c r="D31" s="436"/>
      <c r="E31" s="375"/>
      <c r="F31" s="375"/>
      <c r="G31" s="375"/>
      <c r="H31" s="436"/>
      <c r="I31" s="34">
        <f t="shared" si="1"/>
        <v>0</v>
      </c>
      <c r="J31" s="436"/>
      <c r="K31" s="437"/>
      <c r="L31" s="436"/>
      <c r="M31" s="34"/>
      <c r="N31" s="34">
        <f t="shared" si="0"/>
        <v>0</v>
      </c>
      <c r="O31" s="436"/>
      <c r="P31" s="375"/>
      <c r="Q31" s="436"/>
      <c r="R31" s="438"/>
      <c r="S31" s="437"/>
    </row>
    <row r="32" spans="2:20" x14ac:dyDescent="0.2">
      <c r="B32">
        <v>12</v>
      </c>
      <c r="C32" s="374">
        <v>12095</v>
      </c>
      <c r="D32" s="433">
        <v>5349</v>
      </c>
      <c r="E32" s="374"/>
      <c r="F32" s="374"/>
      <c r="G32" s="374"/>
      <c r="H32" s="433"/>
      <c r="I32" s="34">
        <f t="shared" si="1"/>
        <v>6746</v>
      </c>
      <c r="J32" s="433">
        <v>35796</v>
      </c>
      <c r="K32" s="434">
        <v>2100</v>
      </c>
      <c r="L32" s="433"/>
      <c r="M32" s="34">
        <v>906</v>
      </c>
      <c r="N32" s="34">
        <f t="shared" si="0"/>
        <v>32790</v>
      </c>
      <c r="O32" s="464">
        <v>2380</v>
      </c>
      <c r="P32" s="374"/>
      <c r="Q32" s="433">
        <v>1178</v>
      </c>
      <c r="R32" s="435">
        <v>1790</v>
      </c>
      <c r="S32" s="434">
        <v>5387</v>
      </c>
      <c r="T32">
        <v>12</v>
      </c>
    </row>
    <row r="33" spans="2:20" x14ac:dyDescent="0.2">
      <c r="C33" s="375"/>
      <c r="D33" s="436"/>
      <c r="E33" s="375"/>
      <c r="F33" s="375"/>
      <c r="G33" s="375"/>
      <c r="H33" s="436"/>
      <c r="I33" s="34">
        <f t="shared" si="1"/>
        <v>0</v>
      </c>
      <c r="J33" s="436"/>
      <c r="K33" s="437"/>
      <c r="L33" s="436"/>
      <c r="M33" s="34"/>
      <c r="N33" s="34">
        <f t="shared" si="0"/>
        <v>0</v>
      </c>
      <c r="O33" s="436"/>
      <c r="P33" s="375"/>
      <c r="Q33" s="436"/>
      <c r="R33" s="438"/>
      <c r="S33" s="437"/>
    </row>
    <row r="34" spans="2:20" x14ac:dyDescent="0.2">
      <c r="B34">
        <v>13</v>
      </c>
      <c r="C34" s="374">
        <v>40829</v>
      </c>
      <c r="D34" s="433">
        <v>6276</v>
      </c>
      <c r="E34" s="374"/>
      <c r="F34" s="374"/>
      <c r="G34" s="374"/>
      <c r="H34" s="433"/>
      <c r="I34" s="34">
        <f t="shared" si="1"/>
        <v>34553</v>
      </c>
      <c r="J34" s="433">
        <v>15884</v>
      </c>
      <c r="K34" s="434">
        <v>4414</v>
      </c>
      <c r="L34" s="433"/>
      <c r="M34" s="34">
        <v>11470</v>
      </c>
      <c r="N34" s="34">
        <f t="shared" si="0"/>
        <v>0</v>
      </c>
      <c r="O34" s="433">
        <v>6277</v>
      </c>
      <c r="P34" s="374"/>
      <c r="Q34" s="433"/>
      <c r="R34" s="435"/>
      <c r="S34" s="434">
        <v>17022</v>
      </c>
      <c r="T34">
        <v>13</v>
      </c>
    </row>
    <row r="35" spans="2:20" x14ac:dyDescent="0.2">
      <c r="C35" s="375"/>
      <c r="D35" s="436"/>
      <c r="E35" s="375"/>
      <c r="F35" s="375"/>
      <c r="G35" s="375"/>
      <c r="H35" s="436"/>
      <c r="I35" s="34">
        <f t="shared" si="1"/>
        <v>0</v>
      </c>
      <c r="J35" s="436"/>
      <c r="K35" s="437"/>
      <c r="L35" s="436"/>
      <c r="M35" s="34"/>
      <c r="N35" s="34">
        <f t="shared" si="0"/>
        <v>0</v>
      </c>
      <c r="O35" s="436"/>
      <c r="P35" s="375"/>
      <c r="Q35" s="436"/>
      <c r="R35" s="438"/>
      <c r="S35" s="437"/>
    </row>
    <row r="36" spans="2:20" x14ac:dyDescent="0.2">
      <c r="B36">
        <v>14</v>
      </c>
      <c r="C36" s="374">
        <v>7951</v>
      </c>
      <c r="D36" s="433">
        <v>7951</v>
      </c>
      <c r="E36" s="374"/>
      <c r="F36" s="1042"/>
      <c r="G36" s="374"/>
      <c r="H36" s="433"/>
      <c r="I36" s="34">
        <f t="shared" si="1"/>
        <v>0</v>
      </c>
      <c r="J36" s="433">
        <v>8484</v>
      </c>
      <c r="K36" s="434"/>
      <c r="L36" s="433"/>
      <c r="M36" s="34">
        <v>8484</v>
      </c>
      <c r="N36" s="34">
        <f t="shared" si="0"/>
        <v>0</v>
      </c>
      <c r="O36" s="464">
        <v>4470</v>
      </c>
      <c r="P36" s="374"/>
      <c r="Q36" s="433">
        <v>1691</v>
      </c>
      <c r="R36" s="435">
        <v>1790</v>
      </c>
      <c r="S36" s="434">
        <v>9188</v>
      </c>
      <c r="T36">
        <v>14</v>
      </c>
    </row>
    <row r="37" spans="2:20" x14ac:dyDescent="0.2">
      <c r="C37" s="375"/>
      <c r="D37" s="436"/>
      <c r="E37" s="375"/>
      <c r="F37" s="375"/>
      <c r="G37" s="375"/>
      <c r="H37" s="436"/>
      <c r="I37" s="34">
        <f t="shared" si="1"/>
        <v>0</v>
      </c>
      <c r="J37" s="436"/>
      <c r="K37" s="437"/>
      <c r="L37" s="436"/>
      <c r="M37" s="34"/>
      <c r="N37" s="34">
        <f t="shared" si="0"/>
        <v>0</v>
      </c>
      <c r="O37" s="436"/>
      <c r="P37" s="375"/>
      <c r="Q37" s="436"/>
      <c r="R37" s="438"/>
      <c r="S37" s="437"/>
    </row>
    <row r="38" spans="2:20" x14ac:dyDescent="0.2">
      <c r="B38">
        <v>15</v>
      </c>
      <c r="C38" s="374">
        <v>91400</v>
      </c>
      <c r="D38" s="433">
        <v>78115</v>
      </c>
      <c r="E38" s="374"/>
      <c r="F38" s="374"/>
      <c r="G38" s="374"/>
      <c r="H38" s="433"/>
      <c r="I38" s="34">
        <f t="shared" si="1"/>
        <v>13285</v>
      </c>
      <c r="J38" s="433">
        <v>133559</v>
      </c>
      <c r="K38" s="434">
        <v>42169</v>
      </c>
      <c r="L38" s="433">
        <v>6000</v>
      </c>
      <c r="M38" s="34">
        <v>43327</v>
      </c>
      <c r="N38" s="34">
        <f t="shared" si="0"/>
        <v>42063</v>
      </c>
      <c r="O38" s="433">
        <v>36929</v>
      </c>
      <c r="P38" s="374">
        <v>6129</v>
      </c>
      <c r="Q38" s="433">
        <v>15964</v>
      </c>
      <c r="R38" s="435">
        <v>19095</v>
      </c>
      <c r="S38" s="434">
        <v>95079</v>
      </c>
      <c r="T38">
        <v>15</v>
      </c>
    </row>
    <row r="39" spans="2:20" x14ac:dyDescent="0.2">
      <c r="C39" s="375"/>
      <c r="D39" s="436"/>
      <c r="E39" s="375"/>
      <c r="F39" s="375"/>
      <c r="G39" s="375"/>
      <c r="H39" s="436"/>
      <c r="I39" s="34">
        <f t="shared" si="1"/>
        <v>0</v>
      </c>
      <c r="J39" s="436"/>
      <c r="K39" s="437"/>
      <c r="L39" s="436"/>
      <c r="M39" s="34"/>
      <c r="N39" s="34">
        <f t="shared" si="0"/>
        <v>0</v>
      </c>
      <c r="O39" s="436"/>
      <c r="P39" s="375"/>
      <c r="Q39" s="436"/>
      <c r="R39" s="438"/>
      <c r="S39" s="437"/>
    </row>
    <row r="40" spans="2:20" x14ac:dyDescent="0.2">
      <c r="B40">
        <v>16</v>
      </c>
      <c r="C40" s="374">
        <v>40918</v>
      </c>
      <c r="D40" s="433">
        <v>4774</v>
      </c>
      <c r="E40" s="374"/>
      <c r="F40" s="374"/>
      <c r="G40" s="374"/>
      <c r="H40" s="433"/>
      <c r="I40" s="34">
        <f t="shared" si="1"/>
        <v>36144</v>
      </c>
      <c r="J40" s="433">
        <v>10824</v>
      </c>
      <c r="K40" s="434">
        <v>5073</v>
      </c>
      <c r="L40" s="433">
        <v>3500</v>
      </c>
      <c r="M40" s="34">
        <v>2251</v>
      </c>
      <c r="N40" s="34">
        <f t="shared" si="0"/>
        <v>0</v>
      </c>
      <c r="O40" s="433">
        <v>2984</v>
      </c>
      <c r="P40" s="374"/>
      <c r="Q40" s="433"/>
      <c r="R40" s="435">
        <v>1790</v>
      </c>
      <c r="S40" s="434">
        <v>12264</v>
      </c>
      <c r="T40">
        <v>16</v>
      </c>
    </row>
    <row r="41" spans="2:20" x14ac:dyDescent="0.2">
      <c r="C41" s="375"/>
      <c r="D41" s="436"/>
      <c r="E41" s="375"/>
      <c r="F41" s="375"/>
      <c r="G41" s="375"/>
      <c r="H41" s="436"/>
      <c r="I41" s="34">
        <f t="shared" si="1"/>
        <v>0</v>
      </c>
      <c r="J41" s="436"/>
      <c r="K41" s="437"/>
      <c r="L41" s="436"/>
      <c r="M41" s="34"/>
      <c r="N41" s="34">
        <f t="shared" si="0"/>
        <v>0</v>
      </c>
      <c r="O41" s="436"/>
      <c r="P41" s="375"/>
      <c r="Q41" s="436"/>
      <c r="R41" s="438"/>
      <c r="S41" s="437"/>
    </row>
    <row r="42" spans="2:20" x14ac:dyDescent="0.2">
      <c r="B42">
        <v>17</v>
      </c>
      <c r="C42" s="374">
        <v>13196</v>
      </c>
      <c r="D42" s="433">
        <v>5996</v>
      </c>
      <c r="E42" s="374"/>
      <c r="F42" s="1042"/>
      <c r="G42" s="374"/>
      <c r="H42" s="433"/>
      <c r="I42" s="34">
        <f t="shared" si="1"/>
        <v>7200</v>
      </c>
      <c r="J42" s="433">
        <v>12149</v>
      </c>
      <c r="K42" s="434">
        <v>8139</v>
      </c>
      <c r="L42" s="433"/>
      <c r="M42" s="34">
        <v>4010</v>
      </c>
      <c r="N42" s="34">
        <f t="shared" si="0"/>
        <v>0</v>
      </c>
      <c r="O42" s="433">
        <v>2892</v>
      </c>
      <c r="P42" s="374">
        <v>1614</v>
      </c>
      <c r="Q42" s="433">
        <v>1491</v>
      </c>
      <c r="R42" s="435"/>
      <c r="S42" s="434">
        <v>12715</v>
      </c>
      <c r="T42">
        <v>17</v>
      </c>
    </row>
    <row r="43" spans="2:20" x14ac:dyDescent="0.2">
      <c r="C43" s="375"/>
      <c r="D43" s="436"/>
      <c r="E43" s="375"/>
      <c r="F43" s="375"/>
      <c r="G43" s="375"/>
      <c r="H43" s="436"/>
      <c r="I43" s="34"/>
      <c r="J43" s="436"/>
      <c r="K43" s="437"/>
      <c r="L43" s="436"/>
      <c r="M43" s="34"/>
      <c r="N43" s="34">
        <f t="shared" si="0"/>
        <v>0</v>
      </c>
      <c r="O43" s="436"/>
      <c r="P43" s="375"/>
      <c r="Q43" s="436"/>
      <c r="R43" s="438"/>
      <c r="S43" s="437"/>
    </row>
    <row r="44" spans="2:20" x14ac:dyDescent="0.2">
      <c r="B44">
        <v>18</v>
      </c>
      <c r="C44" s="374">
        <v>22893</v>
      </c>
      <c r="D44" s="433">
        <v>9456</v>
      </c>
      <c r="E44" s="374"/>
      <c r="F44" s="374"/>
      <c r="G44" s="374"/>
      <c r="H44" s="433"/>
      <c r="I44" s="34">
        <f t="shared" si="1"/>
        <v>13437</v>
      </c>
      <c r="J44" s="433">
        <v>44121</v>
      </c>
      <c r="K44" s="434">
        <v>4780</v>
      </c>
      <c r="L44" s="433"/>
      <c r="M44" s="34">
        <v>1200</v>
      </c>
      <c r="N44" s="34">
        <f t="shared" si="0"/>
        <v>38141</v>
      </c>
      <c r="O44" s="433">
        <v>9455</v>
      </c>
      <c r="P44" s="374"/>
      <c r="Q44" s="433"/>
      <c r="R44" s="435"/>
      <c r="S44" s="434">
        <v>11588</v>
      </c>
      <c r="T44">
        <v>18</v>
      </c>
    </row>
    <row r="45" spans="2:20" x14ac:dyDescent="0.2">
      <c r="C45" s="375"/>
      <c r="D45" s="436"/>
      <c r="E45" s="375"/>
      <c r="F45" s="375"/>
      <c r="G45" s="375"/>
      <c r="H45" s="436"/>
      <c r="I45" s="34">
        <f t="shared" si="1"/>
        <v>0</v>
      </c>
      <c r="J45" s="436"/>
      <c r="K45" s="437"/>
      <c r="L45" s="436"/>
      <c r="M45" s="34"/>
      <c r="N45" s="34">
        <f t="shared" si="0"/>
        <v>0</v>
      </c>
      <c r="O45" s="436"/>
      <c r="P45" s="375"/>
      <c r="Q45" s="436"/>
      <c r="R45" s="438"/>
      <c r="S45" s="437"/>
    </row>
    <row r="46" spans="2:20" x14ac:dyDescent="0.2">
      <c r="B46">
        <v>19</v>
      </c>
      <c r="C46" s="374">
        <v>29680</v>
      </c>
      <c r="D46" s="433">
        <v>2790</v>
      </c>
      <c r="E46" s="374"/>
      <c r="F46" s="374"/>
      <c r="G46" s="374"/>
      <c r="H46" s="433"/>
      <c r="I46" s="34">
        <f t="shared" si="1"/>
        <v>26890</v>
      </c>
      <c r="J46" s="433">
        <v>15541</v>
      </c>
      <c r="K46" s="434">
        <v>1190</v>
      </c>
      <c r="L46" s="433"/>
      <c r="M46" s="34">
        <v>6127</v>
      </c>
      <c r="N46" s="34">
        <f t="shared" si="0"/>
        <v>8224</v>
      </c>
      <c r="O46" s="433">
        <v>1000</v>
      </c>
      <c r="P46" s="374"/>
      <c r="Q46" s="433"/>
      <c r="R46" s="435">
        <v>1790</v>
      </c>
      <c r="S46" s="434">
        <v>7316</v>
      </c>
      <c r="T46">
        <v>19</v>
      </c>
    </row>
    <row r="47" spans="2:20" x14ac:dyDescent="0.2">
      <c r="C47" s="375"/>
      <c r="D47" s="436"/>
      <c r="E47" s="375"/>
      <c r="F47" s="375"/>
      <c r="G47" s="375"/>
      <c r="H47" s="436"/>
      <c r="I47" s="34">
        <f t="shared" si="1"/>
        <v>0</v>
      </c>
      <c r="J47" s="436"/>
      <c r="K47" s="437"/>
      <c r="L47" s="436"/>
      <c r="M47" s="34"/>
      <c r="N47" s="34">
        <f t="shared" si="0"/>
        <v>0</v>
      </c>
      <c r="O47" s="436"/>
      <c r="P47" s="375"/>
      <c r="Q47" s="436"/>
      <c r="R47" s="438"/>
      <c r="S47" s="437"/>
    </row>
    <row r="48" spans="2:20" x14ac:dyDescent="0.2">
      <c r="B48">
        <v>20</v>
      </c>
      <c r="C48" s="374">
        <v>89621</v>
      </c>
      <c r="D48" s="433">
        <v>32575</v>
      </c>
      <c r="E48" s="374"/>
      <c r="F48" s="374"/>
      <c r="G48" s="374"/>
      <c r="H48" s="433">
        <v>27866</v>
      </c>
      <c r="I48" s="34">
        <f>C48-D48-E48-H48-F48-G48</f>
        <v>29180</v>
      </c>
      <c r="J48" s="433">
        <v>115324</v>
      </c>
      <c r="K48" s="434">
        <v>49333</v>
      </c>
      <c r="L48" s="433">
        <v>3100</v>
      </c>
      <c r="M48" s="34">
        <v>23856</v>
      </c>
      <c r="N48" s="34">
        <f t="shared" si="0"/>
        <v>39035</v>
      </c>
      <c r="O48" s="433">
        <v>17376</v>
      </c>
      <c r="P48" s="374">
        <v>7651</v>
      </c>
      <c r="Q48" s="433">
        <v>4441</v>
      </c>
      <c r="R48" s="435">
        <v>3109</v>
      </c>
      <c r="S48" s="434">
        <v>90538</v>
      </c>
      <c r="T48">
        <v>20</v>
      </c>
    </row>
    <row r="49" spans="2:22" x14ac:dyDescent="0.2">
      <c r="C49" s="375"/>
      <c r="D49" s="436"/>
      <c r="E49" s="375"/>
      <c r="F49" s="375"/>
      <c r="G49" s="375"/>
      <c r="H49" s="436"/>
      <c r="I49" s="34">
        <f t="shared" si="1"/>
        <v>0</v>
      </c>
      <c r="J49" s="436"/>
      <c r="K49" s="437"/>
      <c r="L49" s="436"/>
      <c r="M49" s="34"/>
      <c r="N49" s="34">
        <f t="shared" si="0"/>
        <v>0</v>
      </c>
      <c r="O49" s="436"/>
      <c r="P49" s="375"/>
      <c r="Q49" s="436"/>
      <c r="R49" s="438"/>
      <c r="S49" s="437"/>
    </row>
    <row r="50" spans="2:22" x14ac:dyDescent="0.2">
      <c r="B50">
        <v>21</v>
      </c>
      <c r="C50" s="374">
        <v>35075</v>
      </c>
      <c r="D50" s="433">
        <v>2790</v>
      </c>
      <c r="E50" s="374"/>
      <c r="F50" s="374"/>
      <c r="G50" s="374"/>
      <c r="H50" s="433"/>
      <c r="I50" s="34">
        <f t="shared" si="1"/>
        <v>32285</v>
      </c>
      <c r="J50" s="433">
        <v>29885</v>
      </c>
      <c r="K50" s="434">
        <v>8956</v>
      </c>
      <c r="L50" s="433">
        <v>1395</v>
      </c>
      <c r="M50" s="34">
        <v>4565</v>
      </c>
      <c r="N50" s="34">
        <f t="shared" si="0"/>
        <v>14969</v>
      </c>
      <c r="O50" s="433">
        <v>1000</v>
      </c>
      <c r="P50" s="374"/>
      <c r="Q50" s="433"/>
      <c r="R50" s="435">
        <v>1790</v>
      </c>
      <c r="S50" s="434">
        <v>15204</v>
      </c>
      <c r="T50">
        <v>21</v>
      </c>
    </row>
    <row r="51" spans="2:22" x14ac:dyDescent="0.2">
      <c r="C51" s="375"/>
      <c r="D51" s="436"/>
      <c r="E51" s="375"/>
      <c r="F51" s="375"/>
      <c r="G51" s="375"/>
      <c r="H51" s="436"/>
      <c r="I51" s="34">
        <f t="shared" si="1"/>
        <v>0</v>
      </c>
      <c r="J51" s="436"/>
      <c r="K51" s="437"/>
      <c r="L51" s="436"/>
      <c r="M51" s="34"/>
      <c r="N51" s="34">
        <f t="shared" si="0"/>
        <v>0</v>
      </c>
      <c r="O51" s="436"/>
      <c r="P51" s="375"/>
      <c r="Q51" s="436"/>
      <c r="R51" s="438"/>
      <c r="S51" s="437"/>
    </row>
    <row r="52" spans="2:22" x14ac:dyDescent="0.2">
      <c r="B52">
        <v>22</v>
      </c>
      <c r="C52" s="374">
        <v>20923</v>
      </c>
      <c r="D52" s="433">
        <v>4188</v>
      </c>
      <c r="E52" s="374"/>
      <c r="F52" s="374"/>
      <c r="G52" s="374"/>
      <c r="H52" s="433"/>
      <c r="I52" s="34">
        <f t="shared" si="1"/>
        <v>16735</v>
      </c>
      <c r="J52" s="433">
        <v>41068</v>
      </c>
      <c r="K52" s="434">
        <v>5375</v>
      </c>
      <c r="L52" s="433"/>
      <c r="M52" s="34"/>
      <c r="N52" s="34">
        <f t="shared" si="0"/>
        <v>35693</v>
      </c>
      <c r="O52" s="433">
        <v>4188</v>
      </c>
      <c r="P52" s="374"/>
      <c r="Q52" s="433"/>
      <c r="R52" s="435"/>
      <c r="S52" s="434">
        <v>7423</v>
      </c>
      <c r="T52">
        <v>22</v>
      </c>
    </row>
    <row r="53" spans="2:22" x14ac:dyDescent="0.2">
      <c r="C53" s="375"/>
      <c r="D53" s="436"/>
      <c r="E53" s="375"/>
      <c r="F53" s="375"/>
      <c r="G53" s="375"/>
      <c r="H53" s="436"/>
      <c r="I53" s="34">
        <f t="shared" si="1"/>
        <v>0</v>
      </c>
      <c r="J53" s="436"/>
      <c r="K53" s="437"/>
      <c r="L53" s="436"/>
      <c r="M53" s="34"/>
      <c r="N53" s="34">
        <f t="shared" si="0"/>
        <v>0</v>
      </c>
      <c r="O53" s="436"/>
      <c r="P53" s="375"/>
      <c r="Q53" s="436"/>
      <c r="R53" s="438"/>
      <c r="S53" s="437"/>
    </row>
    <row r="54" spans="2:22" x14ac:dyDescent="0.2">
      <c r="B54">
        <v>23</v>
      </c>
      <c r="C54" s="374">
        <v>9623</v>
      </c>
      <c r="D54" s="433">
        <v>6419</v>
      </c>
      <c r="E54" s="374"/>
      <c r="F54" s="374"/>
      <c r="G54" s="374"/>
      <c r="H54" s="433"/>
      <c r="I54" s="34">
        <f t="shared" si="1"/>
        <v>3204</v>
      </c>
      <c r="J54" s="433">
        <v>27995</v>
      </c>
      <c r="K54" s="434">
        <v>6441</v>
      </c>
      <c r="L54" s="433"/>
      <c r="M54" s="34">
        <v>11259</v>
      </c>
      <c r="N54" s="34">
        <f t="shared" si="0"/>
        <v>10295</v>
      </c>
      <c r="O54" s="433">
        <v>2492</v>
      </c>
      <c r="P54" s="374"/>
      <c r="Q54" s="433">
        <v>3927</v>
      </c>
      <c r="R54" s="435"/>
      <c r="S54" s="434">
        <v>20344</v>
      </c>
      <c r="T54">
        <v>23</v>
      </c>
    </row>
    <row r="55" spans="2:22" x14ac:dyDescent="0.2">
      <c r="C55" s="375"/>
      <c r="D55" s="436"/>
      <c r="E55" s="375"/>
      <c r="F55" s="375"/>
      <c r="G55" s="375"/>
      <c r="H55" s="436"/>
      <c r="I55" s="34">
        <f t="shared" si="1"/>
        <v>0</v>
      </c>
      <c r="J55" s="436"/>
      <c r="K55" s="437"/>
      <c r="L55" s="436"/>
      <c r="M55" s="34"/>
      <c r="N55" s="34">
        <f t="shared" si="0"/>
        <v>0</v>
      </c>
      <c r="O55" s="436"/>
      <c r="P55" s="375"/>
      <c r="Q55" s="436"/>
      <c r="R55" s="438"/>
      <c r="S55" s="437"/>
    </row>
    <row r="56" spans="2:22" x14ac:dyDescent="0.2">
      <c r="B56">
        <v>24</v>
      </c>
      <c r="C56" s="374">
        <v>70587</v>
      </c>
      <c r="D56" s="433">
        <v>4068</v>
      </c>
      <c r="E56" s="374"/>
      <c r="F56" s="1042"/>
      <c r="G56" s="374">
        <v>2672</v>
      </c>
      <c r="H56" s="433"/>
      <c r="I56" s="34">
        <f t="shared" si="1"/>
        <v>63847</v>
      </c>
      <c r="J56" s="433">
        <v>41741</v>
      </c>
      <c r="K56" s="434">
        <v>16839</v>
      </c>
      <c r="L56" s="433">
        <v>3000</v>
      </c>
      <c r="M56" s="34">
        <v>1010</v>
      </c>
      <c r="N56" s="34">
        <f t="shared" si="0"/>
        <v>20892</v>
      </c>
      <c r="O56" s="433">
        <v>4068</v>
      </c>
      <c r="P56" s="374"/>
      <c r="Q56" s="433"/>
      <c r="R56" s="435"/>
      <c r="S56" s="434">
        <v>22836</v>
      </c>
      <c r="T56">
        <v>24</v>
      </c>
    </row>
    <row r="57" spans="2:22" x14ac:dyDescent="0.2">
      <c r="C57" s="375"/>
      <c r="D57" s="436"/>
      <c r="E57" s="375"/>
      <c r="F57" s="375"/>
      <c r="G57" s="375"/>
      <c r="H57" s="436"/>
      <c r="I57" s="34">
        <f t="shared" si="1"/>
        <v>0</v>
      </c>
      <c r="J57" s="436"/>
      <c r="K57" s="437"/>
      <c r="L57" s="436"/>
      <c r="M57" s="34"/>
      <c r="N57" s="34">
        <f t="shared" si="0"/>
        <v>0</v>
      </c>
      <c r="O57" s="436"/>
      <c r="P57" s="375"/>
      <c r="Q57" s="436"/>
      <c r="R57" s="438"/>
      <c r="S57" s="437"/>
    </row>
    <row r="58" spans="2:22" x14ac:dyDescent="0.2">
      <c r="B58">
        <v>25</v>
      </c>
      <c r="C58" s="374">
        <v>54209</v>
      </c>
      <c r="D58" s="433">
        <v>23051</v>
      </c>
      <c r="E58" s="374"/>
      <c r="F58" s="1042"/>
      <c r="G58" s="374"/>
      <c r="H58" s="433"/>
      <c r="I58" s="34">
        <f t="shared" si="1"/>
        <v>31158</v>
      </c>
      <c r="J58" s="433">
        <v>69830</v>
      </c>
      <c r="K58" s="434">
        <v>17782</v>
      </c>
      <c r="L58" s="433"/>
      <c r="M58" s="34">
        <v>21336</v>
      </c>
      <c r="N58" s="34">
        <f t="shared" si="0"/>
        <v>30712</v>
      </c>
      <c r="O58" s="433">
        <v>8297</v>
      </c>
      <c r="P58" s="374">
        <v>1049</v>
      </c>
      <c r="Q58" s="433">
        <v>7980</v>
      </c>
      <c r="R58" s="435">
        <v>5725</v>
      </c>
      <c r="S58" s="434">
        <v>41537</v>
      </c>
      <c r="T58">
        <v>25</v>
      </c>
    </row>
    <row r="59" spans="2:22" x14ac:dyDescent="0.2">
      <c r="C59" s="375"/>
      <c r="D59" s="436"/>
      <c r="E59" s="375"/>
      <c r="F59" s="375"/>
      <c r="G59" s="375"/>
      <c r="H59" s="436"/>
      <c r="I59" s="34">
        <f t="shared" si="1"/>
        <v>0</v>
      </c>
      <c r="J59" s="436"/>
      <c r="K59" s="437"/>
      <c r="L59" s="436"/>
      <c r="M59" s="34"/>
      <c r="N59" s="34">
        <f t="shared" si="0"/>
        <v>0</v>
      </c>
      <c r="O59" s="436"/>
      <c r="P59" s="375"/>
      <c r="Q59" s="436"/>
      <c r="R59" s="438"/>
      <c r="S59" s="437"/>
    </row>
    <row r="60" spans="2:22" x14ac:dyDescent="0.2">
      <c r="B60">
        <v>26</v>
      </c>
      <c r="C60" s="374">
        <v>28675</v>
      </c>
      <c r="D60" s="433">
        <v>11022</v>
      </c>
      <c r="E60" s="374"/>
      <c r="F60" s="1040"/>
      <c r="G60" s="374"/>
      <c r="H60" s="433"/>
      <c r="I60" s="34">
        <f t="shared" si="1"/>
        <v>17653</v>
      </c>
      <c r="J60" s="433">
        <v>34861</v>
      </c>
      <c r="K60" s="434">
        <v>3441</v>
      </c>
      <c r="L60" s="433"/>
      <c r="M60" s="34">
        <v>900</v>
      </c>
      <c r="N60" s="34">
        <f t="shared" si="0"/>
        <v>30520</v>
      </c>
      <c r="O60" s="433">
        <v>8547</v>
      </c>
      <c r="P60" s="374">
        <v>684</v>
      </c>
      <c r="Q60" s="433">
        <v>1790</v>
      </c>
      <c r="R60" s="435"/>
      <c r="S60" s="434">
        <v>4341</v>
      </c>
      <c r="T60">
        <v>26</v>
      </c>
    </row>
    <row r="61" spans="2:22" x14ac:dyDescent="0.2">
      <c r="C61" s="375"/>
      <c r="D61" s="436"/>
      <c r="E61" s="375"/>
      <c r="F61" s="375"/>
      <c r="G61" s="375"/>
      <c r="H61" s="436"/>
      <c r="I61" s="34">
        <f t="shared" si="1"/>
        <v>0</v>
      </c>
      <c r="J61" s="436"/>
      <c r="K61" s="437"/>
      <c r="L61" s="436"/>
      <c r="M61" s="34"/>
      <c r="N61" s="34">
        <f t="shared" si="0"/>
        <v>0</v>
      </c>
      <c r="O61" s="436"/>
      <c r="P61" s="375"/>
      <c r="Q61" s="436"/>
      <c r="R61" s="438"/>
      <c r="S61" s="437"/>
    </row>
    <row r="62" spans="2:22" x14ac:dyDescent="0.2">
      <c r="B62">
        <v>27</v>
      </c>
      <c r="C62" s="374">
        <v>116582</v>
      </c>
      <c r="D62" s="433">
        <v>650</v>
      </c>
      <c r="E62" s="374"/>
      <c r="F62" s="374">
        <v>45895</v>
      </c>
      <c r="G62" s="374"/>
      <c r="H62" s="433"/>
      <c r="I62" s="34">
        <f t="shared" si="1"/>
        <v>70037</v>
      </c>
      <c r="J62" s="433">
        <v>9070</v>
      </c>
      <c r="K62" s="434">
        <v>5031</v>
      </c>
      <c r="L62" s="433"/>
      <c r="M62" s="34">
        <v>4039</v>
      </c>
      <c r="N62" s="34">
        <f t="shared" si="0"/>
        <v>0</v>
      </c>
      <c r="O62" s="433">
        <v>650</v>
      </c>
      <c r="P62" s="374"/>
      <c r="Q62" s="433"/>
      <c r="R62" s="435"/>
      <c r="S62" s="434">
        <v>9754</v>
      </c>
      <c r="T62">
        <v>27</v>
      </c>
    </row>
    <row r="63" spans="2:22" x14ac:dyDescent="0.2">
      <c r="C63" s="375"/>
      <c r="D63" s="436"/>
      <c r="E63" s="375"/>
      <c r="F63" s="375"/>
      <c r="G63" s="375"/>
      <c r="H63" s="436"/>
      <c r="I63" s="34">
        <f t="shared" si="1"/>
        <v>0</v>
      </c>
      <c r="J63" s="436"/>
      <c r="K63" s="437"/>
      <c r="L63" s="436"/>
      <c r="M63" s="34"/>
      <c r="N63" s="34">
        <f t="shared" si="0"/>
        <v>0</v>
      </c>
      <c r="O63" s="436"/>
      <c r="P63" s="375"/>
      <c r="Q63" s="436"/>
      <c r="R63" s="438"/>
      <c r="S63" s="437"/>
    </row>
    <row r="64" spans="2:22" x14ac:dyDescent="0.2">
      <c r="B64">
        <v>28</v>
      </c>
      <c r="C64" s="374">
        <v>76078</v>
      </c>
      <c r="D64" s="433">
        <v>23827</v>
      </c>
      <c r="E64" s="374"/>
      <c r="F64" s="374"/>
      <c r="G64" s="374"/>
      <c r="H64" s="433"/>
      <c r="I64" s="34">
        <f t="shared" si="1"/>
        <v>52251</v>
      </c>
      <c r="J64" s="433">
        <v>72523</v>
      </c>
      <c r="K64" s="434">
        <v>11338</v>
      </c>
      <c r="L64" s="433"/>
      <c r="M64" s="34"/>
      <c r="N64" s="34">
        <f t="shared" si="0"/>
        <v>61185</v>
      </c>
      <c r="O64" s="433">
        <v>19727</v>
      </c>
      <c r="P64" s="374">
        <v>660</v>
      </c>
      <c r="Q64" s="433"/>
      <c r="R64" s="435">
        <v>3441</v>
      </c>
      <c r="S64" s="434">
        <v>12303</v>
      </c>
      <c r="T64">
        <v>28</v>
      </c>
      <c r="V64" s="54"/>
    </row>
    <row r="65" spans="1:25" x14ac:dyDescent="0.2">
      <c r="C65" s="375"/>
      <c r="D65" s="436"/>
      <c r="E65" s="375"/>
      <c r="F65" s="375"/>
      <c r="G65" s="375"/>
      <c r="H65" s="436"/>
      <c r="I65" s="34">
        <f t="shared" si="1"/>
        <v>0</v>
      </c>
      <c r="J65" s="436"/>
      <c r="K65" s="437"/>
      <c r="L65" s="436"/>
      <c r="M65" s="34"/>
      <c r="N65" s="34">
        <f t="shared" si="0"/>
        <v>0</v>
      </c>
      <c r="O65" s="436"/>
      <c r="P65" s="375"/>
      <c r="Q65" s="436"/>
      <c r="R65" s="438"/>
      <c r="S65" s="437"/>
    </row>
    <row r="66" spans="1:25" x14ac:dyDescent="0.2">
      <c r="B66">
        <v>29</v>
      </c>
      <c r="C66" s="374">
        <v>16140</v>
      </c>
      <c r="D66" s="433">
        <v>3070</v>
      </c>
      <c r="E66" s="374"/>
      <c r="F66" s="374"/>
      <c r="G66" s="374"/>
      <c r="H66" s="433"/>
      <c r="I66" s="34">
        <f t="shared" si="1"/>
        <v>13070</v>
      </c>
      <c r="J66" s="433">
        <v>6012</v>
      </c>
      <c r="K66" s="434">
        <v>4000</v>
      </c>
      <c r="L66" s="433">
        <v>1395</v>
      </c>
      <c r="M66" s="34">
        <v>617</v>
      </c>
      <c r="N66" s="34">
        <f t="shared" si="0"/>
        <v>0</v>
      </c>
      <c r="O66" s="464">
        <v>3070</v>
      </c>
      <c r="P66" s="374"/>
      <c r="Q66" s="433"/>
      <c r="R66" s="435"/>
      <c r="S66" s="434">
        <v>6013</v>
      </c>
      <c r="T66">
        <v>29</v>
      </c>
    </row>
    <row r="67" spans="1:25" x14ac:dyDescent="0.2">
      <c r="C67" s="375"/>
      <c r="D67" s="436"/>
      <c r="E67" s="375"/>
      <c r="F67" s="375"/>
      <c r="G67" s="375"/>
      <c r="H67" s="436"/>
      <c r="I67" s="34">
        <f t="shared" si="1"/>
        <v>0</v>
      </c>
      <c r="J67" s="436"/>
      <c r="K67" s="437"/>
      <c r="L67" s="436"/>
      <c r="M67" s="34"/>
      <c r="N67" s="34">
        <f t="shared" si="0"/>
        <v>0</v>
      </c>
      <c r="O67" s="436"/>
      <c r="P67" s="375"/>
      <c r="Q67" s="436"/>
      <c r="R67" s="438"/>
      <c r="S67" s="437"/>
      <c r="V67" s="483" t="s">
        <v>672</v>
      </c>
      <c r="W67" s="42">
        <f>E73+F73+H73+I73+N73+G73</f>
        <v>1962700</v>
      </c>
    </row>
    <row r="68" spans="1:25" x14ac:dyDescent="0.2">
      <c r="B68">
        <v>30</v>
      </c>
      <c r="C68" s="374">
        <v>150517</v>
      </c>
      <c r="D68" s="433">
        <v>71238</v>
      </c>
      <c r="E68" s="374"/>
      <c r="F68" s="374"/>
      <c r="G68" s="374">
        <v>4453</v>
      </c>
      <c r="H68" s="433"/>
      <c r="I68" s="34">
        <f>C68-D68-E68-H68-F68-G68</f>
        <v>74826</v>
      </c>
      <c r="J68" s="433">
        <v>161384</v>
      </c>
      <c r="K68" s="434">
        <v>84541</v>
      </c>
      <c r="L68" s="433">
        <v>3199</v>
      </c>
      <c r="M68" s="34">
        <v>60394</v>
      </c>
      <c r="N68" s="34">
        <f t="shared" si="0"/>
        <v>13250</v>
      </c>
      <c r="O68" s="433">
        <v>42187</v>
      </c>
      <c r="P68" s="374">
        <v>4285</v>
      </c>
      <c r="Q68" s="433">
        <v>5490</v>
      </c>
      <c r="R68" s="435">
        <v>19276</v>
      </c>
      <c r="S68" s="434">
        <v>174826</v>
      </c>
      <c r="T68">
        <v>30</v>
      </c>
      <c r="U68" s="54" t="s">
        <v>852</v>
      </c>
      <c r="V68" s="183" t="s">
        <v>674</v>
      </c>
      <c r="W68" s="449"/>
      <c r="X68" s="42">
        <f>W69-W67</f>
        <v>-512609</v>
      </c>
    </row>
    <row r="69" spans="1:25" x14ac:dyDescent="0.2">
      <c r="C69" s="375"/>
      <c r="D69" s="436"/>
      <c r="E69" s="375"/>
      <c r="F69" s="375"/>
      <c r="G69" s="375"/>
      <c r="H69" s="436"/>
      <c r="I69" s="34">
        <f t="shared" si="1"/>
        <v>0</v>
      </c>
      <c r="J69" s="436"/>
      <c r="K69" s="437"/>
      <c r="L69" s="436"/>
      <c r="M69" s="34"/>
      <c r="N69" s="34">
        <f t="shared" si="0"/>
        <v>0</v>
      </c>
      <c r="O69" s="436"/>
      <c r="P69" s="375"/>
      <c r="Q69" s="436"/>
      <c r="R69" s="438"/>
      <c r="S69" s="437"/>
      <c r="V69" s="183" t="s">
        <v>673</v>
      </c>
      <c r="W69" s="42">
        <f>S73+O73+P73+Q73+R73</f>
        <v>1450091</v>
      </c>
    </row>
    <row r="70" spans="1:25" x14ac:dyDescent="0.2">
      <c r="B70">
        <v>31</v>
      </c>
      <c r="C70" s="374">
        <v>213299</v>
      </c>
      <c r="D70" s="433">
        <v>110527</v>
      </c>
      <c r="E70" s="374"/>
      <c r="F70" s="1042"/>
      <c r="G70" s="374">
        <v>17509</v>
      </c>
      <c r="H70" s="433">
        <v>10987</v>
      </c>
      <c r="I70" s="34">
        <f t="shared" si="1"/>
        <v>74276</v>
      </c>
      <c r="J70" s="433">
        <v>174589</v>
      </c>
      <c r="K70" s="434">
        <v>45271</v>
      </c>
      <c r="L70" s="433">
        <v>21253</v>
      </c>
      <c r="M70" s="34">
        <v>30709</v>
      </c>
      <c r="N70" s="34">
        <f t="shared" si="0"/>
        <v>77356</v>
      </c>
      <c r="O70" s="433">
        <v>72141</v>
      </c>
      <c r="P70" s="374">
        <v>16518</v>
      </c>
      <c r="Q70" s="433"/>
      <c r="R70" s="435">
        <v>21868</v>
      </c>
      <c r="S70" s="34">
        <v>99603</v>
      </c>
      <c r="T70">
        <v>31</v>
      </c>
    </row>
    <row r="71" spans="1:25" ht="13.5" thickBot="1" x14ac:dyDescent="0.25">
      <c r="C71" s="22"/>
      <c r="D71" s="29"/>
      <c r="E71" s="22"/>
      <c r="F71" s="22"/>
      <c r="G71" s="22"/>
      <c r="H71" s="29"/>
      <c r="I71" s="34">
        <f t="shared" si="1"/>
        <v>0</v>
      </c>
      <c r="J71" s="29"/>
      <c r="K71" s="34"/>
      <c r="L71" s="29"/>
      <c r="M71" s="35"/>
      <c r="N71" s="34">
        <f t="shared" si="0"/>
        <v>0</v>
      </c>
      <c r="O71" s="29"/>
      <c r="P71" s="22"/>
      <c r="Q71" s="29"/>
      <c r="R71" s="28"/>
      <c r="S71" s="34"/>
      <c r="U71" s="54" t="s">
        <v>874</v>
      </c>
      <c r="V71" s="183" t="s">
        <v>672</v>
      </c>
      <c r="W71" s="42">
        <f>E78+F78+G78+H78+I78+N78</f>
        <v>0</v>
      </c>
    </row>
    <row r="72" spans="1:25" x14ac:dyDescent="0.2">
      <c r="C72" s="40"/>
      <c r="D72" s="33"/>
      <c r="E72" s="33"/>
      <c r="F72" s="439"/>
      <c r="G72" s="33"/>
      <c r="H72" s="33"/>
      <c r="I72" s="439"/>
      <c r="J72" s="33"/>
      <c r="K72" s="439"/>
      <c r="L72" s="33"/>
      <c r="M72" s="439"/>
      <c r="N72" s="439"/>
      <c r="O72" s="33"/>
      <c r="P72" s="439"/>
      <c r="Q72" s="33"/>
      <c r="R72" s="439"/>
      <c r="S72" s="33"/>
      <c r="V72" s="183" t="s">
        <v>674</v>
      </c>
      <c r="W72" s="449"/>
      <c r="X72" s="42">
        <f>W73-W71</f>
        <v>0</v>
      </c>
      <c r="Y72" s="42"/>
    </row>
    <row r="73" spans="1:25" x14ac:dyDescent="0.2">
      <c r="A73" s="54" t="s">
        <v>671</v>
      </c>
      <c r="B73" s="1"/>
      <c r="C73" s="34">
        <f>SUM(C9:C71)</f>
        <v>1675679</v>
      </c>
      <c r="D73" s="441">
        <f>SUM(D9:D71)</f>
        <v>580345</v>
      </c>
      <c r="E73" s="34">
        <v>298063</v>
      </c>
      <c r="F73" s="442">
        <f>SUM(F9:F71)</f>
        <v>217022</v>
      </c>
      <c r="G73" s="441">
        <f>SUM(G9:G71)</f>
        <v>38560</v>
      </c>
      <c r="H73" s="441">
        <f>SUM(H9:H71)</f>
        <v>44264</v>
      </c>
      <c r="I73" s="446">
        <f>SUM(I9:I71)</f>
        <v>795488</v>
      </c>
      <c r="J73" s="34">
        <f>SUM(J9:J71)</f>
        <v>1347775</v>
      </c>
      <c r="K73" s="441">
        <f t="shared" ref="K73:P73" si="2">SUM(K9:K71)</f>
        <v>445708</v>
      </c>
      <c r="L73" s="441">
        <f>SUM(L9:L71)</f>
        <v>49542</v>
      </c>
      <c r="M73" s="441">
        <f t="shared" si="2"/>
        <v>283222</v>
      </c>
      <c r="N73" s="446">
        <f>SUM(N9:N71)</f>
        <v>569303</v>
      </c>
      <c r="O73" s="441">
        <f>SUM(O9:O71)</f>
        <v>370709</v>
      </c>
      <c r="P73" s="441">
        <f t="shared" si="2"/>
        <v>45339</v>
      </c>
      <c r="Q73" s="441">
        <f>SUM(Q9:Q71)</f>
        <v>51282</v>
      </c>
      <c r="R73" s="441">
        <f>SUM(R9:R71)</f>
        <v>113022</v>
      </c>
      <c r="S73" s="446">
        <f>SUM(S9:S71)</f>
        <v>869739</v>
      </c>
      <c r="V73" s="183" t="s">
        <v>673</v>
      </c>
      <c r="W73" s="42">
        <f>S78+O78+P78+Q78+R78</f>
        <v>0</v>
      </c>
      <c r="X73" s="42"/>
    </row>
    <row r="74" spans="1:25" ht="13.5" thickBot="1" x14ac:dyDescent="0.25">
      <c r="C74" s="440"/>
      <c r="D74" s="35"/>
      <c r="E74" s="35"/>
      <c r="F74" s="37"/>
      <c r="G74" s="35"/>
      <c r="H74" s="35"/>
      <c r="I74" s="37"/>
      <c r="J74" s="35"/>
      <c r="K74" s="37"/>
      <c r="L74" s="35"/>
      <c r="M74" s="37"/>
      <c r="N74" s="37"/>
      <c r="O74" s="35"/>
      <c r="P74" s="37"/>
      <c r="Q74" s="35"/>
      <c r="R74" s="37"/>
      <c r="S74" s="35"/>
    </row>
    <row r="75" spans="1:25" x14ac:dyDescent="0.2"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>
        <f>L75+K75</f>
        <v>0</v>
      </c>
      <c r="O75" s="29"/>
      <c r="P75" s="29"/>
      <c r="Q75" s="29"/>
      <c r="R75" s="29"/>
      <c r="S75" s="29"/>
    </row>
    <row r="76" spans="1:25" ht="13.5" thickBot="1" x14ac:dyDescent="0.25">
      <c r="A76" s="94">
        <v>42266</v>
      </c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U76" s="54" t="s">
        <v>905</v>
      </c>
      <c r="V76" s="183" t="s">
        <v>672</v>
      </c>
      <c r="W76" s="42">
        <f>E82+F82+G82+H82+I82+N82</f>
        <v>0</v>
      </c>
    </row>
    <row r="77" spans="1:25" x14ac:dyDescent="0.2">
      <c r="A77" s="255"/>
      <c r="C77" s="33"/>
      <c r="D77" s="444"/>
      <c r="E77" s="374"/>
      <c r="F77" s="465"/>
      <c r="G77" s="374"/>
      <c r="H77" s="374"/>
      <c r="I77" s="435"/>
      <c r="J77" s="40"/>
      <c r="K77" s="374"/>
      <c r="L77" s="374"/>
      <c r="M77" s="374"/>
      <c r="N77" s="374"/>
      <c r="O77" s="374"/>
      <c r="P77" s="374"/>
      <c r="Q77" s="374"/>
      <c r="R77" s="374"/>
      <c r="S77" s="374"/>
      <c r="V77" s="183" t="s">
        <v>674</v>
      </c>
      <c r="W77" s="449"/>
      <c r="X77" s="42">
        <f>W78-W76</f>
        <v>0</v>
      </c>
      <c r="Y77" s="50"/>
    </row>
    <row r="78" spans="1:25" x14ac:dyDescent="0.2">
      <c r="A78" s="843" t="s">
        <v>874</v>
      </c>
      <c r="C78" s="847"/>
      <c r="D78" s="1060"/>
      <c r="E78" s="844"/>
      <c r="F78" s="1043"/>
      <c r="G78" s="1059"/>
      <c r="H78" s="1059"/>
      <c r="I78" s="447">
        <f>C78-D78-E78-H78-F78-G78</f>
        <v>0</v>
      </c>
      <c r="J78" s="849"/>
      <c r="K78" s="844"/>
      <c r="L78" s="844"/>
      <c r="M78" s="848"/>
      <c r="N78" s="446">
        <f>J78-K78-L78-M78</f>
        <v>0</v>
      </c>
      <c r="O78" s="844"/>
      <c r="P78" s="844"/>
      <c r="Q78" s="844"/>
      <c r="R78" s="844"/>
      <c r="S78" s="448"/>
      <c r="V78" s="183" t="s">
        <v>673</v>
      </c>
      <c r="W78" s="42">
        <f>S82+O82+P82+Q82+R82</f>
        <v>0</v>
      </c>
      <c r="X78" s="42"/>
      <c r="Y78" s="50"/>
    </row>
    <row r="79" spans="1:25" ht="13.5" thickBot="1" x14ac:dyDescent="0.25">
      <c r="A79" s="261"/>
      <c r="C79" s="16"/>
      <c r="D79" s="84"/>
      <c r="E79" s="1078"/>
      <c r="F79" s="466"/>
      <c r="G79" s="1078"/>
      <c r="H79" s="1078"/>
      <c r="I79" s="89"/>
      <c r="J79" s="11"/>
      <c r="K79" s="1078"/>
      <c r="L79" s="1078"/>
      <c r="M79" s="1078"/>
      <c r="N79" s="1078"/>
      <c r="O79" s="1078"/>
      <c r="P79" s="1078"/>
      <c r="Q79" s="1078"/>
      <c r="R79" s="1078"/>
      <c r="S79" s="1078"/>
      <c r="Y79" s="56"/>
    </row>
    <row r="80" spans="1:25" ht="13.5" thickBot="1" x14ac:dyDescent="0.25">
      <c r="A80" s="204"/>
      <c r="C80" s="15"/>
      <c r="D80" s="81"/>
      <c r="E80" s="66"/>
      <c r="F80" s="450"/>
      <c r="G80" s="66"/>
      <c r="H80" s="66"/>
      <c r="I80" s="88"/>
      <c r="J80" s="5"/>
      <c r="K80" s="66"/>
      <c r="L80" s="66"/>
      <c r="M80" s="66"/>
      <c r="N80" s="66"/>
      <c r="O80" s="66"/>
      <c r="P80" s="66"/>
      <c r="Q80" s="66"/>
      <c r="R80" s="66"/>
      <c r="S80" s="66"/>
      <c r="Y80" s="56"/>
    </row>
    <row r="81" spans="1:25" x14ac:dyDescent="0.2">
      <c r="A81" s="443"/>
      <c r="C81" s="33"/>
      <c r="D81" s="444"/>
      <c r="E81" s="374"/>
      <c r="F81" s="465"/>
      <c r="G81" s="374"/>
      <c r="H81" s="374"/>
      <c r="I81" s="435"/>
      <c r="J81" s="40"/>
      <c r="K81" s="374"/>
      <c r="L81" s="374"/>
      <c r="M81" s="374"/>
      <c r="N81" s="374"/>
      <c r="O81" s="374"/>
      <c r="P81" s="374"/>
      <c r="Q81" s="374"/>
      <c r="R81" s="374"/>
      <c r="S81" s="374"/>
    </row>
    <row r="82" spans="1:25" x14ac:dyDescent="0.2">
      <c r="A82" s="843" t="s">
        <v>905</v>
      </c>
      <c r="C82" s="847"/>
      <c r="D82" s="846"/>
      <c r="E82" s="844"/>
      <c r="F82" s="845"/>
      <c r="G82" s="844"/>
      <c r="H82" s="844"/>
      <c r="I82" s="447">
        <f>C82-D82-E82-H82-F82-G82</f>
        <v>0</v>
      </c>
      <c r="J82" s="849"/>
      <c r="K82" s="844"/>
      <c r="L82" s="844"/>
      <c r="M82" s="848"/>
      <c r="N82" s="446">
        <f>J82-K82-L82-M82</f>
        <v>0</v>
      </c>
      <c r="O82" s="844"/>
      <c r="P82" s="844"/>
      <c r="Q82" s="844"/>
      <c r="R82" s="844"/>
      <c r="S82" s="448"/>
    </row>
    <row r="83" spans="1:25" ht="13.5" thickBot="1" x14ac:dyDescent="0.25">
      <c r="A83" s="1078"/>
      <c r="C83" s="16"/>
      <c r="D83" s="84"/>
      <c r="E83" s="1078"/>
      <c r="F83" s="466"/>
      <c r="G83" s="1078"/>
      <c r="H83" s="1078"/>
      <c r="I83" s="89"/>
      <c r="J83" s="11"/>
      <c r="K83" s="1078"/>
      <c r="L83" s="1078"/>
      <c r="M83" s="1078"/>
      <c r="N83" s="1078"/>
      <c r="O83" s="1078"/>
      <c r="P83" s="1078"/>
      <c r="Q83" s="1078"/>
      <c r="R83" s="1078"/>
      <c r="S83" s="1078"/>
    </row>
    <row r="84" spans="1:25" x14ac:dyDescent="0.2">
      <c r="U84" s="183"/>
    </row>
    <row r="85" spans="1:25" x14ac:dyDescent="0.2">
      <c r="U85" s="183"/>
      <c r="V85" s="183"/>
      <c r="W85" s="183"/>
      <c r="X85" s="17"/>
      <c r="Y85" s="50"/>
    </row>
    <row r="86" spans="1:25" x14ac:dyDescent="0.2">
      <c r="W86" s="183"/>
      <c r="X86" s="17"/>
      <c r="Y86" s="50"/>
    </row>
    <row r="87" spans="1:25" x14ac:dyDescent="0.2">
      <c r="Y87" s="56"/>
    </row>
    <row r="88" spans="1:25" x14ac:dyDescent="0.2">
      <c r="U88" s="183"/>
      <c r="V88" s="183"/>
      <c r="W88" s="183"/>
      <c r="X88" s="17"/>
      <c r="Y88" s="50"/>
    </row>
  </sheetData>
  <pageMargins left="0.70866141732283472" right="0.70866141732283472" top="0.74803149606299213" bottom="0.74803149606299213" header="0.31496062992125984" footer="0.31496062992125984"/>
  <pageSetup paperSize="9" scale="46" fitToWidth="2" orientation="landscape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>
    <pageSetUpPr fitToPage="1"/>
  </sheetPr>
  <dimension ref="A1:Y88"/>
  <sheetViews>
    <sheetView topLeftCell="A58" workbookViewId="0">
      <selection activeCell="N10" sqref="N10"/>
    </sheetView>
  </sheetViews>
  <sheetFormatPr defaultColWidth="11.42578125" defaultRowHeight="12.75" x14ac:dyDescent="0.2"/>
  <cols>
    <col min="1" max="1" width="12.28515625" customWidth="1"/>
    <col min="2" max="2" width="3.28515625" customWidth="1"/>
    <col min="3" max="3" width="11.85546875" bestFit="1" customWidth="1"/>
    <col min="4" max="5" width="11.5703125" bestFit="1" customWidth="1"/>
    <col min="6" max="7" width="11.5703125" customWidth="1"/>
    <col min="8" max="8" width="11.5703125" bestFit="1" customWidth="1"/>
    <col min="9" max="10" width="11.85546875" bestFit="1" customWidth="1"/>
    <col min="11" max="12" width="11.5703125" bestFit="1" customWidth="1"/>
    <col min="13" max="13" width="11.5703125" customWidth="1"/>
    <col min="14" max="19" width="11.5703125" bestFit="1" customWidth="1"/>
    <col min="20" max="20" width="4.85546875" customWidth="1"/>
    <col min="21" max="21" width="12.85546875" customWidth="1"/>
    <col min="22" max="22" width="15.85546875" customWidth="1"/>
    <col min="23" max="24" width="11.85546875" bestFit="1" customWidth="1"/>
    <col min="25" max="25" width="12.85546875" bestFit="1" customWidth="1"/>
  </cols>
  <sheetData>
    <row r="1" spans="2:20" ht="18" x14ac:dyDescent="0.25">
      <c r="J1" s="208" t="s">
        <v>1157</v>
      </c>
      <c r="Q1" s="94">
        <v>42298</v>
      </c>
    </row>
    <row r="3" spans="2:20" ht="13.5" thickBot="1" x14ac:dyDescent="0.25"/>
    <row r="4" spans="2:20" ht="15.75" x14ac:dyDescent="0.25">
      <c r="C4" s="102"/>
      <c r="D4" s="87"/>
      <c r="E4" s="430" t="s">
        <v>33</v>
      </c>
      <c r="F4" s="430"/>
      <c r="G4" s="430"/>
      <c r="H4" s="430"/>
      <c r="I4" s="431"/>
      <c r="J4" s="432"/>
      <c r="K4" s="430" t="s">
        <v>664</v>
      </c>
      <c r="L4" s="430"/>
      <c r="M4" s="430"/>
      <c r="N4" s="430"/>
      <c r="O4" s="432"/>
      <c r="P4" s="430" t="s">
        <v>668</v>
      </c>
      <c r="Q4" s="430"/>
      <c r="R4" s="87"/>
      <c r="S4" s="13"/>
    </row>
    <row r="5" spans="2:20" ht="13.5" thickBot="1" x14ac:dyDescent="0.25">
      <c r="C5" s="89"/>
      <c r="D5" s="90"/>
      <c r="E5" s="90"/>
      <c r="F5" s="90"/>
      <c r="G5" s="90"/>
      <c r="H5" s="90"/>
      <c r="I5" s="81"/>
      <c r="J5" s="89"/>
      <c r="K5" s="6"/>
      <c r="L5" s="90"/>
      <c r="M5" s="6"/>
      <c r="N5" s="6"/>
      <c r="O5" s="88"/>
      <c r="P5" s="6"/>
      <c r="Q5" s="6"/>
      <c r="R5" s="6"/>
      <c r="S5" s="205" t="s">
        <v>32</v>
      </c>
    </row>
    <row r="6" spans="2:20" x14ac:dyDescent="0.2">
      <c r="C6" s="255"/>
      <c r="D6" s="6"/>
      <c r="E6" s="255"/>
      <c r="F6" s="255"/>
      <c r="G6" s="255"/>
      <c r="H6" s="6"/>
      <c r="I6" s="13"/>
      <c r="J6" s="6"/>
      <c r="K6" s="428"/>
      <c r="L6" s="6"/>
      <c r="M6" s="26" t="s">
        <v>702</v>
      </c>
      <c r="N6" s="2"/>
      <c r="O6" s="255"/>
      <c r="P6" s="87"/>
      <c r="Q6" s="255"/>
      <c r="R6" s="87"/>
      <c r="S6" s="205" t="s">
        <v>669</v>
      </c>
    </row>
    <row r="7" spans="2:20" x14ac:dyDescent="0.2">
      <c r="C7" s="73" t="s">
        <v>132</v>
      </c>
      <c r="D7" s="1142" t="s">
        <v>287</v>
      </c>
      <c r="E7" s="73" t="s">
        <v>660</v>
      </c>
      <c r="F7" s="148" t="s">
        <v>485</v>
      </c>
      <c r="G7" s="148" t="s">
        <v>670</v>
      </c>
      <c r="H7" s="1142" t="s">
        <v>661</v>
      </c>
      <c r="I7" s="205" t="s">
        <v>662</v>
      </c>
      <c r="J7" s="1142" t="s">
        <v>132</v>
      </c>
      <c r="K7" s="205" t="s">
        <v>663</v>
      </c>
      <c r="L7" s="93" t="s">
        <v>701</v>
      </c>
      <c r="M7" s="205" t="s">
        <v>495</v>
      </c>
      <c r="N7" s="396" t="s">
        <v>662</v>
      </c>
      <c r="O7" s="131" t="s">
        <v>665</v>
      </c>
      <c r="P7" s="135" t="s">
        <v>666</v>
      </c>
      <c r="Q7" s="131" t="s">
        <v>667</v>
      </c>
      <c r="R7" s="135" t="s">
        <v>397</v>
      </c>
      <c r="S7" s="15"/>
    </row>
    <row r="8" spans="2:20" x14ac:dyDescent="0.2">
      <c r="C8" s="1144"/>
      <c r="D8" s="424"/>
      <c r="E8" s="1144"/>
      <c r="F8" s="1144"/>
      <c r="G8" s="1144"/>
      <c r="H8" s="424"/>
      <c r="I8" s="425"/>
      <c r="J8" s="424"/>
      <c r="K8" s="429"/>
      <c r="L8" s="424"/>
      <c r="M8" s="425"/>
      <c r="N8" s="426"/>
      <c r="O8" s="1143"/>
      <c r="P8" s="90"/>
      <c r="Q8" s="1143"/>
      <c r="R8" s="90"/>
      <c r="S8" s="427"/>
    </row>
    <row r="9" spans="2:20" x14ac:dyDescent="0.2">
      <c r="C9" s="374"/>
      <c r="D9" s="433"/>
      <c r="E9" s="374"/>
      <c r="F9" s="374"/>
      <c r="G9" s="374"/>
      <c r="H9" s="433"/>
      <c r="I9" s="434"/>
      <c r="J9" s="433"/>
      <c r="K9" s="434"/>
      <c r="L9" s="433"/>
      <c r="M9" s="434"/>
      <c r="N9" s="434"/>
      <c r="O9" s="433"/>
      <c r="P9" s="374"/>
      <c r="Q9" s="433"/>
      <c r="R9" s="435"/>
      <c r="S9" s="434"/>
    </row>
    <row r="10" spans="2:20" ht="14.25" customHeight="1" x14ac:dyDescent="0.2">
      <c r="B10">
        <v>1</v>
      </c>
      <c r="C10" s="22">
        <v>18875</v>
      </c>
      <c r="D10" s="29">
        <v>13463</v>
      </c>
      <c r="E10" s="22"/>
      <c r="F10" s="22"/>
      <c r="G10" s="22"/>
      <c r="H10" s="29">
        <v>5412</v>
      </c>
      <c r="I10" s="34">
        <f>C10-D10-E10-H10-F10-G10</f>
        <v>0</v>
      </c>
      <c r="J10" s="29">
        <v>31860</v>
      </c>
      <c r="K10" s="34">
        <v>8233</v>
      </c>
      <c r="L10" s="29"/>
      <c r="M10" s="34"/>
      <c r="N10" s="34">
        <f>J10-K10-L10-M10</f>
        <v>23627</v>
      </c>
      <c r="O10" s="463">
        <v>10531</v>
      </c>
      <c r="P10" s="22">
        <v>2931</v>
      </c>
      <c r="Q10" s="29"/>
      <c r="R10" s="28"/>
      <c r="S10" s="34">
        <v>8433</v>
      </c>
      <c r="T10">
        <v>1</v>
      </c>
    </row>
    <row r="11" spans="2:20" x14ac:dyDescent="0.2">
      <c r="C11" s="375"/>
      <c r="D11" s="436"/>
      <c r="E11" s="375"/>
      <c r="F11" s="894"/>
      <c r="G11" s="375"/>
      <c r="H11" s="436"/>
      <c r="I11" s="437"/>
      <c r="J11" s="436"/>
      <c r="K11" s="437"/>
      <c r="L11" s="436"/>
      <c r="M11" s="437"/>
      <c r="N11" s="34">
        <f t="shared" ref="N11:N71" si="0">J11-K11-L11-M11</f>
        <v>0</v>
      </c>
      <c r="O11" s="436"/>
      <c r="P11" s="375"/>
      <c r="Q11" s="436"/>
      <c r="R11" s="438"/>
      <c r="S11" s="437"/>
    </row>
    <row r="12" spans="2:20" x14ac:dyDescent="0.2">
      <c r="B12">
        <v>2</v>
      </c>
      <c r="C12" s="374">
        <v>37788</v>
      </c>
      <c r="D12" s="433">
        <v>10936</v>
      </c>
      <c r="E12" s="374"/>
      <c r="F12" s="374"/>
      <c r="G12" s="374"/>
      <c r="H12" s="433"/>
      <c r="I12" s="34">
        <f>C12-D12-E12-H12-F12-G12</f>
        <v>26852</v>
      </c>
      <c r="J12" s="433">
        <v>7200</v>
      </c>
      <c r="K12" s="434">
        <v>2265</v>
      </c>
      <c r="L12" s="433"/>
      <c r="M12" s="34">
        <v>1000</v>
      </c>
      <c r="N12" s="34">
        <f t="shared" si="0"/>
        <v>3935</v>
      </c>
      <c r="O12" s="433">
        <v>6931</v>
      </c>
      <c r="P12" s="374"/>
      <c r="Q12" s="433">
        <v>4004</v>
      </c>
      <c r="R12" s="435"/>
      <c r="S12" s="434">
        <v>3265</v>
      </c>
      <c r="T12">
        <v>2</v>
      </c>
    </row>
    <row r="13" spans="2:20" x14ac:dyDescent="0.2">
      <c r="C13" s="375"/>
      <c r="D13" s="436"/>
      <c r="E13" s="375"/>
      <c r="F13" s="375"/>
      <c r="G13" s="375"/>
      <c r="H13" s="436"/>
      <c r="I13" s="34"/>
      <c r="J13" s="436"/>
      <c r="K13" s="437"/>
      <c r="L13" s="436"/>
      <c r="M13" s="34"/>
      <c r="N13" s="34">
        <f t="shared" si="0"/>
        <v>0</v>
      </c>
      <c r="O13" s="436"/>
      <c r="P13" s="375"/>
      <c r="Q13" s="436"/>
      <c r="R13" s="438"/>
      <c r="S13" s="437"/>
    </row>
    <row r="14" spans="2:20" x14ac:dyDescent="0.2">
      <c r="B14">
        <v>3</v>
      </c>
      <c r="C14" s="374">
        <v>10095</v>
      </c>
      <c r="D14" s="433">
        <v>4094</v>
      </c>
      <c r="E14" s="374"/>
      <c r="F14" s="374"/>
      <c r="G14" s="374"/>
      <c r="H14" s="433"/>
      <c r="I14" s="34">
        <f t="shared" ref="I14:I71" si="1">C14-D14-E14-H14-F14-G14</f>
        <v>6001</v>
      </c>
      <c r="J14" s="433">
        <v>10516</v>
      </c>
      <c r="K14" s="434"/>
      <c r="L14" s="433">
        <v>754</v>
      </c>
      <c r="M14" s="34"/>
      <c r="N14" s="34">
        <f>J14-K14-L14-M14</f>
        <v>9762</v>
      </c>
      <c r="O14" s="433">
        <v>3014</v>
      </c>
      <c r="P14" s="374"/>
      <c r="Q14" s="433"/>
      <c r="R14" s="435">
        <v>1080</v>
      </c>
      <c r="S14" s="434">
        <v>2044</v>
      </c>
      <c r="T14">
        <v>3</v>
      </c>
    </row>
    <row r="15" spans="2:20" x14ac:dyDescent="0.2">
      <c r="C15" s="375"/>
      <c r="D15" s="436"/>
      <c r="E15" s="375"/>
      <c r="F15" s="375"/>
      <c r="G15" s="375"/>
      <c r="H15" s="436"/>
      <c r="I15" s="34">
        <f t="shared" si="1"/>
        <v>0</v>
      </c>
      <c r="J15" s="436"/>
      <c r="K15" s="437"/>
      <c r="L15" s="436"/>
      <c r="M15" s="34"/>
      <c r="N15" s="34">
        <f t="shared" si="0"/>
        <v>0</v>
      </c>
      <c r="O15" s="436"/>
      <c r="P15" s="375"/>
      <c r="Q15" s="436"/>
      <c r="R15" s="438"/>
      <c r="S15" s="437"/>
    </row>
    <row r="16" spans="2:20" x14ac:dyDescent="0.2">
      <c r="B16">
        <v>4</v>
      </c>
      <c r="C16" s="374">
        <v>29441</v>
      </c>
      <c r="D16" s="433">
        <v>4278</v>
      </c>
      <c r="E16" s="374"/>
      <c r="F16" s="374"/>
      <c r="G16" s="374"/>
      <c r="H16" s="433"/>
      <c r="I16" s="34">
        <f t="shared" si="1"/>
        <v>25163</v>
      </c>
      <c r="J16" s="433">
        <v>30048</v>
      </c>
      <c r="K16" s="434">
        <v>2575</v>
      </c>
      <c r="L16" s="433"/>
      <c r="M16" s="34">
        <v>6713</v>
      </c>
      <c r="N16" s="34">
        <f t="shared" si="0"/>
        <v>20760</v>
      </c>
      <c r="O16" s="464">
        <v>2879</v>
      </c>
      <c r="P16" s="374"/>
      <c r="Q16" s="433">
        <v>1400</v>
      </c>
      <c r="R16" s="435"/>
      <c r="S16" s="434">
        <v>11796</v>
      </c>
      <c r="T16">
        <v>4</v>
      </c>
    </row>
    <row r="17" spans="2:20" x14ac:dyDescent="0.2">
      <c r="C17" s="375"/>
      <c r="D17" s="436"/>
      <c r="E17" s="375"/>
      <c r="F17" s="375"/>
      <c r="G17" s="375"/>
      <c r="H17" s="436"/>
      <c r="I17" s="34">
        <f t="shared" si="1"/>
        <v>0</v>
      </c>
      <c r="J17" s="436"/>
      <c r="K17" s="437"/>
      <c r="L17" s="436"/>
      <c r="M17" s="34"/>
      <c r="N17" s="34">
        <f t="shared" si="0"/>
        <v>0</v>
      </c>
      <c r="O17" s="436"/>
      <c r="P17" s="375"/>
      <c r="Q17" s="436"/>
      <c r="R17" s="438"/>
      <c r="S17" s="437"/>
    </row>
    <row r="18" spans="2:20" x14ac:dyDescent="0.2">
      <c r="B18">
        <v>5</v>
      </c>
      <c r="C18" s="374">
        <v>57671</v>
      </c>
      <c r="D18" s="433">
        <v>32348</v>
      </c>
      <c r="E18" s="374"/>
      <c r="F18" s="374"/>
      <c r="G18" s="374">
        <v>6804</v>
      </c>
      <c r="H18" s="433"/>
      <c r="I18" s="34">
        <f t="shared" si="1"/>
        <v>18519</v>
      </c>
      <c r="J18" s="433">
        <v>42491</v>
      </c>
      <c r="K18" s="434">
        <v>17070</v>
      </c>
      <c r="L18" s="433">
        <v>8700</v>
      </c>
      <c r="M18" s="34">
        <v>4000</v>
      </c>
      <c r="N18" s="34">
        <f t="shared" si="0"/>
        <v>12721</v>
      </c>
      <c r="O18" s="433">
        <v>10585</v>
      </c>
      <c r="P18" s="374">
        <v>6375</v>
      </c>
      <c r="Q18" s="433"/>
      <c r="R18" s="435">
        <v>15387</v>
      </c>
      <c r="S18" s="434">
        <v>33776</v>
      </c>
      <c r="T18">
        <v>5</v>
      </c>
    </row>
    <row r="19" spans="2:20" x14ac:dyDescent="0.2">
      <c r="C19" s="375"/>
      <c r="D19" s="436"/>
      <c r="E19" s="375"/>
      <c r="F19" s="375"/>
      <c r="G19" s="375"/>
      <c r="H19" s="436"/>
      <c r="I19" s="34">
        <f t="shared" si="1"/>
        <v>0</v>
      </c>
      <c r="J19" s="436"/>
      <c r="K19" s="437"/>
      <c r="L19" s="436"/>
      <c r="M19" s="34"/>
      <c r="N19" s="34">
        <f t="shared" si="0"/>
        <v>0</v>
      </c>
      <c r="O19" s="436"/>
      <c r="P19" s="375"/>
      <c r="Q19" s="436"/>
      <c r="R19" s="438"/>
      <c r="S19" s="437"/>
    </row>
    <row r="20" spans="2:20" x14ac:dyDescent="0.2">
      <c r="B20">
        <v>6</v>
      </c>
      <c r="C20" s="374">
        <v>38472</v>
      </c>
      <c r="D20" s="433">
        <v>8258</v>
      </c>
      <c r="E20" s="374"/>
      <c r="F20" s="1041"/>
      <c r="G20" s="374"/>
      <c r="H20" s="433"/>
      <c r="I20" s="34">
        <f t="shared" si="1"/>
        <v>30214</v>
      </c>
      <c r="J20" s="433">
        <v>19551</v>
      </c>
      <c r="K20" s="434">
        <v>2109</v>
      </c>
      <c r="L20" s="433">
        <v>9413</v>
      </c>
      <c r="M20" s="34">
        <v>4500</v>
      </c>
      <c r="N20" s="34">
        <f t="shared" si="0"/>
        <v>3529</v>
      </c>
      <c r="O20" s="464">
        <v>5218</v>
      </c>
      <c r="P20" s="374"/>
      <c r="Q20" s="433">
        <v>3040</v>
      </c>
      <c r="R20" s="435"/>
      <c r="S20" s="434">
        <v>21140</v>
      </c>
      <c r="T20">
        <v>6</v>
      </c>
    </row>
    <row r="21" spans="2:20" x14ac:dyDescent="0.2">
      <c r="C21" s="375"/>
      <c r="D21" s="436"/>
      <c r="E21" s="375"/>
      <c r="F21" s="893"/>
      <c r="G21" s="375"/>
      <c r="H21" s="436"/>
      <c r="I21" s="34">
        <f t="shared" si="1"/>
        <v>0</v>
      </c>
      <c r="J21" s="436"/>
      <c r="K21" s="437"/>
      <c r="L21" s="436"/>
      <c r="M21" s="34"/>
      <c r="N21" s="34">
        <f t="shared" si="0"/>
        <v>0</v>
      </c>
      <c r="O21" s="436"/>
      <c r="P21" s="375"/>
      <c r="Q21" s="436"/>
      <c r="R21" s="438"/>
      <c r="S21" s="437"/>
    </row>
    <row r="22" spans="2:20" x14ac:dyDescent="0.2">
      <c r="B22">
        <v>7</v>
      </c>
      <c r="C22" s="374">
        <v>21867</v>
      </c>
      <c r="D22" s="433">
        <v>3000</v>
      </c>
      <c r="E22" s="374"/>
      <c r="F22" s="374"/>
      <c r="G22" s="374">
        <v>13418</v>
      </c>
      <c r="H22" s="433"/>
      <c r="I22" s="34">
        <f t="shared" si="1"/>
        <v>5449</v>
      </c>
      <c r="J22" s="433">
        <v>29577</v>
      </c>
      <c r="K22" s="434">
        <v>7280</v>
      </c>
      <c r="L22" s="433">
        <v>800</v>
      </c>
      <c r="M22" s="34"/>
      <c r="N22" s="34">
        <f t="shared" si="0"/>
        <v>21497</v>
      </c>
      <c r="O22" s="433">
        <v>800</v>
      </c>
      <c r="P22" s="374"/>
      <c r="Q22" s="433">
        <v>2200</v>
      </c>
      <c r="R22" s="435"/>
      <c r="S22" s="434">
        <v>8375</v>
      </c>
      <c r="T22">
        <v>7</v>
      </c>
    </row>
    <row r="23" spans="2:20" x14ac:dyDescent="0.2">
      <c r="C23" s="375"/>
      <c r="D23" s="436"/>
      <c r="E23" s="375"/>
      <c r="F23" s="375"/>
      <c r="G23" s="375"/>
      <c r="H23" s="436"/>
      <c r="I23" s="34">
        <f t="shared" si="1"/>
        <v>0</v>
      </c>
      <c r="J23" s="436"/>
      <c r="K23" s="437"/>
      <c r="L23" s="436"/>
      <c r="M23" s="34"/>
      <c r="N23" s="34">
        <f t="shared" si="0"/>
        <v>0</v>
      </c>
      <c r="O23" s="436"/>
      <c r="P23" s="375"/>
      <c r="Q23" s="436"/>
      <c r="R23" s="438"/>
      <c r="S23" s="437"/>
    </row>
    <row r="24" spans="2:20" x14ac:dyDescent="0.2">
      <c r="B24">
        <v>8</v>
      </c>
      <c r="C24" s="374">
        <v>66081</v>
      </c>
      <c r="D24" s="433">
        <v>26976</v>
      </c>
      <c r="E24" s="374"/>
      <c r="F24" s="374"/>
      <c r="G24" s="374"/>
      <c r="H24" s="433"/>
      <c r="I24" s="34">
        <f t="shared" si="1"/>
        <v>39105</v>
      </c>
      <c r="J24" s="433">
        <v>8054</v>
      </c>
      <c r="K24" s="434">
        <v>4847</v>
      </c>
      <c r="L24" s="433"/>
      <c r="M24" s="34">
        <v>3207</v>
      </c>
      <c r="N24" s="34">
        <f t="shared" si="0"/>
        <v>0</v>
      </c>
      <c r="O24" s="433">
        <v>5179</v>
      </c>
      <c r="P24" s="374"/>
      <c r="Q24" s="433">
        <v>21112</v>
      </c>
      <c r="R24" s="435">
        <v>685</v>
      </c>
      <c r="S24" s="434">
        <v>8054</v>
      </c>
      <c r="T24">
        <v>8</v>
      </c>
    </row>
    <row r="25" spans="2:20" x14ac:dyDescent="0.2">
      <c r="C25" s="375"/>
      <c r="D25" s="436"/>
      <c r="E25" s="375"/>
      <c r="F25" s="375"/>
      <c r="G25" s="375"/>
      <c r="H25" s="436"/>
      <c r="I25" s="34">
        <f t="shared" si="1"/>
        <v>0</v>
      </c>
      <c r="J25" s="436"/>
      <c r="K25" s="437"/>
      <c r="L25" s="436"/>
      <c r="M25" s="34"/>
      <c r="N25" s="34">
        <f t="shared" si="0"/>
        <v>0</v>
      </c>
      <c r="O25" s="436"/>
      <c r="P25" s="375"/>
      <c r="Q25" s="436"/>
      <c r="R25" s="438"/>
      <c r="S25" s="437"/>
    </row>
    <row r="26" spans="2:20" x14ac:dyDescent="0.2">
      <c r="B26">
        <v>9</v>
      </c>
      <c r="C26" s="374">
        <v>4716</v>
      </c>
      <c r="D26" s="433">
        <v>4055</v>
      </c>
      <c r="E26" s="374"/>
      <c r="F26" s="374"/>
      <c r="G26" s="374"/>
      <c r="H26" s="433"/>
      <c r="I26" s="34">
        <f t="shared" si="1"/>
        <v>661</v>
      </c>
      <c r="J26" s="433">
        <v>1100</v>
      </c>
      <c r="K26" s="434">
        <v>1100</v>
      </c>
      <c r="L26" s="433"/>
      <c r="M26" s="34"/>
      <c r="N26" s="34">
        <f t="shared" si="0"/>
        <v>0</v>
      </c>
      <c r="O26" s="433">
        <v>2655</v>
      </c>
      <c r="P26" s="374">
        <v>1400</v>
      </c>
      <c r="Q26" s="433"/>
      <c r="R26" s="435"/>
      <c r="S26" s="434">
        <v>3947</v>
      </c>
      <c r="T26">
        <v>9</v>
      </c>
    </row>
    <row r="27" spans="2:20" x14ac:dyDescent="0.2">
      <c r="C27" s="375"/>
      <c r="D27" s="436"/>
      <c r="E27" s="375"/>
      <c r="F27" s="375"/>
      <c r="G27" s="375"/>
      <c r="H27" s="436"/>
      <c r="I27" s="34">
        <f t="shared" si="1"/>
        <v>0</v>
      </c>
      <c r="J27" s="436"/>
      <c r="K27" s="437"/>
      <c r="L27" s="436"/>
      <c r="M27" s="34"/>
      <c r="N27" s="34">
        <f t="shared" si="0"/>
        <v>0</v>
      </c>
      <c r="O27" s="436"/>
      <c r="P27" s="375"/>
      <c r="Q27" s="436"/>
      <c r="R27" s="438"/>
      <c r="S27" s="437"/>
    </row>
    <row r="28" spans="2:20" x14ac:dyDescent="0.2">
      <c r="B28">
        <v>10</v>
      </c>
      <c r="C28" s="374">
        <v>46995</v>
      </c>
      <c r="D28" s="433">
        <v>14175</v>
      </c>
      <c r="E28" s="374"/>
      <c r="F28" s="374"/>
      <c r="G28" s="374"/>
      <c r="H28" s="433"/>
      <c r="I28" s="34">
        <f>C28-D28-E28-H28-F28-G28</f>
        <v>32820</v>
      </c>
      <c r="J28" s="433">
        <v>91418</v>
      </c>
      <c r="K28" s="434">
        <v>29759</v>
      </c>
      <c r="L28" s="433">
        <v>1500</v>
      </c>
      <c r="M28" s="34">
        <v>28488</v>
      </c>
      <c r="N28" s="34">
        <f t="shared" si="0"/>
        <v>31671</v>
      </c>
      <c r="O28" s="433">
        <v>9612</v>
      </c>
      <c r="P28" s="374"/>
      <c r="Q28" s="433">
        <v>2979</v>
      </c>
      <c r="R28" s="435">
        <v>1583</v>
      </c>
      <c r="S28" s="434">
        <v>70091</v>
      </c>
      <c r="T28">
        <v>10</v>
      </c>
    </row>
    <row r="29" spans="2:20" x14ac:dyDescent="0.2">
      <c r="C29" s="375"/>
      <c r="D29" s="436"/>
      <c r="E29" s="375"/>
      <c r="F29" s="375"/>
      <c r="G29" s="375"/>
      <c r="H29" s="436"/>
      <c r="I29" s="34">
        <f t="shared" si="1"/>
        <v>0</v>
      </c>
      <c r="J29" s="436"/>
      <c r="K29" s="437"/>
      <c r="L29" s="436"/>
      <c r="M29" s="34"/>
      <c r="N29" s="34">
        <f t="shared" si="0"/>
        <v>0</v>
      </c>
      <c r="O29" s="436"/>
      <c r="P29" s="375"/>
      <c r="Q29" s="436"/>
      <c r="R29" s="438"/>
      <c r="S29" s="437"/>
    </row>
    <row r="30" spans="2:20" s="58" customFormat="1" x14ac:dyDescent="0.2">
      <c r="B30" s="58">
        <v>11</v>
      </c>
      <c r="C30" s="919">
        <v>24725</v>
      </c>
      <c r="D30" s="920">
        <v>15466</v>
      </c>
      <c r="E30" s="919"/>
      <c r="F30" s="919"/>
      <c r="G30" s="919">
        <v>9259</v>
      </c>
      <c r="H30" s="920"/>
      <c r="I30" s="492">
        <f t="shared" si="1"/>
        <v>0</v>
      </c>
      <c r="J30" s="920">
        <v>12360</v>
      </c>
      <c r="K30" s="921">
        <v>1100</v>
      </c>
      <c r="L30" s="920">
        <v>1000</v>
      </c>
      <c r="M30" s="492">
        <v>2713</v>
      </c>
      <c r="N30" s="492">
        <f t="shared" si="0"/>
        <v>7547</v>
      </c>
      <c r="O30" s="920">
        <v>8507</v>
      </c>
      <c r="P30" s="919">
        <v>6959</v>
      </c>
      <c r="Q30" s="920"/>
      <c r="R30" s="922"/>
      <c r="S30" s="921">
        <v>6213</v>
      </c>
      <c r="T30" s="58">
        <v>11</v>
      </c>
    </row>
    <row r="31" spans="2:20" x14ac:dyDescent="0.2">
      <c r="C31" s="375"/>
      <c r="D31" s="436"/>
      <c r="E31" s="375"/>
      <c r="F31" s="375"/>
      <c r="G31" s="375"/>
      <c r="H31" s="436"/>
      <c r="I31" s="34">
        <f t="shared" si="1"/>
        <v>0</v>
      </c>
      <c r="J31" s="436"/>
      <c r="K31" s="437"/>
      <c r="L31" s="436"/>
      <c r="M31" s="34"/>
      <c r="N31" s="34">
        <f t="shared" si="0"/>
        <v>0</v>
      </c>
      <c r="O31" s="436"/>
      <c r="P31" s="375"/>
      <c r="Q31" s="436"/>
      <c r="R31" s="438"/>
      <c r="S31" s="437"/>
    </row>
    <row r="32" spans="2:20" x14ac:dyDescent="0.2">
      <c r="B32">
        <v>12</v>
      </c>
      <c r="C32" s="374">
        <v>83725</v>
      </c>
      <c r="D32" s="433">
        <v>20849</v>
      </c>
      <c r="E32" s="374"/>
      <c r="F32" s="374">
        <v>36702</v>
      </c>
      <c r="G32" s="374"/>
      <c r="H32" s="433"/>
      <c r="I32" s="34">
        <f t="shared" si="1"/>
        <v>26174</v>
      </c>
      <c r="J32" s="433">
        <v>11134</v>
      </c>
      <c r="K32" s="434">
        <v>6551</v>
      </c>
      <c r="L32" s="433"/>
      <c r="M32" s="34">
        <v>4583</v>
      </c>
      <c r="N32" s="34">
        <f t="shared" si="0"/>
        <v>0</v>
      </c>
      <c r="O32" s="464">
        <v>19770</v>
      </c>
      <c r="P32" s="374"/>
      <c r="Q32" s="433"/>
      <c r="R32" s="435">
        <v>1080</v>
      </c>
      <c r="S32" s="434">
        <v>10097</v>
      </c>
      <c r="T32">
        <v>12</v>
      </c>
    </row>
    <row r="33" spans="2:20" x14ac:dyDescent="0.2">
      <c r="C33" s="375"/>
      <c r="D33" s="436"/>
      <c r="E33" s="375"/>
      <c r="F33" s="375"/>
      <c r="G33" s="375"/>
      <c r="H33" s="436"/>
      <c r="I33" s="34">
        <f t="shared" si="1"/>
        <v>0</v>
      </c>
      <c r="J33" s="436"/>
      <c r="K33" s="437"/>
      <c r="L33" s="436"/>
      <c r="M33" s="34"/>
      <c r="N33" s="34">
        <f t="shared" si="0"/>
        <v>0</v>
      </c>
      <c r="O33" s="436"/>
      <c r="P33" s="375"/>
      <c r="Q33" s="436"/>
      <c r="R33" s="438"/>
      <c r="S33" s="437"/>
    </row>
    <row r="34" spans="2:20" x14ac:dyDescent="0.2">
      <c r="B34">
        <v>13</v>
      </c>
      <c r="C34" s="374">
        <v>24816</v>
      </c>
      <c r="D34" s="433">
        <v>7398</v>
      </c>
      <c r="E34" s="374"/>
      <c r="F34" s="374"/>
      <c r="G34" s="374"/>
      <c r="H34" s="433"/>
      <c r="I34" s="34">
        <f t="shared" si="1"/>
        <v>17418</v>
      </c>
      <c r="J34" s="433">
        <v>36196</v>
      </c>
      <c r="K34" s="434">
        <v>4180</v>
      </c>
      <c r="L34" s="433">
        <v>8550</v>
      </c>
      <c r="M34" s="34"/>
      <c r="N34" s="34">
        <f t="shared" si="0"/>
        <v>23466</v>
      </c>
      <c r="O34" s="433">
        <v>6306</v>
      </c>
      <c r="P34" s="374"/>
      <c r="Q34" s="433"/>
      <c r="R34" s="435">
        <v>1093</v>
      </c>
      <c r="S34" s="434">
        <v>15149</v>
      </c>
      <c r="T34">
        <v>13</v>
      </c>
    </row>
    <row r="35" spans="2:20" x14ac:dyDescent="0.2">
      <c r="C35" s="375"/>
      <c r="D35" s="436"/>
      <c r="E35" s="375"/>
      <c r="F35" s="375"/>
      <c r="G35" s="375"/>
      <c r="H35" s="436"/>
      <c r="I35" s="34">
        <f t="shared" si="1"/>
        <v>0</v>
      </c>
      <c r="J35" s="436"/>
      <c r="K35" s="437"/>
      <c r="L35" s="436"/>
      <c r="M35" s="34"/>
      <c r="N35" s="34">
        <f t="shared" si="0"/>
        <v>0</v>
      </c>
      <c r="O35" s="436"/>
      <c r="P35" s="375"/>
      <c r="Q35" s="436"/>
      <c r="R35" s="438"/>
      <c r="S35" s="437"/>
    </row>
    <row r="36" spans="2:20" x14ac:dyDescent="0.2">
      <c r="B36">
        <v>14</v>
      </c>
      <c r="C36" s="374">
        <v>30498</v>
      </c>
      <c r="D36" s="433">
        <v>5416</v>
      </c>
      <c r="E36" s="374"/>
      <c r="F36" s="1042"/>
      <c r="G36" s="374"/>
      <c r="H36" s="433"/>
      <c r="I36" s="34">
        <f t="shared" si="1"/>
        <v>25082</v>
      </c>
      <c r="J36" s="433"/>
      <c r="K36" s="434"/>
      <c r="L36" s="433"/>
      <c r="M36" s="34"/>
      <c r="N36" s="34">
        <f t="shared" si="0"/>
        <v>0</v>
      </c>
      <c r="O36" s="464">
        <v>5416</v>
      </c>
      <c r="P36" s="374"/>
      <c r="Q36" s="433"/>
      <c r="R36" s="435"/>
      <c r="S36" s="434">
        <v>938</v>
      </c>
      <c r="T36">
        <v>14</v>
      </c>
    </row>
    <row r="37" spans="2:20" x14ac:dyDescent="0.2">
      <c r="C37" s="375"/>
      <c r="D37" s="436"/>
      <c r="E37" s="375"/>
      <c r="F37" s="375"/>
      <c r="G37" s="375"/>
      <c r="H37" s="436"/>
      <c r="I37" s="34">
        <f t="shared" si="1"/>
        <v>0</v>
      </c>
      <c r="J37" s="436"/>
      <c r="K37" s="437"/>
      <c r="L37" s="436"/>
      <c r="M37" s="34"/>
      <c r="N37" s="34">
        <f t="shared" si="0"/>
        <v>0</v>
      </c>
      <c r="O37" s="436"/>
      <c r="P37" s="375"/>
      <c r="Q37" s="436"/>
      <c r="R37" s="438"/>
      <c r="S37" s="437"/>
    </row>
    <row r="38" spans="2:20" x14ac:dyDescent="0.2">
      <c r="B38">
        <v>15</v>
      </c>
      <c r="C38" s="374">
        <v>98928</v>
      </c>
      <c r="D38" s="433">
        <v>57461</v>
      </c>
      <c r="E38" s="374"/>
      <c r="F38" s="374"/>
      <c r="G38" s="374"/>
      <c r="H38" s="433">
        <v>9031</v>
      </c>
      <c r="I38" s="34">
        <f t="shared" si="1"/>
        <v>32436</v>
      </c>
      <c r="J38" s="433">
        <v>107967</v>
      </c>
      <c r="K38" s="434">
        <v>44810</v>
      </c>
      <c r="L38" s="433">
        <v>17360</v>
      </c>
      <c r="M38" s="34">
        <v>6653</v>
      </c>
      <c r="N38" s="34">
        <f t="shared" si="0"/>
        <v>39144</v>
      </c>
      <c r="O38" s="433">
        <v>37635</v>
      </c>
      <c r="P38" s="374"/>
      <c r="Q38" s="433">
        <v>1089</v>
      </c>
      <c r="R38" s="435">
        <v>18738</v>
      </c>
      <c r="S38" s="434">
        <v>74336</v>
      </c>
      <c r="T38">
        <v>15</v>
      </c>
    </row>
    <row r="39" spans="2:20" x14ac:dyDescent="0.2">
      <c r="C39" s="375"/>
      <c r="D39" s="436"/>
      <c r="E39" s="375"/>
      <c r="F39" s="375"/>
      <c r="G39" s="375"/>
      <c r="H39" s="436"/>
      <c r="I39" s="34">
        <f t="shared" si="1"/>
        <v>0</v>
      </c>
      <c r="J39" s="436"/>
      <c r="K39" s="437"/>
      <c r="L39" s="436"/>
      <c r="M39" s="34"/>
      <c r="N39" s="34">
        <f t="shared" si="0"/>
        <v>0</v>
      </c>
      <c r="O39" s="436"/>
      <c r="P39" s="375"/>
      <c r="Q39" s="436"/>
      <c r="R39" s="438"/>
      <c r="S39" s="437"/>
    </row>
    <row r="40" spans="2:20" x14ac:dyDescent="0.2">
      <c r="B40">
        <v>16</v>
      </c>
      <c r="C40" s="374">
        <v>145928</v>
      </c>
      <c r="D40" s="433">
        <v>2880</v>
      </c>
      <c r="E40" s="374"/>
      <c r="F40" s="374">
        <v>118348</v>
      </c>
      <c r="G40" s="374"/>
      <c r="H40" s="433"/>
      <c r="I40" s="34">
        <f t="shared" si="1"/>
        <v>24700</v>
      </c>
      <c r="J40" s="433">
        <v>35214</v>
      </c>
      <c r="K40" s="434">
        <v>6064</v>
      </c>
      <c r="L40" s="433"/>
      <c r="M40" s="34">
        <v>8300</v>
      </c>
      <c r="N40" s="34">
        <f t="shared" si="0"/>
        <v>20850</v>
      </c>
      <c r="O40" s="433">
        <v>2880</v>
      </c>
      <c r="P40" s="374"/>
      <c r="Q40" s="433"/>
      <c r="R40" s="435"/>
      <c r="S40" s="434">
        <v>14364</v>
      </c>
      <c r="T40">
        <v>16</v>
      </c>
    </row>
    <row r="41" spans="2:20" x14ac:dyDescent="0.2">
      <c r="C41" s="375"/>
      <c r="D41" s="436"/>
      <c r="E41" s="375"/>
      <c r="F41" s="375"/>
      <c r="G41" s="375"/>
      <c r="H41" s="436"/>
      <c r="I41" s="34">
        <f t="shared" si="1"/>
        <v>0</v>
      </c>
      <c r="J41" s="436"/>
      <c r="K41" s="437"/>
      <c r="L41" s="436"/>
      <c r="M41" s="34"/>
      <c r="N41" s="34">
        <f t="shared" si="0"/>
        <v>0</v>
      </c>
      <c r="O41" s="436"/>
      <c r="P41" s="375"/>
      <c r="Q41" s="436"/>
      <c r="R41" s="438"/>
      <c r="S41" s="437"/>
    </row>
    <row r="42" spans="2:20" x14ac:dyDescent="0.2">
      <c r="B42">
        <v>17</v>
      </c>
      <c r="C42" s="374">
        <v>13712</v>
      </c>
      <c r="D42" s="433">
        <v>13712</v>
      </c>
      <c r="E42" s="374"/>
      <c r="F42" s="1042"/>
      <c r="G42" s="374"/>
      <c r="H42" s="433"/>
      <c r="I42" s="34">
        <f t="shared" si="1"/>
        <v>0</v>
      </c>
      <c r="J42" s="433">
        <v>5818</v>
      </c>
      <c r="K42" s="434">
        <v>2818</v>
      </c>
      <c r="L42" s="433"/>
      <c r="M42" s="34">
        <v>3000</v>
      </c>
      <c r="N42" s="34">
        <f t="shared" si="0"/>
        <v>0</v>
      </c>
      <c r="O42" s="433">
        <v>9429</v>
      </c>
      <c r="P42" s="374"/>
      <c r="Q42" s="433"/>
      <c r="R42" s="435">
        <v>4283</v>
      </c>
      <c r="S42" s="434">
        <v>6424</v>
      </c>
      <c r="T42">
        <v>17</v>
      </c>
    </row>
    <row r="43" spans="2:20" x14ac:dyDescent="0.2">
      <c r="C43" s="375"/>
      <c r="D43" s="436"/>
      <c r="E43" s="375"/>
      <c r="F43" s="375"/>
      <c r="G43" s="375"/>
      <c r="H43" s="436"/>
      <c r="I43" s="34"/>
      <c r="J43" s="436"/>
      <c r="K43" s="437"/>
      <c r="L43" s="436"/>
      <c r="M43" s="34"/>
      <c r="N43" s="34">
        <f t="shared" si="0"/>
        <v>0</v>
      </c>
      <c r="O43" s="436"/>
      <c r="P43" s="375"/>
      <c r="Q43" s="436"/>
      <c r="R43" s="438"/>
      <c r="S43" s="437"/>
    </row>
    <row r="44" spans="2:20" x14ac:dyDescent="0.2">
      <c r="B44">
        <v>18</v>
      </c>
      <c r="C44" s="374">
        <v>38765</v>
      </c>
      <c r="D44" s="433">
        <v>13265</v>
      </c>
      <c r="E44" s="374"/>
      <c r="F44" s="374"/>
      <c r="G44" s="374"/>
      <c r="H44" s="433"/>
      <c r="I44" s="34">
        <f t="shared" si="1"/>
        <v>25500</v>
      </c>
      <c r="J44" s="433">
        <v>9812</v>
      </c>
      <c r="K44" s="434">
        <v>3676</v>
      </c>
      <c r="L44" s="433"/>
      <c r="M44" s="34">
        <v>6136</v>
      </c>
      <c r="N44" s="34">
        <f t="shared" si="0"/>
        <v>0</v>
      </c>
      <c r="O44" s="433">
        <v>9818</v>
      </c>
      <c r="P44" s="374"/>
      <c r="Q44" s="433">
        <v>1000</v>
      </c>
      <c r="R44" s="435">
        <v>2448</v>
      </c>
      <c r="S44" s="434">
        <v>10860</v>
      </c>
      <c r="T44">
        <v>18</v>
      </c>
    </row>
    <row r="45" spans="2:20" x14ac:dyDescent="0.2">
      <c r="C45" s="375"/>
      <c r="D45" s="436"/>
      <c r="E45" s="375"/>
      <c r="F45" s="375"/>
      <c r="G45" s="375"/>
      <c r="H45" s="436"/>
      <c r="I45" s="34">
        <f t="shared" si="1"/>
        <v>0</v>
      </c>
      <c r="J45" s="436"/>
      <c r="K45" s="437"/>
      <c r="L45" s="436"/>
      <c r="M45" s="34"/>
      <c r="N45" s="34">
        <f t="shared" si="0"/>
        <v>0</v>
      </c>
      <c r="O45" s="436"/>
      <c r="P45" s="375"/>
      <c r="Q45" s="436"/>
      <c r="R45" s="438"/>
      <c r="S45" s="437"/>
    </row>
    <row r="46" spans="2:20" x14ac:dyDescent="0.2">
      <c r="B46">
        <v>19</v>
      </c>
      <c r="C46" s="374">
        <v>11213</v>
      </c>
      <c r="D46" s="433">
        <v>11213</v>
      </c>
      <c r="E46" s="374"/>
      <c r="F46" s="374"/>
      <c r="G46" s="374"/>
      <c r="H46" s="433"/>
      <c r="I46" s="34">
        <f t="shared" si="1"/>
        <v>0</v>
      </c>
      <c r="J46" s="433">
        <v>23040</v>
      </c>
      <c r="K46" s="434">
        <v>1180</v>
      </c>
      <c r="L46" s="433">
        <v>1000</v>
      </c>
      <c r="M46" s="34"/>
      <c r="N46" s="34">
        <f t="shared" si="0"/>
        <v>20860</v>
      </c>
      <c r="O46" s="433">
        <v>10133</v>
      </c>
      <c r="P46" s="374"/>
      <c r="Q46" s="433"/>
      <c r="R46" s="435">
        <v>1080</v>
      </c>
      <c r="S46" s="434">
        <v>3424</v>
      </c>
      <c r="T46">
        <v>19</v>
      </c>
    </row>
    <row r="47" spans="2:20" x14ac:dyDescent="0.2">
      <c r="C47" s="375"/>
      <c r="D47" s="436"/>
      <c r="E47" s="375"/>
      <c r="F47" s="375"/>
      <c r="G47" s="375"/>
      <c r="H47" s="436"/>
      <c r="I47" s="34">
        <f t="shared" si="1"/>
        <v>0</v>
      </c>
      <c r="J47" s="436"/>
      <c r="K47" s="437"/>
      <c r="L47" s="436"/>
      <c r="M47" s="34"/>
      <c r="N47" s="34">
        <f t="shared" si="0"/>
        <v>0</v>
      </c>
      <c r="O47" s="436"/>
      <c r="P47" s="375"/>
      <c r="Q47" s="436"/>
      <c r="R47" s="438"/>
      <c r="S47" s="437"/>
    </row>
    <row r="48" spans="2:20" x14ac:dyDescent="0.2">
      <c r="B48">
        <v>20</v>
      </c>
      <c r="C48" s="374">
        <v>103741</v>
      </c>
      <c r="D48" s="433">
        <v>36338</v>
      </c>
      <c r="E48" s="374"/>
      <c r="F48" s="374"/>
      <c r="G48" s="374"/>
      <c r="H48" s="433">
        <f>676+24443+2749</f>
        <v>27868</v>
      </c>
      <c r="I48" s="34">
        <f>C48-D48-E48-H48-F48-G48</f>
        <v>39535</v>
      </c>
      <c r="J48" s="433">
        <v>117855</v>
      </c>
      <c r="K48" s="434">
        <v>36740</v>
      </c>
      <c r="L48" s="433">
        <v>27933</v>
      </c>
      <c r="M48" s="34">
        <v>19047</v>
      </c>
      <c r="N48" s="34">
        <f t="shared" si="0"/>
        <v>34135</v>
      </c>
      <c r="O48" s="433">
        <v>20593</v>
      </c>
      <c r="P48" s="374">
        <v>2652</v>
      </c>
      <c r="Q48" s="433">
        <v>3255</v>
      </c>
      <c r="R48" s="435">
        <v>9839</v>
      </c>
      <c r="S48" s="434">
        <v>98255</v>
      </c>
      <c r="T48">
        <v>20</v>
      </c>
    </row>
    <row r="49" spans="2:22" x14ac:dyDescent="0.2">
      <c r="C49" s="375"/>
      <c r="D49" s="436"/>
      <c r="E49" s="375"/>
      <c r="F49" s="375"/>
      <c r="G49" s="375"/>
      <c r="H49" s="436"/>
      <c r="I49" s="34">
        <f t="shared" si="1"/>
        <v>0</v>
      </c>
      <c r="J49" s="436"/>
      <c r="K49" s="437"/>
      <c r="L49" s="436"/>
      <c r="M49" s="34"/>
      <c r="N49" s="34">
        <f t="shared" si="0"/>
        <v>0</v>
      </c>
      <c r="O49" s="436"/>
      <c r="P49" s="375"/>
      <c r="Q49" s="436"/>
      <c r="R49" s="438"/>
      <c r="S49" s="437"/>
    </row>
    <row r="50" spans="2:22" x14ac:dyDescent="0.2">
      <c r="B50">
        <v>21</v>
      </c>
      <c r="C50" s="374">
        <v>3124</v>
      </c>
      <c r="D50" s="433">
        <v>1890</v>
      </c>
      <c r="E50" s="374"/>
      <c r="F50" s="374"/>
      <c r="G50" s="374"/>
      <c r="H50" s="433"/>
      <c r="I50" s="34">
        <f t="shared" si="1"/>
        <v>1234</v>
      </c>
      <c r="J50" s="433">
        <v>13298</v>
      </c>
      <c r="K50" s="434">
        <v>2280</v>
      </c>
      <c r="L50" s="433">
        <v>1200</v>
      </c>
      <c r="M50" s="34"/>
      <c r="N50" s="34">
        <f t="shared" si="0"/>
        <v>9818</v>
      </c>
      <c r="O50" s="433">
        <v>1890</v>
      </c>
      <c r="P50" s="374"/>
      <c r="Q50" s="433"/>
      <c r="R50" s="435"/>
      <c r="S50" s="434">
        <v>3685</v>
      </c>
      <c r="T50">
        <v>21</v>
      </c>
    </row>
    <row r="51" spans="2:22" x14ac:dyDescent="0.2">
      <c r="C51" s="375"/>
      <c r="D51" s="436"/>
      <c r="E51" s="375"/>
      <c r="F51" s="375"/>
      <c r="G51" s="375"/>
      <c r="H51" s="436"/>
      <c r="I51" s="34">
        <f t="shared" si="1"/>
        <v>0</v>
      </c>
      <c r="J51" s="436"/>
      <c r="K51" s="437"/>
      <c r="L51" s="436"/>
      <c r="M51" s="34"/>
      <c r="N51" s="34">
        <f t="shared" si="0"/>
        <v>0</v>
      </c>
      <c r="O51" s="436"/>
      <c r="P51" s="375"/>
      <c r="Q51" s="436"/>
      <c r="R51" s="438"/>
      <c r="S51" s="437"/>
    </row>
    <row r="52" spans="2:22" x14ac:dyDescent="0.2">
      <c r="B52">
        <v>22</v>
      </c>
      <c r="C52" s="374">
        <v>12484</v>
      </c>
      <c r="D52" s="433"/>
      <c r="E52" s="374"/>
      <c r="F52" s="374"/>
      <c r="G52" s="374"/>
      <c r="H52" s="433"/>
      <c r="I52" s="34">
        <f t="shared" si="1"/>
        <v>12484</v>
      </c>
      <c r="J52" s="433">
        <v>43043</v>
      </c>
      <c r="K52" s="434">
        <v>9400</v>
      </c>
      <c r="L52" s="433"/>
      <c r="M52" s="34">
        <v>3250</v>
      </c>
      <c r="N52" s="34">
        <f t="shared" si="0"/>
        <v>30393</v>
      </c>
      <c r="O52" s="433"/>
      <c r="P52" s="374"/>
      <c r="Q52" s="433"/>
      <c r="R52" s="435"/>
      <c r="S52" s="434">
        <v>13261</v>
      </c>
      <c r="T52">
        <v>22</v>
      </c>
    </row>
    <row r="53" spans="2:22" x14ac:dyDescent="0.2">
      <c r="C53" s="375"/>
      <c r="D53" s="436"/>
      <c r="E53" s="375"/>
      <c r="F53" s="375"/>
      <c r="G53" s="375"/>
      <c r="H53" s="436"/>
      <c r="I53" s="34">
        <f t="shared" si="1"/>
        <v>0</v>
      </c>
      <c r="J53" s="436"/>
      <c r="K53" s="437"/>
      <c r="L53" s="436"/>
      <c r="M53" s="34"/>
      <c r="N53" s="34">
        <f t="shared" si="0"/>
        <v>0</v>
      </c>
      <c r="O53" s="436"/>
      <c r="P53" s="375"/>
      <c r="Q53" s="436"/>
      <c r="R53" s="438"/>
      <c r="S53" s="437"/>
    </row>
    <row r="54" spans="2:22" x14ac:dyDescent="0.2">
      <c r="B54">
        <v>23</v>
      </c>
      <c r="C54" s="374">
        <v>42231</v>
      </c>
      <c r="D54" s="433">
        <v>3231</v>
      </c>
      <c r="E54" s="374"/>
      <c r="F54" s="374">
        <v>28605</v>
      </c>
      <c r="G54" s="374"/>
      <c r="H54" s="433"/>
      <c r="I54" s="34">
        <f t="shared" si="1"/>
        <v>10395</v>
      </c>
      <c r="J54" s="433">
        <v>12960</v>
      </c>
      <c r="K54" s="434">
        <v>8660</v>
      </c>
      <c r="L54" s="433">
        <v>4300</v>
      </c>
      <c r="M54" s="34"/>
      <c r="N54" s="34">
        <f t="shared" si="0"/>
        <v>0</v>
      </c>
      <c r="O54" s="433">
        <v>2963</v>
      </c>
      <c r="P54" s="374">
        <v>269</v>
      </c>
      <c r="Q54" s="433"/>
      <c r="R54" s="435"/>
      <c r="S54" s="434">
        <v>13776</v>
      </c>
      <c r="T54">
        <v>23</v>
      </c>
    </row>
    <row r="55" spans="2:22" x14ac:dyDescent="0.2">
      <c r="C55" s="375"/>
      <c r="D55" s="436"/>
      <c r="E55" s="375"/>
      <c r="F55" s="375"/>
      <c r="G55" s="375"/>
      <c r="H55" s="436"/>
      <c r="I55" s="34">
        <f t="shared" si="1"/>
        <v>0</v>
      </c>
      <c r="J55" s="436"/>
      <c r="K55" s="437"/>
      <c r="L55" s="436"/>
      <c r="M55" s="34"/>
      <c r="N55" s="34">
        <f t="shared" si="0"/>
        <v>0</v>
      </c>
      <c r="O55" s="436"/>
      <c r="P55" s="375"/>
      <c r="Q55" s="436"/>
      <c r="R55" s="438"/>
      <c r="S55" s="437"/>
    </row>
    <row r="56" spans="2:22" x14ac:dyDescent="0.2">
      <c r="B56">
        <v>24</v>
      </c>
      <c r="C56" s="374">
        <v>59091</v>
      </c>
      <c r="D56" s="433">
        <v>11168</v>
      </c>
      <c r="E56" s="374"/>
      <c r="F56" s="1042"/>
      <c r="G56" s="374">
        <v>15289</v>
      </c>
      <c r="H56" s="433"/>
      <c r="I56" s="34">
        <f t="shared" si="1"/>
        <v>32634</v>
      </c>
      <c r="J56" s="433">
        <v>8400</v>
      </c>
      <c r="K56" s="434"/>
      <c r="L56" s="433"/>
      <c r="M56" s="34"/>
      <c r="N56" s="34">
        <f t="shared" si="0"/>
        <v>8400</v>
      </c>
      <c r="O56" s="433">
        <v>10088</v>
      </c>
      <c r="P56" s="374"/>
      <c r="Q56" s="433"/>
      <c r="R56" s="435">
        <v>1080</v>
      </c>
      <c r="S56" s="434">
        <v>80</v>
      </c>
      <c r="T56">
        <v>24</v>
      </c>
    </row>
    <row r="57" spans="2:22" x14ac:dyDescent="0.2">
      <c r="C57" s="375"/>
      <c r="D57" s="436"/>
      <c r="E57" s="375"/>
      <c r="F57" s="375"/>
      <c r="G57" s="375"/>
      <c r="H57" s="436"/>
      <c r="I57" s="34">
        <f t="shared" si="1"/>
        <v>0</v>
      </c>
      <c r="J57" s="436"/>
      <c r="K57" s="437"/>
      <c r="L57" s="436"/>
      <c r="M57" s="34"/>
      <c r="N57" s="34">
        <f t="shared" si="0"/>
        <v>0</v>
      </c>
      <c r="O57" s="436"/>
      <c r="P57" s="375"/>
      <c r="Q57" s="436"/>
      <c r="R57" s="438"/>
      <c r="S57" s="437"/>
    </row>
    <row r="58" spans="2:22" x14ac:dyDescent="0.2">
      <c r="B58">
        <v>25</v>
      </c>
      <c r="C58" s="374">
        <v>63794</v>
      </c>
      <c r="D58" s="433">
        <v>20603</v>
      </c>
      <c r="E58" s="374"/>
      <c r="F58" s="1042"/>
      <c r="G58" s="374"/>
      <c r="H58" s="433"/>
      <c r="I58" s="34">
        <f t="shared" si="1"/>
        <v>43191</v>
      </c>
      <c r="J58" s="433">
        <v>81103</v>
      </c>
      <c r="K58" s="434">
        <v>10420</v>
      </c>
      <c r="L58" s="433">
        <v>7162</v>
      </c>
      <c r="M58" s="34">
        <v>3841</v>
      </c>
      <c r="N58" s="34">
        <f t="shared" si="0"/>
        <v>59680</v>
      </c>
      <c r="O58" s="433">
        <v>12247</v>
      </c>
      <c r="P58" s="374"/>
      <c r="Q58" s="433">
        <v>3431</v>
      </c>
      <c r="R58" s="435">
        <v>4924</v>
      </c>
      <c r="S58" s="434">
        <v>21704</v>
      </c>
      <c r="T58">
        <v>25</v>
      </c>
    </row>
    <row r="59" spans="2:22" x14ac:dyDescent="0.2">
      <c r="C59" s="375"/>
      <c r="D59" s="436"/>
      <c r="E59" s="375"/>
      <c r="F59" s="375"/>
      <c r="G59" s="375"/>
      <c r="H59" s="436"/>
      <c r="I59" s="34">
        <f t="shared" si="1"/>
        <v>0</v>
      </c>
      <c r="J59" s="436"/>
      <c r="K59" s="437"/>
      <c r="L59" s="436"/>
      <c r="M59" s="34"/>
      <c r="N59" s="34">
        <f t="shared" si="0"/>
        <v>0</v>
      </c>
      <c r="O59" s="436"/>
      <c r="P59" s="375"/>
      <c r="Q59" s="436"/>
      <c r="R59" s="438"/>
      <c r="S59" s="437"/>
    </row>
    <row r="60" spans="2:22" x14ac:dyDescent="0.2">
      <c r="B60">
        <v>26</v>
      </c>
      <c r="C60" s="374">
        <v>59490</v>
      </c>
      <c r="D60" s="433">
        <v>13241</v>
      </c>
      <c r="E60" s="374"/>
      <c r="F60" s="1146">
        <v>13400</v>
      </c>
      <c r="G60" s="374">
        <v>6479</v>
      </c>
      <c r="H60" s="433"/>
      <c r="I60" s="34">
        <f t="shared" si="1"/>
        <v>26370</v>
      </c>
      <c r="J60" s="433">
        <v>4342</v>
      </c>
      <c r="K60" s="434"/>
      <c r="L60" s="433"/>
      <c r="M60" s="34">
        <v>4342</v>
      </c>
      <c r="N60" s="34">
        <f t="shared" si="0"/>
        <v>0</v>
      </c>
      <c r="O60" s="433">
        <v>12041</v>
      </c>
      <c r="P60" s="374">
        <v>1200</v>
      </c>
      <c r="Q60" s="433"/>
      <c r="R60" s="435"/>
      <c r="S60" s="434">
        <v>5825</v>
      </c>
      <c r="T60">
        <v>26</v>
      </c>
    </row>
    <row r="61" spans="2:22" x14ac:dyDescent="0.2">
      <c r="C61" s="375"/>
      <c r="D61" s="436"/>
      <c r="E61" s="375"/>
      <c r="F61" s="375"/>
      <c r="G61" s="375"/>
      <c r="H61" s="436"/>
      <c r="I61" s="34">
        <f t="shared" si="1"/>
        <v>0</v>
      </c>
      <c r="J61" s="436"/>
      <c r="K61" s="437"/>
      <c r="L61" s="436"/>
      <c r="M61" s="34"/>
      <c r="N61" s="34">
        <f t="shared" si="0"/>
        <v>0</v>
      </c>
      <c r="O61" s="436"/>
      <c r="P61" s="375"/>
      <c r="Q61" s="436"/>
      <c r="R61" s="438"/>
      <c r="S61" s="437"/>
    </row>
    <row r="62" spans="2:22" x14ac:dyDescent="0.2">
      <c r="B62">
        <v>27</v>
      </c>
      <c r="C62" s="374">
        <v>48801</v>
      </c>
      <c r="D62" s="433">
        <v>8625</v>
      </c>
      <c r="E62" s="374"/>
      <c r="F62" s="374"/>
      <c r="G62" s="374"/>
      <c r="H62" s="433"/>
      <c r="I62" s="34">
        <f t="shared" si="1"/>
        <v>40176</v>
      </c>
      <c r="J62" s="433">
        <v>21150</v>
      </c>
      <c r="K62" s="434">
        <v>3900</v>
      </c>
      <c r="L62" s="433"/>
      <c r="M62" s="34"/>
      <c r="N62" s="34">
        <f t="shared" si="0"/>
        <v>17250</v>
      </c>
      <c r="O62" s="433">
        <v>6451</v>
      </c>
      <c r="P62" s="374"/>
      <c r="Q62" s="433"/>
      <c r="R62" s="435">
        <v>2174</v>
      </c>
      <c r="S62" s="434">
        <v>4797</v>
      </c>
      <c r="T62">
        <v>27</v>
      </c>
    </row>
    <row r="63" spans="2:22" x14ac:dyDescent="0.2">
      <c r="C63" s="375"/>
      <c r="D63" s="436"/>
      <c r="E63" s="375"/>
      <c r="F63" s="375"/>
      <c r="G63" s="375"/>
      <c r="H63" s="436"/>
      <c r="I63" s="34">
        <f t="shared" si="1"/>
        <v>0</v>
      </c>
      <c r="J63" s="436"/>
      <c r="K63" s="437"/>
      <c r="L63" s="436"/>
      <c r="M63" s="34"/>
      <c r="N63" s="34">
        <f t="shared" si="0"/>
        <v>0</v>
      </c>
      <c r="O63" s="436"/>
      <c r="P63" s="375"/>
      <c r="Q63" s="436"/>
      <c r="R63" s="438"/>
      <c r="S63" s="437"/>
    </row>
    <row r="64" spans="2:22" x14ac:dyDescent="0.2">
      <c r="B64">
        <v>28</v>
      </c>
      <c r="C64" s="374">
        <v>18385</v>
      </c>
      <c r="D64" s="433">
        <v>3744</v>
      </c>
      <c r="E64" s="374"/>
      <c r="F64" s="374"/>
      <c r="G64" s="374"/>
      <c r="H64" s="433"/>
      <c r="I64" s="34">
        <f t="shared" si="1"/>
        <v>14641</v>
      </c>
      <c r="J64" s="433">
        <v>40185</v>
      </c>
      <c r="K64" s="434">
        <v>5935</v>
      </c>
      <c r="L64" s="433">
        <v>1244</v>
      </c>
      <c r="M64" s="34"/>
      <c r="N64" s="34">
        <f t="shared" si="0"/>
        <v>33006</v>
      </c>
      <c r="O64" s="433">
        <v>3744</v>
      </c>
      <c r="P64" s="374"/>
      <c r="Q64" s="433"/>
      <c r="R64" s="435"/>
      <c r="S64" s="434">
        <v>8080</v>
      </c>
      <c r="T64">
        <v>28</v>
      </c>
      <c r="V64" s="54"/>
    </row>
    <row r="65" spans="1:25" x14ac:dyDescent="0.2">
      <c r="C65" s="375"/>
      <c r="D65" s="436"/>
      <c r="E65" s="375"/>
      <c r="F65" s="375"/>
      <c r="G65" s="375"/>
      <c r="H65" s="436"/>
      <c r="I65" s="34">
        <f t="shared" si="1"/>
        <v>0</v>
      </c>
      <c r="J65" s="436"/>
      <c r="K65" s="437"/>
      <c r="L65" s="436"/>
      <c r="M65" s="34"/>
      <c r="N65" s="34">
        <f t="shared" si="0"/>
        <v>0</v>
      </c>
      <c r="O65" s="436"/>
      <c r="P65" s="375"/>
      <c r="Q65" s="436"/>
      <c r="R65" s="438"/>
      <c r="S65" s="437"/>
    </row>
    <row r="66" spans="1:25" x14ac:dyDescent="0.2">
      <c r="B66">
        <v>29</v>
      </c>
      <c r="C66" s="374">
        <v>30581</v>
      </c>
      <c r="D66" s="433">
        <v>1000</v>
      </c>
      <c r="E66" s="374"/>
      <c r="F66" s="374"/>
      <c r="G66" s="374"/>
      <c r="H66" s="433"/>
      <c r="I66" s="34">
        <f t="shared" si="1"/>
        <v>29581</v>
      </c>
      <c r="J66" s="433">
        <v>3573</v>
      </c>
      <c r="K66" s="434">
        <v>3573</v>
      </c>
      <c r="L66" s="433"/>
      <c r="M66" s="34"/>
      <c r="N66" s="34">
        <f t="shared" si="0"/>
        <v>0</v>
      </c>
      <c r="O66" s="464">
        <v>1000</v>
      </c>
      <c r="P66" s="374"/>
      <c r="Q66" s="433"/>
      <c r="R66" s="435"/>
      <c r="S66" s="434">
        <v>4389</v>
      </c>
      <c r="T66">
        <v>29</v>
      </c>
    </row>
    <row r="67" spans="1:25" x14ac:dyDescent="0.2">
      <c r="C67" s="375"/>
      <c r="D67" s="436"/>
      <c r="E67" s="375"/>
      <c r="F67" s="375"/>
      <c r="G67" s="375"/>
      <c r="H67" s="436"/>
      <c r="I67" s="34">
        <f t="shared" si="1"/>
        <v>0</v>
      </c>
      <c r="J67" s="436"/>
      <c r="K67" s="437"/>
      <c r="L67" s="436"/>
      <c r="M67" s="34"/>
      <c r="N67" s="34">
        <f t="shared" si="0"/>
        <v>0</v>
      </c>
      <c r="O67" s="436"/>
      <c r="P67" s="375"/>
      <c r="Q67" s="436"/>
      <c r="R67" s="438"/>
      <c r="S67" s="437"/>
      <c r="V67" s="483" t="s">
        <v>672</v>
      </c>
      <c r="W67" s="42">
        <f>E73+F73+H73+I73+N73+G73</f>
        <v>1643449</v>
      </c>
    </row>
    <row r="68" spans="1:25" x14ac:dyDescent="0.2">
      <c r="B68">
        <v>30</v>
      </c>
      <c r="C68" s="374">
        <v>324885</v>
      </c>
      <c r="D68" s="433">
        <v>169724</v>
      </c>
      <c r="E68" s="374"/>
      <c r="F68" s="374">
        <v>53812</v>
      </c>
      <c r="G68" s="374"/>
      <c r="H68" s="433">
        <v>10987</v>
      </c>
      <c r="I68" s="34">
        <f>C68-D68-E68-H68-F68-G68</f>
        <v>90362</v>
      </c>
      <c r="J68" s="433">
        <v>328427</v>
      </c>
      <c r="K68" s="434">
        <v>124272</v>
      </c>
      <c r="L68" s="433">
        <v>24007</v>
      </c>
      <c r="M68" s="34">
        <v>51007</v>
      </c>
      <c r="N68" s="34">
        <f t="shared" si="0"/>
        <v>129141</v>
      </c>
      <c r="O68" s="433">
        <v>89019</v>
      </c>
      <c r="P68" s="374">
        <v>8676</v>
      </c>
      <c r="Q68" s="433">
        <v>20978</v>
      </c>
      <c r="R68" s="435">
        <v>51052</v>
      </c>
      <c r="S68" s="434">
        <v>220465</v>
      </c>
      <c r="T68">
        <v>30</v>
      </c>
      <c r="U68" s="54" t="s">
        <v>852</v>
      </c>
      <c r="V68" s="183" t="s">
        <v>674</v>
      </c>
      <c r="W68" s="449"/>
      <c r="X68" s="42">
        <f>W69-W67</f>
        <v>-397596</v>
      </c>
    </row>
    <row r="69" spans="1:25" x14ac:dyDescent="0.2">
      <c r="C69" s="375"/>
      <c r="D69" s="436"/>
      <c r="E69" s="375"/>
      <c r="F69" s="375"/>
      <c r="G69" s="375"/>
      <c r="H69" s="436"/>
      <c r="I69" s="34">
        <f t="shared" si="1"/>
        <v>0</v>
      </c>
      <c r="J69" s="436"/>
      <c r="K69" s="437"/>
      <c r="L69" s="436"/>
      <c r="M69" s="34"/>
      <c r="N69" s="34">
        <f t="shared" si="0"/>
        <v>0</v>
      </c>
      <c r="O69" s="436"/>
      <c r="P69" s="375"/>
      <c r="Q69" s="436"/>
      <c r="R69" s="438"/>
      <c r="S69" s="437"/>
      <c r="V69" s="183" t="s">
        <v>673</v>
      </c>
      <c r="W69" s="42">
        <f>S73+O73+P73+Q73+R73</f>
        <v>1245853</v>
      </c>
    </row>
    <row r="70" spans="1:25" x14ac:dyDescent="0.2">
      <c r="B70">
        <v>31</v>
      </c>
      <c r="C70" s="374"/>
      <c r="D70" s="433"/>
      <c r="E70" s="374"/>
      <c r="F70" s="1042"/>
      <c r="G70" s="374"/>
      <c r="H70" s="433"/>
      <c r="I70" s="34">
        <f t="shared" si="1"/>
        <v>0</v>
      </c>
      <c r="J70" s="433"/>
      <c r="K70" s="434"/>
      <c r="L70" s="433"/>
      <c r="M70" s="34"/>
      <c r="N70" s="34">
        <f t="shared" si="0"/>
        <v>0</v>
      </c>
      <c r="O70" s="433"/>
      <c r="P70" s="374"/>
      <c r="Q70" s="433"/>
      <c r="R70" s="435"/>
      <c r="S70" s="34"/>
      <c r="T70">
        <v>31</v>
      </c>
    </row>
    <row r="71" spans="1:25" ht="13.5" thickBot="1" x14ac:dyDescent="0.25">
      <c r="C71" s="22"/>
      <c r="D71" s="29"/>
      <c r="E71" s="22"/>
      <c r="F71" s="22"/>
      <c r="G71" s="22"/>
      <c r="H71" s="29"/>
      <c r="I71" s="34">
        <f t="shared" si="1"/>
        <v>0</v>
      </c>
      <c r="J71" s="29"/>
      <c r="K71" s="34"/>
      <c r="L71" s="29"/>
      <c r="M71" s="35"/>
      <c r="N71" s="34">
        <f t="shared" si="0"/>
        <v>0</v>
      </c>
      <c r="O71" s="29"/>
      <c r="P71" s="22"/>
      <c r="Q71" s="29"/>
      <c r="R71" s="28"/>
      <c r="S71" s="34"/>
      <c r="U71" s="54" t="s">
        <v>874</v>
      </c>
      <c r="V71" s="183" t="s">
        <v>672</v>
      </c>
      <c r="W71" s="42">
        <f>E78+F78+G78+H78+I78+N78</f>
        <v>0</v>
      </c>
    </row>
    <row r="72" spans="1:25" x14ac:dyDescent="0.2">
      <c r="C72" s="40"/>
      <c r="D72" s="33"/>
      <c r="E72" s="33"/>
      <c r="F72" s="439"/>
      <c r="G72" s="33"/>
      <c r="H72" s="33"/>
      <c r="I72" s="439"/>
      <c r="J72" s="33"/>
      <c r="K72" s="439"/>
      <c r="L72" s="33"/>
      <c r="M72" s="439"/>
      <c r="N72" s="439"/>
      <c r="O72" s="33"/>
      <c r="P72" s="439"/>
      <c r="Q72" s="33"/>
      <c r="R72" s="439"/>
      <c r="S72" s="33"/>
      <c r="V72" s="183" t="s">
        <v>674</v>
      </c>
      <c r="W72" s="449"/>
      <c r="X72" s="42">
        <f>W73-W71</f>
        <v>0</v>
      </c>
      <c r="Y72" s="42"/>
    </row>
    <row r="73" spans="1:25" x14ac:dyDescent="0.2">
      <c r="A73" s="54" t="s">
        <v>671</v>
      </c>
      <c r="B73" s="1"/>
      <c r="C73" s="34">
        <f>SUM(C9:C71)</f>
        <v>1570918</v>
      </c>
      <c r="D73" s="441">
        <f>SUM(D9:D71)</f>
        <v>538807</v>
      </c>
      <c r="E73" s="34">
        <v>50146</v>
      </c>
      <c r="F73" s="442">
        <f>SUM(F9:F71)</f>
        <v>250867</v>
      </c>
      <c r="G73" s="441">
        <f>SUM(G9:G71)</f>
        <v>51249</v>
      </c>
      <c r="H73" s="441">
        <f>SUM(H9:H71)</f>
        <v>53298</v>
      </c>
      <c r="I73" s="446">
        <f>SUM(I9:I71)</f>
        <v>676697</v>
      </c>
      <c r="J73" s="34">
        <f>SUM(J9:J71)</f>
        <v>1187692</v>
      </c>
      <c r="K73" s="441">
        <f t="shared" ref="K73:P73" si="2">SUM(K9:K71)</f>
        <v>350797</v>
      </c>
      <c r="L73" s="441">
        <f>SUM(L9:L71)</f>
        <v>114923</v>
      </c>
      <c r="M73" s="441">
        <f t="shared" si="2"/>
        <v>160780</v>
      </c>
      <c r="N73" s="446">
        <f>SUM(N9:N71)</f>
        <v>561192</v>
      </c>
      <c r="O73" s="441">
        <f>SUM(O9:O71)</f>
        <v>327334</v>
      </c>
      <c r="P73" s="441">
        <f t="shared" si="2"/>
        <v>30462</v>
      </c>
      <c r="Q73" s="441">
        <f>SUM(Q9:Q71)</f>
        <v>64488</v>
      </c>
      <c r="R73" s="441">
        <f>SUM(R9:R71)</f>
        <v>116526</v>
      </c>
      <c r="S73" s="446">
        <f>SUM(S9:S71)</f>
        <v>707043</v>
      </c>
      <c r="V73" s="183" t="s">
        <v>673</v>
      </c>
      <c r="W73" s="42">
        <f>S78+O78+P78+Q78+R78</f>
        <v>0</v>
      </c>
      <c r="X73" s="42"/>
    </row>
    <row r="74" spans="1:25" ht="13.5" thickBot="1" x14ac:dyDescent="0.25">
      <c r="C74" s="440"/>
      <c r="D74" s="35"/>
      <c r="E74" s="35"/>
      <c r="F74" s="37"/>
      <c r="G74" s="35"/>
      <c r="H74" s="35"/>
      <c r="I74" s="37"/>
      <c r="J74" s="35"/>
      <c r="K74" s="37"/>
      <c r="L74" s="35"/>
      <c r="M74" s="37"/>
      <c r="N74" s="37"/>
      <c r="O74" s="35"/>
      <c r="P74" s="37"/>
      <c r="Q74" s="35"/>
      <c r="R74" s="37"/>
      <c r="S74" s="35"/>
    </row>
    <row r="75" spans="1:25" x14ac:dyDescent="0.2"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>
        <f>L75+K75</f>
        <v>0</v>
      </c>
      <c r="O75" s="29"/>
      <c r="P75" s="29"/>
      <c r="Q75" s="29"/>
      <c r="R75" s="29"/>
      <c r="S75" s="29"/>
    </row>
    <row r="76" spans="1:25" ht="13.5" thickBot="1" x14ac:dyDescent="0.25">
      <c r="A76" s="94">
        <v>42298</v>
      </c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U76" s="54" t="s">
        <v>905</v>
      </c>
      <c r="V76" s="183" t="s">
        <v>672</v>
      </c>
      <c r="W76" s="42">
        <f>E82+F82+G82+H82+I82+N82</f>
        <v>0</v>
      </c>
    </row>
    <row r="77" spans="1:25" x14ac:dyDescent="0.2">
      <c r="A77" s="255"/>
      <c r="C77" s="33"/>
      <c r="D77" s="444"/>
      <c r="E77" s="374"/>
      <c r="F77" s="465"/>
      <c r="G77" s="374"/>
      <c r="H77" s="374"/>
      <c r="I77" s="435"/>
      <c r="J77" s="40"/>
      <c r="K77" s="374"/>
      <c r="L77" s="374"/>
      <c r="M77" s="374"/>
      <c r="N77" s="374"/>
      <c r="O77" s="374"/>
      <c r="P77" s="374"/>
      <c r="Q77" s="374"/>
      <c r="R77" s="374"/>
      <c r="S77" s="374"/>
      <c r="V77" s="183" t="s">
        <v>674</v>
      </c>
      <c r="W77" s="449"/>
      <c r="X77" s="42">
        <f>W78-W76</f>
        <v>0</v>
      </c>
      <c r="Y77" s="50"/>
    </row>
    <row r="78" spans="1:25" x14ac:dyDescent="0.2">
      <c r="A78" s="843" t="s">
        <v>874</v>
      </c>
      <c r="C78" s="847"/>
      <c r="D78" s="1060"/>
      <c r="E78" s="844"/>
      <c r="F78" s="1043"/>
      <c r="G78" s="1059"/>
      <c r="H78" s="1059"/>
      <c r="I78" s="447">
        <f>C78-D78-E78-H78-F78-G78</f>
        <v>0</v>
      </c>
      <c r="J78" s="849"/>
      <c r="K78" s="844"/>
      <c r="L78" s="844"/>
      <c r="M78" s="848"/>
      <c r="N78" s="446">
        <f>J78-K78-L78-M78</f>
        <v>0</v>
      </c>
      <c r="O78" s="844"/>
      <c r="P78" s="844"/>
      <c r="Q78" s="844"/>
      <c r="R78" s="844"/>
      <c r="S78" s="448"/>
      <c r="V78" s="183" t="s">
        <v>673</v>
      </c>
      <c r="W78" s="42">
        <f>S82+O82+P82+Q82+R82</f>
        <v>0</v>
      </c>
      <c r="X78" s="42"/>
      <c r="Y78" s="50"/>
    </row>
    <row r="79" spans="1:25" ht="13.5" thickBot="1" x14ac:dyDescent="0.25">
      <c r="A79" s="261"/>
      <c r="C79" s="16"/>
      <c r="D79" s="84"/>
      <c r="E79" s="1143"/>
      <c r="F79" s="466"/>
      <c r="G79" s="1143"/>
      <c r="H79" s="1143"/>
      <c r="I79" s="89"/>
      <c r="J79" s="11"/>
      <c r="K79" s="1143"/>
      <c r="L79" s="1143"/>
      <c r="M79" s="1143"/>
      <c r="N79" s="1143"/>
      <c r="O79" s="1143"/>
      <c r="P79" s="1143"/>
      <c r="Q79" s="1143"/>
      <c r="R79" s="1143"/>
      <c r="S79" s="1143"/>
      <c r="Y79" s="56"/>
    </row>
    <row r="80" spans="1:25" ht="13.5" thickBot="1" x14ac:dyDescent="0.25">
      <c r="A80" s="204"/>
      <c r="C80" s="15"/>
      <c r="D80" s="81"/>
      <c r="E80" s="66"/>
      <c r="F80" s="450"/>
      <c r="G80" s="66"/>
      <c r="H80" s="66"/>
      <c r="I80" s="88"/>
      <c r="J80" s="5"/>
      <c r="K80" s="66"/>
      <c r="L80" s="66"/>
      <c r="M80" s="66"/>
      <c r="N80" s="66"/>
      <c r="O80" s="66"/>
      <c r="P80" s="66"/>
      <c r="Q80" s="66"/>
      <c r="R80" s="66"/>
      <c r="S80" s="66"/>
      <c r="Y80" s="56"/>
    </row>
    <row r="81" spans="1:25" x14ac:dyDescent="0.2">
      <c r="A81" s="443"/>
      <c r="C81" s="33"/>
      <c r="D81" s="444"/>
      <c r="E81" s="374"/>
      <c r="F81" s="465"/>
      <c r="G81" s="374"/>
      <c r="H81" s="374"/>
      <c r="I81" s="435"/>
      <c r="J81" s="40"/>
      <c r="K81" s="374"/>
      <c r="L81" s="374"/>
      <c r="M81" s="374"/>
      <c r="N81" s="374"/>
      <c r="O81" s="374"/>
      <c r="P81" s="374"/>
      <c r="Q81" s="374"/>
      <c r="R81" s="374"/>
      <c r="S81" s="374"/>
    </row>
    <row r="82" spans="1:25" x14ac:dyDescent="0.2">
      <c r="A82" s="843" t="s">
        <v>905</v>
      </c>
      <c r="C82" s="847"/>
      <c r="D82" s="846"/>
      <c r="E82" s="844"/>
      <c r="F82" s="845"/>
      <c r="G82" s="844"/>
      <c r="H82" s="844"/>
      <c r="I82" s="447">
        <f>C82-D82-E82-H82-F82-G82</f>
        <v>0</v>
      </c>
      <c r="J82" s="849"/>
      <c r="K82" s="844"/>
      <c r="L82" s="844"/>
      <c r="M82" s="848"/>
      <c r="N82" s="446">
        <f>J82-K82-L82-M82</f>
        <v>0</v>
      </c>
      <c r="O82" s="844"/>
      <c r="P82" s="844"/>
      <c r="Q82" s="844"/>
      <c r="R82" s="844"/>
      <c r="S82" s="448"/>
    </row>
    <row r="83" spans="1:25" ht="13.5" thickBot="1" x14ac:dyDescent="0.25">
      <c r="A83" s="1143"/>
      <c r="C83" s="16"/>
      <c r="D83" s="84"/>
      <c r="E83" s="1143"/>
      <c r="F83" s="466"/>
      <c r="G83" s="1143"/>
      <c r="H83" s="1143"/>
      <c r="I83" s="89"/>
      <c r="J83" s="11"/>
      <c r="K83" s="1143"/>
      <c r="L83" s="1143"/>
      <c r="M83" s="1143"/>
      <c r="N83" s="1143"/>
      <c r="O83" s="1143"/>
      <c r="P83" s="1143"/>
      <c r="Q83" s="1143"/>
      <c r="R83" s="1143"/>
      <c r="S83" s="1143"/>
    </row>
    <row r="84" spans="1:25" x14ac:dyDescent="0.2">
      <c r="U84" s="183"/>
    </row>
    <row r="85" spans="1:25" x14ac:dyDescent="0.2">
      <c r="U85" s="183"/>
      <c r="V85" s="183"/>
      <c r="W85" s="183"/>
      <c r="X85" s="17"/>
      <c r="Y85" s="50"/>
    </row>
    <row r="86" spans="1:25" x14ac:dyDescent="0.2">
      <c r="W86" s="183"/>
      <c r="X86" s="17"/>
      <c r="Y86" s="50"/>
    </row>
    <row r="87" spans="1:25" x14ac:dyDescent="0.2">
      <c r="Y87" s="56"/>
    </row>
    <row r="88" spans="1:25" x14ac:dyDescent="0.2">
      <c r="U88" s="183"/>
      <c r="V88" s="183"/>
      <c r="W88" s="183"/>
      <c r="X88" s="17"/>
      <c r="Y88" s="50"/>
    </row>
  </sheetData>
  <pageMargins left="0.70866141732283472" right="0.70866141732283472" top="0.74803149606299213" bottom="0.74803149606299213" header="0.31496062992125984" footer="0.31496062992125984"/>
  <pageSetup paperSize="9" scale="46" fitToWidth="2" orientation="landscape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>
    <pageSetUpPr fitToPage="1"/>
  </sheetPr>
  <dimension ref="A1:Y58"/>
  <sheetViews>
    <sheetView workbookViewId="0">
      <selection activeCell="L16" sqref="L16"/>
    </sheetView>
  </sheetViews>
  <sheetFormatPr defaultColWidth="11.42578125" defaultRowHeight="12.75" x14ac:dyDescent="0.2"/>
  <cols>
    <col min="1" max="1" width="12.28515625" customWidth="1"/>
    <col min="2" max="2" width="3.28515625" customWidth="1"/>
    <col min="3" max="3" width="11.85546875" bestFit="1" customWidth="1"/>
    <col min="4" max="5" width="11.5703125" bestFit="1" customWidth="1"/>
    <col min="6" max="7" width="11.5703125" customWidth="1"/>
    <col min="8" max="8" width="11.5703125" bestFit="1" customWidth="1"/>
    <col min="9" max="10" width="11.85546875" bestFit="1" customWidth="1"/>
    <col min="11" max="12" width="11.5703125" bestFit="1" customWidth="1"/>
    <col min="13" max="13" width="11.5703125" customWidth="1"/>
    <col min="14" max="19" width="11.5703125" bestFit="1" customWidth="1"/>
    <col min="20" max="20" width="4.85546875" customWidth="1"/>
    <col min="21" max="21" width="12.85546875" customWidth="1"/>
    <col min="22" max="22" width="15.85546875" customWidth="1"/>
    <col min="23" max="24" width="11.85546875" bestFit="1" customWidth="1"/>
    <col min="25" max="25" width="12.85546875" bestFit="1" customWidth="1"/>
  </cols>
  <sheetData>
    <row r="1" spans="2:20" ht="18" x14ac:dyDescent="0.25">
      <c r="J1" s="208" t="s">
        <v>1193</v>
      </c>
      <c r="Q1" s="94">
        <v>42329</v>
      </c>
    </row>
    <row r="3" spans="2:20" ht="13.5" thickBot="1" x14ac:dyDescent="0.25"/>
    <row r="4" spans="2:20" ht="15.75" x14ac:dyDescent="0.25">
      <c r="C4" s="102"/>
      <c r="D4" s="87"/>
      <c r="E4" s="430" t="s">
        <v>33</v>
      </c>
      <c r="F4" s="430"/>
      <c r="G4" s="430"/>
      <c r="H4" s="430"/>
      <c r="I4" s="431"/>
      <c r="J4" s="432"/>
      <c r="K4" s="430" t="s">
        <v>664</v>
      </c>
      <c r="L4" s="430"/>
      <c r="M4" s="430"/>
      <c r="N4" s="430"/>
      <c r="O4" s="432"/>
      <c r="P4" s="430" t="s">
        <v>668</v>
      </c>
      <c r="Q4" s="430"/>
      <c r="R4" s="87"/>
      <c r="S4" s="13"/>
    </row>
    <row r="5" spans="2:20" ht="13.5" thickBot="1" x14ac:dyDescent="0.25">
      <c r="C5" s="89"/>
      <c r="D5" s="90"/>
      <c r="E5" s="90"/>
      <c r="F5" s="90"/>
      <c r="G5" s="90"/>
      <c r="H5" s="90"/>
      <c r="I5" s="81"/>
      <c r="J5" s="89"/>
      <c r="K5" s="6"/>
      <c r="L5" s="90"/>
      <c r="M5" s="6"/>
      <c r="N5" s="6"/>
      <c r="O5" s="88"/>
      <c r="P5" s="6"/>
      <c r="Q5" s="6"/>
      <c r="R5" s="6"/>
      <c r="S5" s="205" t="s">
        <v>32</v>
      </c>
    </row>
    <row r="6" spans="2:20" x14ac:dyDescent="0.2">
      <c r="C6" s="255"/>
      <c r="D6" s="6"/>
      <c r="E6" s="255"/>
      <c r="F6" s="255"/>
      <c r="G6" s="255"/>
      <c r="H6" s="6"/>
      <c r="I6" s="13"/>
      <c r="J6" s="6"/>
      <c r="K6" s="428"/>
      <c r="L6" s="6"/>
      <c r="M6" s="26" t="s">
        <v>702</v>
      </c>
      <c r="N6" s="2"/>
      <c r="O6" s="255"/>
      <c r="P6" s="87"/>
      <c r="Q6" s="255"/>
      <c r="R6" s="87"/>
      <c r="S6" s="205" t="s">
        <v>669</v>
      </c>
    </row>
    <row r="7" spans="2:20" x14ac:dyDescent="0.2">
      <c r="C7" s="73" t="s">
        <v>132</v>
      </c>
      <c r="D7" s="1184" t="s">
        <v>287</v>
      </c>
      <c r="E7" s="73" t="s">
        <v>660</v>
      </c>
      <c r="F7" s="148" t="s">
        <v>485</v>
      </c>
      <c r="G7" s="148" t="s">
        <v>670</v>
      </c>
      <c r="H7" s="1184" t="s">
        <v>661</v>
      </c>
      <c r="I7" s="205" t="s">
        <v>662</v>
      </c>
      <c r="J7" s="1184" t="s">
        <v>132</v>
      </c>
      <c r="K7" s="205" t="s">
        <v>663</v>
      </c>
      <c r="L7" s="93" t="s">
        <v>701</v>
      </c>
      <c r="M7" s="205" t="s">
        <v>495</v>
      </c>
      <c r="N7" s="396" t="s">
        <v>662</v>
      </c>
      <c r="O7" s="131" t="s">
        <v>665</v>
      </c>
      <c r="P7" s="135" t="s">
        <v>666</v>
      </c>
      <c r="Q7" s="131" t="s">
        <v>667</v>
      </c>
      <c r="R7" s="135" t="s">
        <v>397</v>
      </c>
      <c r="S7" s="15"/>
    </row>
    <row r="8" spans="2:20" x14ac:dyDescent="0.2">
      <c r="C8" s="1185"/>
      <c r="D8" s="424"/>
      <c r="E8" s="1185"/>
      <c r="F8" s="1185"/>
      <c r="G8" s="1185"/>
      <c r="H8" s="424"/>
      <c r="I8" s="425"/>
      <c r="J8" s="424"/>
      <c r="K8" s="429"/>
      <c r="L8" s="424"/>
      <c r="M8" s="425"/>
      <c r="N8" s="426"/>
      <c r="O8" s="1186"/>
      <c r="P8" s="90"/>
      <c r="Q8" s="1186"/>
      <c r="R8" s="90"/>
      <c r="S8" s="427"/>
    </row>
    <row r="9" spans="2:20" x14ac:dyDescent="0.2">
      <c r="C9" s="374"/>
      <c r="D9" s="433"/>
      <c r="E9" s="374"/>
      <c r="F9" s="374"/>
      <c r="G9" s="374"/>
      <c r="H9" s="433"/>
      <c r="I9" s="434"/>
      <c r="J9" s="433"/>
      <c r="K9" s="434"/>
      <c r="L9" s="433"/>
      <c r="M9" s="434"/>
      <c r="N9" s="434"/>
      <c r="O9" s="433"/>
      <c r="P9" s="374"/>
      <c r="Q9" s="433"/>
      <c r="R9" s="435"/>
      <c r="S9" s="434"/>
    </row>
    <row r="10" spans="2:20" ht="14.25" customHeight="1" x14ac:dyDescent="0.2">
      <c r="B10">
        <v>1</v>
      </c>
      <c r="C10" s="22"/>
      <c r="D10" s="29"/>
      <c r="E10" s="22"/>
      <c r="F10" s="22"/>
      <c r="G10" s="22"/>
      <c r="H10" s="29"/>
      <c r="I10" s="34">
        <f>C10-D10-E10-H10-F10-G10</f>
        <v>0</v>
      </c>
      <c r="J10" s="29"/>
      <c r="K10" s="34"/>
      <c r="L10" s="29"/>
      <c r="M10" s="34"/>
      <c r="N10" s="34">
        <f>J10-K10-L10-M10</f>
        <v>0</v>
      </c>
      <c r="O10" s="463"/>
      <c r="P10" s="22"/>
      <c r="Q10" s="29"/>
      <c r="R10" s="28"/>
      <c r="S10" s="34"/>
      <c r="T10">
        <v>1</v>
      </c>
    </row>
    <row r="11" spans="2:20" x14ac:dyDescent="0.2">
      <c r="B11">
        <v>2</v>
      </c>
      <c r="C11" s="374"/>
      <c r="D11" s="433"/>
      <c r="E11" s="374"/>
      <c r="F11" s="374"/>
      <c r="G11" s="374"/>
      <c r="H11" s="433"/>
      <c r="I11" s="34">
        <f>C11-D11-E11-H11-F11-G11</f>
        <v>0</v>
      </c>
      <c r="J11" s="433"/>
      <c r="K11" s="434"/>
      <c r="L11" s="433"/>
      <c r="M11" s="34"/>
      <c r="N11" s="34">
        <f t="shared" ref="N11:N41" si="0">J11-K11-L11-M11</f>
        <v>0</v>
      </c>
      <c r="O11" s="433"/>
      <c r="P11" s="374"/>
      <c r="Q11" s="433"/>
      <c r="R11" s="435"/>
      <c r="S11" s="434"/>
      <c r="T11">
        <v>2</v>
      </c>
    </row>
    <row r="12" spans="2:20" x14ac:dyDescent="0.2">
      <c r="B12">
        <v>3</v>
      </c>
      <c r="C12" s="374"/>
      <c r="D12" s="433"/>
      <c r="E12" s="374"/>
      <c r="F12" s="374"/>
      <c r="G12" s="374"/>
      <c r="H12" s="433"/>
      <c r="I12" s="34">
        <f t="shared" ref="I12:I41" si="1">C12-D12-E12-H12-F12-G12</f>
        <v>0</v>
      </c>
      <c r="J12" s="433"/>
      <c r="K12" s="434"/>
      <c r="L12" s="433"/>
      <c r="M12" s="34"/>
      <c r="N12" s="34">
        <f>J12-K12-L12-M12</f>
        <v>0</v>
      </c>
      <c r="O12" s="433"/>
      <c r="P12" s="374"/>
      <c r="Q12" s="433"/>
      <c r="R12" s="435"/>
      <c r="S12" s="434"/>
      <c r="T12">
        <v>3</v>
      </c>
    </row>
    <row r="13" spans="2:20" x14ac:dyDescent="0.2">
      <c r="B13">
        <v>4</v>
      </c>
      <c r="C13" s="374"/>
      <c r="D13" s="433"/>
      <c r="E13" s="374"/>
      <c r="F13" s="374"/>
      <c r="G13" s="374"/>
      <c r="H13" s="433"/>
      <c r="I13" s="34">
        <f t="shared" si="1"/>
        <v>0</v>
      </c>
      <c r="J13" s="433"/>
      <c r="K13" s="434"/>
      <c r="L13" s="433"/>
      <c r="M13" s="34"/>
      <c r="N13" s="34">
        <f t="shared" si="0"/>
        <v>0</v>
      </c>
      <c r="O13" s="464"/>
      <c r="P13" s="374"/>
      <c r="Q13" s="433"/>
      <c r="R13" s="435"/>
      <c r="S13" s="434"/>
      <c r="T13">
        <v>4</v>
      </c>
    </row>
    <row r="14" spans="2:20" x14ac:dyDescent="0.2">
      <c r="B14">
        <v>5</v>
      </c>
      <c r="C14" s="374"/>
      <c r="D14" s="433"/>
      <c r="E14" s="374"/>
      <c r="F14" s="374"/>
      <c r="G14" s="374"/>
      <c r="H14" s="433"/>
      <c r="I14" s="34">
        <f t="shared" si="1"/>
        <v>0</v>
      </c>
      <c r="J14" s="433"/>
      <c r="K14" s="434"/>
      <c r="L14" s="433"/>
      <c r="M14" s="34"/>
      <c r="N14" s="34">
        <f t="shared" si="0"/>
        <v>0</v>
      </c>
      <c r="O14" s="433"/>
      <c r="P14" s="374"/>
      <c r="Q14" s="433"/>
      <c r="R14" s="435"/>
      <c r="S14" s="434"/>
      <c r="T14">
        <v>5</v>
      </c>
    </row>
    <row r="15" spans="2:20" x14ac:dyDescent="0.2">
      <c r="B15">
        <v>6</v>
      </c>
      <c r="C15" s="374"/>
      <c r="D15" s="433"/>
      <c r="E15" s="374"/>
      <c r="F15" s="1041"/>
      <c r="G15" s="374"/>
      <c r="H15" s="433"/>
      <c r="I15" s="34">
        <f t="shared" si="1"/>
        <v>0</v>
      </c>
      <c r="J15" s="433"/>
      <c r="K15" s="434"/>
      <c r="L15" s="433"/>
      <c r="M15" s="34"/>
      <c r="N15" s="34">
        <f t="shared" si="0"/>
        <v>0</v>
      </c>
      <c r="O15" s="464"/>
      <c r="P15" s="374"/>
      <c r="Q15" s="433"/>
      <c r="R15" s="435"/>
      <c r="S15" s="434"/>
      <c r="T15">
        <v>6</v>
      </c>
    </row>
    <row r="16" spans="2:20" x14ac:dyDescent="0.2">
      <c r="B16">
        <v>7</v>
      </c>
      <c r="C16" s="374"/>
      <c r="D16" s="433"/>
      <c r="E16" s="374"/>
      <c r="F16" s="374"/>
      <c r="G16" s="374"/>
      <c r="H16" s="433"/>
      <c r="I16" s="34">
        <f t="shared" si="1"/>
        <v>0</v>
      </c>
      <c r="J16" s="433"/>
      <c r="K16" s="434"/>
      <c r="L16" s="433"/>
      <c r="M16" s="34"/>
      <c r="N16" s="34">
        <f t="shared" si="0"/>
        <v>0</v>
      </c>
      <c r="O16" s="433"/>
      <c r="P16" s="374"/>
      <c r="Q16" s="433"/>
      <c r="R16" s="435"/>
      <c r="S16" s="434"/>
      <c r="T16">
        <v>7</v>
      </c>
    </row>
    <row r="17" spans="2:20" x14ac:dyDescent="0.2">
      <c r="B17">
        <v>8</v>
      </c>
      <c r="C17" s="374"/>
      <c r="D17" s="433"/>
      <c r="E17" s="374"/>
      <c r="F17" s="374"/>
      <c r="G17" s="374"/>
      <c r="H17" s="433"/>
      <c r="I17" s="34">
        <f t="shared" si="1"/>
        <v>0</v>
      </c>
      <c r="J17" s="433"/>
      <c r="K17" s="434"/>
      <c r="L17" s="433"/>
      <c r="M17" s="34"/>
      <c r="N17" s="34">
        <f t="shared" si="0"/>
        <v>0</v>
      </c>
      <c r="O17" s="433"/>
      <c r="P17" s="374"/>
      <c r="Q17" s="433"/>
      <c r="R17" s="435"/>
      <c r="S17" s="434"/>
      <c r="T17">
        <v>8</v>
      </c>
    </row>
    <row r="18" spans="2:20" x14ac:dyDescent="0.2">
      <c r="B18">
        <v>9</v>
      </c>
      <c r="C18" s="374"/>
      <c r="D18" s="433"/>
      <c r="E18" s="374"/>
      <c r="F18" s="374"/>
      <c r="G18" s="374"/>
      <c r="H18" s="433"/>
      <c r="I18" s="34">
        <f t="shared" si="1"/>
        <v>0</v>
      </c>
      <c r="J18" s="433"/>
      <c r="K18" s="434"/>
      <c r="L18" s="433"/>
      <c r="M18" s="34"/>
      <c r="N18" s="34">
        <f t="shared" si="0"/>
        <v>0</v>
      </c>
      <c r="O18" s="433"/>
      <c r="P18" s="374"/>
      <c r="Q18" s="433"/>
      <c r="R18" s="435"/>
      <c r="S18" s="434"/>
      <c r="T18">
        <v>9</v>
      </c>
    </row>
    <row r="19" spans="2:20" x14ac:dyDescent="0.2">
      <c r="B19">
        <v>10</v>
      </c>
      <c r="C19" s="374"/>
      <c r="D19" s="433"/>
      <c r="E19" s="374"/>
      <c r="F19" s="374"/>
      <c r="G19" s="374"/>
      <c r="H19" s="433"/>
      <c r="I19" s="34">
        <f>C19-D19-E19-H19-F19-G19</f>
        <v>0</v>
      </c>
      <c r="J19" s="433"/>
      <c r="K19" s="434"/>
      <c r="L19" s="433"/>
      <c r="M19" s="34"/>
      <c r="N19" s="34">
        <f t="shared" si="0"/>
        <v>0</v>
      </c>
      <c r="O19" s="433"/>
      <c r="P19" s="374"/>
      <c r="Q19" s="433"/>
      <c r="R19" s="435"/>
      <c r="S19" s="434"/>
      <c r="T19">
        <v>10</v>
      </c>
    </row>
    <row r="20" spans="2:20" s="58" customFormat="1" x14ac:dyDescent="0.2">
      <c r="B20" s="58">
        <v>11</v>
      </c>
      <c r="C20" s="919"/>
      <c r="D20" s="920"/>
      <c r="E20" s="919"/>
      <c r="F20" s="919"/>
      <c r="G20" s="919"/>
      <c r="H20" s="920"/>
      <c r="I20" s="492">
        <f t="shared" si="1"/>
        <v>0</v>
      </c>
      <c r="J20" s="920"/>
      <c r="K20" s="921"/>
      <c r="L20" s="920"/>
      <c r="M20" s="492"/>
      <c r="N20" s="492">
        <f t="shared" si="0"/>
        <v>0</v>
      </c>
      <c r="O20" s="920"/>
      <c r="P20" s="919"/>
      <c r="Q20" s="920"/>
      <c r="R20" s="922"/>
      <c r="S20" s="921"/>
      <c r="T20" s="58">
        <v>11</v>
      </c>
    </row>
    <row r="21" spans="2:20" x14ac:dyDescent="0.2">
      <c r="B21">
        <v>12</v>
      </c>
      <c r="C21" s="374"/>
      <c r="D21" s="433"/>
      <c r="E21" s="374"/>
      <c r="F21" s="374"/>
      <c r="G21" s="374"/>
      <c r="H21" s="433"/>
      <c r="I21" s="34">
        <f t="shared" si="1"/>
        <v>0</v>
      </c>
      <c r="J21" s="433"/>
      <c r="K21" s="434"/>
      <c r="L21" s="433"/>
      <c r="M21" s="34"/>
      <c r="N21" s="34">
        <f t="shared" si="0"/>
        <v>0</v>
      </c>
      <c r="O21" s="464"/>
      <c r="P21" s="374"/>
      <c r="Q21" s="433"/>
      <c r="R21" s="435"/>
      <c r="S21" s="434"/>
      <c r="T21">
        <v>12</v>
      </c>
    </row>
    <row r="22" spans="2:20" x14ac:dyDescent="0.2">
      <c r="B22">
        <v>13</v>
      </c>
      <c r="C22" s="374"/>
      <c r="D22" s="433"/>
      <c r="E22" s="374"/>
      <c r="F22" s="374"/>
      <c r="G22" s="374"/>
      <c r="H22" s="433"/>
      <c r="I22" s="34">
        <f t="shared" si="1"/>
        <v>0</v>
      </c>
      <c r="J22" s="433"/>
      <c r="K22" s="434"/>
      <c r="L22" s="433"/>
      <c r="M22" s="34"/>
      <c r="N22" s="34">
        <f t="shared" si="0"/>
        <v>0</v>
      </c>
      <c r="O22" s="433"/>
      <c r="P22" s="374"/>
      <c r="Q22" s="433"/>
      <c r="R22" s="435"/>
      <c r="S22" s="434"/>
      <c r="T22">
        <v>13</v>
      </c>
    </row>
    <row r="23" spans="2:20" x14ac:dyDescent="0.2">
      <c r="B23">
        <v>14</v>
      </c>
      <c r="C23" s="374"/>
      <c r="D23" s="433"/>
      <c r="E23" s="374"/>
      <c r="F23" s="1042"/>
      <c r="G23" s="374"/>
      <c r="H23" s="433"/>
      <c r="I23" s="34">
        <f t="shared" si="1"/>
        <v>0</v>
      </c>
      <c r="J23" s="433"/>
      <c r="K23" s="434"/>
      <c r="L23" s="433"/>
      <c r="M23" s="34"/>
      <c r="N23" s="34">
        <f t="shared" si="0"/>
        <v>0</v>
      </c>
      <c r="O23" s="464"/>
      <c r="P23" s="374"/>
      <c r="Q23" s="433"/>
      <c r="R23" s="435"/>
      <c r="S23" s="434"/>
      <c r="T23">
        <v>14</v>
      </c>
    </row>
    <row r="24" spans="2:20" x14ac:dyDescent="0.2">
      <c r="B24">
        <v>15</v>
      </c>
      <c r="C24" s="374"/>
      <c r="D24" s="433"/>
      <c r="E24" s="374"/>
      <c r="F24" s="374"/>
      <c r="G24" s="374"/>
      <c r="H24" s="433"/>
      <c r="I24" s="34">
        <f t="shared" si="1"/>
        <v>0</v>
      </c>
      <c r="J24" s="433"/>
      <c r="K24" s="434"/>
      <c r="L24" s="433"/>
      <c r="M24" s="34"/>
      <c r="N24" s="34">
        <f t="shared" si="0"/>
        <v>0</v>
      </c>
      <c r="O24" s="433"/>
      <c r="P24" s="374"/>
      <c r="Q24" s="433"/>
      <c r="R24" s="435"/>
      <c r="S24" s="434"/>
      <c r="T24">
        <v>15</v>
      </c>
    </row>
    <row r="25" spans="2:20" x14ac:dyDescent="0.2">
      <c r="B25">
        <v>16</v>
      </c>
      <c r="C25" s="374"/>
      <c r="D25" s="433"/>
      <c r="E25" s="374"/>
      <c r="F25" s="374"/>
      <c r="G25" s="374"/>
      <c r="H25" s="433"/>
      <c r="I25" s="34">
        <f t="shared" si="1"/>
        <v>0</v>
      </c>
      <c r="J25" s="433"/>
      <c r="K25" s="434"/>
      <c r="L25" s="433"/>
      <c r="M25" s="34"/>
      <c r="N25" s="34">
        <f t="shared" si="0"/>
        <v>0</v>
      </c>
      <c r="O25" s="433"/>
      <c r="P25" s="374"/>
      <c r="Q25" s="433"/>
      <c r="R25" s="435"/>
      <c r="S25" s="434"/>
      <c r="T25">
        <v>16</v>
      </c>
    </row>
    <row r="26" spans="2:20" x14ac:dyDescent="0.2">
      <c r="B26">
        <v>17</v>
      </c>
      <c r="C26" s="374"/>
      <c r="D26" s="433"/>
      <c r="E26" s="374"/>
      <c r="F26" s="1042"/>
      <c r="G26" s="374"/>
      <c r="H26" s="433"/>
      <c r="I26" s="34">
        <f t="shared" si="1"/>
        <v>0</v>
      </c>
      <c r="J26" s="433"/>
      <c r="K26" s="434"/>
      <c r="L26" s="433"/>
      <c r="M26" s="34"/>
      <c r="N26" s="34">
        <f t="shared" si="0"/>
        <v>0</v>
      </c>
      <c r="O26" s="433"/>
      <c r="P26" s="374"/>
      <c r="Q26" s="433"/>
      <c r="R26" s="435"/>
      <c r="S26" s="434"/>
      <c r="T26">
        <v>17</v>
      </c>
    </row>
    <row r="27" spans="2:20" x14ac:dyDescent="0.2">
      <c r="B27">
        <v>18</v>
      </c>
      <c r="C27" s="374"/>
      <c r="D27" s="433"/>
      <c r="E27" s="374"/>
      <c r="F27" s="374"/>
      <c r="G27" s="374"/>
      <c r="H27" s="433"/>
      <c r="I27" s="34">
        <f t="shared" si="1"/>
        <v>0</v>
      </c>
      <c r="J27" s="433"/>
      <c r="K27" s="434"/>
      <c r="L27" s="433"/>
      <c r="M27" s="34"/>
      <c r="N27" s="34">
        <f t="shared" si="0"/>
        <v>0</v>
      </c>
      <c r="O27" s="433"/>
      <c r="P27" s="374"/>
      <c r="Q27" s="433"/>
      <c r="R27" s="435"/>
      <c r="S27" s="434"/>
      <c r="T27">
        <v>18</v>
      </c>
    </row>
    <row r="28" spans="2:20" x14ac:dyDescent="0.2">
      <c r="B28">
        <v>19</v>
      </c>
      <c r="C28" s="374"/>
      <c r="D28" s="433"/>
      <c r="E28" s="374"/>
      <c r="F28" s="374"/>
      <c r="G28" s="374"/>
      <c r="H28" s="433"/>
      <c r="I28" s="34">
        <f t="shared" si="1"/>
        <v>0</v>
      </c>
      <c r="J28" s="433"/>
      <c r="K28" s="434"/>
      <c r="L28" s="433"/>
      <c r="M28" s="34"/>
      <c r="N28" s="34">
        <f t="shared" si="0"/>
        <v>0</v>
      </c>
      <c r="O28" s="433"/>
      <c r="P28" s="374"/>
      <c r="Q28" s="433"/>
      <c r="R28" s="435"/>
      <c r="S28" s="434"/>
      <c r="T28">
        <v>19</v>
      </c>
    </row>
    <row r="29" spans="2:20" x14ac:dyDescent="0.2">
      <c r="B29">
        <v>20</v>
      </c>
      <c r="C29" s="374"/>
      <c r="D29" s="433"/>
      <c r="E29" s="374"/>
      <c r="F29" s="374"/>
      <c r="G29" s="374"/>
      <c r="H29" s="433"/>
      <c r="I29" s="34">
        <f>C29-D29-E29-H29-F29-G29</f>
        <v>0</v>
      </c>
      <c r="J29" s="433"/>
      <c r="K29" s="434"/>
      <c r="L29" s="433"/>
      <c r="M29" s="34"/>
      <c r="N29" s="34">
        <f t="shared" si="0"/>
        <v>0</v>
      </c>
      <c r="O29" s="433"/>
      <c r="P29" s="374"/>
      <c r="Q29" s="433"/>
      <c r="R29" s="435"/>
      <c r="S29" s="434"/>
      <c r="T29">
        <v>20</v>
      </c>
    </row>
    <row r="30" spans="2:20" x14ac:dyDescent="0.2">
      <c r="B30">
        <v>21</v>
      </c>
      <c r="C30" s="374"/>
      <c r="D30" s="433"/>
      <c r="E30" s="374"/>
      <c r="F30" s="374"/>
      <c r="G30" s="374"/>
      <c r="H30" s="433"/>
      <c r="I30" s="34">
        <f t="shared" si="1"/>
        <v>0</v>
      </c>
      <c r="J30" s="433"/>
      <c r="K30" s="434"/>
      <c r="L30" s="433"/>
      <c r="M30" s="34"/>
      <c r="N30" s="34">
        <f t="shared" si="0"/>
        <v>0</v>
      </c>
      <c r="O30" s="433"/>
      <c r="P30" s="374"/>
      <c r="Q30" s="433"/>
      <c r="R30" s="435"/>
      <c r="S30" s="434"/>
      <c r="T30">
        <v>21</v>
      </c>
    </row>
    <row r="31" spans="2:20" x14ac:dyDescent="0.2">
      <c r="B31">
        <v>22</v>
      </c>
      <c r="C31" s="374"/>
      <c r="D31" s="433"/>
      <c r="E31" s="374"/>
      <c r="F31" s="374"/>
      <c r="G31" s="374"/>
      <c r="H31" s="433"/>
      <c r="I31" s="34">
        <f t="shared" si="1"/>
        <v>0</v>
      </c>
      <c r="J31" s="433"/>
      <c r="K31" s="434"/>
      <c r="L31" s="433"/>
      <c r="M31" s="34"/>
      <c r="N31" s="34">
        <f t="shared" si="0"/>
        <v>0</v>
      </c>
      <c r="O31" s="433"/>
      <c r="P31" s="374"/>
      <c r="Q31" s="433"/>
      <c r="R31" s="435"/>
      <c r="S31" s="434"/>
      <c r="T31">
        <v>22</v>
      </c>
    </row>
    <row r="32" spans="2:20" x14ac:dyDescent="0.2">
      <c r="B32">
        <v>23</v>
      </c>
      <c r="C32" s="374"/>
      <c r="D32" s="433"/>
      <c r="E32" s="374"/>
      <c r="F32" s="374"/>
      <c r="G32" s="374"/>
      <c r="H32" s="433"/>
      <c r="I32" s="34">
        <f t="shared" si="1"/>
        <v>0</v>
      </c>
      <c r="J32" s="433"/>
      <c r="K32" s="434"/>
      <c r="L32" s="433"/>
      <c r="M32" s="34"/>
      <c r="N32" s="34">
        <f t="shared" si="0"/>
        <v>0</v>
      </c>
      <c r="O32" s="433"/>
      <c r="P32" s="374"/>
      <c r="Q32" s="433"/>
      <c r="R32" s="435"/>
      <c r="S32" s="434"/>
      <c r="T32">
        <v>23</v>
      </c>
    </row>
    <row r="33" spans="1:25" x14ac:dyDescent="0.2">
      <c r="B33">
        <v>24</v>
      </c>
      <c r="C33" s="374"/>
      <c r="D33" s="433"/>
      <c r="E33" s="374"/>
      <c r="F33" s="1042"/>
      <c r="G33" s="374"/>
      <c r="H33" s="433"/>
      <c r="I33" s="34">
        <f t="shared" si="1"/>
        <v>0</v>
      </c>
      <c r="J33" s="433"/>
      <c r="K33" s="434"/>
      <c r="L33" s="433"/>
      <c r="M33" s="34"/>
      <c r="N33" s="34">
        <f t="shared" si="0"/>
        <v>0</v>
      </c>
      <c r="O33" s="433"/>
      <c r="P33" s="374"/>
      <c r="Q33" s="433"/>
      <c r="R33" s="435"/>
      <c r="S33" s="434"/>
      <c r="T33">
        <v>24</v>
      </c>
    </row>
    <row r="34" spans="1:25" x14ac:dyDescent="0.2">
      <c r="B34">
        <v>25</v>
      </c>
      <c r="C34" s="374"/>
      <c r="D34" s="433"/>
      <c r="E34" s="374"/>
      <c r="F34" s="1042"/>
      <c r="G34" s="374"/>
      <c r="H34" s="433"/>
      <c r="I34" s="34">
        <f t="shared" si="1"/>
        <v>0</v>
      </c>
      <c r="J34" s="433"/>
      <c r="K34" s="434"/>
      <c r="L34" s="433"/>
      <c r="M34" s="34"/>
      <c r="N34" s="34">
        <f t="shared" si="0"/>
        <v>0</v>
      </c>
      <c r="O34" s="433"/>
      <c r="P34" s="374"/>
      <c r="Q34" s="433"/>
      <c r="R34" s="435"/>
      <c r="S34" s="434"/>
      <c r="T34">
        <v>25</v>
      </c>
    </row>
    <row r="35" spans="1:25" x14ac:dyDescent="0.2">
      <c r="B35">
        <v>26</v>
      </c>
      <c r="C35" s="374"/>
      <c r="D35" s="433"/>
      <c r="E35" s="374"/>
      <c r="F35" s="1146"/>
      <c r="G35" s="374"/>
      <c r="H35" s="433"/>
      <c r="I35" s="34">
        <f t="shared" si="1"/>
        <v>0</v>
      </c>
      <c r="J35" s="433"/>
      <c r="K35" s="434"/>
      <c r="L35" s="433"/>
      <c r="M35" s="34"/>
      <c r="N35" s="34">
        <f t="shared" si="0"/>
        <v>0</v>
      </c>
      <c r="O35" s="433"/>
      <c r="P35" s="374"/>
      <c r="Q35" s="433"/>
      <c r="R35" s="435"/>
      <c r="S35" s="434"/>
      <c r="T35">
        <v>26</v>
      </c>
    </row>
    <row r="36" spans="1:25" x14ac:dyDescent="0.2">
      <c r="B36">
        <v>27</v>
      </c>
      <c r="C36" s="374"/>
      <c r="D36" s="433"/>
      <c r="E36" s="374"/>
      <c r="F36" s="374"/>
      <c r="G36" s="374"/>
      <c r="H36" s="433"/>
      <c r="I36" s="34">
        <f t="shared" si="1"/>
        <v>0</v>
      </c>
      <c r="J36" s="433"/>
      <c r="K36" s="434"/>
      <c r="L36" s="433"/>
      <c r="M36" s="34"/>
      <c r="N36" s="34">
        <f t="shared" si="0"/>
        <v>0</v>
      </c>
      <c r="O36" s="433"/>
      <c r="P36" s="374"/>
      <c r="Q36" s="433"/>
      <c r="R36" s="435"/>
      <c r="S36" s="434"/>
      <c r="T36">
        <v>27</v>
      </c>
    </row>
    <row r="37" spans="1:25" x14ac:dyDescent="0.2">
      <c r="B37">
        <v>28</v>
      </c>
      <c r="C37" s="374"/>
      <c r="D37" s="433"/>
      <c r="E37" s="374"/>
      <c r="F37" s="374"/>
      <c r="G37" s="374"/>
      <c r="H37" s="433"/>
      <c r="I37" s="34">
        <f t="shared" si="1"/>
        <v>0</v>
      </c>
      <c r="J37" s="433"/>
      <c r="K37" s="434"/>
      <c r="L37" s="433"/>
      <c r="M37" s="34"/>
      <c r="N37" s="34">
        <f t="shared" si="0"/>
        <v>0</v>
      </c>
      <c r="O37" s="433"/>
      <c r="P37" s="374"/>
      <c r="Q37" s="433"/>
      <c r="R37" s="435"/>
      <c r="S37" s="434"/>
      <c r="T37">
        <v>28</v>
      </c>
      <c r="V37" s="54"/>
    </row>
    <row r="38" spans="1:25" x14ac:dyDescent="0.2">
      <c r="B38">
        <v>29</v>
      </c>
      <c r="C38" s="374"/>
      <c r="D38" s="433"/>
      <c r="E38" s="374"/>
      <c r="F38" s="374"/>
      <c r="G38" s="374"/>
      <c r="H38" s="433"/>
      <c r="I38" s="34">
        <f t="shared" si="1"/>
        <v>0</v>
      </c>
      <c r="J38" s="433"/>
      <c r="K38" s="434"/>
      <c r="L38" s="433"/>
      <c r="M38" s="34"/>
      <c r="N38" s="34">
        <f t="shared" si="0"/>
        <v>0</v>
      </c>
      <c r="O38" s="464"/>
      <c r="P38" s="374"/>
      <c r="Q38" s="433"/>
      <c r="R38" s="435"/>
      <c r="S38" s="434"/>
      <c r="T38">
        <v>29</v>
      </c>
    </row>
    <row r="39" spans="1:25" x14ac:dyDescent="0.2">
      <c r="B39">
        <v>30</v>
      </c>
      <c r="C39" s="374"/>
      <c r="D39" s="433"/>
      <c r="E39" s="374"/>
      <c r="F39" s="374"/>
      <c r="G39" s="374"/>
      <c r="H39" s="433"/>
      <c r="I39" s="34">
        <f>C39-D39-E39-H39-F39-G39</f>
        <v>0</v>
      </c>
      <c r="J39" s="433"/>
      <c r="K39" s="434"/>
      <c r="L39" s="433"/>
      <c r="M39" s="34"/>
      <c r="N39" s="34">
        <f t="shared" si="0"/>
        <v>0</v>
      </c>
      <c r="O39" s="433"/>
      <c r="P39" s="374"/>
      <c r="Q39" s="433"/>
      <c r="R39" s="435"/>
      <c r="S39" s="434"/>
      <c r="T39">
        <v>30</v>
      </c>
      <c r="U39" s="54" t="s">
        <v>905</v>
      </c>
      <c r="V39" s="183" t="s">
        <v>674</v>
      </c>
      <c r="W39" s="449"/>
      <c r="X39" s="42" t="e">
        <f>#REF!-#REF!</f>
        <v>#REF!</v>
      </c>
    </row>
    <row r="40" spans="1:25" x14ac:dyDescent="0.2">
      <c r="B40">
        <v>31</v>
      </c>
      <c r="C40" s="374"/>
      <c r="D40" s="433"/>
      <c r="E40" s="374"/>
      <c r="F40" s="1042"/>
      <c r="G40" s="374"/>
      <c r="H40" s="433"/>
      <c r="I40" s="34">
        <f t="shared" si="1"/>
        <v>0</v>
      </c>
      <c r="J40" s="433"/>
      <c r="K40" s="434"/>
      <c r="L40" s="433"/>
      <c r="M40" s="34"/>
      <c r="N40" s="34">
        <f t="shared" si="0"/>
        <v>0</v>
      </c>
      <c r="O40" s="433"/>
      <c r="P40" s="374"/>
      <c r="Q40" s="433"/>
      <c r="R40" s="435"/>
      <c r="S40" s="34"/>
      <c r="T40">
        <v>31</v>
      </c>
    </row>
    <row r="41" spans="1:25" ht="13.5" thickBot="1" x14ac:dyDescent="0.25">
      <c r="C41" s="22"/>
      <c r="D41" s="29"/>
      <c r="E41" s="22"/>
      <c r="F41" s="22"/>
      <c r="G41" s="22"/>
      <c r="H41" s="29"/>
      <c r="I41" s="34">
        <f t="shared" si="1"/>
        <v>0</v>
      </c>
      <c r="J41" s="29"/>
      <c r="K41" s="34"/>
      <c r="L41" s="29"/>
      <c r="M41" s="35"/>
      <c r="N41" s="34">
        <f t="shared" si="0"/>
        <v>0</v>
      </c>
      <c r="O41" s="29"/>
      <c r="P41" s="22"/>
      <c r="Q41" s="29"/>
      <c r="R41" s="28"/>
      <c r="S41" s="34"/>
      <c r="U41" s="54" t="s">
        <v>910</v>
      </c>
      <c r="V41" s="183" t="s">
        <v>672</v>
      </c>
      <c r="W41" s="42">
        <f>E48+F48+G48+H48+I48+N48</f>
        <v>0</v>
      </c>
    </row>
    <row r="42" spans="1:25" x14ac:dyDescent="0.2">
      <c r="C42" s="40"/>
      <c r="D42" s="33"/>
      <c r="E42" s="33"/>
      <c r="F42" s="439"/>
      <c r="G42" s="33"/>
      <c r="H42" s="33"/>
      <c r="I42" s="439"/>
      <c r="J42" s="33"/>
      <c r="K42" s="439"/>
      <c r="L42" s="33"/>
      <c r="M42" s="439"/>
      <c r="N42" s="439"/>
      <c r="O42" s="33"/>
      <c r="P42" s="439"/>
      <c r="Q42" s="33"/>
      <c r="R42" s="439"/>
      <c r="S42" s="33"/>
      <c r="V42" s="183" t="s">
        <v>674</v>
      </c>
      <c r="W42" s="449"/>
      <c r="X42" s="42">
        <f>W43-W41</f>
        <v>0</v>
      </c>
      <c r="Y42" s="42"/>
    </row>
    <row r="43" spans="1:25" x14ac:dyDescent="0.2">
      <c r="A43" s="54" t="s">
        <v>671</v>
      </c>
      <c r="B43" s="1"/>
      <c r="C43" s="34">
        <f>SUM(C9:C41)</f>
        <v>0</v>
      </c>
      <c r="D43" s="441">
        <f>SUM(D9:D41)</f>
        <v>0</v>
      </c>
      <c r="E43" s="34"/>
      <c r="F43" s="442">
        <f>SUM(F9:F41)</f>
        <v>0</v>
      </c>
      <c r="G43" s="441">
        <f>SUM(G9:G41)</f>
        <v>0</v>
      </c>
      <c r="H43" s="441">
        <f>SUM(H9:H41)</f>
        <v>0</v>
      </c>
      <c r="I43" s="446">
        <f>SUM(I9:I41)</f>
        <v>0</v>
      </c>
      <c r="J43" s="34">
        <f>SUM(J9:J41)</f>
        <v>0</v>
      </c>
      <c r="K43" s="441">
        <f t="shared" ref="K43:P43" si="2">SUM(K9:K41)</f>
        <v>0</v>
      </c>
      <c r="L43" s="441">
        <f>SUM(L9:L41)</f>
        <v>0</v>
      </c>
      <c r="M43" s="441">
        <f t="shared" si="2"/>
        <v>0</v>
      </c>
      <c r="N43" s="446">
        <f>SUM(N9:N41)</f>
        <v>0</v>
      </c>
      <c r="O43" s="441">
        <f>SUM(O9:O41)</f>
        <v>0</v>
      </c>
      <c r="P43" s="441">
        <f t="shared" si="2"/>
        <v>0</v>
      </c>
      <c r="Q43" s="441">
        <f>SUM(Q9:Q41)</f>
        <v>0</v>
      </c>
      <c r="R43" s="441">
        <f>SUM(R9:R41)</f>
        <v>0</v>
      </c>
      <c r="S43" s="446">
        <f>SUM(S9:S41)</f>
        <v>0</v>
      </c>
      <c r="V43" s="183" t="s">
        <v>673</v>
      </c>
      <c r="W43" s="42">
        <f>S48+O48+P48+Q48+R48</f>
        <v>0</v>
      </c>
      <c r="X43" s="42"/>
    </row>
    <row r="44" spans="1:25" ht="13.5" thickBot="1" x14ac:dyDescent="0.25">
      <c r="C44" s="440"/>
      <c r="D44" s="35"/>
      <c r="E44" s="35"/>
      <c r="F44" s="37"/>
      <c r="G44" s="35"/>
      <c r="H44" s="35"/>
      <c r="I44" s="37"/>
      <c r="J44" s="35"/>
      <c r="K44" s="37"/>
      <c r="L44" s="35"/>
      <c r="M44" s="37"/>
      <c r="N44" s="37"/>
      <c r="O44" s="35"/>
      <c r="P44" s="37"/>
      <c r="Q44" s="35"/>
      <c r="R44" s="37"/>
      <c r="S44" s="35"/>
    </row>
    <row r="45" spans="1:25" x14ac:dyDescent="0.2"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>
        <f>L45+K45</f>
        <v>0</v>
      </c>
      <c r="O45" s="29"/>
      <c r="P45" s="29"/>
      <c r="Q45" s="29"/>
      <c r="R45" s="29"/>
      <c r="S45" s="29"/>
    </row>
    <row r="46" spans="1:25" ht="13.5" thickBot="1" x14ac:dyDescent="0.25">
      <c r="A46" s="94">
        <v>42329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U46" s="54" t="s">
        <v>912</v>
      </c>
      <c r="V46" s="183" t="s">
        <v>672</v>
      </c>
      <c r="W46" s="42">
        <f>E52+F52+G52+H52+I52+N52</f>
        <v>0</v>
      </c>
    </row>
    <row r="47" spans="1:25" x14ac:dyDescent="0.2">
      <c r="A47" s="255"/>
      <c r="C47" s="33"/>
      <c r="D47" s="444"/>
      <c r="E47" s="374"/>
      <c r="F47" s="465"/>
      <c r="G47" s="374"/>
      <c r="H47" s="374"/>
      <c r="I47" s="435"/>
      <c r="J47" s="40"/>
      <c r="K47" s="374"/>
      <c r="L47" s="374"/>
      <c r="M47" s="374"/>
      <c r="N47" s="374"/>
      <c r="O47" s="374"/>
      <c r="P47" s="374"/>
      <c r="Q47" s="374"/>
      <c r="R47" s="374"/>
      <c r="S47" s="374"/>
      <c r="V47" s="183" t="s">
        <v>674</v>
      </c>
      <c r="W47" s="449"/>
      <c r="X47" s="42">
        <f>W48-W46</f>
        <v>0</v>
      </c>
      <c r="Y47" s="50"/>
    </row>
    <row r="48" spans="1:25" x14ac:dyDescent="0.2">
      <c r="A48" s="843" t="s">
        <v>910</v>
      </c>
      <c r="C48" s="847"/>
      <c r="D48" s="1060"/>
      <c r="E48" s="844"/>
      <c r="F48" s="1043"/>
      <c r="G48" s="1059"/>
      <c r="H48" s="1059"/>
      <c r="I48" s="447">
        <f>C48-D48-E48-H48-F48-G48</f>
        <v>0</v>
      </c>
      <c r="J48" s="849"/>
      <c r="K48" s="844"/>
      <c r="L48" s="844"/>
      <c r="M48" s="848"/>
      <c r="N48" s="446">
        <f>J48-K48-L48-M48</f>
        <v>0</v>
      </c>
      <c r="O48" s="844"/>
      <c r="P48" s="844"/>
      <c r="Q48" s="844"/>
      <c r="R48" s="844"/>
      <c r="S48" s="448"/>
      <c r="V48" s="183" t="s">
        <v>673</v>
      </c>
      <c r="W48" s="42">
        <f>S52+O52+P52+Q52+R52</f>
        <v>0</v>
      </c>
      <c r="X48" s="42"/>
      <c r="Y48" s="50"/>
    </row>
    <row r="49" spans="1:25" ht="13.5" thickBot="1" x14ac:dyDescent="0.25">
      <c r="A49" s="261"/>
      <c r="C49" s="16"/>
      <c r="D49" s="84"/>
      <c r="E49" s="1186"/>
      <c r="F49" s="466"/>
      <c r="G49" s="1186"/>
      <c r="H49" s="1186"/>
      <c r="I49" s="89"/>
      <c r="J49" s="11"/>
      <c r="K49" s="1186"/>
      <c r="L49" s="1186"/>
      <c r="M49" s="1186"/>
      <c r="N49" s="1186"/>
      <c r="O49" s="1186"/>
      <c r="P49" s="1186"/>
      <c r="Q49" s="1186"/>
      <c r="R49" s="1186"/>
      <c r="S49" s="1186"/>
      <c r="Y49" s="56"/>
    </row>
    <row r="50" spans="1:25" ht="13.5" thickBot="1" x14ac:dyDescent="0.25">
      <c r="A50" s="204"/>
      <c r="C50" s="15"/>
      <c r="D50" s="81"/>
      <c r="E50" s="66"/>
      <c r="F50" s="450"/>
      <c r="G50" s="66"/>
      <c r="H50" s="66"/>
      <c r="I50" s="88"/>
      <c r="J50" s="5"/>
      <c r="K50" s="66"/>
      <c r="L50" s="66"/>
      <c r="M50" s="66"/>
      <c r="N50" s="66"/>
      <c r="O50" s="66"/>
      <c r="P50" s="66"/>
      <c r="Q50" s="66"/>
      <c r="R50" s="66"/>
      <c r="S50" s="66"/>
      <c r="Y50" s="56"/>
    </row>
    <row r="51" spans="1:25" x14ac:dyDescent="0.2">
      <c r="A51" s="443"/>
      <c r="C51" s="33"/>
      <c r="D51" s="444"/>
      <c r="E51" s="374"/>
      <c r="F51" s="465"/>
      <c r="G51" s="374"/>
      <c r="H51" s="374"/>
      <c r="I51" s="435"/>
      <c r="J51" s="40"/>
      <c r="K51" s="374"/>
      <c r="L51" s="374"/>
      <c r="M51" s="374"/>
      <c r="N51" s="374"/>
      <c r="O51" s="374"/>
      <c r="P51" s="374"/>
      <c r="Q51" s="374"/>
      <c r="R51" s="374"/>
      <c r="S51" s="374"/>
    </row>
    <row r="52" spans="1:25" x14ac:dyDescent="0.2">
      <c r="A52" s="843" t="s">
        <v>912</v>
      </c>
      <c r="C52" s="847"/>
      <c r="D52" s="846"/>
      <c r="E52" s="844"/>
      <c r="F52" s="845"/>
      <c r="G52" s="844"/>
      <c r="H52" s="844"/>
      <c r="I52" s="447">
        <f>C52-D52-E52-H52-F52-G52</f>
        <v>0</v>
      </c>
      <c r="J52" s="849"/>
      <c r="K52" s="844"/>
      <c r="L52" s="844"/>
      <c r="M52" s="848"/>
      <c r="N52" s="446">
        <f>J52-K52-L52-M52</f>
        <v>0</v>
      </c>
      <c r="O52" s="844"/>
      <c r="P52" s="844"/>
      <c r="Q52" s="844"/>
      <c r="R52" s="844"/>
      <c r="S52" s="448"/>
    </row>
    <row r="53" spans="1:25" ht="13.5" thickBot="1" x14ac:dyDescent="0.25">
      <c r="A53" s="1186"/>
      <c r="C53" s="16"/>
      <c r="D53" s="84"/>
      <c r="E53" s="1186"/>
      <c r="F53" s="466"/>
      <c r="G53" s="1186"/>
      <c r="H53" s="1186"/>
      <c r="I53" s="89"/>
      <c r="J53" s="11"/>
      <c r="K53" s="1186"/>
      <c r="L53" s="1186"/>
      <c r="M53" s="1186"/>
      <c r="N53" s="1186"/>
      <c r="O53" s="1186"/>
      <c r="P53" s="1186"/>
      <c r="Q53" s="1186"/>
      <c r="R53" s="1186"/>
      <c r="S53" s="1186"/>
    </row>
    <row r="54" spans="1:25" x14ac:dyDescent="0.2">
      <c r="U54" s="183"/>
    </row>
    <row r="55" spans="1:25" x14ac:dyDescent="0.2">
      <c r="U55" s="183"/>
      <c r="V55" s="183"/>
      <c r="W55" s="183"/>
      <c r="X55" s="17"/>
      <c r="Y55" s="50"/>
    </row>
    <row r="56" spans="1:25" x14ac:dyDescent="0.2">
      <c r="W56" s="183"/>
      <c r="X56" s="17"/>
      <c r="Y56" s="50"/>
    </row>
    <row r="57" spans="1:25" x14ac:dyDescent="0.2">
      <c r="Y57" s="56"/>
    </row>
    <row r="58" spans="1:25" x14ac:dyDescent="0.2">
      <c r="U58" s="183"/>
      <c r="V58" s="183"/>
      <c r="W58" s="183"/>
      <c r="X58" s="17"/>
      <c r="Y58" s="50"/>
    </row>
  </sheetData>
  <pageMargins left="0.70866141732283472" right="0.70866141732283472" top="0.74803149606299213" bottom="0.74803149606299213" header="0.31496062992125984" footer="0.31496062992125984"/>
  <pageSetup paperSize="9" scale="71" fitToWidth="2" orientation="landscape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>
    <pageSetUpPr fitToPage="1"/>
  </sheetPr>
  <dimension ref="A6:K158"/>
  <sheetViews>
    <sheetView workbookViewId="0">
      <selection activeCell="I9" sqref="I9"/>
    </sheetView>
  </sheetViews>
  <sheetFormatPr defaultColWidth="11.42578125" defaultRowHeight="12.75" x14ac:dyDescent="0.2"/>
  <cols>
    <col min="1" max="1" width="52.28515625" customWidth="1"/>
    <col min="2" max="2" width="15.42578125" customWidth="1"/>
    <col min="3" max="3" width="14" customWidth="1"/>
    <col min="4" max="4" width="13.7109375" customWidth="1"/>
    <col min="5" max="5" width="13.5703125" customWidth="1"/>
    <col min="9" max="9" width="14.28515625" customWidth="1"/>
    <col min="10" max="10" width="12.7109375" customWidth="1"/>
  </cols>
  <sheetData>
    <row r="6" spans="1:10" x14ac:dyDescent="0.2">
      <c r="E6" s="52"/>
      <c r="F6" s="186"/>
      <c r="G6" s="479"/>
      <c r="I6" s="479" t="s">
        <v>1179</v>
      </c>
    </row>
    <row r="9" spans="1:10" ht="18" x14ac:dyDescent="0.25">
      <c r="A9" s="208" t="s">
        <v>998</v>
      </c>
    </row>
    <row r="10" spans="1:10" ht="18" x14ac:dyDescent="0.25">
      <c r="A10" s="208" t="s">
        <v>1180</v>
      </c>
    </row>
    <row r="11" spans="1:10" ht="18" x14ac:dyDescent="0.25">
      <c r="A11" s="185"/>
    </row>
    <row r="13" spans="1:10" x14ac:dyDescent="0.2">
      <c r="C13" s="186"/>
      <c r="D13" s="186"/>
      <c r="E13" s="186"/>
      <c r="F13" s="186"/>
      <c r="G13" s="186" t="s">
        <v>269</v>
      </c>
    </row>
    <row r="15" spans="1:10" ht="15.75" x14ac:dyDescent="0.25">
      <c r="B15" s="192" t="s">
        <v>763</v>
      </c>
      <c r="C15" s="216"/>
      <c r="D15" s="216"/>
      <c r="E15" s="216"/>
      <c r="F15" s="931"/>
      <c r="G15" s="931"/>
      <c r="H15" s="932"/>
      <c r="I15" s="932" t="s">
        <v>372</v>
      </c>
      <c r="J15" s="932" t="s">
        <v>372</v>
      </c>
    </row>
    <row r="16" spans="1:10" ht="15.75" x14ac:dyDescent="0.25">
      <c r="B16" s="188">
        <v>2008</v>
      </c>
      <c r="C16" s="256">
        <v>2009</v>
      </c>
      <c r="D16" s="256">
        <v>2010</v>
      </c>
      <c r="E16" s="355">
        <v>2011</v>
      </c>
      <c r="F16" s="356">
        <v>2012</v>
      </c>
      <c r="G16" s="356">
        <v>2013</v>
      </c>
      <c r="H16" s="935">
        <v>2014</v>
      </c>
      <c r="I16" s="356">
        <v>2015</v>
      </c>
      <c r="J16" s="356">
        <v>2016</v>
      </c>
    </row>
    <row r="17" spans="1:10" x14ac:dyDescent="0.2">
      <c r="B17" s="89"/>
      <c r="C17" s="1155"/>
      <c r="D17" s="1155"/>
      <c r="E17" s="1155"/>
      <c r="F17" s="1155"/>
      <c r="G17" s="1155"/>
      <c r="H17" s="89"/>
      <c r="I17" s="1155"/>
      <c r="J17" s="1178"/>
    </row>
    <row r="19" spans="1:10" x14ac:dyDescent="0.2">
      <c r="B19" s="50"/>
      <c r="C19" s="50"/>
      <c r="D19" s="50"/>
      <c r="E19" s="50"/>
    </row>
    <row r="20" spans="1:10" x14ac:dyDescent="0.2">
      <c r="A20" t="s">
        <v>252</v>
      </c>
      <c r="B20" s="50">
        <v>7624</v>
      </c>
      <c r="C20" s="50">
        <v>7730</v>
      </c>
      <c r="D20" s="50">
        <v>9843</v>
      </c>
      <c r="E20" s="50">
        <v>13100</v>
      </c>
      <c r="F20" s="50">
        <v>15113</v>
      </c>
      <c r="G20" s="50">
        <v>17740</v>
      </c>
      <c r="H20" s="50">
        <v>18268</v>
      </c>
      <c r="I20" s="50">
        <v>17400</v>
      </c>
      <c r="J20" s="50">
        <v>19000</v>
      </c>
    </row>
    <row r="21" spans="1:10" x14ac:dyDescent="0.2">
      <c r="B21" s="50"/>
      <c r="C21" s="50"/>
      <c r="D21" s="50"/>
      <c r="E21" s="50"/>
    </row>
    <row r="22" spans="1:10" x14ac:dyDescent="0.2">
      <c r="A22" s="1" t="s">
        <v>266</v>
      </c>
      <c r="B22" s="187">
        <f t="shared" ref="B22:I22" si="0">B20</f>
        <v>7624</v>
      </c>
      <c r="C22" s="187">
        <f t="shared" si="0"/>
        <v>7730</v>
      </c>
      <c r="D22" s="187">
        <f t="shared" si="0"/>
        <v>9843</v>
      </c>
      <c r="E22" s="187">
        <f t="shared" si="0"/>
        <v>13100</v>
      </c>
      <c r="F22" s="187">
        <f t="shared" si="0"/>
        <v>15113</v>
      </c>
      <c r="G22" s="187">
        <f t="shared" si="0"/>
        <v>17740</v>
      </c>
      <c r="H22" s="187">
        <f t="shared" si="0"/>
        <v>18268</v>
      </c>
      <c r="I22" s="187">
        <f t="shared" si="0"/>
        <v>17400</v>
      </c>
      <c r="J22" s="187">
        <f>J20</f>
        <v>19000</v>
      </c>
    </row>
    <row r="23" spans="1:10" x14ac:dyDescent="0.2">
      <c r="B23" s="50"/>
      <c r="C23" s="50"/>
      <c r="D23" s="50"/>
      <c r="E23" s="50"/>
    </row>
    <row r="24" spans="1:10" x14ac:dyDescent="0.2">
      <c r="B24" s="48"/>
      <c r="C24" s="48"/>
      <c r="D24" s="48"/>
      <c r="E24" s="48"/>
    </row>
    <row r="25" spans="1:10" x14ac:dyDescent="0.2">
      <c r="A25" t="s">
        <v>254</v>
      </c>
      <c r="B25" s="50">
        <v>-244</v>
      </c>
      <c r="C25" s="50">
        <v>-384</v>
      </c>
      <c r="D25" s="50">
        <v>-1217</v>
      </c>
      <c r="E25" s="50">
        <v>-432</v>
      </c>
      <c r="F25" s="50">
        <v>-1148</v>
      </c>
      <c r="G25" s="50">
        <v>-1480</v>
      </c>
      <c r="H25" s="50">
        <v>153</v>
      </c>
      <c r="I25" s="50">
        <v>950</v>
      </c>
      <c r="J25" s="50">
        <v>-350</v>
      </c>
    </row>
    <row r="26" spans="1:10" x14ac:dyDescent="0.2">
      <c r="A26" s="183" t="s">
        <v>258</v>
      </c>
      <c r="B26" s="50">
        <v>6757</v>
      </c>
      <c r="C26" s="50">
        <v>6869</v>
      </c>
      <c r="D26" s="50">
        <v>9373</v>
      </c>
      <c r="E26" s="50">
        <v>11286</v>
      </c>
      <c r="F26" s="50">
        <v>13771</v>
      </c>
      <c r="G26" s="50">
        <v>16094</v>
      </c>
      <c r="H26" s="50">
        <v>15146</v>
      </c>
      <c r="I26" s="50">
        <v>13400</v>
      </c>
      <c r="J26" s="50">
        <v>16000</v>
      </c>
    </row>
    <row r="27" spans="1:10" x14ac:dyDescent="0.2">
      <c r="A27" s="191"/>
      <c r="B27" s="50"/>
      <c r="C27" s="50"/>
      <c r="D27" s="50"/>
      <c r="E27" s="50"/>
    </row>
    <row r="28" spans="1:10" x14ac:dyDescent="0.2">
      <c r="A28" s="1" t="s">
        <v>406</v>
      </c>
      <c r="B28" s="187">
        <f t="shared" ref="B28:I28" si="1">B25+B26</f>
        <v>6513</v>
      </c>
      <c r="C28" s="187">
        <f t="shared" si="1"/>
        <v>6485</v>
      </c>
      <c r="D28" s="187">
        <f t="shared" si="1"/>
        <v>8156</v>
      </c>
      <c r="E28" s="187">
        <f t="shared" si="1"/>
        <v>10854</v>
      </c>
      <c r="F28" s="187">
        <f t="shared" si="1"/>
        <v>12623</v>
      </c>
      <c r="G28" s="187">
        <f t="shared" si="1"/>
        <v>14614</v>
      </c>
      <c r="H28" s="187">
        <f t="shared" si="1"/>
        <v>15299</v>
      </c>
      <c r="I28" s="187">
        <f t="shared" si="1"/>
        <v>14350</v>
      </c>
      <c r="J28" s="187">
        <f>J25+J26</f>
        <v>15650</v>
      </c>
    </row>
    <row r="29" spans="1:10" x14ac:dyDescent="0.2">
      <c r="A29" s="1"/>
      <c r="B29" s="123"/>
      <c r="C29" s="123"/>
      <c r="D29" s="123"/>
      <c r="E29" s="123"/>
      <c r="F29" s="123"/>
      <c r="G29" s="123"/>
      <c r="H29" s="123"/>
      <c r="I29" s="123"/>
      <c r="J29" s="123"/>
    </row>
    <row r="30" spans="1:10" x14ac:dyDescent="0.2">
      <c r="A30" s="494" t="s">
        <v>407</v>
      </c>
      <c r="B30" s="174">
        <f>B32*100/B20</f>
        <v>14.572402938090242</v>
      </c>
      <c r="C30" s="174">
        <f t="shared" ref="C30:I30" si="2">C32*100/C20</f>
        <v>16.106080206985769</v>
      </c>
      <c r="D30" s="174">
        <f t="shared" si="2"/>
        <v>17.139083612719698</v>
      </c>
      <c r="E30" s="174">
        <f t="shared" si="2"/>
        <v>17.145038167938932</v>
      </c>
      <c r="F30" s="174">
        <f t="shared" si="2"/>
        <v>16.475881691259183</v>
      </c>
      <c r="G30" s="174">
        <f t="shared" si="2"/>
        <v>17.621195039458851</v>
      </c>
      <c r="H30" s="174">
        <f t="shared" si="2"/>
        <v>16.252463323844974</v>
      </c>
      <c r="I30" s="174">
        <f t="shared" si="2"/>
        <v>17.528735632183906</v>
      </c>
      <c r="J30" s="174">
        <f>J32*100/J20</f>
        <v>17.631578947368421</v>
      </c>
    </row>
    <row r="31" spans="1:10" x14ac:dyDescent="0.2">
      <c r="A31" s="1"/>
      <c r="B31" s="50"/>
      <c r="C31" s="50"/>
      <c r="D31" s="50"/>
      <c r="E31" s="50"/>
    </row>
    <row r="32" spans="1:10" ht="15.75" x14ac:dyDescent="0.25">
      <c r="A32" s="184" t="s">
        <v>405</v>
      </c>
      <c r="B32" s="187">
        <f t="shared" ref="B32:I32" si="3">B22-B28</f>
        <v>1111</v>
      </c>
      <c r="C32" s="187">
        <f t="shared" si="3"/>
        <v>1245</v>
      </c>
      <c r="D32" s="187">
        <f t="shared" si="3"/>
        <v>1687</v>
      </c>
      <c r="E32" s="187">
        <f t="shared" si="3"/>
        <v>2246</v>
      </c>
      <c r="F32" s="187">
        <f t="shared" si="3"/>
        <v>2490</v>
      </c>
      <c r="G32" s="187">
        <f t="shared" si="3"/>
        <v>3126</v>
      </c>
      <c r="H32" s="187">
        <f t="shared" si="3"/>
        <v>2969</v>
      </c>
      <c r="I32" s="187">
        <f t="shared" si="3"/>
        <v>3050</v>
      </c>
      <c r="J32" s="187">
        <f>J22-J28</f>
        <v>3350</v>
      </c>
    </row>
    <row r="33" spans="1:11" x14ac:dyDescent="0.2">
      <c r="A33" s="183"/>
      <c r="B33" s="50"/>
      <c r="C33" s="50"/>
      <c r="D33" s="50"/>
      <c r="E33" s="50"/>
    </row>
    <row r="34" spans="1:11" x14ac:dyDescent="0.2">
      <c r="A34" s="183" t="s">
        <v>259</v>
      </c>
      <c r="B34" s="50">
        <v>32</v>
      </c>
      <c r="C34" s="50">
        <v>39</v>
      </c>
      <c r="D34" s="50">
        <v>55</v>
      </c>
      <c r="E34" s="50">
        <v>82</v>
      </c>
      <c r="F34" s="50">
        <v>104</v>
      </c>
      <c r="G34" s="50">
        <v>112</v>
      </c>
      <c r="H34" s="50">
        <v>117</v>
      </c>
      <c r="I34" s="50">
        <v>120</v>
      </c>
      <c r="J34" s="50">
        <v>125</v>
      </c>
    </row>
    <row r="35" spans="1:11" x14ac:dyDescent="0.2">
      <c r="A35" s="183" t="s">
        <v>260</v>
      </c>
      <c r="B35" s="50">
        <v>331</v>
      </c>
      <c r="C35" s="50">
        <v>414</v>
      </c>
      <c r="D35" s="50">
        <v>485</v>
      </c>
      <c r="E35" s="50">
        <v>575</v>
      </c>
      <c r="F35" s="50">
        <v>689</v>
      </c>
      <c r="G35" s="50">
        <v>827</v>
      </c>
      <c r="H35" s="50">
        <v>819</v>
      </c>
      <c r="I35" s="50">
        <v>845</v>
      </c>
      <c r="J35" s="50">
        <v>850</v>
      </c>
    </row>
    <row r="36" spans="1:11" x14ac:dyDescent="0.2">
      <c r="A36" s="183" t="s">
        <v>268</v>
      </c>
      <c r="B36" s="50">
        <v>90</v>
      </c>
      <c r="C36" s="50">
        <v>106</v>
      </c>
      <c r="D36" s="50">
        <v>262</v>
      </c>
      <c r="E36" s="50">
        <v>302</v>
      </c>
      <c r="F36" s="50">
        <v>320</v>
      </c>
      <c r="G36" s="50">
        <v>323</v>
      </c>
      <c r="H36" s="50">
        <v>451</v>
      </c>
      <c r="I36" s="50">
        <v>460</v>
      </c>
      <c r="J36" s="50">
        <v>465</v>
      </c>
    </row>
    <row r="37" spans="1:11" x14ac:dyDescent="0.2">
      <c r="A37" s="183" t="s">
        <v>261</v>
      </c>
      <c r="B37" s="50">
        <v>288</v>
      </c>
      <c r="C37" s="190">
        <v>265</v>
      </c>
      <c r="D37" s="190">
        <v>299</v>
      </c>
      <c r="E37" s="190">
        <v>429</v>
      </c>
      <c r="F37" s="936">
        <v>626</v>
      </c>
      <c r="G37" s="936">
        <v>814</v>
      </c>
      <c r="H37" s="936">
        <v>887</v>
      </c>
      <c r="I37" s="936">
        <v>870</v>
      </c>
      <c r="J37" s="936">
        <v>890</v>
      </c>
      <c r="K37" t="s">
        <v>302</v>
      </c>
    </row>
    <row r="38" spans="1:11" x14ac:dyDescent="0.2">
      <c r="B38" s="50"/>
      <c r="C38" s="50"/>
      <c r="D38" s="50"/>
      <c r="E38" s="50"/>
    </row>
    <row r="39" spans="1:11" x14ac:dyDescent="0.2">
      <c r="A39" s="1" t="s">
        <v>267</v>
      </c>
      <c r="B39" s="187">
        <f t="shared" ref="B39:G39" si="4">SUM(B34:B37)</f>
        <v>741</v>
      </c>
      <c r="C39" s="187">
        <f t="shared" si="4"/>
        <v>824</v>
      </c>
      <c r="D39" s="187">
        <f t="shared" si="4"/>
        <v>1101</v>
      </c>
      <c r="E39" s="187">
        <f t="shared" si="4"/>
        <v>1388</v>
      </c>
      <c r="F39" s="187">
        <f t="shared" si="4"/>
        <v>1739</v>
      </c>
      <c r="G39" s="187">
        <f t="shared" si="4"/>
        <v>2076</v>
      </c>
      <c r="H39" s="187">
        <f>SUM(H34:H37)</f>
        <v>2274</v>
      </c>
      <c r="I39" s="187">
        <f>SUM(I34:I37)</f>
        <v>2295</v>
      </c>
      <c r="J39" s="187">
        <f>SUM(J34:J37)</f>
        <v>2330</v>
      </c>
    </row>
    <row r="40" spans="1:11" x14ac:dyDescent="0.2">
      <c r="B40" s="50"/>
      <c r="C40" s="50"/>
      <c r="D40" s="50"/>
      <c r="E40" s="50"/>
    </row>
    <row r="41" spans="1:11" x14ac:dyDescent="0.2">
      <c r="B41" s="50"/>
      <c r="C41" s="50"/>
      <c r="D41" s="50"/>
      <c r="E41" s="50"/>
    </row>
    <row r="42" spans="1:11" ht="15.75" x14ac:dyDescent="0.25">
      <c r="A42" s="184" t="s">
        <v>255</v>
      </c>
      <c r="B42" s="187">
        <f t="shared" ref="B42:I42" si="5">B32-B39</f>
        <v>370</v>
      </c>
      <c r="C42" s="187">
        <f t="shared" si="5"/>
        <v>421</v>
      </c>
      <c r="D42" s="187">
        <f t="shared" si="5"/>
        <v>586</v>
      </c>
      <c r="E42" s="187">
        <f t="shared" si="5"/>
        <v>858</v>
      </c>
      <c r="F42" s="187">
        <f t="shared" si="5"/>
        <v>751</v>
      </c>
      <c r="G42" s="187">
        <f t="shared" si="5"/>
        <v>1050</v>
      </c>
      <c r="H42" s="187">
        <f t="shared" si="5"/>
        <v>695</v>
      </c>
      <c r="I42" s="187">
        <f t="shared" si="5"/>
        <v>755</v>
      </c>
      <c r="J42" s="187">
        <f>J32-J39</f>
        <v>1020</v>
      </c>
    </row>
    <row r="43" spans="1:11" x14ac:dyDescent="0.2">
      <c r="B43" s="50"/>
      <c r="C43" s="50"/>
      <c r="D43" s="50"/>
      <c r="E43" s="50"/>
    </row>
    <row r="44" spans="1:11" x14ac:dyDescent="0.2">
      <c r="A44" s="183" t="s">
        <v>262</v>
      </c>
      <c r="B44" s="50">
        <v>142</v>
      </c>
      <c r="C44" s="50">
        <v>126</v>
      </c>
      <c r="D44" s="50">
        <v>206</v>
      </c>
      <c r="E44" s="50">
        <v>378</v>
      </c>
      <c r="F44" s="50">
        <v>534</v>
      </c>
      <c r="G44" s="50">
        <v>743</v>
      </c>
      <c r="H44" s="50">
        <v>588</v>
      </c>
      <c r="I44" s="50">
        <v>630</v>
      </c>
      <c r="J44" s="50">
        <v>670</v>
      </c>
      <c r="K44" t="s">
        <v>659</v>
      </c>
    </row>
    <row r="45" spans="1:11" x14ac:dyDescent="0.2">
      <c r="A45" s="183" t="s">
        <v>263</v>
      </c>
      <c r="B45" s="50">
        <v>6</v>
      </c>
      <c r="C45" s="50">
        <v>5</v>
      </c>
      <c r="D45" s="50">
        <v>22</v>
      </c>
      <c r="E45" s="50">
        <v>41</v>
      </c>
      <c r="F45" s="50">
        <v>8</v>
      </c>
      <c r="G45" s="50">
        <v>1</v>
      </c>
      <c r="H45" s="50">
        <v>6</v>
      </c>
      <c r="I45" s="50"/>
      <c r="J45" s="50"/>
    </row>
    <row r="46" spans="1:11" x14ac:dyDescent="0.2">
      <c r="A46" s="183" t="s">
        <v>264</v>
      </c>
      <c r="B46" s="50"/>
      <c r="C46" s="50"/>
      <c r="D46" s="50">
        <v>1</v>
      </c>
      <c r="E46" s="50"/>
      <c r="F46" s="480">
        <v>3</v>
      </c>
      <c r="G46" s="50">
        <v>1</v>
      </c>
      <c r="H46" s="50">
        <v>4</v>
      </c>
    </row>
    <row r="47" spans="1:11" x14ac:dyDescent="0.2">
      <c r="B47" s="50"/>
      <c r="C47" s="50"/>
      <c r="D47" s="50"/>
      <c r="E47" s="50"/>
    </row>
    <row r="48" spans="1:11" x14ac:dyDescent="0.2">
      <c r="B48" s="50"/>
      <c r="C48" s="50"/>
      <c r="D48" s="50"/>
      <c r="E48" s="50"/>
    </row>
    <row r="49" spans="1:10" ht="15.75" x14ac:dyDescent="0.25">
      <c r="A49" s="184" t="s">
        <v>256</v>
      </c>
      <c r="B49" s="187">
        <f t="shared" ref="B49:I49" si="6">B42-B44+B45-B46</f>
        <v>234</v>
      </c>
      <c r="C49" s="187">
        <f t="shared" si="6"/>
        <v>300</v>
      </c>
      <c r="D49" s="187">
        <f t="shared" si="6"/>
        <v>401</v>
      </c>
      <c r="E49" s="187">
        <f t="shared" si="6"/>
        <v>521</v>
      </c>
      <c r="F49" s="187">
        <f t="shared" si="6"/>
        <v>222</v>
      </c>
      <c r="G49" s="187">
        <f t="shared" si="6"/>
        <v>307</v>
      </c>
      <c r="H49" s="187">
        <f t="shared" si="6"/>
        <v>109</v>
      </c>
      <c r="I49" s="187">
        <f t="shared" si="6"/>
        <v>125</v>
      </c>
      <c r="J49" s="187">
        <f>J42-J44+J45-J46</f>
        <v>350</v>
      </c>
    </row>
    <row r="50" spans="1:10" x14ac:dyDescent="0.2">
      <c r="B50" s="50"/>
      <c r="C50" s="50"/>
      <c r="D50" s="50"/>
      <c r="E50" s="50"/>
    </row>
    <row r="51" spans="1:10" x14ac:dyDescent="0.2">
      <c r="A51" s="183" t="s">
        <v>265</v>
      </c>
      <c r="B51" s="50">
        <v>70</v>
      </c>
      <c r="C51" s="50">
        <v>97</v>
      </c>
      <c r="D51" s="50">
        <v>123</v>
      </c>
      <c r="E51" s="50">
        <v>156</v>
      </c>
      <c r="F51" s="42">
        <v>90</v>
      </c>
      <c r="G51" s="42">
        <v>93</v>
      </c>
      <c r="H51" s="42">
        <v>43</v>
      </c>
      <c r="I51" s="42">
        <f>I49*0.25</f>
        <v>31.25</v>
      </c>
      <c r="J51" s="42">
        <f>J49*0.25</f>
        <v>87.5</v>
      </c>
    </row>
    <row r="52" spans="1:10" x14ac:dyDescent="0.2">
      <c r="B52" s="50"/>
      <c r="C52" s="50"/>
      <c r="D52" s="50"/>
      <c r="E52" s="50"/>
    </row>
    <row r="53" spans="1:10" ht="15.75" x14ac:dyDescent="0.25">
      <c r="A53" s="184" t="s">
        <v>257</v>
      </c>
      <c r="B53" s="187">
        <f t="shared" ref="B53:I53" si="7">B49-B51</f>
        <v>164</v>
      </c>
      <c r="C53" s="187">
        <f t="shared" si="7"/>
        <v>203</v>
      </c>
      <c r="D53" s="187">
        <f t="shared" si="7"/>
        <v>278</v>
      </c>
      <c r="E53" s="187">
        <f t="shared" si="7"/>
        <v>365</v>
      </c>
      <c r="F53" s="187">
        <f t="shared" si="7"/>
        <v>132</v>
      </c>
      <c r="G53" s="187">
        <f t="shared" si="7"/>
        <v>214</v>
      </c>
      <c r="H53" s="187">
        <f t="shared" si="7"/>
        <v>66</v>
      </c>
      <c r="I53" s="187">
        <f t="shared" si="7"/>
        <v>93.75</v>
      </c>
      <c r="J53" s="187">
        <f>J49-J51</f>
        <v>262.5</v>
      </c>
    </row>
    <row r="54" spans="1:10" ht="15.75" x14ac:dyDescent="0.25">
      <c r="A54" s="184"/>
      <c r="B54" s="123"/>
      <c r="C54" s="123"/>
      <c r="D54" s="123"/>
      <c r="E54" s="123"/>
    </row>
    <row r="55" spans="1:10" x14ac:dyDescent="0.2">
      <c r="B55" s="48">
        <f t="shared" ref="B55:I55" si="8">B53*100/B20</f>
        <v>2.1511017838405038</v>
      </c>
      <c r="C55" s="48">
        <f t="shared" si="8"/>
        <v>2.6261319534282017</v>
      </c>
      <c r="D55" s="48">
        <f t="shared" si="8"/>
        <v>2.8243421721020012</v>
      </c>
      <c r="E55" s="48">
        <f t="shared" si="8"/>
        <v>2.7862595419847329</v>
      </c>
      <c r="F55" s="48">
        <f t="shared" si="8"/>
        <v>0.87342023423542647</v>
      </c>
      <c r="G55" s="48">
        <f t="shared" si="8"/>
        <v>1.2063134160090192</v>
      </c>
      <c r="H55" s="48">
        <f t="shared" si="8"/>
        <v>0.36128749726297349</v>
      </c>
      <c r="I55" s="48">
        <f t="shared" si="8"/>
        <v>0.53879310344827591</v>
      </c>
      <c r="J55" s="48">
        <f>J53*100/J20</f>
        <v>1.381578947368421</v>
      </c>
    </row>
    <row r="56" spans="1:10" x14ac:dyDescent="0.2">
      <c r="J56" s="48"/>
    </row>
    <row r="57" spans="1:10" x14ac:dyDescent="0.2">
      <c r="A57" t="s">
        <v>1181</v>
      </c>
    </row>
    <row r="58" spans="1:10" x14ac:dyDescent="0.2">
      <c r="A58" t="s">
        <v>1182</v>
      </c>
    </row>
    <row r="61" spans="1:10" x14ac:dyDescent="0.2">
      <c r="A61" t="s">
        <v>758</v>
      </c>
    </row>
    <row r="63" spans="1:10" x14ac:dyDescent="0.2">
      <c r="A63" t="s">
        <v>1002</v>
      </c>
    </row>
    <row r="64" spans="1:10" x14ac:dyDescent="0.2">
      <c r="A64" s="422"/>
      <c r="B64" s="934"/>
    </row>
    <row r="65" spans="1:3" x14ac:dyDescent="0.2">
      <c r="A65" t="s">
        <v>1004</v>
      </c>
    </row>
    <row r="67" spans="1:3" x14ac:dyDescent="0.2">
      <c r="C67" s="52" t="s">
        <v>1005</v>
      </c>
    </row>
    <row r="68" spans="1:3" x14ac:dyDescent="0.2">
      <c r="B68" s="934">
        <v>2013</v>
      </c>
      <c r="C68" s="56">
        <v>1158</v>
      </c>
    </row>
    <row r="69" spans="1:3" x14ac:dyDescent="0.2">
      <c r="B69" s="934"/>
      <c r="C69" s="56"/>
    </row>
    <row r="70" spans="1:3" x14ac:dyDescent="0.2">
      <c r="B70" s="934">
        <v>2014</v>
      </c>
      <c r="C70" s="56">
        <v>2691</v>
      </c>
    </row>
    <row r="71" spans="1:3" x14ac:dyDescent="0.2">
      <c r="B71" s="934"/>
      <c r="C71" s="56"/>
    </row>
    <row r="72" spans="1:3" x14ac:dyDescent="0.2">
      <c r="B72" s="934">
        <v>2015</v>
      </c>
      <c r="C72" s="56">
        <v>2677</v>
      </c>
    </row>
    <row r="73" spans="1:3" x14ac:dyDescent="0.2">
      <c r="B73" s="934" t="s">
        <v>1183</v>
      </c>
    </row>
    <row r="91" spans="1:9" x14ac:dyDescent="0.2">
      <c r="E91" s="52"/>
      <c r="F91" s="186"/>
      <c r="G91" s="479"/>
      <c r="I91" s="479" t="s">
        <v>997</v>
      </c>
    </row>
    <row r="94" spans="1:9" ht="18" x14ac:dyDescent="0.25">
      <c r="A94" s="208" t="s">
        <v>998</v>
      </c>
    </row>
    <row r="95" spans="1:9" ht="18" x14ac:dyDescent="0.25">
      <c r="A95" s="208" t="s">
        <v>999</v>
      </c>
    </row>
    <row r="96" spans="1:9" ht="18" x14ac:dyDescent="0.25">
      <c r="A96" s="185"/>
    </row>
    <row r="98" spans="1:10" x14ac:dyDescent="0.2">
      <c r="C98" s="186"/>
      <c r="D98" s="186"/>
      <c r="E98" s="186"/>
      <c r="F98" s="186"/>
      <c r="G98" s="186" t="s">
        <v>269</v>
      </c>
    </row>
    <row r="100" spans="1:10" ht="15.75" x14ac:dyDescent="0.25">
      <c r="B100" s="192" t="s">
        <v>763</v>
      </c>
      <c r="C100" s="216"/>
      <c r="D100" s="216"/>
      <c r="E100" s="216"/>
      <c r="F100" s="931"/>
      <c r="G100" s="931"/>
      <c r="H100" s="932"/>
      <c r="I100" s="932" t="s">
        <v>372</v>
      </c>
    </row>
    <row r="101" spans="1:10" ht="15.75" x14ac:dyDescent="0.25">
      <c r="B101" s="188">
        <v>2008</v>
      </c>
      <c r="C101" s="256">
        <v>2009</v>
      </c>
      <c r="D101" s="256">
        <v>2010</v>
      </c>
      <c r="E101" s="355">
        <v>2011</v>
      </c>
      <c r="F101" s="356">
        <v>2012</v>
      </c>
      <c r="G101" s="356">
        <v>2013</v>
      </c>
      <c r="H101" s="935">
        <v>2014</v>
      </c>
      <c r="I101" s="356">
        <v>2015</v>
      </c>
    </row>
    <row r="102" spans="1:10" x14ac:dyDescent="0.2">
      <c r="B102" s="89"/>
      <c r="C102" s="1155"/>
      <c r="D102" s="1155"/>
      <c r="E102" s="1155"/>
      <c r="F102" s="1155"/>
      <c r="G102" s="1155"/>
      <c r="H102" s="89"/>
      <c r="I102" s="1155"/>
    </row>
    <row r="104" spans="1:10" x14ac:dyDescent="0.2">
      <c r="B104" s="50"/>
      <c r="C104" s="50"/>
      <c r="D104" s="50"/>
      <c r="E104" s="50"/>
      <c r="J104" s="48"/>
    </row>
    <row r="105" spans="1:10" x14ac:dyDescent="0.2">
      <c r="A105" t="s">
        <v>252</v>
      </c>
      <c r="B105" s="50">
        <v>7624</v>
      </c>
      <c r="C105" s="50">
        <v>7730</v>
      </c>
      <c r="D105" s="50">
        <v>9843</v>
      </c>
      <c r="E105" s="50">
        <v>13100</v>
      </c>
      <c r="F105" s="50">
        <v>15113</v>
      </c>
      <c r="G105" s="50">
        <v>17740</v>
      </c>
      <c r="H105" s="50">
        <v>18268</v>
      </c>
      <c r="I105" s="50">
        <v>19000</v>
      </c>
      <c r="J105" s="48"/>
    </row>
    <row r="106" spans="1:10" x14ac:dyDescent="0.2">
      <c r="B106" s="50"/>
      <c r="C106" s="50"/>
      <c r="D106" s="50"/>
      <c r="E106" s="50"/>
      <c r="J106" s="48"/>
    </row>
    <row r="107" spans="1:10" x14ac:dyDescent="0.2">
      <c r="A107" s="1" t="s">
        <v>266</v>
      </c>
      <c r="B107" s="187">
        <f t="shared" ref="B107:I107" si="9">B105</f>
        <v>7624</v>
      </c>
      <c r="C107" s="187">
        <f t="shared" si="9"/>
        <v>7730</v>
      </c>
      <c r="D107" s="187">
        <f t="shared" si="9"/>
        <v>9843</v>
      </c>
      <c r="E107" s="187">
        <f t="shared" si="9"/>
        <v>13100</v>
      </c>
      <c r="F107" s="187">
        <f t="shared" si="9"/>
        <v>15113</v>
      </c>
      <c r="G107" s="187">
        <f t="shared" si="9"/>
        <v>17740</v>
      </c>
      <c r="H107" s="187">
        <f t="shared" si="9"/>
        <v>18268</v>
      </c>
      <c r="I107" s="187">
        <f t="shared" si="9"/>
        <v>19000</v>
      </c>
      <c r="J107" s="48"/>
    </row>
    <row r="108" spans="1:10" x14ac:dyDescent="0.2">
      <c r="B108" s="50"/>
      <c r="C108" s="50"/>
      <c r="D108" s="50"/>
      <c r="E108" s="50"/>
      <c r="J108" s="48"/>
    </row>
    <row r="109" spans="1:10" x14ac:dyDescent="0.2">
      <c r="B109" s="48"/>
      <c r="C109" s="48"/>
      <c r="D109" s="48"/>
      <c r="E109" s="48"/>
      <c r="J109" s="48"/>
    </row>
    <row r="110" spans="1:10" x14ac:dyDescent="0.2">
      <c r="A110" t="s">
        <v>254</v>
      </c>
      <c r="B110" s="50">
        <v>-244</v>
      </c>
      <c r="C110" s="50">
        <v>-384</v>
      </c>
      <c r="D110" s="50">
        <v>-1217</v>
      </c>
      <c r="E110" s="50">
        <v>-432</v>
      </c>
      <c r="F110" s="50">
        <v>-1148</v>
      </c>
      <c r="G110" s="50">
        <v>-1480</v>
      </c>
      <c r="H110" s="50">
        <v>153</v>
      </c>
      <c r="I110" s="50">
        <v>0</v>
      </c>
      <c r="J110" s="48"/>
    </row>
    <row r="111" spans="1:10" x14ac:dyDescent="0.2">
      <c r="A111" s="183" t="s">
        <v>258</v>
      </c>
      <c r="B111" s="50">
        <v>6757</v>
      </c>
      <c r="C111" s="50">
        <v>6869</v>
      </c>
      <c r="D111" s="50">
        <v>9373</v>
      </c>
      <c r="E111" s="50">
        <v>11286</v>
      </c>
      <c r="F111" s="50">
        <v>13771</v>
      </c>
      <c r="G111" s="50">
        <v>16094</v>
      </c>
      <c r="H111" s="50">
        <v>15146</v>
      </c>
      <c r="I111" s="50">
        <v>15750</v>
      </c>
      <c r="J111" s="48"/>
    </row>
    <row r="112" spans="1:10" x14ac:dyDescent="0.2">
      <c r="A112" s="191"/>
      <c r="B112" s="50"/>
      <c r="C112" s="50"/>
      <c r="D112" s="50"/>
      <c r="E112" s="50"/>
      <c r="J112" s="48"/>
    </row>
    <row r="113" spans="1:10" x14ac:dyDescent="0.2">
      <c r="A113" s="1" t="s">
        <v>406</v>
      </c>
      <c r="B113" s="187">
        <f t="shared" ref="B113:I113" si="10">B110+B111</f>
        <v>6513</v>
      </c>
      <c r="C113" s="187">
        <f t="shared" si="10"/>
        <v>6485</v>
      </c>
      <c r="D113" s="187">
        <f t="shared" si="10"/>
        <v>8156</v>
      </c>
      <c r="E113" s="187">
        <f t="shared" si="10"/>
        <v>10854</v>
      </c>
      <c r="F113" s="187">
        <f t="shared" si="10"/>
        <v>12623</v>
      </c>
      <c r="G113" s="187">
        <f t="shared" si="10"/>
        <v>14614</v>
      </c>
      <c r="H113" s="187">
        <f t="shared" si="10"/>
        <v>15299</v>
      </c>
      <c r="I113" s="187">
        <f t="shared" si="10"/>
        <v>15750</v>
      </c>
      <c r="J113" s="48"/>
    </row>
    <row r="114" spans="1:10" x14ac:dyDescent="0.2">
      <c r="A114" s="1"/>
      <c r="B114" s="123"/>
      <c r="C114" s="123"/>
      <c r="D114" s="123"/>
      <c r="E114" s="123"/>
      <c r="F114" s="123"/>
      <c r="G114" s="123"/>
      <c r="H114" s="123"/>
      <c r="I114" s="123"/>
      <c r="J114" s="48"/>
    </row>
    <row r="115" spans="1:10" x14ac:dyDescent="0.2">
      <c r="A115" s="494" t="s">
        <v>407</v>
      </c>
      <c r="B115" s="174">
        <f t="shared" ref="B115:I115" si="11">B117*100/B105</f>
        <v>14.572402938090242</v>
      </c>
      <c r="C115" s="174">
        <f t="shared" si="11"/>
        <v>16.106080206985769</v>
      </c>
      <c r="D115" s="174">
        <f t="shared" si="11"/>
        <v>17.139083612719698</v>
      </c>
      <c r="E115" s="174">
        <f t="shared" si="11"/>
        <v>17.145038167938932</v>
      </c>
      <c r="F115" s="174">
        <f t="shared" si="11"/>
        <v>16.475881691259183</v>
      </c>
      <c r="G115" s="174">
        <f t="shared" si="11"/>
        <v>17.621195039458851</v>
      </c>
      <c r="H115" s="174">
        <f t="shared" si="11"/>
        <v>16.252463323844974</v>
      </c>
      <c r="I115" s="174">
        <f t="shared" si="11"/>
        <v>17.105263157894736</v>
      </c>
      <c r="J115" s="48"/>
    </row>
    <row r="116" spans="1:10" x14ac:dyDescent="0.2">
      <c r="A116" s="1"/>
      <c r="B116" s="50"/>
      <c r="C116" s="50"/>
      <c r="D116" s="50"/>
      <c r="E116" s="50"/>
      <c r="J116" s="48"/>
    </row>
    <row r="117" spans="1:10" ht="15.75" x14ac:dyDescent="0.25">
      <c r="A117" s="184" t="s">
        <v>405</v>
      </c>
      <c r="B117" s="187">
        <f t="shared" ref="B117:I117" si="12">B107-B113</f>
        <v>1111</v>
      </c>
      <c r="C117" s="187">
        <f t="shared" si="12"/>
        <v>1245</v>
      </c>
      <c r="D117" s="187">
        <f t="shared" si="12"/>
        <v>1687</v>
      </c>
      <c r="E117" s="187">
        <f t="shared" si="12"/>
        <v>2246</v>
      </c>
      <c r="F117" s="187">
        <f t="shared" si="12"/>
        <v>2490</v>
      </c>
      <c r="G117" s="187">
        <f t="shared" si="12"/>
        <v>3126</v>
      </c>
      <c r="H117" s="187">
        <f t="shared" si="12"/>
        <v>2969</v>
      </c>
      <c r="I117" s="187">
        <f t="shared" si="12"/>
        <v>3250</v>
      </c>
      <c r="J117" s="48"/>
    </row>
    <row r="118" spans="1:10" x14ac:dyDescent="0.2">
      <c r="A118" s="183"/>
      <c r="B118" s="50"/>
      <c r="C118" s="50"/>
      <c r="D118" s="50"/>
      <c r="E118" s="50"/>
      <c r="J118" s="48"/>
    </row>
    <row r="119" spans="1:10" x14ac:dyDescent="0.2">
      <c r="A119" s="183" t="s">
        <v>259</v>
      </c>
      <c r="B119" s="50">
        <v>32</v>
      </c>
      <c r="C119" s="50">
        <v>39</v>
      </c>
      <c r="D119" s="50">
        <v>55</v>
      </c>
      <c r="E119" s="50">
        <v>82</v>
      </c>
      <c r="F119" s="50">
        <v>104</v>
      </c>
      <c r="G119" s="50">
        <v>112</v>
      </c>
      <c r="H119" s="50">
        <v>117</v>
      </c>
      <c r="I119" s="50">
        <v>115</v>
      </c>
      <c r="J119" s="48"/>
    </row>
    <row r="120" spans="1:10" x14ac:dyDescent="0.2">
      <c r="A120" s="183" t="s">
        <v>260</v>
      </c>
      <c r="B120" s="50">
        <v>331</v>
      </c>
      <c r="C120" s="50">
        <v>414</v>
      </c>
      <c r="D120" s="50">
        <v>485</v>
      </c>
      <c r="E120" s="50">
        <v>575</v>
      </c>
      <c r="F120" s="50">
        <v>689</v>
      </c>
      <c r="G120" s="50">
        <v>827</v>
      </c>
      <c r="H120" s="50">
        <v>819</v>
      </c>
      <c r="I120" s="50">
        <v>845</v>
      </c>
      <c r="J120" s="48"/>
    </row>
    <row r="121" spans="1:10" x14ac:dyDescent="0.2">
      <c r="A121" s="183" t="s">
        <v>268</v>
      </c>
      <c r="B121" s="50">
        <v>90</v>
      </c>
      <c r="C121" s="50">
        <v>106</v>
      </c>
      <c r="D121" s="50">
        <v>262</v>
      </c>
      <c r="E121" s="50">
        <v>302</v>
      </c>
      <c r="F121" s="50">
        <v>320</v>
      </c>
      <c r="G121" s="50">
        <v>323</v>
      </c>
      <c r="H121" s="50">
        <v>451</v>
      </c>
      <c r="I121" s="50">
        <v>340</v>
      </c>
      <c r="J121" s="48"/>
    </row>
    <row r="122" spans="1:10" x14ac:dyDescent="0.2">
      <c r="A122" s="183" t="s">
        <v>261</v>
      </c>
      <c r="B122" s="50">
        <v>288</v>
      </c>
      <c r="C122" s="190">
        <v>265</v>
      </c>
      <c r="D122" s="190">
        <v>299</v>
      </c>
      <c r="E122" s="190">
        <v>429</v>
      </c>
      <c r="F122" s="936">
        <v>626</v>
      </c>
      <c r="G122" s="936">
        <v>814</v>
      </c>
      <c r="H122" s="936">
        <v>887</v>
      </c>
      <c r="I122" s="936">
        <v>900</v>
      </c>
      <c r="J122" s="48"/>
    </row>
    <row r="123" spans="1:10" x14ac:dyDescent="0.2">
      <c r="B123" s="50"/>
      <c r="C123" s="50"/>
      <c r="D123" s="50"/>
      <c r="E123" s="50"/>
      <c r="J123" s="48"/>
    </row>
    <row r="124" spans="1:10" x14ac:dyDescent="0.2">
      <c r="A124" s="1" t="s">
        <v>267</v>
      </c>
      <c r="B124" s="187">
        <f t="shared" ref="B124:G124" si="13">SUM(B119:B122)</f>
        <v>741</v>
      </c>
      <c r="C124" s="187">
        <f t="shared" si="13"/>
        <v>824</v>
      </c>
      <c r="D124" s="187">
        <f t="shared" si="13"/>
        <v>1101</v>
      </c>
      <c r="E124" s="187">
        <f t="shared" si="13"/>
        <v>1388</v>
      </c>
      <c r="F124" s="187">
        <f t="shared" si="13"/>
        <v>1739</v>
      </c>
      <c r="G124" s="187">
        <f t="shared" si="13"/>
        <v>2076</v>
      </c>
      <c r="H124" s="187">
        <f>SUM(H119:H122)</f>
        <v>2274</v>
      </c>
      <c r="I124" s="187">
        <f>SUM(I119:I122)</f>
        <v>2200</v>
      </c>
      <c r="J124" s="48"/>
    </row>
    <row r="125" spans="1:10" x14ac:dyDescent="0.2">
      <c r="B125" s="50"/>
      <c r="C125" s="50"/>
      <c r="D125" s="50"/>
      <c r="E125" s="50"/>
      <c r="J125" s="48"/>
    </row>
    <row r="126" spans="1:10" x14ac:dyDescent="0.2">
      <c r="B126" s="50"/>
      <c r="C126" s="50"/>
      <c r="D126" s="50"/>
      <c r="E126" s="50"/>
      <c r="J126" s="48"/>
    </row>
    <row r="127" spans="1:10" ht="15.75" x14ac:dyDescent="0.25">
      <c r="A127" s="184" t="s">
        <v>255</v>
      </c>
      <c r="B127" s="187">
        <f t="shared" ref="B127:I127" si="14">B117-B124</f>
        <v>370</v>
      </c>
      <c r="C127" s="187">
        <f t="shared" si="14"/>
        <v>421</v>
      </c>
      <c r="D127" s="187">
        <f t="shared" si="14"/>
        <v>586</v>
      </c>
      <c r="E127" s="187">
        <f t="shared" si="14"/>
        <v>858</v>
      </c>
      <c r="F127" s="187">
        <f t="shared" si="14"/>
        <v>751</v>
      </c>
      <c r="G127" s="187">
        <f t="shared" si="14"/>
        <v>1050</v>
      </c>
      <c r="H127" s="187">
        <f t="shared" si="14"/>
        <v>695</v>
      </c>
      <c r="I127" s="187">
        <f t="shared" si="14"/>
        <v>1050</v>
      </c>
      <c r="J127" s="48"/>
    </row>
    <row r="128" spans="1:10" x14ac:dyDescent="0.2">
      <c r="B128" s="50"/>
      <c r="C128" s="50"/>
      <c r="D128" s="50"/>
      <c r="E128" s="50"/>
      <c r="J128" s="48"/>
    </row>
    <row r="129" spans="1:10" x14ac:dyDescent="0.2">
      <c r="A129" s="183" t="s">
        <v>262</v>
      </c>
      <c r="B129" s="50">
        <v>142</v>
      </c>
      <c r="C129" s="50">
        <v>126</v>
      </c>
      <c r="D129" s="50">
        <v>206</v>
      </c>
      <c r="E129" s="50">
        <v>378</v>
      </c>
      <c r="F129" s="50">
        <v>534</v>
      </c>
      <c r="G129" s="50">
        <v>743</v>
      </c>
      <c r="H129" s="50">
        <v>588</v>
      </c>
      <c r="I129" s="50">
        <v>630</v>
      </c>
      <c r="J129" s="48"/>
    </row>
    <row r="130" spans="1:10" x14ac:dyDescent="0.2">
      <c r="A130" s="183" t="s">
        <v>263</v>
      </c>
      <c r="B130" s="50">
        <v>6</v>
      </c>
      <c r="C130" s="50">
        <v>5</v>
      </c>
      <c r="D130" s="50">
        <v>22</v>
      </c>
      <c r="E130" s="50">
        <v>41</v>
      </c>
      <c r="F130" s="50">
        <v>8</v>
      </c>
      <c r="G130" s="50">
        <v>1</v>
      </c>
      <c r="H130" s="50">
        <v>6</v>
      </c>
      <c r="I130" s="50"/>
      <c r="J130" s="48"/>
    </row>
    <row r="131" spans="1:10" x14ac:dyDescent="0.2">
      <c r="A131" s="183" t="s">
        <v>264</v>
      </c>
      <c r="B131" s="50"/>
      <c r="C131" s="50"/>
      <c r="D131" s="50">
        <v>1</v>
      </c>
      <c r="E131" s="50"/>
      <c r="F131" s="480">
        <v>3</v>
      </c>
      <c r="G131" s="50">
        <v>1</v>
      </c>
      <c r="H131" s="50">
        <v>4</v>
      </c>
      <c r="J131" s="48"/>
    </row>
    <row r="132" spans="1:10" x14ac:dyDescent="0.2">
      <c r="B132" s="50"/>
      <c r="C132" s="50"/>
      <c r="D132" s="50"/>
      <c r="E132" s="50"/>
      <c r="J132" s="48"/>
    </row>
    <row r="133" spans="1:10" x14ac:dyDescent="0.2">
      <c r="B133" s="50"/>
      <c r="C133" s="50"/>
      <c r="D133" s="50"/>
      <c r="E133" s="50"/>
      <c r="J133" s="48"/>
    </row>
    <row r="134" spans="1:10" ht="15.75" x14ac:dyDescent="0.25">
      <c r="A134" s="184" t="s">
        <v>256</v>
      </c>
      <c r="B134" s="187">
        <f t="shared" ref="B134:I134" si="15">B127-B129+B130-B131</f>
        <v>234</v>
      </c>
      <c r="C134" s="187">
        <f t="shared" si="15"/>
        <v>300</v>
      </c>
      <c r="D134" s="187">
        <f t="shared" si="15"/>
        <v>401</v>
      </c>
      <c r="E134" s="187">
        <f t="shared" si="15"/>
        <v>521</v>
      </c>
      <c r="F134" s="187">
        <f t="shared" si="15"/>
        <v>222</v>
      </c>
      <c r="G134" s="187">
        <f t="shared" si="15"/>
        <v>307</v>
      </c>
      <c r="H134" s="187">
        <f t="shared" si="15"/>
        <v>109</v>
      </c>
      <c r="I134" s="187">
        <f t="shared" si="15"/>
        <v>420</v>
      </c>
      <c r="J134" s="48"/>
    </row>
    <row r="135" spans="1:10" x14ac:dyDescent="0.2">
      <c r="B135" s="50"/>
      <c r="C135" s="50"/>
      <c r="D135" s="50"/>
      <c r="E135" s="50"/>
      <c r="J135" s="48"/>
    </row>
    <row r="136" spans="1:10" x14ac:dyDescent="0.2">
      <c r="A136" s="183" t="s">
        <v>265</v>
      </c>
      <c r="B136" s="50">
        <v>70</v>
      </c>
      <c r="C136" s="50">
        <v>97</v>
      </c>
      <c r="D136" s="50">
        <v>123</v>
      </c>
      <c r="E136" s="50">
        <v>156</v>
      </c>
      <c r="F136" s="42">
        <v>90</v>
      </c>
      <c r="G136" s="42">
        <v>93</v>
      </c>
      <c r="H136" s="42">
        <v>43</v>
      </c>
      <c r="I136" s="42">
        <f>I134*0.25</f>
        <v>105</v>
      </c>
      <c r="J136" s="48"/>
    </row>
    <row r="137" spans="1:10" x14ac:dyDescent="0.2">
      <c r="B137" s="50"/>
      <c r="C137" s="50"/>
      <c r="D137" s="50"/>
      <c r="E137" s="50"/>
      <c r="J137" s="48"/>
    </row>
    <row r="138" spans="1:10" ht="15.75" x14ac:dyDescent="0.25">
      <c r="A138" s="184" t="s">
        <v>257</v>
      </c>
      <c r="B138" s="187">
        <f t="shared" ref="B138:I138" si="16">B134-B136</f>
        <v>164</v>
      </c>
      <c r="C138" s="187">
        <f t="shared" si="16"/>
        <v>203</v>
      </c>
      <c r="D138" s="187">
        <f t="shared" si="16"/>
        <v>278</v>
      </c>
      <c r="E138" s="187">
        <f t="shared" si="16"/>
        <v>365</v>
      </c>
      <c r="F138" s="187">
        <f t="shared" si="16"/>
        <v>132</v>
      </c>
      <c r="G138" s="187">
        <f t="shared" si="16"/>
        <v>214</v>
      </c>
      <c r="H138" s="187">
        <f t="shared" si="16"/>
        <v>66</v>
      </c>
      <c r="I138" s="187">
        <f t="shared" si="16"/>
        <v>315</v>
      </c>
      <c r="J138" s="48"/>
    </row>
    <row r="139" spans="1:10" ht="15.75" x14ac:dyDescent="0.25">
      <c r="A139" s="184"/>
      <c r="B139" s="123"/>
      <c r="C139" s="123"/>
      <c r="D139" s="123"/>
      <c r="E139" s="123"/>
      <c r="J139" s="48"/>
    </row>
    <row r="140" spans="1:10" x14ac:dyDescent="0.2">
      <c r="B140" s="48"/>
      <c r="C140" s="48"/>
      <c r="D140" s="48"/>
      <c r="E140" s="48"/>
      <c r="F140" s="48"/>
      <c r="G140" s="48"/>
      <c r="H140" s="48"/>
      <c r="I140" s="48"/>
      <c r="J140" s="48"/>
    </row>
    <row r="141" spans="1:10" x14ac:dyDescent="0.2">
      <c r="J141" s="48"/>
    </row>
    <row r="142" spans="1:10" x14ac:dyDescent="0.2">
      <c r="A142" t="s">
        <v>1000</v>
      </c>
    </row>
    <row r="143" spans="1:10" x14ac:dyDescent="0.2">
      <c r="A143" t="s">
        <v>1001</v>
      </c>
    </row>
    <row r="146" spans="1:3" x14ac:dyDescent="0.2">
      <c r="A146" t="s">
        <v>758</v>
      </c>
    </row>
    <row r="148" spans="1:3" x14ac:dyDescent="0.2">
      <c r="A148" t="s">
        <v>1002</v>
      </c>
    </row>
    <row r="149" spans="1:3" x14ac:dyDescent="0.2">
      <c r="A149" s="422"/>
      <c r="B149" s="934"/>
    </row>
    <row r="150" spans="1:3" x14ac:dyDescent="0.2">
      <c r="A150" t="s">
        <v>1004</v>
      </c>
    </row>
    <row r="152" spans="1:3" x14ac:dyDescent="0.2">
      <c r="C152" s="52" t="s">
        <v>1005</v>
      </c>
    </row>
    <row r="153" spans="1:3" x14ac:dyDescent="0.2">
      <c r="B153" s="934">
        <v>2013</v>
      </c>
      <c r="C153" s="56">
        <v>1158</v>
      </c>
    </row>
    <row r="154" spans="1:3" x14ac:dyDescent="0.2">
      <c r="B154" s="934"/>
      <c r="C154" s="56"/>
    </row>
    <row r="155" spans="1:3" x14ac:dyDescent="0.2">
      <c r="B155" s="934">
        <v>2014</v>
      </c>
      <c r="C155" s="56">
        <v>2691</v>
      </c>
    </row>
    <row r="156" spans="1:3" x14ac:dyDescent="0.2">
      <c r="B156" s="934"/>
      <c r="C156" s="56"/>
    </row>
    <row r="157" spans="1:3" x14ac:dyDescent="0.2">
      <c r="B157" s="934">
        <v>2015</v>
      </c>
      <c r="C157" s="56">
        <v>1027</v>
      </c>
    </row>
    <row r="158" spans="1:3" x14ac:dyDescent="0.2">
      <c r="B158" s="934" t="s">
        <v>1003</v>
      </c>
    </row>
  </sheetData>
  <pageMargins left="1.6929133858267718" right="1.299212598425197" top="0.74803149606299213" bottom="0.74803149606299213" header="0.70866141732283472" footer="0.31496062992125984"/>
  <pageSetup paperSize="9" scale="52" orientation="landscape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>
    <pageSetUpPr fitToPage="1"/>
  </sheetPr>
  <dimension ref="A6:J158"/>
  <sheetViews>
    <sheetView topLeftCell="A13" workbookViewId="0">
      <selection activeCell="G156" sqref="G156"/>
    </sheetView>
  </sheetViews>
  <sheetFormatPr defaultColWidth="11.42578125" defaultRowHeight="12.75" x14ac:dyDescent="0.2"/>
  <cols>
    <col min="1" max="1" width="52.28515625" customWidth="1"/>
    <col min="2" max="2" width="15.42578125" customWidth="1"/>
    <col min="3" max="3" width="14" customWidth="1"/>
    <col min="4" max="4" width="13.7109375" customWidth="1"/>
    <col min="5" max="5" width="13.5703125" customWidth="1"/>
    <col min="9" max="9" width="14.28515625" customWidth="1"/>
  </cols>
  <sheetData>
    <row r="6" spans="1:9" x14ac:dyDescent="0.2">
      <c r="E6" s="52"/>
      <c r="F6" s="186"/>
      <c r="G6" s="479"/>
      <c r="I6" s="479" t="s">
        <v>1166</v>
      </c>
    </row>
    <row r="9" spans="1:9" ht="18" x14ac:dyDescent="0.25">
      <c r="A9" s="208" t="s">
        <v>998</v>
      </c>
    </row>
    <row r="10" spans="1:9" ht="18" x14ac:dyDescent="0.25">
      <c r="A10" s="208" t="s">
        <v>999</v>
      </c>
    </row>
    <row r="11" spans="1:9" ht="18" x14ac:dyDescent="0.25">
      <c r="A11" s="185"/>
    </row>
    <row r="13" spans="1:9" x14ac:dyDescent="0.2">
      <c r="C13" s="186"/>
      <c r="D13" s="186"/>
      <c r="E13" s="186"/>
      <c r="F13" s="186"/>
      <c r="G13" s="186" t="s">
        <v>269</v>
      </c>
    </row>
    <row r="15" spans="1:9" ht="15.75" x14ac:dyDescent="0.25">
      <c r="B15" s="192" t="s">
        <v>763</v>
      </c>
      <c r="C15" s="216"/>
      <c r="D15" s="216"/>
      <c r="E15" s="216"/>
      <c r="F15" s="931"/>
      <c r="G15" s="931"/>
      <c r="H15" s="932"/>
      <c r="I15" s="932" t="s">
        <v>372</v>
      </c>
    </row>
    <row r="16" spans="1:9" ht="15.75" x14ac:dyDescent="0.25">
      <c r="B16" s="188">
        <v>2008</v>
      </c>
      <c r="C16" s="256">
        <v>2009</v>
      </c>
      <c r="D16" s="256">
        <v>2010</v>
      </c>
      <c r="E16" s="355">
        <v>2011</v>
      </c>
      <c r="F16" s="356">
        <v>2012</v>
      </c>
      <c r="G16" s="356">
        <v>2013</v>
      </c>
      <c r="H16" s="935">
        <v>2014</v>
      </c>
      <c r="I16" s="356">
        <v>2015</v>
      </c>
    </row>
    <row r="17" spans="1:10" x14ac:dyDescent="0.2">
      <c r="B17" s="89"/>
      <c r="C17" s="933"/>
      <c r="D17" s="933"/>
      <c r="E17" s="933"/>
      <c r="F17" s="933"/>
      <c r="G17" s="933"/>
      <c r="H17" s="89"/>
      <c r="I17" s="933"/>
    </row>
    <row r="19" spans="1:10" x14ac:dyDescent="0.2">
      <c r="B19" s="50"/>
      <c r="C19" s="50"/>
      <c r="D19" s="50"/>
      <c r="E19" s="50"/>
      <c r="J19" s="48"/>
    </row>
    <row r="20" spans="1:10" x14ac:dyDescent="0.2">
      <c r="A20" t="s">
        <v>252</v>
      </c>
      <c r="B20" s="50">
        <v>7624</v>
      </c>
      <c r="C20" s="50">
        <v>7730</v>
      </c>
      <c r="D20" s="50">
        <v>9843</v>
      </c>
      <c r="E20" s="50">
        <v>13100</v>
      </c>
      <c r="F20" s="50">
        <v>15113</v>
      </c>
      <c r="G20" s="50">
        <v>17740</v>
      </c>
      <c r="H20" s="50">
        <v>18268</v>
      </c>
      <c r="I20" s="50">
        <v>17400</v>
      </c>
      <c r="J20" s="48"/>
    </row>
    <row r="21" spans="1:10" x14ac:dyDescent="0.2">
      <c r="B21" s="50"/>
      <c r="C21" s="50"/>
      <c r="D21" s="50"/>
      <c r="E21" s="50"/>
      <c r="J21" s="48"/>
    </row>
    <row r="22" spans="1:10" x14ac:dyDescent="0.2">
      <c r="A22" s="1" t="s">
        <v>266</v>
      </c>
      <c r="B22" s="187">
        <f t="shared" ref="B22:G22" si="0">B20</f>
        <v>7624</v>
      </c>
      <c r="C22" s="187">
        <f t="shared" si="0"/>
        <v>7730</v>
      </c>
      <c r="D22" s="187">
        <f t="shared" si="0"/>
        <v>9843</v>
      </c>
      <c r="E22" s="187">
        <f t="shared" si="0"/>
        <v>13100</v>
      </c>
      <c r="F22" s="187">
        <f t="shared" si="0"/>
        <v>15113</v>
      </c>
      <c r="G22" s="187">
        <f t="shared" si="0"/>
        <v>17740</v>
      </c>
      <c r="H22" s="187">
        <f>H20</f>
        <v>18268</v>
      </c>
      <c r="I22" s="187">
        <f>I20</f>
        <v>17400</v>
      </c>
      <c r="J22" s="48"/>
    </row>
    <row r="23" spans="1:10" x14ac:dyDescent="0.2">
      <c r="B23" s="50"/>
      <c r="C23" s="50"/>
      <c r="D23" s="50"/>
      <c r="E23" s="50"/>
      <c r="J23" s="48"/>
    </row>
    <row r="24" spans="1:10" x14ac:dyDescent="0.2">
      <c r="B24" s="48"/>
      <c r="C24" s="48"/>
      <c r="D24" s="48"/>
      <c r="E24" s="48"/>
      <c r="J24" s="48"/>
    </row>
    <row r="25" spans="1:10" x14ac:dyDescent="0.2">
      <c r="A25" t="s">
        <v>254</v>
      </c>
      <c r="B25" s="50">
        <v>-244</v>
      </c>
      <c r="C25" s="50">
        <v>-384</v>
      </c>
      <c r="D25" s="50">
        <v>-1217</v>
      </c>
      <c r="E25" s="50">
        <v>-432</v>
      </c>
      <c r="F25" s="50">
        <v>-1148</v>
      </c>
      <c r="G25" s="50">
        <v>-1480</v>
      </c>
      <c r="H25" s="50">
        <v>153</v>
      </c>
      <c r="I25" s="50">
        <v>0</v>
      </c>
      <c r="J25" s="48"/>
    </row>
    <row r="26" spans="1:10" x14ac:dyDescent="0.2">
      <c r="A26" s="183" t="s">
        <v>258</v>
      </c>
      <c r="B26" s="50">
        <v>6757</v>
      </c>
      <c r="C26" s="50">
        <v>6869</v>
      </c>
      <c r="D26" s="50">
        <v>9373</v>
      </c>
      <c r="E26" s="50">
        <v>11286</v>
      </c>
      <c r="F26" s="50">
        <v>13771</v>
      </c>
      <c r="G26" s="50">
        <v>16094</v>
      </c>
      <c r="H26" s="50">
        <v>15146</v>
      </c>
      <c r="I26" s="50">
        <v>14000</v>
      </c>
      <c r="J26" s="48"/>
    </row>
    <row r="27" spans="1:10" x14ac:dyDescent="0.2">
      <c r="A27" s="191"/>
      <c r="B27" s="50"/>
      <c r="C27" s="50"/>
      <c r="D27" s="50"/>
      <c r="E27" s="50"/>
      <c r="J27" s="48"/>
    </row>
    <row r="28" spans="1:10" x14ac:dyDescent="0.2">
      <c r="A28" s="1" t="s">
        <v>406</v>
      </c>
      <c r="B28" s="187">
        <f t="shared" ref="B28:G28" si="1">B25+B26</f>
        <v>6513</v>
      </c>
      <c r="C28" s="187">
        <f t="shared" si="1"/>
        <v>6485</v>
      </c>
      <c r="D28" s="187">
        <f t="shared" si="1"/>
        <v>8156</v>
      </c>
      <c r="E28" s="187">
        <f t="shared" si="1"/>
        <v>10854</v>
      </c>
      <c r="F28" s="187">
        <f t="shared" si="1"/>
        <v>12623</v>
      </c>
      <c r="G28" s="187">
        <f t="shared" si="1"/>
        <v>14614</v>
      </c>
      <c r="H28" s="187">
        <f>H25+H26</f>
        <v>15299</v>
      </c>
      <c r="I28" s="187">
        <f>I25+I26</f>
        <v>14000</v>
      </c>
      <c r="J28" s="48"/>
    </row>
    <row r="29" spans="1:10" x14ac:dyDescent="0.2">
      <c r="A29" s="1"/>
      <c r="B29" s="123"/>
      <c r="C29" s="123"/>
      <c r="D29" s="123"/>
      <c r="E29" s="123"/>
      <c r="F29" s="123"/>
      <c r="G29" s="123"/>
      <c r="H29" s="123"/>
      <c r="I29" s="123"/>
      <c r="J29" s="48"/>
    </row>
    <row r="30" spans="1:10" x14ac:dyDescent="0.2">
      <c r="A30" s="494" t="s">
        <v>407</v>
      </c>
      <c r="B30" s="174">
        <f t="shared" ref="B30:G30" si="2">B32*100/B20</f>
        <v>14.572402938090242</v>
      </c>
      <c r="C30" s="174">
        <f t="shared" si="2"/>
        <v>16.106080206985769</v>
      </c>
      <c r="D30" s="174">
        <f t="shared" si="2"/>
        <v>17.139083612719698</v>
      </c>
      <c r="E30" s="174">
        <f t="shared" si="2"/>
        <v>17.145038167938932</v>
      </c>
      <c r="F30" s="174">
        <f t="shared" si="2"/>
        <v>16.475881691259183</v>
      </c>
      <c r="G30" s="174">
        <f t="shared" si="2"/>
        <v>17.621195039458851</v>
      </c>
      <c r="H30" s="174">
        <f>H32*100/H20</f>
        <v>16.252463323844974</v>
      </c>
      <c r="I30" s="174">
        <f>I32*100/I20</f>
        <v>19.540229885057471</v>
      </c>
      <c r="J30" s="48"/>
    </row>
    <row r="31" spans="1:10" x14ac:dyDescent="0.2">
      <c r="A31" s="1"/>
      <c r="B31" s="50"/>
      <c r="C31" s="50"/>
      <c r="D31" s="50"/>
      <c r="E31" s="50"/>
      <c r="J31" s="48"/>
    </row>
    <row r="32" spans="1:10" ht="15.75" x14ac:dyDescent="0.25">
      <c r="A32" s="184" t="s">
        <v>405</v>
      </c>
      <c r="B32" s="187">
        <f t="shared" ref="B32:G32" si="3">B22-B28</f>
        <v>1111</v>
      </c>
      <c r="C32" s="187">
        <f t="shared" si="3"/>
        <v>1245</v>
      </c>
      <c r="D32" s="187">
        <f t="shared" si="3"/>
        <v>1687</v>
      </c>
      <c r="E32" s="187">
        <f t="shared" si="3"/>
        <v>2246</v>
      </c>
      <c r="F32" s="187">
        <f t="shared" si="3"/>
        <v>2490</v>
      </c>
      <c r="G32" s="187">
        <f t="shared" si="3"/>
        <v>3126</v>
      </c>
      <c r="H32" s="187">
        <f>H22-H28</f>
        <v>2969</v>
      </c>
      <c r="I32" s="187">
        <f>I22-I28</f>
        <v>3400</v>
      </c>
      <c r="J32" s="48"/>
    </row>
    <row r="33" spans="1:10" x14ac:dyDescent="0.2">
      <c r="A33" s="183"/>
      <c r="B33" s="50"/>
      <c r="C33" s="50"/>
      <c r="D33" s="50"/>
      <c r="E33" s="50"/>
      <c r="J33" s="48"/>
    </row>
    <row r="34" spans="1:10" x14ac:dyDescent="0.2">
      <c r="A34" s="183" t="s">
        <v>259</v>
      </c>
      <c r="B34" s="50">
        <v>32</v>
      </c>
      <c r="C34" s="50">
        <v>39</v>
      </c>
      <c r="D34" s="50">
        <v>55</v>
      </c>
      <c r="E34" s="50">
        <v>82</v>
      </c>
      <c r="F34" s="50">
        <v>104</v>
      </c>
      <c r="G34" s="50">
        <v>112</v>
      </c>
      <c r="H34" s="50">
        <v>117</v>
      </c>
      <c r="I34" s="50">
        <v>137</v>
      </c>
      <c r="J34" s="48"/>
    </row>
    <row r="35" spans="1:10" x14ac:dyDescent="0.2">
      <c r="A35" s="183" t="s">
        <v>260</v>
      </c>
      <c r="B35" s="50">
        <v>331</v>
      </c>
      <c r="C35" s="50">
        <v>414</v>
      </c>
      <c r="D35" s="50">
        <v>485</v>
      </c>
      <c r="E35" s="50">
        <v>575</v>
      </c>
      <c r="F35" s="50">
        <v>689</v>
      </c>
      <c r="G35" s="50">
        <v>827</v>
      </c>
      <c r="H35" s="50">
        <v>819</v>
      </c>
      <c r="I35" s="50">
        <v>845</v>
      </c>
      <c r="J35" s="48"/>
    </row>
    <row r="36" spans="1:10" x14ac:dyDescent="0.2">
      <c r="A36" s="183" t="s">
        <v>268</v>
      </c>
      <c r="B36" s="50">
        <v>90</v>
      </c>
      <c r="C36" s="50">
        <v>106</v>
      </c>
      <c r="D36" s="50">
        <v>262</v>
      </c>
      <c r="E36" s="50">
        <v>302</v>
      </c>
      <c r="F36" s="50">
        <v>320</v>
      </c>
      <c r="G36" s="50">
        <v>323</v>
      </c>
      <c r="H36" s="50">
        <v>451</v>
      </c>
      <c r="I36" s="50">
        <v>340</v>
      </c>
      <c r="J36" s="48"/>
    </row>
    <row r="37" spans="1:10" x14ac:dyDescent="0.2">
      <c r="A37" s="183" t="s">
        <v>261</v>
      </c>
      <c r="B37" s="50">
        <v>288</v>
      </c>
      <c r="C37" s="190">
        <v>265</v>
      </c>
      <c r="D37" s="190">
        <v>299</v>
      </c>
      <c r="E37" s="190">
        <v>429</v>
      </c>
      <c r="F37" s="936">
        <v>626</v>
      </c>
      <c r="G37" s="936">
        <v>814</v>
      </c>
      <c r="H37" s="936">
        <v>887</v>
      </c>
      <c r="I37" s="936">
        <v>1260</v>
      </c>
      <c r="J37" s="48"/>
    </row>
    <row r="38" spans="1:10" x14ac:dyDescent="0.2">
      <c r="B38" s="50"/>
      <c r="C38" s="50"/>
      <c r="D38" s="50"/>
      <c r="E38" s="50"/>
      <c r="J38" s="48"/>
    </row>
    <row r="39" spans="1:10" x14ac:dyDescent="0.2">
      <c r="A39" s="1" t="s">
        <v>267</v>
      </c>
      <c r="B39" s="187">
        <f t="shared" ref="B39:G39" si="4">SUM(B34:B37)</f>
        <v>741</v>
      </c>
      <c r="C39" s="187">
        <f t="shared" si="4"/>
        <v>824</v>
      </c>
      <c r="D39" s="187">
        <f t="shared" si="4"/>
        <v>1101</v>
      </c>
      <c r="E39" s="187">
        <f t="shared" si="4"/>
        <v>1388</v>
      </c>
      <c r="F39" s="187">
        <f t="shared" si="4"/>
        <v>1739</v>
      </c>
      <c r="G39" s="187">
        <f t="shared" si="4"/>
        <v>2076</v>
      </c>
      <c r="H39" s="187">
        <f>SUM(H34:H37)</f>
        <v>2274</v>
      </c>
      <c r="I39" s="187">
        <f>SUM(I34:I37)</f>
        <v>2582</v>
      </c>
      <c r="J39" s="48"/>
    </row>
    <row r="40" spans="1:10" x14ac:dyDescent="0.2">
      <c r="B40" s="50"/>
      <c r="C40" s="50"/>
      <c r="D40" s="50"/>
      <c r="E40" s="50"/>
      <c r="J40" s="48"/>
    </row>
    <row r="41" spans="1:10" x14ac:dyDescent="0.2">
      <c r="B41" s="50"/>
      <c r="C41" s="50"/>
      <c r="D41" s="50"/>
      <c r="E41" s="50"/>
      <c r="J41" s="48"/>
    </row>
    <row r="42" spans="1:10" ht="15.75" x14ac:dyDescent="0.25">
      <c r="A42" s="184" t="s">
        <v>255</v>
      </c>
      <c r="B42" s="187">
        <f t="shared" ref="B42:G42" si="5">B32-B39</f>
        <v>370</v>
      </c>
      <c r="C42" s="187">
        <f t="shared" si="5"/>
        <v>421</v>
      </c>
      <c r="D42" s="187">
        <f t="shared" si="5"/>
        <v>586</v>
      </c>
      <c r="E42" s="187">
        <f t="shared" si="5"/>
        <v>858</v>
      </c>
      <c r="F42" s="187">
        <f t="shared" si="5"/>
        <v>751</v>
      </c>
      <c r="G42" s="187">
        <f t="shared" si="5"/>
        <v>1050</v>
      </c>
      <c r="H42" s="187">
        <f>H32-H39</f>
        <v>695</v>
      </c>
      <c r="I42" s="187">
        <f>I32-I39</f>
        <v>818</v>
      </c>
      <c r="J42" s="48"/>
    </row>
    <row r="43" spans="1:10" x14ac:dyDescent="0.2">
      <c r="B43" s="50"/>
      <c r="C43" s="50"/>
      <c r="D43" s="50"/>
      <c r="E43" s="50"/>
      <c r="J43" s="48"/>
    </row>
    <row r="44" spans="1:10" x14ac:dyDescent="0.2">
      <c r="A44" s="183" t="s">
        <v>262</v>
      </c>
      <c r="B44" s="50">
        <v>142</v>
      </c>
      <c r="C44" s="50">
        <v>126</v>
      </c>
      <c r="D44" s="50">
        <v>206</v>
      </c>
      <c r="E44" s="50">
        <v>378</v>
      </c>
      <c r="F44" s="50">
        <v>534</v>
      </c>
      <c r="G44" s="50">
        <v>743</v>
      </c>
      <c r="H44" s="50">
        <v>588</v>
      </c>
      <c r="I44" s="50">
        <v>630</v>
      </c>
      <c r="J44" s="48"/>
    </row>
    <row r="45" spans="1:10" x14ac:dyDescent="0.2">
      <c r="A45" s="183" t="s">
        <v>263</v>
      </c>
      <c r="B45" s="50">
        <v>6</v>
      </c>
      <c r="C45" s="50">
        <v>5</v>
      </c>
      <c r="D45" s="50">
        <v>22</v>
      </c>
      <c r="E45" s="50">
        <v>41</v>
      </c>
      <c r="F45" s="50">
        <v>8</v>
      </c>
      <c r="G45" s="50">
        <v>1</v>
      </c>
      <c r="H45" s="50">
        <v>6</v>
      </c>
      <c r="I45" s="50"/>
      <c r="J45" s="48"/>
    </row>
    <row r="46" spans="1:10" x14ac:dyDescent="0.2">
      <c r="A46" s="183" t="s">
        <v>264</v>
      </c>
      <c r="B46" s="50"/>
      <c r="C46" s="50"/>
      <c r="D46" s="50">
        <v>1</v>
      </c>
      <c r="E46" s="50"/>
      <c r="F46" s="480">
        <v>3</v>
      </c>
      <c r="G46" s="50">
        <v>1</v>
      </c>
      <c r="H46" s="50">
        <v>4</v>
      </c>
      <c r="J46" s="48"/>
    </row>
    <row r="47" spans="1:10" x14ac:dyDescent="0.2">
      <c r="B47" s="50"/>
      <c r="C47" s="50"/>
      <c r="D47" s="50"/>
      <c r="E47" s="50"/>
      <c r="J47" s="48"/>
    </row>
    <row r="48" spans="1:10" x14ac:dyDescent="0.2">
      <c r="B48" s="50"/>
      <c r="C48" s="50"/>
      <c r="D48" s="50"/>
      <c r="E48" s="50"/>
      <c r="J48" s="48"/>
    </row>
    <row r="49" spans="1:10" ht="15.75" x14ac:dyDescent="0.25">
      <c r="A49" s="184" t="s">
        <v>256</v>
      </c>
      <c r="B49" s="187">
        <f t="shared" ref="B49:H49" si="6">B42-B44+B45-B46</f>
        <v>234</v>
      </c>
      <c r="C49" s="187">
        <f t="shared" si="6"/>
        <v>300</v>
      </c>
      <c r="D49" s="187">
        <f t="shared" si="6"/>
        <v>401</v>
      </c>
      <c r="E49" s="187">
        <f t="shared" si="6"/>
        <v>521</v>
      </c>
      <c r="F49" s="187">
        <f t="shared" si="6"/>
        <v>222</v>
      </c>
      <c r="G49" s="187">
        <f t="shared" si="6"/>
        <v>307</v>
      </c>
      <c r="H49" s="187">
        <f t="shared" si="6"/>
        <v>109</v>
      </c>
      <c r="I49" s="187">
        <f>I42-I44+I45-I46</f>
        <v>188</v>
      </c>
      <c r="J49" s="48"/>
    </row>
    <row r="50" spans="1:10" x14ac:dyDescent="0.2">
      <c r="B50" s="50"/>
      <c r="C50" s="50"/>
      <c r="D50" s="50"/>
      <c r="E50" s="50"/>
      <c r="J50" s="48"/>
    </row>
    <row r="51" spans="1:10" x14ac:dyDescent="0.2">
      <c r="A51" s="183" t="s">
        <v>265</v>
      </c>
      <c r="B51" s="50">
        <v>70</v>
      </c>
      <c r="C51" s="50">
        <v>97</v>
      </c>
      <c r="D51" s="50">
        <v>123</v>
      </c>
      <c r="E51" s="50">
        <v>156</v>
      </c>
      <c r="F51" s="42">
        <v>90</v>
      </c>
      <c r="G51" s="42">
        <v>93</v>
      </c>
      <c r="H51" s="42">
        <v>43</v>
      </c>
      <c r="I51" s="42">
        <f>I49*0.25</f>
        <v>47</v>
      </c>
      <c r="J51" s="48"/>
    </row>
    <row r="52" spans="1:10" x14ac:dyDescent="0.2">
      <c r="B52" s="50"/>
      <c r="C52" s="50"/>
      <c r="D52" s="50"/>
      <c r="E52" s="50"/>
      <c r="J52" s="48"/>
    </row>
    <row r="53" spans="1:10" ht="15.75" x14ac:dyDescent="0.25">
      <c r="A53" s="184" t="s">
        <v>257</v>
      </c>
      <c r="B53" s="187">
        <f t="shared" ref="B53:G53" si="7">B49-B51</f>
        <v>164</v>
      </c>
      <c r="C53" s="187">
        <f t="shared" si="7"/>
        <v>203</v>
      </c>
      <c r="D53" s="187">
        <f t="shared" si="7"/>
        <v>278</v>
      </c>
      <c r="E53" s="187">
        <f t="shared" si="7"/>
        <v>365</v>
      </c>
      <c r="F53" s="187">
        <f t="shared" si="7"/>
        <v>132</v>
      </c>
      <c r="G53" s="187">
        <f t="shared" si="7"/>
        <v>214</v>
      </c>
      <c r="H53" s="187">
        <f>H49-H51</f>
        <v>66</v>
      </c>
      <c r="I53" s="187">
        <f>I49-I51</f>
        <v>141</v>
      </c>
      <c r="J53" s="48"/>
    </row>
    <row r="54" spans="1:10" ht="15.75" x14ac:dyDescent="0.25">
      <c r="A54" s="184"/>
      <c r="B54" s="123"/>
      <c r="C54" s="123"/>
      <c r="D54" s="123"/>
      <c r="E54" s="123"/>
      <c r="J54" s="48"/>
    </row>
    <row r="55" spans="1:10" x14ac:dyDescent="0.2">
      <c r="B55" s="48">
        <f t="shared" ref="B55:G55" si="8">B53*100/B20</f>
        <v>2.1511017838405038</v>
      </c>
      <c r="C55" s="48">
        <f t="shared" si="8"/>
        <v>2.6261319534282017</v>
      </c>
      <c r="D55" s="48">
        <f t="shared" si="8"/>
        <v>2.8243421721020012</v>
      </c>
      <c r="E55" s="48">
        <f t="shared" si="8"/>
        <v>2.7862595419847329</v>
      </c>
      <c r="F55" s="48">
        <f t="shared" si="8"/>
        <v>0.87342023423542647</v>
      </c>
      <c r="G55" s="48">
        <f t="shared" si="8"/>
        <v>1.2063134160090192</v>
      </c>
      <c r="H55" s="48">
        <f>H53*100/H20</f>
        <v>0.36128749726297349</v>
      </c>
      <c r="I55" s="48">
        <f>I53*100/I20</f>
        <v>0.81034482758620685</v>
      </c>
      <c r="J55" s="48"/>
    </row>
    <row r="56" spans="1:10" x14ac:dyDescent="0.2">
      <c r="J56" s="48"/>
    </row>
    <row r="57" spans="1:10" x14ac:dyDescent="0.2">
      <c r="A57" t="s">
        <v>1167</v>
      </c>
    </row>
    <row r="58" spans="1:10" x14ac:dyDescent="0.2">
      <c r="A58" t="s">
        <v>1168</v>
      </c>
    </row>
    <row r="61" spans="1:10" x14ac:dyDescent="0.2">
      <c r="A61" t="s">
        <v>758</v>
      </c>
    </row>
    <row r="63" spans="1:10" x14ac:dyDescent="0.2">
      <c r="A63" t="s">
        <v>1002</v>
      </c>
    </row>
    <row r="64" spans="1:10" x14ac:dyDescent="0.2">
      <c r="A64" s="422"/>
      <c r="B64" s="934"/>
    </row>
    <row r="65" spans="1:3" x14ac:dyDescent="0.2">
      <c r="A65" t="s">
        <v>1004</v>
      </c>
    </row>
    <row r="67" spans="1:3" x14ac:dyDescent="0.2">
      <c r="C67" s="52" t="s">
        <v>1005</v>
      </c>
    </row>
    <row r="68" spans="1:3" x14ac:dyDescent="0.2">
      <c r="B68" s="934">
        <v>2013</v>
      </c>
      <c r="C68" s="56">
        <v>1158</v>
      </c>
    </row>
    <row r="69" spans="1:3" x14ac:dyDescent="0.2">
      <c r="B69" s="934"/>
      <c r="C69" s="56"/>
    </row>
    <row r="70" spans="1:3" x14ac:dyDescent="0.2">
      <c r="B70" s="934">
        <v>2014</v>
      </c>
      <c r="C70" s="56">
        <v>2691</v>
      </c>
    </row>
    <row r="71" spans="1:3" x14ac:dyDescent="0.2">
      <c r="B71" s="934"/>
      <c r="C71" s="56"/>
    </row>
    <row r="72" spans="1:3" x14ac:dyDescent="0.2">
      <c r="B72" s="934">
        <v>2015</v>
      </c>
      <c r="C72" s="56">
        <v>2649</v>
      </c>
    </row>
    <row r="73" spans="1:3" x14ac:dyDescent="0.2">
      <c r="B73" s="934" t="s">
        <v>1169</v>
      </c>
    </row>
    <row r="91" spans="1:9" x14ac:dyDescent="0.2">
      <c r="E91" s="52"/>
      <c r="F91" s="186"/>
      <c r="G91" s="479"/>
      <c r="I91" s="479" t="s">
        <v>997</v>
      </c>
    </row>
    <row r="94" spans="1:9" ht="18" x14ac:dyDescent="0.25">
      <c r="A94" s="208" t="s">
        <v>998</v>
      </c>
    </row>
    <row r="95" spans="1:9" ht="18" x14ac:dyDescent="0.25">
      <c r="A95" s="208" t="s">
        <v>999</v>
      </c>
    </row>
    <row r="96" spans="1:9" ht="18" x14ac:dyDescent="0.25">
      <c r="A96" s="185"/>
    </row>
    <row r="98" spans="1:10" x14ac:dyDescent="0.2">
      <c r="C98" s="186"/>
      <c r="D98" s="186"/>
      <c r="E98" s="186"/>
      <c r="F98" s="186"/>
      <c r="G98" s="186" t="s">
        <v>269</v>
      </c>
    </row>
    <row r="100" spans="1:10" ht="15.75" x14ac:dyDescent="0.25">
      <c r="B100" s="192" t="s">
        <v>763</v>
      </c>
      <c r="C100" s="216"/>
      <c r="D100" s="216"/>
      <c r="E100" s="216"/>
      <c r="F100" s="931"/>
      <c r="G100" s="931"/>
      <c r="H100" s="932"/>
      <c r="I100" s="932" t="s">
        <v>372</v>
      </c>
    </row>
    <row r="101" spans="1:10" ht="15.75" x14ac:dyDescent="0.25">
      <c r="B101" s="188">
        <v>2008</v>
      </c>
      <c r="C101" s="256">
        <v>2009</v>
      </c>
      <c r="D101" s="256">
        <v>2010</v>
      </c>
      <c r="E101" s="355">
        <v>2011</v>
      </c>
      <c r="F101" s="356">
        <v>2012</v>
      </c>
      <c r="G101" s="356">
        <v>2013</v>
      </c>
      <c r="H101" s="935">
        <v>2014</v>
      </c>
      <c r="I101" s="356">
        <v>2015</v>
      </c>
    </row>
    <row r="102" spans="1:10" x14ac:dyDescent="0.2">
      <c r="B102" s="89"/>
      <c r="C102" s="933"/>
      <c r="D102" s="933"/>
      <c r="E102" s="933"/>
      <c r="F102" s="933"/>
      <c r="G102" s="933"/>
      <c r="H102" s="89"/>
      <c r="I102" s="933"/>
    </row>
    <row r="104" spans="1:10" x14ac:dyDescent="0.2">
      <c r="B104" s="50"/>
      <c r="C104" s="50"/>
      <c r="D104" s="50"/>
      <c r="E104" s="50"/>
      <c r="J104" s="48"/>
    </row>
    <row r="105" spans="1:10" x14ac:dyDescent="0.2">
      <c r="A105" t="s">
        <v>252</v>
      </c>
      <c r="B105" s="50">
        <v>7624</v>
      </c>
      <c r="C105" s="50">
        <v>7730</v>
      </c>
      <c r="D105" s="50">
        <v>9843</v>
      </c>
      <c r="E105" s="50">
        <v>13100</v>
      </c>
      <c r="F105" s="50">
        <v>15113</v>
      </c>
      <c r="G105" s="50">
        <v>17740</v>
      </c>
      <c r="H105" s="50">
        <v>18268</v>
      </c>
      <c r="I105" s="50">
        <v>19000</v>
      </c>
      <c r="J105" s="48"/>
    </row>
    <row r="106" spans="1:10" x14ac:dyDescent="0.2">
      <c r="B106" s="50"/>
      <c r="C106" s="50"/>
      <c r="D106" s="50"/>
      <c r="E106" s="50"/>
      <c r="J106" s="48"/>
    </row>
    <row r="107" spans="1:10" x14ac:dyDescent="0.2">
      <c r="A107" s="1" t="s">
        <v>266</v>
      </c>
      <c r="B107" s="187">
        <f t="shared" ref="B107:G107" si="9">B105</f>
        <v>7624</v>
      </c>
      <c r="C107" s="187">
        <f t="shared" si="9"/>
        <v>7730</v>
      </c>
      <c r="D107" s="187">
        <f t="shared" si="9"/>
        <v>9843</v>
      </c>
      <c r="E107" s="187">
        <f t="shared" si="9"/>
        <v>13100</v>
      </c>
      <c r="F107" s="187">
        <f t="shared" si="9"/>
        <v>15113</v>
      </c>
      <c r="G107" s="187">
        <f t="shared" si="9"/>
        <v>17740</v>
      </c>
      <c r="H107" s="187">
        <f>H105</f>
        <v>18268</v>
      </c>
      <c r="I107" s="187">
        <f>I105</f>
        <v>19000</v>
      </c>
      <c r="J107" s="48"/>
    </row>
    <row r="108" spans="1:10" x14ac:dyDescent="0.2">
      <c r="B108" s="50"/>
      <c r="C108" s="50"/>
      <c r="D108" s="50"/>
      <c r="E108" s="50"/>
      <c r="J108" s="48"/>
    </row>
    <row r="109" spans="1:10" x14ac:dyDescent="0.2">
      <c r="B109" s="48"/>
      <c r="C109" s="48"/>
      <c r="D109" s="48"/>
      <c r="E109" s="48"/>
      <c r="J109" s="48"/>
    </row>
    <row r="110" spans="1:10" x14ac:dyDescent="0.2">
      <c r="A110" t="s">
        <v>254</v>
      </c>
      <c r="B110" s="50">
        <v>-244</v>
      </c>
      <c r="C110" s="50">
        <v>-384</v>
      </c>
      <c r="D110" s="50">
        <v>-1217</v>
      </c>
      <c r="E110" s="50">
        <v>-432</v>
      </c>
      <c r="F110" s="50">
        <v>-1148</v>
      </c>
      <c r="G110" s="50">
        <v>-1480</v>
      </c>
      <c r="H110" s="50">
        <v>153</v>
      </c>
      <c r="I110" s="50">
        <v>0</v>
      </c>
      <c r="J110" s="48"/>
    </row>
    <row r="111" spans="1:10" x14ac:dyDescent="0.2">
      <c r="A111" s="183" t="s">
        <v>258</v>
      </c>
      <c r="B111" s="50">
        <v>6757</v>
      </c>
      <c r="C111" s="50">
        <v>6869</v>
      </c>
      <c r="D111" s="50">
        <v>9373</v>
      </c>
      <c r="E111" s="50">
        <v>11286</v>
      </c>
      <c r="F111" s="50">
        <v>13771</v>
      </c>
      <c r="G111" s="50">
        <v>16094</v>
      </c>
      <c r="H111" s="50">
        <v>15146</v>
      </c>
      <c r="I111" s="50">
        <v>15750</v>
      </c>
      <c r="J111" s="48"/>
    </row>
    <row r="112" spans="1:10" x14ac:dyDescent="0.2">
      <c r="A112" s="191"/>
      <c r="B112" s="50"/>
      <c r="C112" s="50"/>
      <c r="D112" s="50"/>
      <c r="E112" s="50"/>
      <c r="J112" s="48"/>
    </row>
    <row r="113" spans="1:10" x14ac:dyDescent="0.2">
      <c r="A113" s="1" t="s">
        <v>406</v>
      </c>
      <c r="B113" s="187">
        <f t="shared" ref="B113:G113" si="10">B110+B111</f>
        <v>6513</v>
      </c>
      <c r="C113" s="187">
        <f t="shared" si="10"/>
        <v>6485</v>
      </c>
      <c r="D113" s="187">
        <f t="shared" si="10"/>
        <v>8156</v>
      </c>
      <c r="E113" s="187">
        <f t="shared" si="10"/>
        <v>10854</v>
      </c>
      <c r="F113" s="187">
        <f t="shared" si="10"/>
        <v>12623</v>
      </c>
      <c r="G113" s="187">
        <f t="shared" si="10"/>
        <v>14614</v>
      </c>
      <c r="H113" s="187">
        <f>H110+H111</f>
        <v>15299</v>
      </c>
      <c r="I113" s="187">
        <f>I110+I111</f>
        <v>15750</v>
      </c>
      <c r="J113" s="48"/>
    </row>
    <row r="114" spans="1:10" x14ac:dyDescent="0.2">
      <c r="A114" s="1"/>
      <c r="B114" s="123"/>
      <c r="C114" s="123"/>
      <c r="D114" s="123"/>
      <c r="E114" s="123"/>
      <c r="F114" s="123"/>
      <c r="G114" s="123"/>
      <c r="H114" s="123"/>
      <c r="I114" s="123"/>
      <c r="J114" s="48"/>
    </row>
    <row r="115" spans="1:10" x14ac:dyDescent="0.2">
      <c r="A115" s="494" t="s">
        <v>407</v>
      </c>
      <c r="B115" s="174">
        <f t="shared" ref="B115:G115" si="11">B117*100/B105</f>
        <v>14.572402938090242</v>
      </c>
      <c r="C115" s="174">
        <f t="shared" si="11"/>
        <v>16.106080206985769</v>
      </c>
      <c r="D115" s="174">
        <f t="shared" si="11"/>
        <v>17.139083612719698</v>
      </c>
      <c r="E115" s="174">
        <f t="shared" si="11"/>
        <v>17.145038167938932</v>
      </c>
      <c r="F115" s="174">
        <f t="shared" si="11"/>
        <v>16.475881691259183</v>
      </c>
      <c r="G115" s="174">
        <f t="shared" si="11"/>
        <v>17.621195039458851</v>
      </c>
      <c r="H115" s="174">
        <f>H117*100/H105</f>
        <v>16.252463323844974</v>
      </c>
      <c r="I115" s="174">
        <f>I117*100/I105</f>
        <v>17.105263157894736</v>
      </c>
      <c r="J115" s="48"/>
    </row>
    <row r="116" spans="1:10" x14ac:dyDescent="0.2">
      <c r="A116" s="1"/>
      <c r="B116" s="50"/>
      <c r="C116" s="50"/>
      <c r="D116" s="50"/>
      <c r="E116" s="50"/>
      <c r="J116" s="48"/>
    </row>
    <row r="117" spans="1:10" ht="15.75" x14ac:dyDescent="0.25">
      <c r="A117" s="184" t="s">
        <v>405</v>
      </c>
      <c r="B117" s="187">
        <f t="shared" ref="B117:G117" si="12">B107-B113</f>
        <v>1111</v>
      </c>
      <c r="C117" s="187">
        <f t="shared" si="12"/>
        <v>1245</v>
      </c>
      <c r="D117" s="187">
        <f t="shared" si="12"/>
        <v>1687</v>
      </c>
      <c r="E117" s="187">
        <f t="shared" si="12"/>
        <v>2246</v>
      </c>
      <c r="F117" s="187">
        <f t="shared" si="12"/>
        <v>2490</v>
      </c>
      <c r="G117" s="187">
        <f t="shared" si="12"/>
        <v>3126</v>
      </c>
      <c r="H117" s="187">
        <f>H107-H113</f>
        <v>2969</v>
      </c>
      <c r="I117" s="187">
        <f>I107-I113</f>
        <v>3250</v>
      </c>
      <c r="J117" s="48"/>
    </row>
    <row r="118" spans="1:10" x14ac:dyDescent="0.2">
      <c r="A118" s="183"/>
      <c r="B118" s="50"/>
      <c r="C118" s="50"/>
      <c r="D118" s="50"/>
      <c r="E118" s="50"/>
      <c r="J118" s="48"/>
    </row>
    <row r="119" spans="1:10" x14ac:dyDescent="0.2">
      <c r="A119" s="183" t="s">
        <v>259</v>
      </c>
      <c r="B119" s="50">
        <v>32</v>
      </c>
      <c r="C119" s="50">
        <v>39</v>
      </c>
      <c r="D119" s="50">
        <v>55</v>
      </c>
      <c r="E119" s="50">
        <v>82</v>
      </c>
      <c r="F119" s="50">
        <v>104</v>
      </c>
      <c r="G119" s="50">
        <v>112</v>
      </c>
      <c r="H119" s="50">
        <v>117</v>
      </c>
      <c r="I119" s="50">
        <v>115</v>
      </c>
      <c r="J119" s="48"/>
    </row>
    <row r="120" spans="1:10" x14ac:dyDescent="0.2">
      <c r="A120" s="183" t="s">
        <v>260</v>
      </c>
      <c r="B120" s="50">
        <v>331</v>
      </c>
      <c r="C120" s="50">
        <v>414</v>
      </c>
      <c r="D120" s="50">
        <v>485</v>
      </c>
      <c r="E120" s="50">
        <v>575</v>
      </c>
      <c r="F120" s="50">
        <v>689</v>
      </c>
      <c r="G120" s="50">
        <v>827</v>
      </c>
      <c r="H120" s="50">
        <v>819</v>
      </c>
      <c r="I120" s="50">
        <v>845</v>
      </c>
      <c r="J120" s="48"/>
    </row>
    <row r="121" spans="1:10" x14ac:dyDescent="0.2">
      <c r="A121" s="183" t="s">
        <v>268</v>
      </c>
      <c r="B121" s="50">
        <v>90</v>
      </c>
      <c r="C121" s="50">
        <v>106</v>
      </c>
      <c r="D121" s="50">
        <v>262</v>
      </c>
      <c r="E121" s="50">
        <v>302</v>
      </c>
      <c r="F121" s="50">
        <v>320</v>
      </c>
      <c r="G121" s="50">
        <v>323</v>
      </c>
      <c r="H121" s="50">
        <v>451</v>
      </c>
      <c r="I121" s="50">
        <v>340</v>
      </c>
      <c r="J121" s="48"/>
    </row>
    <row r="122" spans="1:10" x14ac:dyDescent="0.2">
      <c r="A122" s="183" t="s">
        <v>261</v>
      </c>
      <c r="B122" s="50">
        <v>288</v>
      </c>
      <c r="C122" s="190">
        <v>265</v>
      </c>
      <c r="D122" s="190">
        <v>299</v>
      </c>
      <c r="E122" s="190">
        <v>429</v>
      </c>
      <c r="F122" s="936">
        <v>626</v>
      </c>
      <c r="G122" s="936">
        <v>814</v>
      </c>
      <c r="H122" s="936">
        <v>887</v>
      </c>
      <c r="I122" s="936">
        <v>900</v>
      </c>
      <c r="J122" s="48"/>
    </row>
    <row r="123" spans="1:10" x14ac:dyDescent="0.2">
      <c r="B123" s="50"/>
      <c r="C123" s="50"/>
      <c r="D123" s="50"/>
      <c r="E123" s="50"/>
      <c r="J123" s="48"/>
    </row>
    <row r="124" spans="1:10" x14ac:dyDescent="0.2">
      <c r="A124" s="1" t="s">
        <v>267</v>
      </c>
      <c r="B124" s="187">
        <f t="shared" ref="B124:G124" si="13">SUM(B119:B122)</f>
        <v>741</v>
      </c>
      <c r="C124" s="187">
        <f t="shared" si="13"/>
        <v>824</v>
      </c>
      <c r="D124" s="187">
        <f t="shared" si="13"/>
        <v>1101</v>
      </c>
      <c r="E124" s="187">
        <f t="shared" si="13"/>
        <v>1388</v>
      </c>
      <c r="F124" s="187">
        <f t="shared" si="13"/>
        <v>1739</v>
      </c>
      <c r="G124" s="187">
        <f t="shared" si="13"/>
        <v>2076</v>
      </c>
      <c r="H124" s="187">
        <f>SUM(H119:H122)</f>
        <v>2274</v>
      </c>
      <c r="I124" s="187">
        <f>SUM(I119:I122)</f>
        <v>2200</v>
      </c>
      <c r="J124" s="48"/>
    </row>
    <row r="125" spans="1:10" x14ac:dyDescent="0.2">
      <c r="B125" s="50"/>
      <c r="C125" s="50"/>
      <c r="D125" s="50"/>
      <c r="E125" s="50"/>
      <c r="J125" s="48"/>
    </row>
    <row r="126" spans="1:10" x14ac:dyDescent="0.2">
      <c r="B126" s="50"/>
      <c r="C126" s="50"/>
      <c r="D126" s="50"/>
      <c r="E126" s="50"/>
      <c r="J126" s="48"/>
    </row>
    <row r="127" spans="1:10" ht="15.75" x14ac:dyDescent="0.25">
      <c r="A127" s="184" t="s">
        <v>255</v>
      </c>
      <c r="B127" s="187">
        <f t="shared" ref="B127:G127" si="14">B117-B124</f>
        <v>370</v>
      </c>
      <c r="C127" s="187">
        <f t="shared" si="14"/>
        <v>421</v>
      </c>
      <c r="D127" s="187">
        <f t="shared" si="14"/>
        <v>586</v>
      </c>
      <c r="E127" s="187">
        <f t="shared" si="14"/>
        <v>858</v>
      </c>
      <c r="F127" s="187">
        <f t="shared" si="14"/>
        <v>751</v>
      </c>
      <c r="G127" s="187">
        <f t="shared" si="14"/>
        <v>1050</v>
      </c>
      <c r="H127" s="187">
        <f>H117-H124</f>
        <v>695</v>
      </c>
      <c r="I127" s="187">
        <f>I117-I124</f>
        <v>1050</v>
      </c>
      <c r="J127" s="48"/>
    </row>
    <row r="128" spans="1:10" x14ac:dyDescent="0.2">
      <c r="B128" s="50"/>
      <c r="C128" s="50"/>
      <c r="D128" s="50"/>
      <c r="E128" s="50"/>
      <c r="J128" s="48"/>
    </row>
    <row r="129" spans="1:10" x14ac:dyDescent="0.2">
      <c r="A129" s="183" t="s">
        <v>262</v>
      </c>
      <c r="B129" s="50">
        <v>142</v>
      </c>
      <c r="C129" s="50">
        <v>126</v>
      </c>
      <c r="D129" s="50">
        <v>206</v>
      </c>
      <c r="E129" s="50">
        <v>378</v>
      </c>
      <c r="F129" s="50">
        <v>534</v>
      </c>
      <c r="G129" s="50">
        <v>743</v>
      </c>
      <c r="H129" s="50">
        <v>588</v>
      </c>
      <c r="I129" s="50">
        <v>630</v>
      </c>
      <c r="J129" s="48"/>
    </row>
    <row r="130" spans="1:10" x14ac:dyDescent="0.2">
      <c r="A130" s="183" t="s">
        <v>263</v>
      </c>
      <c r="B130" s="50">
        <v>6</v>
      </c>
      <c r="C130" s="50">
        <v>5</v>
      </c>
      <c r="D130" s="50">
        <v>22</v>
      </c>
      <c r="E130" s="50">
        <v>41</v>
      </c>
      <c r="F130" s="50">
        <v>8</v>
      </c>
      <c r="G130" s="50">
        <v>1</v>
      </c>
      <c r="H130" s="50">
        <v>6</v>
      </c>
      <c r="I130" s="50"/>
      <c r="J130" s="48"/>
    </row>
    <row r="131" spans="1:10" x14ac:dyDescent="0.2">
      <c r="A131" s="183" t="s">
        <v>264</v>
      </c>
      <c r="B131" s="50"/>
      <c r="C131" s="50"/>
      <c r="D131" s="50">
        <v>1</v>
      </c>
      <c r="E131" s="50"/>
      <c r="F131" s="480">
        <v>3</v>
      </c>
      <c r="G131" s="50">
        <v>1</v>
      </c>
      <c r="H131" s="50">
        <v>4</v>
      </c>
      <c r="J131" s="48"/>
    </row>
    <row r="132" spans="1:10" x14ac:dyDescent="0.2">
      <c r="B132" s="50"/>
      <c r="C132" s="50"/>
      <c r="D132" s="50"/>
      <c r="E132" s="50"/>
      <c r="J132" s="48"/>
    </row>
    <row r="133" spans="1:10" x14ac:dyDescent="0.2">
      <c r="B133" s="50"/>
      <c r="C133" s="50"/>
      <c r="D133" s="50"/>
      <c r="E133" s="50"/>
      <c r="J133" s="48"/>
    </row>
    <row r="134" spans="1:10" ht="15.75" x14ac:dyDescent="0.25">
      <c r="A134" s="184" t="s">
        <v>256</v>
      </c>
      <c r="B134" s="187">
        <f t="shared" ref="B134:H134" si="15">B127-B129+B130-B131</f>
        <v>234</v>
      </c>
      <c r="C134" s="187">
        <f t="shared" si="15"/>
        <v>300</v>
      </c>
      <c r="D134" s="187">
        <f t="shared" si="15"/>
        <v>401</v>
      </c>
      <c r="E134" s="187">
        <f t="shared" si="15"/>
        <v>521</v>
      </c>
      <c r="F134" s="187">
        <f t="shared" si="15"/>
        <v>222</v>
      </c>
      <c r="G134" s="187">
        <f t="shared" si="15"/>
        <v>307</v>
      </c>
      <c r="H134" s="187">
        <f t="shared" si="15"/>
        <v>109</v>
      </c>
      <c r="I134" s="187">
        <f>I127-I129+I130-I131</f>
        <v>420</v>
      </c>
      <c r="J134" s="48"/>
    </row>
    <row r="135" spans="1:10" x14ac:dyDescent="0.2">
      <c r="B135" s="50"/>
      <c r="C135" s="50"/>
      <c r="D135" s="50"/>
      <c r="E135" s="50"/>
      <c r="J135" s="48"/>
    </row>
    <row r="136" spans="1:10" x14ac:dyDescent="0.2">
      <c r="A136" s="183" t="s">
        <v>265</v>
      </c>
      <c r="B136" s="50">
        <v>70</v>
      </c>
      <c r="C136" s="50">
        <v>97</v>
      </c>
      <c r="D136" s="50">
        <v>123</v>
      </c>
      <c r="E136" s="50">
        <v>156</v>
      </c>
      <c r="F136" s="42">
        <v>90</v>
      </c>
      <c r="G136" s="42">
        <v>93</v>
      </c>
      <c r="H136" s="42">
        <v>43</v>
      </c>
      <c r="I136" s="42">
        <f>I134*0.25</f>
        <v>105</v>
      </c>
      <c r="J136" s="48"/>
    </row>
    <row r="137" spans="1:10" x14ac:dyDescent="0.2">
      <c r="B137" s="50"/>
      <c r="C137" s="50"/>
      <c r="D137" s="50"/>
      <c r="E137" s="50"/>
      <c r="J137" s="48"/>
    </row>
    <row r="138" spans="1:10" ht="15.75" x14ac:dyDescent="0.25">
      <c r="A138" s="184" t="s">
        <v>257</v>
      </c>
      <c r="B138" s="187">
        <f t="shared" ref="B138:G138" si="16">B134-B136</f>
        <v>164</v>
      </c>
      <c r="C138" s="187">
        <f t="shared" si="16"/>
        <v>203</v>
      </c>
      <c r="D138" s="187">
        <f t="shared" si="16"/>
        <v>278</v>
      </c>
      <c r="E138" s="187">
        <f t="shared" si="16"/>
        <v>365</v>
      </c>
      <c r="F138" s="187">
        <f t="shared" si="16"/>
        <v>132</v>
      </c>
      <c r="G138" s="187">
        <f t="shared" si="16"/>
        <v>214</v>
      </c>
      <c r="H138" s="187">
        <f>H134-H136</f>
        <v>66</v>
      </c>
      <c r="I138" s="187">
        <f>I134-I136</f>
        <v>315</v>
      </c>
      <c r="J138" s="48"/>
    </row>
    <row r="139" spans="1:10" ht="15.75" x14ac:dyDescent="0.25">
      <c r="A139" s="184"/>
      <c r="B139" s="123"/>
      <c r="C139" s="123"/>
      <c r="D139" s="123"/>
      <c r="E139" s="123"/>
      <c r="J139" s="48"/>
    </row>
    <row r="140" spans="1:10" x14ac:dyDescent="0.2">
      <c r="B140" s="48"/>
      <c r="C140" s="48"/>
      <c r="D140" s="48"/>
      <c r="E140" s="48"/>
      <c r="F140" s="48"/>
      <c r="G140" s="48"/>
      <c r="H140" s="48"/>
      <c r="I140" s="48"/>
      <c r="J140" s="48"/>
    </row>
    <row r="141" spans="1:10" x14ac:dyDescent="0.2">
      <c r="J141" s="48"/>
    </row>
    <row r="142" spans="1:10" x14ac:dyDescent="0.2">
      <c r="A142" t="s">
        <v>1000</v>
      </c>
    </row>
    <row r="143" spans="1:10" x14ac:dyDescent="0.2">
      <c r="A143" t="s">
        <v>1001</v>
      </c>
    </row>
    <row r="146" spans="1:3" x14ac:dyDescent="0.2">
      <c r="A146" t="s">
        <v>758</v>
      </c>
    </row>
    <row r="148" spans="1:3" x14ac:dyDescent="0.2">
      <c r="A148" t="s">
        <v>1002</v>
      </c>
    </row>
    <row r="149" spans="1:3" x14ac:dyDescent="0.2">
      <c r="A149" s="422"/>
      <c r="B149" s="934"/>
    </row>
    <row r="150" spans="1:3" x14ac:dyDescent="0.2">
      <c r="A150" t="s">
        <v>1004</v>
      </c>
    </row>
    <row r="152" spans="1:3" x14ac:dyDescent="0.2">
      <c r="C152" s="52" t="s">
        <v>1005</v>
      </c>
    </row>
    <row r="153" spans="1:3" x14ac:dyDescent="0.2">
      <c r="B153" s="934">
        <v>2013</v>
      </c>
      <c r="C153" s="56">
        <v>1158</v>
      </c>
    </row>
    <row r="154" spans="1:3" x14ac:dyDescent="0.2">
      <c r="B154" s="934"/>
      <c r="C154" s="56"/>
    </row>
    <row r="155" spans="1:3" x14ac:dyDescent="0.2">
      <c r="B155" s="934">
        <v>2014</v>
      </c>
      <c r="C155" s="56">
        <v>2691</v>
      </c>
    </row>
    <row r="156" spans="1:3" x14ac:dyDescent="0.2">
      <c r="B156" s="934"/>
      <c r="C156" s="56"/>
    </row>
    <row r="157" spans="1:3" x14ac:dyDescent="0.2">
      <c r="B157" s="934">
        <v>2015</v>
      </c>
      <c r="C157" s="56">
        <v>1027</v>
      </c>
    </row>
    <row r="158" spans="1:3" x14ac:dyDescent="0.2">
      <c r="B158" s="934" t="s">
        <v>1003</v>
      </c>
    </row>
  </sheetData>
  <pageMargins left="1.6929133858267718" right="1.299212598425197" top="0.74803149606299213" bottom="0.74803149606299213" header="0.70866141732283472" footer="0.31496062992125984"/>
  <pageSetup paperSize="9" scale="52" orientation="landscape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420"/>
  <sheetViews>
    <sheetView topLeftCell="A174" workbookViewId="0">
      <selection activeCell="H205" sqref="H205"/>
    </sheetView>
  </sheetViews>
  <sheetFormatPr defaultColWidth="11.42578125" defaultRowHeight="12.75" x14ac:dyDescent="0.2"/>
  <cols>
    <col min="1" max="1" width="7.28515625" customWidth="1"/>
    <col min="3" max="3" width="23.85546875" customWidth="1"/>
    <col min="4" max="4" width="22.42578125" customWidth="1"/>
    <col min="5" max="6" width="15.7109375" hidden="1" customWidth="1"/>
    <col min="7" max="7" width="34.140625" hidden="1" customWidth="1"/>
    <col min="8" max="8" width="32.140625" customWidth="1"/>
    <col min="9" max="40" width="15.7109375" hidden="1" customWidth="1"/>
    <col min="41" max="41" width="15.7109375" customWidth="1"/>
    <col min="42" max="42" width="11.42578125" customWidth="1"/>
    <col min="44" max="44" width="14.7109375" customWidth="1"/>
  </cols>
  <sheetData>
    <row r="1" spans="2:43" ht="21" x14ac:dyDescent="0.35">
      <c r="B1" s="1796" t="s">
        <v>782</v>
      </c>
      <c r="C1" s="1796"/>
      <c r="D1" s="1796"/>
      <c r="E1" s="1796"/>
      <c r="F1" s="1796"/>
      <c r="G1" s="1796"/>
      <c r="H1" s="1796"/>
      <c r="I1" s="1796"/>
      <c r="J1" s="1796"/>
      <c r="K1" s="1796"/>
      <c r="L1" s="1796"/>
      <c r="M1" s="1796"/>
      <c r="N1" s="1796"/>
      <c r="O1" s="1796"/>
      <c r="P1" s="1796"/>
      <c r="Q1" s="1796"/>
      <c r="R1" s="1796"/>
      <c r="S1" s="1796"/>
      <c r="T1" s="1796"/>
      <c r="U1" s="1796"/>
      <c r="V1" s="1796"/>
      <c r="W1" s="1796"/>
      <c r="X1" s="1796"/>
      <c r="Y1" s="1796"/>
      <c r="Z1" s="1796"/>
      <c r="AA1" s="1796"/>
      <c r="AB1" s="1796"/>
      <c r="AC1" s="1796"/>
      <c r="AD1" s="1796"/>
      <c r="AE1" s="1796"/>
      <c r="AF1" s="1796"/>
      <c r="AG1" s="1796"/>
      <c r="AH1" s="1796"/>
      <c r="AI1" s="1796"/>
      <c r="AJ1" s="1796"/>
      <c r="AK1" s="1796"/>
      <c r="AL1" s="1796"/>
      <c r="AM1" s="1796"/>
      <c r="AN1" s="1796"/>
    </row>
    <row r="2" spans="2:43" ht="21" x14ac:dyDescent="0.35">
      <c r="B2" s="1797" t="s">
        <v>1397</v>
      </c>
      <c r="C2" s="1797"/>
      <c r="D2" s="1797"/>
      <c r="E2" s="1797"/>
      <c r="F2" s="1797"/>
      <c r="G2" s="1797"/>
      <c r="H2" s="1797"/>
      <c r="I2" s="1662"/>
      <c r="J2" s="1662"/>
      <c r="K2" s="1662"/>
      <c r="L2" s="1662"/>
      <c r="M2" s="1662"/>
      <c r="N2" s="1662"/>
      <c r="O2" s="1662"/>
      <c r="P2" s="1662"/>
      <c r="Q2" s="1662"/>
      <c r="R2" s="1662"/>
      <c r="S2" s="1662"/>
      <c r="T2" s="1662"/>
      <c r="U2" s="1662"/>
      <c r="V2" s="1662"/>
      <c r="W2" s="1662"/>
      <c r="X2" s="1662"/>
      <c r="Y2" s="1662"/>
      <c r="Z2" s="1662"/>
      <c r="AA2" s="1662"/>
      <c r="AB2" s="1662"/>
      <c r="AC2" s="1662"/>
      <c r="AD2" s="1662"/>
      <c r="AE2" s="1662"/>
      <c r="AF2" s="1662"/>
      <c r="AG2" s="1662"/>
      <c r="AH2" s="1662"/>
      <c r="AI2" s="1662"/>
      <c r="AJ2" s="1662"/>
      <c r="AK2" s="1662"/>
      <c r="AL2" s="1662"/>
      <c r="AM2" s="1662"/>
      <c r="AN2" s="506"/>
    </row>
    <row r="3" spans="2:43" x14ac:dyDescent="0.2">
      <c r="AN3" s="52" t="s">
        <v>783</v>
      </c>
    </row>
    <row r="5" spans="2:43" ht="12.75" customHeight="1" x14ac:dyDescent="0.2">
      <c r="B5" s="102"/>
      <c r="C5" s="87"/>
      <c r="D5" s="80"/>
      <c r="E5" s="1781" t="s">
        <v>24</v>
      </c>
      <c r="F5" s="1781" t="s">
        <v>35</v>
      </c>
      <c r="G5" s="1781" t="s">
        <v>36</v>
      </c>
      <c r="H5" s="1781" t="s">
        <v>396</v>
      </c>
      <c r="I5" s="1781" t="s">
        <v>816</v>
      </c>
      <c r="J5" s="1781" t="s">
        <v>823</v>
      </c>
      <c r="K5" s="1781" t="s">
        <v>824</v>
      </c>
      <c r="L5" s="1781" t="s">
        <v>837</v>
      </c>
      <c r="M5" s="1781" t="s">
        <v>838</v>
      </c>
      <c r="N5" s="1781" t="s">
        <v>852</v>
      </c>
      <c r="O5" s="1781" t="s">
        <v>874</v>
      </c>
      <c r="P5" s="1781" t="s">
        <v>905</v>
      </c>
      <c r="Q5" s="1781" t="s">
        <v>910</v>
      </c>
      <c r="R5" s="1781" t="s">
        <v>912</v>
      </c>
      <c r="S5" s="1781" t="s">
        <v>36</v>
      </c>
      <c r="T5" s="1781" t="s">
        <v>820</v>
      </c>
      <c r="U5" s="1781" t="s">
        <v>816</v>
      </c>
      <c r="V5" s="1781" t="s">
        <v>823</v>
      </c>
      <c r="W5" s="1781" t="s">
        <v>824</v>
      </c>
      <c r="X5" s="1781" t="s">
        <v>803</v>
      </c>
      <c r="Y5" s="1781" t="s">
        <v>838</v>
      </c>
      <c r="Z5" s="1781" t="s">
        <v>852</v>
      </c>
      <c r="AA5" s="1781" t="s">
        <v>874</v>
      </c>
      <c r="AB5" s="1781" t="s">
        <v>905</v>
      </c>
      <c r="AC5" s="1781" t="s">
        <v>910</v>
      </c>
      <c r="AD5" s="1781" t="s">
        <v>912</v>
      </c>
      <c r="AE5" s="1781" t="s">
        <v>933</v>
      </c>
      <c r="AF5" s="1781" t="s">
        <v>820</v>
      </c>
      <c r="AG5" s="1781" t="s">
        <v>816</v>
      </c>
      <c r="AH5" s="1781" t="s">
        <v>823</v>
      </c>
      <c r="AI5" s="1781" t="s">
        <v>824</v>
      </c>
      <c r="AJ5" s="1781" t="s">
        <v>837</v>
      </c>
      <c r="AK5" s="1781" t="s">
        <v>838</v>
      </c>
      <c r="AL5" s="1781" t="s">
        <v>852</v>
      </c>
      <c r="AM5" s="1781" t="s">
        <v>874</v>
      </c>
      <c r="AN5" s="1781" t="s">
        <v>800</v>
      </c>
      <c r="AO5" s="255"/>
    </row>
    <row r="6" spans="2:43" ht="12.75" customHeight="1" x14ac:dyDescent="0.2">
      <c r="B6" s="89"/>
      <c r="C6" s="90"/>
      <c r="D6" s="84"/>
      <c r="E6" s="1782"/>
      <c r="F6" s="1782"/>
      <c r="G6" s="1782"/>
      <c r="H6" s="1782"/>
      <c r="I6" s="1782"/>
      <c r="J6" s="1782"/>
      <c r="K6" s="1782"/>
      <c r="L6" s="1782"/>
      <c r="M6" s="1782"/>
      <c r="N6" s="1782"/>
      <c r="O6" s="1782"/>
      <c r="P6" s="1782"/>
      <c r="Q6" s="1782"/>
      <c r="R6" s="1782"/>
      <c r="S6" s="1782"/>
      <c r="T6" s="1782"/>
      <c r="U6" s="1782"/>
      <c r="V6" s="1782"/>
      <c r="W6" s="1782"/>
      <c r="X6" s="1782"/>
      <c r="Y6" s="1782"/>
      <c r="Z6" s="1782"/>
      <c r="AA6" s="1782"/>
      <c r="AB6" s="1782"/>
      <c r="AC6" s="1782"/>
      <c r="AD6" s="1782"/>
      <c r="AE6" s="1782"/>
      <c r="AF6" s="1782"/>
      <c r="AG6" s="1782"/>
      <c r="AH6" s="1782"/>
      <c r="AI6" s="1782"/>
      <c r="AJ6" s="1782"/>
      <c r="AK6" s="1782"/>
      <c r="AL6" s="1782"/>
      <c r="AM6" s="1782"/>
      <c r="AN6" s="1782"/>
      <c r="AO6" s="65" t="s">
        <v>787</v>
      </c>
    </row>
    <row r="7" spans="2:43" ht="18.75" x14ac:dyDescent="0.25">
      <c r="B7" s="1785" t="s">
        <v>819</v>
      </c>
      <c r="C7" s="1786"/>
      <c r="D7" s="1787"/>
      <c r="E7" s="507">
        <f>E9+E14+E18+E23</f>
        <v>0</v>
      </c>
      <c r="F7" s="507">
        <f>F9+F14+F18+F23</f>
        <v>0</v>
      </c>
      <c r="G7" s="507">
        <f>G9+G14+G18+G23</f>
        <v>0</v>
      </c>
      <c r="H7" s="507">
        <f>H9+H14+H18+H23</f>
        <v>0</v>
      </c>
      <c r="I7" s="508">
        <f>+I23+I18+I14+I9</f>
        <v>0</v>
      </c>
      <c r="J7" s="508">
        <f>+J23+J18+J14+J9</f>
        <v>0</v>
      </c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  <c r="AN7" s="508">
        <f>H7+G7+F7+E7+I7+J7</f>
        <v>0</v>
      </c>
      <c r="AO7" s="556">
        <f>AO9+AO14+AO18+AO23</f>
        <v>550000</v>
      </c>
    </row>
    <row r="8" spans="2:43" ht="15" x14ac:dyDescent="0.2">
      <c r="B8" s="1655"/>
      <c r="C8" s="1654"/>
      <c r="D8" s="1656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352"/>
    </row>
    <row r="9" spans="2:43" ht="15" x14ac:dyDescent="0.25">
      <c r="B9" s="512" t="s">
        <v>113</v>
      </c>
      <c r="C9" s="6"/>
      <c r="D9" s="81"/>
      <c r="E9" s="513"/>
      <c r="F9" s="513"/>
      <c r="G9" s="513"/>
      <c r="H9" s="513">
        <f>H10</f>
        <v>0</v>
      </c>
      <c r="I9" s="513">
        <f>+I10</f>
        <v>0</v>
      </c>
      <c r="J9" s="513">
        <f>+J11</f>
        <v>0</v>
      </c>
      <c r="K9" s="513"/>
      <c r="L9" s="513"/>
      <c r="M9" s="513"/>
      <c r="N9" s="513"/>
      <c r="O9" s="513"/>
      <c r="P9" s="513"/>
      <c r="Q9" s="513"/>
      <c r="R9" s="513"/>
      <c r="S9" s="513"/>
      <c r="T9" s="513"/>
      <c r="U9" s="513">
        <f>+U10</f>
        <v>0</v>
      </c>
      <c r="V9" s="513">
        <f>+V10</f>
        <v>0</v>
      </c>
      <c r="W9" s="513"/>
      <c r="X9" s="513"/>
      <c r="Y9" s="513"/>
      <c r="Z9" s="513"/>
      <c r="AA9" s="513"/>
      <c r="AB9" s="513"/>
      <c r="AC9" s="513"/>
      <c r="AD9" s="513"/>
      <c r="AE9" s="513"/>
      <c r="AF9" s="513">
        <f>+AF10</f>
        <v>0</v>
      </c>
      <c r="AG9" s="513"/>
      <c r="AH9" s="513"/>
      <c r="AI9" s="513"/>
      <c r="AJ9" s="513"/>
      <c r="AK9" s="513"/>
      <c r="AL9" s="513"/>
      <c r="AM9" s="513"/>
      <c r="AN9" s="513">
        <f>+I9+H9+G9+F9+E9+J9+U9+V9+AH9+AF9</f>
        <v>0</v>
      </c>
      <c r="AO9" s="557">
        <f>F132</f>
        <v>150000</v>
      </c>
    </row>
    <row r="10" spans="2:43" ht="15" x14ac:dyDescent="0.25">
      <c r="B10" s="512"/>
      <c r="C10" s="485"/>
      <c r="D10" s="558"/>
      <c r="E10" s="513"/>
      <c r="F10" s="513"/>
      <c r="G10" s="513"/>
      <c r="H10" s="513"/>
      <c r="I10" s="513"/>
      <c r="J10" s="513"/>
      <c r="K10" s="513"/>
      <c r="L10" s="513"/>
      <c r="M10" s="513"/>
      <c r="N10" s="513"/>
      <c r="O10" s="513"/>
      <c r="P10" s="513"/>
      <c r="Q10" s="513"/>
      <c r="R10" s="513"/>
      <c r="S10" s="513"/>
      <c r="T10" s="513"/>
      <c r="U10" s="513"/>
      <c r="V10" s="513"/>
      <c r="W10" s="513"/>
      <c r="X10" s="513"/>
      <c r="Y10" s="513"/>
      <c r="Z10" s="513"/>
      <c r="AA10" s="513"/>
      <c r="AB10" s="513"/>
      <c r="AC10" s="513"/>
      <c r="AD10" s="513"/>
      <c r="AE10" s="513"/>
      <c r="AF10" s="513"/>
      <c r="AG10" s="513"/>
      <c r="AH10" s="513"/>
      <c r="AI10" s="513"/>
      <c r="AJ10" s="513"/>
      <c r="AK10" s="513"/>
      <c r="AL10" s="513"/>
      <c r="AM10" s="513"/>
      <c r="AN10" s="513"/>
      <c r="AO10" s="557"/>
      <c r="AP10" s="94"/>
      <c r="AQ10" s="94"/>
    </row>
    <row r="11" spans="2:43" ht="15" x14ac:dyDescent="0.25">
      <c r="B11" s="512"/>
      <c r="C11" s="573"/>
      <c r="D11" s="850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57"/>
      <c r="AP11" s="94"/>
    </row>
    <row r="12" spans="2:43" ht="15" x14ac:dyDescent="0.25">
      <c r="B12" s="512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57"/>
      <c r="AP12" s="94"/>
    </row>
    <row r="13" spans="2:43" x14ac:dyDescent="0.2">
      <c r="B13" s="88"/>
      <c r="C13" s="6"/>
      <c r="D13" s="81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126"/>
    </row>
    <row r="14" spans="2:43" ht="15" x14ac:dyDescent="0.25">
      <c r="B14" s="512" t="s">
        <v>70</v>
      </c>
      <c r="C14" s="572"/>
      <c r="D14" s="81"/>
      <c r="E14" s="513"/>
      <c r="F14" s="513"/>
      <c r="G14" s="513"/>
      <c r="H14" s="513">
        <f>H17</f>
        <v>0</v>
      </c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13"/>
      <c r="T14" s="513"/>
      <c r="U14" s="513"/>
      <c r="V14" s="513"/>
      <c r="W14" s="513">
        <f>+W15</f>
        <v>0</v>
      </c>
      <c r="X14" s="513"/>
      <c r="Y14" s="513"/>
      <c r="Z14" s="513"/>
      <c r="AA14" s="513"/>
      <c r="AB14" s="513"/>
      <c r="AC14" s="513"/>
      <c r="AD14" s="513"/>
      <c r="AE14" s="513"/>
      <c r="AF14" s="513"/>
      <c r="AG14" s="513"/>
      <c r="AH14" s="513">
        <f>+AH15</f>
        <v>0</v>
      </c>
      <c r="AI14" s="513"/>
      <c r="AJ14" s="513"/>
      <c r="AK14" s="513"/>
      <c r="AL14" s="513"/>
      <c r="AM14" s="513"/>
      <c r="AN14" s="513">
        <f>H14+G14+F14+E14+I14+J14+K14+L14+M14+W14+AH14</f>
        <v>0</v>
      </c>
      <c r="AO14" s="557">
        <f>F140</f>
        <v>100000</v>
      </c>
    </row>
    <row r="15" spans="2:43" ht="15" x14ac:dyDescent="0.25">
      <c r="B15" s="512"/>
      <c r="C15" s="482"/>
      <c r="D15" s="558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3"/>
      <c r="T15" s="513"/>
      <c r="U15" s="51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3"/>
      <c r="AG15" s="513"/>
      <c r="AH15" s="513"/>
      <c r="AI15" s="513"/>
      <c r="AJ15" s="513"/>
      <c r="AK15" s="513"/>
      <c r="AL15" s="513"/>
      <c r="AM15" s="513"/>
      <c r="AN15" s="513"/>
      <c r="AO15" s="557"/>
    </row>
    <row r="16" spans="2:43" ht="15" x14ac:dyDescent="0.25">
      <c r="B16" s="512"/>
      <c r="C16" s="572"/>
      <c r="D16" s="6"/>
      <c r="E16" s="513"/>
      <c r="F16" s="513"/>
      <c r="G16" s="513"/>
      <c r="H16" s="513"/>
      <c r="I16" s="513"/>
      <c r="J16" s="513"/>
      <c r="K16" s="513"/>
      <c r="L16" s="513"/>
      <c r="M16" s="513"/>
      <c r="N16" s="513"/>
      <c r="O16" s="513"/>
      <c r="P16" s="513"/>
      <c r="Q16" s="513"/>
      <c r="R16" s="513"/>
      <c r="S16" s="513"/>
      <c r="T16" s="513"/>
      <c r="U16" s="513"/>
      <c r="V16" s="513"/>
      <c r="W16" s="513"/>
      <c r="X16" s="513"/>
      <c r="Y16" s="513"/>
      <c r="Z16" s="513"/>
      <c r="AA16" s="513"/>
      <c r="AB16" s="513"/>
      <c r="AC16" s="513"/>
      <c r="AD16" s="513"/>
      <c r="AE16" s="513"/>
      <c r="AF16" s="513"/>
      <c r="AG16" s="513"/>
      <c r="AH16" s="513"/>
      <c r="AI16" s="513"/>
      <c r="AJ16" s="513"/>
      <c r="AK16" s="513"/>
      <c r="AL16" s="513"/>
      <c r="AM16" s="513"/>
      <c r="AN16" s="513"/>
      <c r="AO16" s="557"/>
    </row>
    <row r="17" spans="2:43" x14ac:dyDescent="0.2">
      <c r="B17" s="88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126"/>
      <c r="AP17" s="94"/>
    </row>
    <row r="18" spans="2:43" ht="15" x14ac:dyDescent="0.25">
      <c r="B18" s="512" t="s">
        <v>72</v>
      </c>
      <c r="C18" s="6"/>
      <c r="D18" s="81"/>
      <c r="E18" s="553"/>
      <c r="F18" s="513"/>
      <c r="G18" s="513"/>
      <c r="H18" s="513"/>
      <c r="I18" s="513">
        <f>+I20</f>
        <v>0</v>
      </c>
      <c r="J18" s="513"/>
      <c r="K18" s="513"/>
      <c r="L18" s="513"/>
      <c r="M18" s="513"/>
      <c r="N18" s="513">
        <f>+N20</f>
        <v>0</v>
      </c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513"/>
      <c r="AM18" s="513"/>
      <c r="AN18" s="513">
        <f>H18+G18+F18+E18+I18+N18</f>
        <v>0</v>
      </c>
      <c r="AO18" s="557">
        <f>F147</f>
        <v>100000</v>
      </c>
    </row>
    <row r="19" spans="2:43" x14ac:dyDescent="0.2">
      <c r="B19" s="88"/>
      <c r="C19" s="482"/>
      <c r="D19" s="558"/>
      <c r="E19" s="445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126"/>
    </row>
    <row r="20" spans="2:43" x14ac:dyDescent="0.2">
      <c r="B20" s="88"/>
      <c r="C20" s="572"/>
      <c r="D20" s="850"/>
      <c r="E20" s="445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126"/>
      <c r="AP20" s="569"/>
    </row>
    <row r="21" spans="2:43" x14ac:dyDescent="0.2">
      <c r="B21" s="88"/>
      <c r="C21" s="6"/>
      <c r="D21" s="558"/>
      <c r="E21" s="445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126"/>
    </row>
    <row r="22" spans="2:43" x14ac:dyDescent="0.2">
      <c r="B22" s="88"/>
      <c r="C22" s="6"/>
      <c r="D22" s="81"/>
      <c r="E22" s="445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126"/>
    </row>
    <row r="23" spans="2:43" ht="15" x14ac:dyDescent="0.25">
      <c r="B23" s="512" t="s">
        <v>691</v>
      </c>
      <c r="C23" s="6"/>
      <c r="D23" s="81"/>
      <c r="E23" s="553"/>
      <c r="F23" s="513">
        <f>+F25+F24</f>
        <v>0</v>
      </c>
      <c r="G23" s="513">
        <f>+G24</f>
        <v>0</v>
      </c>
      <c r="H23" s="513">
        <f>+H26</f>
        <v>0</v>
      </c>
      <c r="I23" s="513">
        <f>I26</f>
        <v>0</v>
      </c>
      <c r="J23" s="513"/>
      <c r="K23" s="513"/>
      <c r="L23" s="513"/>
      <c r="M23" s="513"/>
      <c r="N23" s="513"/>
      <c r="O23" s="513"/>
      <c r="P23" s="513"/>
      <c r="Q23" s="513"/>
      <c r="R23" s="513"/>
      <c r="S23" s="513"/>
      <c r="T23" s="513"/>
      <c r="U23" s="513"/>
      <c r="V23" s="513"/>
      <c r="W23" s="513"/>
      <c r="X23" s="513"/>
      <c r="Y23" s="513"/>
      <c r="Z23" s="513"/>
      <c r="AA23" s="513"/>
      <c r="AB23" s="513"/>
      <c r="AC23" s="513"/>
      <c r="AD23" s="513"/>
      <c r="AE23" s="513"/>
      <c r="AF23" s="513">
        <f>AF26</f>
        <v>0</v>
      </c>
      <c r="AG23" s="513">
        <f>AG25+AG26</f>
        <v>0</v>
      </c>
      <c r="AH23" s="513"/>
      <c r="AI23" s="513"/>
      <c r="AJ23" s="513"/>
      <c r="AK23" s="513"/>
      <c r="AL23" s="513"/>
      <c r="AM23" s="513"/>
      <c r="AN23" s="513">
        <f>H23+G23+F23+E23+I23+AH23+AG23+AE23+AF23</f>
        <v>0</v>
      </c>
      <c r="AO23" s="557">
        <f>F154</f>
        <v>200000</v>
      </c>
    </row>
    <row r="24" spans="2:43" x14ac:dyDescent="0.2">
      <c r="B24" s="1420"/>
      <c r="C24" s="572"/>
      <c r="D24" s="850"/>
      <c r="E24" s="946"/>
      <c r="F24" s="514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126"/>
    </row>
    <row r="25" spans="2:43" x14ac:dyDescent="0.2">
      <c r="B25" s="1420"/>
      <c r="C25" s="482"/>
      <c r="D25" s="558"/>
      <c r="E25" s="946"/>
      <c r="F25" s="514"/>
      <c r="G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419"/>
      <c r="AI25" s="1419"/>
      <c r="AJ25" s="1419"/>
      <c r="AK25" s="1419"/>
      <c r="AL25" s="1419"/>
      <c r="AM25" s="1419"/>
      <c r="AN25" s="22"/>
      <c r="AO25" s="126"/>
      <c r="AP25" s="94"/>
      <c r="AQ25" s="94"/>
    </row>
    <row r="26" spans="2:43" x14ac:dyDescent="0.2">
      <c r="B26" s="88"/>
      <c r="C26" s="482"/>
      <c r="D26" s="558"/>
      <c r="E26" s="946"/>
      <c r="F26" s="514"/>
      <c r="G26" s="22"/>
      <c r="H26" s="934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126"/>
      <c r="AP26" s="94"/>
      <c r="AQ26" s="483"/>
    </row>
    <row r="27" spans="2:43" x14ac:dyDescent="0.2">
      <c r="B27" s="88"/>
      <c r="C27" s="482"/>
      <c r="D27" s="84"/>
      <c r="E27" s="946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71"/>
    </row>
    <row r="28" spans="2:43" ht="12.75" customHeight="1" x14ac:dyDescent="0.2">
      <c r="B28" s="102"/>
      <c r="C28" s="87"/>
      <c r="D28" s="81"/>
      <c r="E28" s="1781" t="s">
        <v>24</v>
      </c>
      <c r="F28" s="1781" t="s">
        <v>35</v>
      </c>
      <c r="G28" s="1781" t="s">
        <v>36</v>
      </c>
      <c r="H28" s="1781" t="s">
        <v>396</v>
      </c>
      <c r="I28" s="1781" t="s">
        <v>816</v>
      </c>
      <c r="J28" s="1781" t="s">
        <v>823</v>
      </c>
      <c r="K28" s="1781" t="s">
        <v>824</v>
      </c>
      <c r="L28" s="1781" t="s">
        <v>837</v>
      </c>
      <c r="M28" s="1781" t="s">
        <v>838</v>
      </c>
      <c r="N28" s="1781" t="s">
        <v>852</v>
      </c>
      <c r="O28" s="1781" t="s">
        <v>874</v>
      </c>
      <c r="P28" s="1781" t="s">
        <v>905</v>
      </c>
      <c r="Q28" s="1781" t="s">
        <v>910</v>
      </c>
      <c r="R28" s="1781" t="s">
        <v>912</v>
      </c>
      <c r="S28" s="1781" t="s">
        <v>933</v>
      </c>
      <c r="T28" s="1781" t="s">
        <v>820</v>
      </c>
      <c r="U28" s="1781" t="s">
        <v>816</v>
      </c>
      <c r="V28" s="1781" t="s">
        <v>823</v>
      </c>
      <c r="W28" s="1781" t="s">
        <v>824</v>
      </c>
      <c r="X28" s="1781" t="s">
        <v>803</v>
      </c>
      <c r="Y28" s="1781" t="s">
        <v>838</v>
      </c>
      <c r="Z28" s="1781" t="s">
        <v>852</v>
      </c>
      <c r="AA28" s="1781" t="s">
        <v>874</v>
      </c>
      <c r="AB28" s="1781" t="s">
        <v>905</v>
      </c>
      <c r="AC28" s="1781" t="s">
        <v>910</v>
      </c>
      <c r="AD28" s="1781" t="s">
        <v>912</v>
      </c>
      <c r="AE28" s="1781" t="s">
        <v>933</v>
      </c>
      <c r="AF28" s="1781" t="s">
        <v>820</v>
      </c>
      <c r="AG28" s="1781" t="s">
        <v>816</v>
      </c>
      <c r="AH28" s="1781" t="s">
        <v>823</v>
      </c>
      <c r="AI28" s="1781" t="s">
        <v>824</v>
      </c>
      <c r="AJ28" s="1781" t="s">
        <v>837</v>
      </c>
      <c r="AK28" s="1781" t="s">
        <v>838</v>
      </c>
      <c r="AL28" s="1781" t="s">
        <v>852</v>
      </c>
      <c r="AM28" s="1781" t="s">
        <v>874</v>
      </c>
      <c r="AN28" s="1781" t="s">
        <v>800</v>
      </c>
      <c r="AO28" s="1781" t="s">
        <v>787</v>
      </c>
    </row>
    <row r="29" spans="2:43" ht="12.75" customHeight="1" x14ac:dyDescent="0.2">
      <c r="B29" s="89"/>
      <c r="C29" s="90"/>
      <c r="D29" s="84"/>
      <c r="E29" s="1782"/>
      <c r="F29" s="1782"/>
      <c r="G29" s="1782"/>
      <c r="H29" s="1782"/>
      <c r="I29" s="1782"/>
      <c r="J29" s="1782"/>
      <c r="K29" s="1782"/>
      <c r="L29" s="1782"/>
      <c r="M29" s="1782"/>
      <c r="N29" s="1782"/>
      <c r="O29" s="1782"/>
      <c r="P29" s="1782"/>
      <c r="Q29" s="1782"/>
      <c r="R29" s="1782"/>
      <c r="S29" s="1782"/>
      <c r="T29" s="1782"/>
      <c r="U29" s="1782"/>
      <c r="V29" s="1782"/>
      <c r="W29" s="1782"/>
      <c r="X29" s="1782"/>
      <c r="Y29" s="1782"/>
      <c r="Z29" s="1782"/>
      <c r="AA29" s="1782"/>
      <c r="AB29" s="1782"/>
      <c r="AC29" s="1782"/>
      <c r="AD29" s="1782"/>
      <c r="AE29" s="1782"/>
      <c r="AF29" s="1782"/>
      <c r="AG29" s="1782"/>
      <c r="AH29" s="1782"/>
      <c r="AI29" s="1782"/>
      <c r="AJ29" s="1782"/>
      <c r="AK29" s="1782"/>
      <c r="AL29" s="1782"/>
      <c r="AM29" s="1782"/>
      <c r="AN29" s="1782"/>
      <c r="AO29" s="1782"/>
    </row>
    <row r="30" spans="2:43" ht="15" customHeight="1" x14ac:dyDescent="0.25">
      <c r="B30" s="1785" t="s">
        <v>784</v>
      </c>
      <c r="C30" s="1786"/>
      <c r="D30" s="1787"/>
      <c r="E30" s="515">
        <f>E32+E44+E55+E62</f>
        <v>0</v>
      </c>
      <c r="F30" s="515">
        <f>F32+F44+F55+F62</f>
        <v>0</v>
      </c>
      <c r="G30" s="515">
        <f>G32+G44+G55+G62</f>
        <v>0</v>
      </c>
      <c r="H30" s="515">
        <f>H32+H44+H55+H62</f>
        <v>0</v>
      </c>
      <c r="I30" s="515">
        <f>+I32+I44+I55+I62</f>
        <v>0</v>
      </c>
      <c r="J30" s="515"/>
      <c r="K30" s="515">
        <f>+K32+K44+K55+K62</f>
        <v>0</v>
      </c>
      <c r="L30" s="515">
        <f>+L32</f>
        <v>0</v>
      </c>
      <c r="M30" s="515">
        <f>+M32</f>
        <v>0</v>
      </c>
      <c r="N30" s="515">
        <f>N39+N40+N36+N35+N37</f>
        <v>0</v>
      </c>
      <c r="O30" s="515">
        <f>O41+O37</f>
        <v>0</v>
      </c>
      <c r="P30" s="515">
        <f>P38+P37</f>
        <v>0</v>
      </c>
      <c r="Q30" s="515">
        <f>Q32</f>
        <v>0</v>
      </c>
      <c r="R30" s="515">
        <f>+R32</f>
        <v>0</v>
      </c>
      <c r="S30" s="515"/>
      <c r="T30" s="515"/>
      <c r="U30" s="515"/>
      <c r="V30" s="515"/>
      <c r="W30" s="515"/>
      <c r="X30" s="515"/>
      <c r="Y30" s="515"/>
      <c r="Z30" s="515"/>
      <c r="AA30" s="515"/>
      <c r="AB30" s="515"/>
      <c r="AC30" s="515"/>
      <c r="AD30" s="515"/>
      <c r="AE30" s="515"/>
      <c r="AF30" s="515"/>
      <c r="AG30" s="515"/>
      <c r="AH30" s="515"/>
      <c r="AI30" s="515"/>
      <c r="AJ30" s="515"/>
      <c r="AK30" s="515"/>
      <c r="AL30" s="515"/>
      <c r="AM30" s="515"/>
      <c r="AN30" s="507">
        <f>+AN32</f>
        <v>482797</v>
      </c>
      <c r="AO30" s="556">
        <f>AO32+AO44+AO55+AO62</f>
        <v>600000</v>
      </c>
    </row>
    <row r="31" spans="2:43" ht="15" customHeight="1" x14ac:dyDescent="0.2">
      <c r="B31" s="1660"/>
      <c r="C31" s="1661"/>
      <c r="D31" s="518"/>
      <c r="E31" s="374"/>
      <c r="F31" s="374"/>
      <c r="G31" s="374"/>
      <c r="H31" s="374"/>
      <c r="I31" s="374"/>
      <c r="J31" s="374"/>
      <c r="K31" s="374"/>
      <c r="L31" s="374"/>
      <c r="M31" s="374"/>
      <c r="N31" s="374"/>
      <c r="O31" s="374"/>
      <c r="P31" s="374"/>
      <c r="Q31" s="374"/>
      <c r="R31" s="374"/>
      <c r="S31" s="374"/>
      <c r="T31" s="374"/>
      <c r="U31" s="374"/>
      <c r="V31" s="374"/>
      <c r="W31" s="374"/>
      <c r="X31" s="374"/>
      <c r="Y31" s="374"/>
      <c r="Z31" s="374"/>
      <c r="AA31" s="374"/>
      <c r="AB31" s="374"/>
      <c r="AC31" s="374"/>
      <c r="AD31" s="374"/>
      <c r="AE31" s="374"/>
      <c r="AF31" s="374"/>
      <c r="AG31" s="374"/>
      <c r="AH31" s="374"/>
      <c r="AI31" s="374"/>
      <c r="AJ31" s="374"/>
      <c r="AK31" s="374"/>
      <c r="AL31" s="374"/>
      <c r="AM31" s="374"/>
      <c r="AN31" s="255"/>
      <c r="AO31" s="352"/>
    </row>
    <row r="32" spans="2:43" ht="15" customHeight="1" x14ac:dyDescent="0.25">
      <c r="B32" s="512" t="s">
        <v>113</v>
      </c>
      <c r="C32" s="6"/>
      <c r="D32" s="81"/>
      <c r="E32" s="513">
        <f>E34+E36+E38+E40</f>
        <v>0</v>
      </c>
      <c r="F32" s="513">
        <f>F34+F36+F38+F40</f>
        <v>0</v>
      </c>
      <c r="G32" s="513">
        <f>G34+G36+G38+G40</f>
        <v>0</v>
      </c>
      <c r="H32" s="513">
        <f>H34+H36+H38+H40</f>
        <v>0</v>
      </c>
      <c r="I32" s="513">
        <f>I34+I36+I38+I40</f>
        <v>0</v>
      </c>
      <c r="J32" s="513"/>
      <c r="K32" s="513">
        <f>K35+K36+K37</f>
        <v>0</v>
      </c>
      <c r="L32" s="513">
        <f>+L37</f>
        <v>0</v>
      </c>
      <c r="M32" s="513">
        <f>+M37+M38</f>
        <v>0</v>
      </c>
      <c r="N32" s="513">
        <f>N39+N40+N36+N35+N37+N41</f>
        <v>0</v>
      </c>
      <c r="O32" s="513">
        <f>O37+O41</f>
        <v>0</v>
      </c>
      <c r="P32" s="513">
        <f>P37+P38+P41</f>
        <v>0</v>
      </c>
      <c r="Q32" s="513">
        <f>Q37+Q40+Q35+Q39+Q38</f>
        <v>0</v>
      </c>
      <c r="R32" s="513">
        <f>+R38</f>
        <v>0</v>
      </c>
      <c r="S32" s="513">
        <f>S41</f>
        <v>0</v>
      </c>
      <c r="T32" s="513">
        <f>+T41+T39</f>
        <v>0</v>
      </c>
      <c r="U32" s="513">
        <f>U38+U39</f>
        <v>0</v>
      </c>
      <c r="V32" s="513"/>
      <c r="W32" s="513">
        <f>+W41</f>
        <v>0</v>
      </c>
      <c r="X32" s="513">
        <f>X39</f>
        <v>0</v>
      </c>
      <c r="Y32" s="513">
        <f>Y40</f>
        <v>0</v>
      </c>
      <c r="Z32" s="513">
        <f>Z39</f>
        <v>0</v>
      </c>
      <c r="AA32" s="513"/>
      <c r="AB32" s="513"/>
      <c r="AC32" s="513">
        <f>+AC39+AC41+AC38+AC37</f>
        <v>0</v>
      </c>
      <c r="AD32" s="513">
        <f>+AD41</f>
        <v>0</v>
      </c>
      <c r="AE32" s="513">
        <f>+AE41</f>
        <v>0</v>
      </c>
      <c r="AF32" s="513">
        <f>+AF41+AF36</f>
        <v>0</v>
      </c>
      <c r="AG32" s="513">
        <f>+AG36+AG41</f>
        <v>0</v>
      </c>
      <c r="AH32" s="513">
        <f>AH41</f>
        <v>0</v>
      </c>
      <c r="AI32" s="513">
        <f>AI41+AI35</f>
        <v>0</v>
      </c>
      <c r="AJ32" s="513">
        <f>AJ36</f>
        <v>0</v>
      </c>
      <c r="AK32" s="513">
        <f>AK37</f>
        <v>0</v>
      </c>
      <c r="AL32" s="513">
        <f>AL41+AL37</f>
        <v>120500</v>
      </c>
      <c r="AM32" s="513">
        <f>+AM36+AM38</f>
        <v>362297</v>
      </c>
      <c r="AN32" s="519">
        <f>H32+G32+F32+E32+I32+J32+K32+L32+M32+N32+O32+P32+Q32+R32+S32+T32+U32+V32+W32+X32+Y32+Z32+AC32+AD32+AE32+AF32+AG32+AH32+AI32+AJ32+AL32+AK32+AM32</f>
        <v>482797</v>
      </c>
      <c r="AO32" s="557">
        <f>F133</f>
        <v>200000</v>
      </c>
    </row>
    <row r="33" spans="2:45" ht="15" customHeight="1" x14ac:dyDescent="0.2">
      <c r="B33" s="88"/>
      <c r="C33" s="6"/>
      <c r="D33" s="81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1666"/>
      <c r="AO33" s="126"/>
      <c r="AP33" s="42"/>
    </row>
    <row r="34" spans="2:45" ht="15" customHeight="1" x14ac:dyDescent="0.2">
      <c r="B34" s="88"/>
      <c r="C34" s="6"/>
      <c r="D34" s="81"/>
      <c r="E34" s="514"/>
      <c r="F34" s="514"/>
      <c r="G34" s="514"/>
      <c r="H34" s="514"/>
      <c r="I34" s="514"/>
      <c r="J34" s="514"/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14"/>
      <c r="AD34" s="514"/>
      <c r="AE34" s="514"/>
      <c r="AF34" s="514"/>
      <c r="AG34" s="514"/>
      <c r="AH34" s="514"/>
      <c r="AI34" s="514"/>
      <c r="AJ34" s="514"/>
      <c r="AK34" s="514"/>
      <c r="AL34" s="514"/>
      <c r="AM34" s="514"/>
      <c r="AN34" s="520"/>
      <c r="AO34" s="126"/>
    </row>
    <row r="35" spans="2:45" ht="15" customHeight="1" x14ac:dyDescent="0.2">
      <c r="B35" s="88"/>
      <c r="C35" s="482"/>
      <c r="D35" s="558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1666"/>
      <c r="AO35" s="126"/>
      <c r="AP35" s="569"/>
      <c r="AQ35" s="483"/>
    </row>
    <row r="36" spans="2:45" ht="15" customHeight="1" x14ac:dyDescent="0.2">
      <c r="B36" s="88"/>
      <c r="C36" s="482" t="s">
        <v>166</v>
      </c>
      <c r="D36" s="558" t="s">
        <v>1275</v>
      </c>
      <c r="E36" s="514"/>
      <c r="F36" s="514"/>
      <c r="G36" s="514"/>
      <c r="H36" s="514"/>
      <c r="I36" s="514"/>
      <c r="J36" s="514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14"/>
      <c r="AD36" s="514"/>
      <c r="AE36" s="514"/>
      <c r="AF36" s="514"/>
      <c r="AG36" s="514"/>
      <c r="AH36" s="514"/>
      <c r="AI36" s="514"/>
      <c r="AJ36" s="514"/>
      <c r="AK36" s="514"/>
      <c r="AL36" s="514"/>
      <c r="AM36" s="514">
        <v>121097</v>
      </c>
      <c r="AN36" s="520"/>
      <c r="AO36" s="126"/>
      <c r="AP36" s="569">
        <v>42675</v>
      </c>
      <c r="AQ36" s="483" t="s">
        <v>924</v>
      </c>
    </row>
    <row r="37" spans="2:45" ht="15" customHeight="1" x14ac:dyDescent="0.2">
      <c r="B37" s="88"/>
      <c r="C37" s="483" t="s">
        <v>49</v>
      </c>
      <c r="D37" s="483" t="s">
        <v>1375</v>
      </c>
      <c r="E37" s="22"/>
      <c r="F37" s="514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>
        <v>35500</v>
      </c>
      <c r="AM37" s="22"/>
      <c r="AN37" s="616"/>
      <c r="AO37" s="126"/>
      <c r="AP37" s="569">
        <v>42660</v>
      </c>
      <c r="AQ37" s="483"/>
    </row>
    <row r="38" spans="2:45" ht="15" customHeight="1" x14ac:dyDescent="0.2">
      <c r="B38" s="88"/>
      <c r="C38" s="485" t="s">
        <v>166</v>
      </c>
      <c r="D38" s="558" t="s">
        <v>1390</v>
      </c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  <c r="T38" s="514"/>
      <c r="U38" s="514"/>
      <c r="V38" s="514"/>
      <c r="W38" s="514"/>
      <c r="X38" s="514"/>
      <c r="Y38" s="514"/>
      <c r="Z38" s="514"/>
      <c r="AA38" s="514"/>
      <c r="AB38" s="514"/>
      <c r="AC38" s="514"/>
      <c r="AD38" s="514"/>
      <c r="AE38" s="514"/>
      <c r="AF38" s="514"/>
      <c r="AG38" s="514"/>
      <c r="AH38" s="514"/>
      <c r="AI38" s="514"/>
      <c r="AJ38" s="514"/>
      <c r="AK38" s="514"/>
      <c r="AL38" s="514"/>
      <c r="AM38" s="514">
        <v>241200</v>
      </c>
      <c r="AN38" s="520"/>
      <c r="AO38" s="126"/>
      <c r="AP38" s="696">
        <v>42675</v>
      </c>
      <c r="AQ38" s="569" t="s">
        <v>924</v>
      </c>
    </row>
    <row r="39" spans="2:45" ht="15" hidden="1" customHeight="1" x14ac:dyDescent="0.2">
      <c r="B39" s="88"/>
      <c r="C39" s="485" t="s">
        <v>956</v>
      </c>
      <c r="D39" s="558" t="s">
        <v>996</v>
      </c>
      <c r="E39" s="22"/>
      <c r="F39" s="514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1666"/>
      <c r="AO39" s="126"/>
      <c r="AP39" s="838">
        <v>42373</v>
      </c>
      <c r="AQ39" s="569"/>
    </row>
    <row r="40" spans="2:45" ht="15" hidden="1" customHeight="1" x14ac:dyDescent="0.2">
      <c r="B40" s="88"/>
      <c r="C40" s="485"/>
      <c r="D40" s="558"/>
      <c r="E40" s="514"/>
      <c r="F40" s="514"/>
      <c r="G40" s="514"/>
      <c r="H40" s="514"/>
      <c r="I40" s="514"/>
      <c r="J40" s="514"/>
      <c r="K40" s="514"/>
      <c r="L40" s="514"/>
      <c r="M40" s="514"/>
      <c r="N40" s="514"/>
      <c r="O40" s="514"/>
      <c r="P40" s="514"/>
      <c r="Q40" s="514"/>
      <c r="R40" s="514"/>
      <c r="S40" s="514"/>
      <c r="T40" s="514"/>
      <c r="U40" s="514"/>
      <c r="V40" s="514"/>
      <c r="W40" s="514"/>
      <c r="X40" s="514"/>
      <c r="Y40" s="514"/>
      <c r="Z40" s="514"/>
      <c r="AA40" s="514"/>
      <c r="AB40" s="514"/>
      <c r="AC40" s="514"/>
      <c r="AD40" s="514"/>
      <c r="AE40" s="514"/>
      <c r="AF40" s="514"/>
      <c r="AG40" s="514"/>
      <c r="AH40" s="514"/>
      <c r="AI40" s="514"/>
      <c r="AJ40" s="514"/>
      <c r="AK40" s="514"/>
      <c r="AL40" s="514"/>
      <c r="AM40" s="514"/>
      <c r="AN40" s="1666"/>
      <c r="AO40" s="126"/>
      <c r="AP40" s="596"/>
      <c r="AQ40" s="483"/>
    </row>
    <row r="41" spans="2:45" ht="15" customHeight="1" x14ac:dyDescent="0.25">
      <c r="B41" s="88"/>
      <c r="C41" s="485" t="s">
        <v>166</v>
      </c>
      <c r="D41" s="1131" t="s">
        <v>1153</v>
      </c>
      <c r="E41" s="22"/>
      <c r="F41" s="22"/>
      <c r="G41" s="22"/>
      <c r="H41" s="514"/>
      <c r="I41" s="514"/>
      <c r="J41" s="514"/>
      <c r="K41" s="514"/>
      <c r="L41" s="514"/>
      <c r="M41" s="514"/>
      <c r="N41" s="514"/>
      <c r="O41" s="514"/>
      <c r="P41" s="514"/>
      <c r="Q41" s="514"/>
      <c r="R41" s="514"/>
      <c r="S41" s="514"/>
      <c r="T41" s="514"/>
      <c r="U41" s="514"/>
      <c r="V41" s="514"/>
      <c r="W41" s="514"/>
      <c r="X41" s="514"/>
      <c r="Y41" s="514"/>
      <c r="Z41" s="514"/>
      <c r="AA41" s="514"/>
      <c r="AB41" s="514"/>
      <c r="AC41" s="514"/>
      <c r="AD41" s="514"/>
      <c r="AE41" s="514"/>
      <c r="AF41" s="514"/>
      <c r="AG41" s="514"/>
      <c r="AH41" s="514"/>
      <c r="AI41" s="514"/>
      <c r="AJ41" s="514"/>
      <c r="AK41" s="514"/>
      <c r="AL41" s="514">
        <v>85000</v>
      </c>
      <c r="AM41" s="514"/>
      <c r="AN41" s="1666"/>
      <c r="AO41" s="126"/>
      <c r="AP41" s="562">
        <v>42654</v>
      </c>
      <c r="AQ41" s="562" t="s">
        <v>924</v>
      </c>
      <c r="AR41" s="562"/>
      <c r="AS41" s="483"/>
    </row>
    <row r="42" spans="2:45" ht="15" customHeight="1" x14ac:dyDescent="0.2">
      <c r="B42" s="521"/>
      <c r="C42" s="522"/>
      <c r="D42" s="523"/>
      <c r="E42" s="375"/>
      <c r="F42" s="524"/>
      <c r="G42" s="524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1665"/>
      <c r="AO42" s="71"/>
    </row>
    <row r="43" spans="2:45" ht="15" customHeight="1" x14ac:dyDescent="0.2">
      <c r="B43" s="102"/>
      <c r="C43" s="87"/>
      <c r="D43" s="80"/>
      <c r="E43" s="374"/>
      <c r="F43" s="374"/>
      <c r="G43" s="374"/>
      <c r="H43" s="374"/>
      <c r="I43" s="374"/>
      <c r="J43" s="374"/>
      <c r="K43" s="374"/>
      <c r="L43" s="374"/>
      <c r="M43" s="374"/>
      <c r="N43" s="374"/>
      <c r="O43" s="374"/>
      <c r="P43" s="374"/>
      <c r="Q43" s="374"/>
      <c r="R43" s="374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  <c r="AN43" s="255"/>
      <c r="AO43" s="352"/>
    </row>
    <row r="44" spans="2:45" ht="15" customHeight="1" x14ac:dyDescent="0.25">
      <c r="B44" s="512" t="s">
        <v>70</v>
      </c>
      <c r="C44" s="525"/>
      <c r="D44" s="526"/>
      <c r="E44" s="513">
        <f>E46+E48</f>
        <v>0</v>
      </c>
      <c r="F44" s="513">
        <f>F46+F48</f>
        <v>0</v>
      </c>
      <c r="G44" s="513">
        <f>G46+G48</f>
        <v>0</v>
      </c>
      <c r="H44" s="513">
        <f>H46+H48</f>
        <v>0</v>
      </c>
      <c r="I44" s="513"/>
      <c r="J44" s="513"/>
      <c r="K44" s="513"/>
      <c r="L44" s="513">
        <f>L45</f>
        <v>0</v>
      </c>
      <c r="M44" s="513"/>
      <c r="N44" s="513">
        <f>N46+N47</f>
        <v>0</v>
      </c>
      <c r="O44" s="513">
        <f>O45</f>
        <v>0</v>
      </c>
      <c r="P44" s="513">
        <f>+P48</f>
        <v>0</v>
      </c>
      <c r="Q44" s="513">
        <f>+Q47+Q46+Q48</f>
        <v>0</v>
      </c>
      <c r="R44" s="513"/>
      <c r="S44" s="513"/>
      <c r="T44" s="513">
        <f>+T48+T46+T47</f>
        <v>0</v>
      </c>
      <c r="U44" s="513"/>
      <c r="V44" s="513"/>
      <c r="W44" s="513">
        <f>W48</f>
        <v>0</v>
      </c>
      <c r="X44" s="513">
        <f>X49</f>
        <v>0</v>
      </c>
      <c r="Y44" s="513">
        <f>+Y47</f>
        <v>0</v>
      </c>
      <c r="Z44" s="513">
        <f>+Z48+Z47</f>
        <v>0</v>
      </c>
      <c r="AA44" s="513">
        <f>AA49</f>
        <v>0</v>
      </c>
      <c r="AB44" s="513"/>
      <c r="AC44" s="513">
        <f>AC47</f>
        <v>0</v>
      </c>
      <c r="AD44" s="513">
        <f>AD50+AD51++AD52</f>
        <v>0</v>
      </c>
      <c r="AE44" s="513"/>
      <c r="AF44" s="513">
        <f>AF48+AF47</f>
        <v>0</v>
      </c>
      <c r="AG44" s="513">
        <f>AG48+AG50+AG51+AG52</f>
        <v>0</v>
      </c>
      <c r="AH44" s="513"/>
      <c r="AI44" s="513">
        <f>+AI52</f>
        <v>0</v>
      </c>
      <c r="AJ44" s="513">
        <f>AJ48+AJ50</f>
        <v>36900</v>
      </c>
      <c r="AK44" s="513">
        <f>AK51</f>
        <v>0</v>
      </c>
      <c r="AL44" s="513">
        <f>AL47+AL51</f>
        <v>156070</v>
      </c>
      <c r="AM44" s="513">
        <f>AM48</f>
        <v>25796</v>
      </c>
      <c r="AN44" s="519">
        <f>H44+G44+F44+E44+L44+N44+O44+P44+Q44+R44+S44+T44+W44+X44+Y44+Z44+AA44+AC44+AD443+AD44+AF44+AG44+AI44+AJ44+AK44+AL44+AM44</f>
        <v>218766</v>
      </c>
      <c r="AO44" s="557">
        <f>F141</f>
        <v>100000</v>
      </c>
    </row>
    <row r="45" spans="2:45" x14ac:dyDescent="0.2">
      <c r="B45" s="88"/>
      <c r="C45" s="485"/>
      <c r="D45" s="558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1666"/>
      <c r="AO45" s="126"/>
      <c r="AP45" s="94"/>
      <c r="AQ45" s="58"/>
    </row>
    <row r="46" spans="2:45" x14ac:dyDescent="0.2">
      <c r="B46" s="88"/>
      <c r="C46" s="482"/>
      <c r="D46" s="558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514"/>
      <c r="Q46" s="514"/>
      <c r="R46" s="514"/>
      <c r="S46" s="514"/>
      <c r="T46" s="514"/>
      <c r="U46" s="514"/>
      <c r="V46" s="514"/>
      <c r="W46" s="514"/>
      <c r="X46" s="514"/>
      <c r="Y46" s="514"/>
      <c r="Z46" s="514"/>
      <c r="AA46" s="514"/>
      <c r="AB46" s="514"/>
      <c r="AC46" s="514"/>
      <c r="AD46" s="514"/>
      <c r="AE46" s="514"/>
      <c r="AF46" s="514"/>
      <c r="AG46" s="514"/>
      <c r="AH46" s="514"/>
      <c r="AI46" s="514"/>
      <c r="AJ46" s="514"/>
      <c r="AK46" s="514"/>
      <c r="AL46" s="514"/>
      <c r="AM46" s="514"/>
      <c r="AN46" s="1666"/>
      <c r="AO46" s="126"/>
      <c r="AP46" s="94"/>
      <c r="AQ46" s="483"/>
      <c r="AS46" s="42">
        <f>Q37+Q39+Q40+Q46+Q47+P48+Q59+Q69+Q70+Q71+Q72+Q73+Q74+Q75+Q76</f>
        <v>0</v>
      </c>
    </row>
    <row r="47" spans="2:45" x14ac:dyDescent="0.2">
      <c r="B47" s="88"/>
      <c r="C47" s="826" t="s">
        <v>352</v>
      </c>
      <c r="D47" s="850" t="s">
        <v>1377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>
        <v>27400</v>
      </c>
      <c r="AM47" s="22"/>
      <c r="AN47" s="1666"/>
      <c r="AO47" s="126"/>
      <c r="AP47" s="94">
        <v>42653</v>
      </c>
      <c r="AQ47" s="483" t="s">
        <v>924</v>
      </c>
    </row>
    <row r="48" spans="2:45" ht="15" x14ac:dyDescent="0.25">
      <c r="B48" s="88"/>
      <c r="C48" s="1421" t="s">
        <v>192</v>
      </c>
      <c r="D48" s="1472" t="s">
        <v>1188</v>
      </c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4"/>
      <c r="P48" s="514"/>
      <c r="Q48" s="514"/>
      <c r="R48" s="514"/>
      <c r="S48" s="514"/>
      <c r="T48" s="514"/>
      <c r="U48" s="514"/>
      <c r="V48" s="514"/>
      <c r="W48" s="514"/>
      <c r="X48" s="514"/>
      <c r="Y48" s="514"/>
      <c r="Z48" s="514"/>
      <c r="AA48" s="514"/>
      <c r="AB48" s="514"/>
      <c r="AC48" s="514"/>
      <c r="AD48" s="514"/>
      <c r="AE48" s="514"/>
      <c r="AF48" s="514"/>
      <c r="AG48" s="514"/>
      <c r="AH48" s="514"/>
      <c r="AI48" s="514"/>
      <c r="AJ48" s="514"/>
      <c r="AK48" s="514"/>
      <c r="AL48" s="514"/>
      <c r="AM48" s="514">
        <v>25796</v>
      </c>
      <c r="AN48" s="1666"/>
      <c r="AO48" s="126"/>
      <c r="AP48" s="94">
        <v>42683</v>
      </c>
      <c r="AQ48" s="483" t="s">
        <v>924</v>
      </c>
    </row>
    <row r="49" spans="2:44" ht="15" hidden="1" x14ac:dyDescent="0.25">
      <c r="B49" s="88"/>
      <c r="C49" s="982" t="s">
        <v>477</v>
      </c>
      <c r="D49" s="983" t="s">
        <v>954</v>
      </c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  <c r="W49" s="514"/>
      <c r="X49" s="514"/>
      <c r="Y49" s="514"/>
      <c r="Z49" s="514"/>
      <c r="AA49" s="514"/>
      <c r="AB49" s="514"/>
      <c r="AC49" s="514"/>
      <c r="AD49" s="514"/>
      <c r="AE49" s="514"/>
      <c r="AF49" s="514"/>
      <c r="AG49" s="514"/>
      <c r="AH49" s="514"/>
      <c r="AI49" s="514"/>
      <c r="AJ49" s="514"/>
      <c r="AK49" s="514"/>
      <c r="AL49" s="514"/>
      <c r="AM49" s="514"/>
      <c r="AN49" s="1666"/>
      <c r="AO49" s="126"/>
      <c r="AP49" s="94">
        <v>42242</v>
      </c>
      <c r="AQ49" s="569">
        <v>42334</v>
      </c>
    </row>
    <row r="50" spans="2:44" ht="15" x14ac:dyDescent="0.25">
      <c r="B50" s="88"/>
      <c r="C50" s="1182" t="s">
        <v>192</v>
      </c>
      <c r="D50" s="1472" t="s">
        <v>1186</v>
      </c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514"/>
      <c r="T50" s="514"/>
      <c r="U50" s="514"/>
      <c r="V50" s="514"/>
      <c r="W50" s="514"/>
      <c r="X50" s="514"/>
      <c r="Y50" s="514"/>
      <c r="Z50" s="514"/>
      <c r="AA50" s="514"/>
      <c r="AB50" s="514"/>
      <c r="AC50" s="514"/>
      <c r="AD50" s="514"/>
      <c r="AE50" s="514"/>
      <c r="AF50" s="514"/>
      <c r="AG50" s="514"/>
      <c r="AH50" s="514"/>
      <c r="AI50" s="514"/>
      <c r="AJ50" s="514">
        <v>36900</v>
      </c>
      <c r="AK50" s="514"/>
      <c r="AL50" s="514"/>
      <c r="AM50" s="514"/>
      <c r="AN50" s="1666"/>
      <c r="AO50" s="126"/>
      <c r="AP50" s="94">
        <v>42605</v>
      </c>
      <c r="AQ50" s="569"/>
    </row>
    <row r="51" spans="2:44" ht="15" x14ac:dyDescent="0.25">
      <c r="B51" s="88"/>
      <c r="C51" s="1590" t="s">
        <v>166</v>
      </c>
      <c r="D51" s="1472" t="s">
        <v>1362</v>
      </c>
      <c r="E51" s="514"/>
      <c r="F51" s="514"/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4"/>
      <c r="T51" s="514"/>
      <c r="U51" s="514"/>
      <c r="V51" s="514"/>
      <c r="W51" s="514"/>
      <c r="X51" s="514"/>
      <c r="Y51" s="514"/>
      <c r="Z51" s="514"/>
      <c r="AA51" s="514"/>
      <c r="AB51" s="514"/>
      <c r="AC51" s="514"/>
      <c r="AD51" s="514"/>
      <c r="AE51" s="514"/>
      <c r="AF51" s="514"/>
      <c r="AG51" s="514"/>
      <c r="AH51" s="514"/>
      <c r="AI51" s="514"/>
      <c r="AJ51" s="514"/>
      <c r="AK51" s="514"/>
      <c r="AL51" s="514">
        <v>128670</v>
      </c>
      <c r="AM51" s="514"/>
      <c r="AN51" s="1666"/>
      <c r="AO51" s="126"/>
      <c r="AP51" s="94">
        <v>42669</v>
      </c>
      <c r="AQ51" s="569"/>
    </row>
    <row r="52" spans="2:44" ht="15" x14ac:dyDescent="0.25">
      <c r="B52" s="88"/>
      <c r="C52" s="1499"/>
      <c r="D52" s="1500"/>
      <c r="E52" s="514"/>
      <c r="F52" s="514"/>
      <c r="G52" s="514"/>
      <c r="H52" s="514"/>
      <c r="I52" s="514"/>
      <c r="J52" s="514"/>
      <c r="K52" s="514"/>
      <c r="L52" s="514"/>
      <c r="M52" s="514"/>
      <c r="N52" s="514"/>
      <c r="O52" s="514"/>
      <c r="P52" s="514"/>
      <c r="Q52" s="514"/>
      <c r="R52" s="514"/>
      <c r="S52" s="514"/>
      <c r="T52" s="514"/>
      <c r="U52" s="514"/>
      <c r="V52" s="514"/>
      <c r="W52" s="514"/>
      <c r="X52" s="514"/>
      <c r="Y52" s="514"/>
      <c r="Z52" s="514"/>
      <c r="AA52" s="514"/>
      <c r="AB52" s="514"/>
      <c r="AC52" s="514"/>
      <c r="AD52" s="514"/>
      <c r="AE52" s="514"/>
      <c r="AF52" s="514"/>
      <c r="AG52" s="514"/>
      <c r="AH52" s="514"/>
      <c r="AI52" s="514"/>
      <c r="AJ52" s="514"/>
      <c r="AK52" s="514"/>
      <c r="AL52" s="514"/>
      <c r="AM52" s="514"/>
      <c r="AN52" s="1666"/>
      <c r="AO52" s="126"/>
      <c r="AP52" s="94"/>
      <c r="AQ52" s="569"/>
    </row>
    <row r="53" spans="2:44" x14ac:dyDescent="0.2">
      <c r="B53" s="527"/>
      <c r="C53" s="528"/>
      <c r="D53" s="529"/>
      <c r="E53" s="524"/>
      <c r="F53" s="524"/>
      <c r="G53" s="524"/>
      <c r="H53" s="524"/>
      <c r="I53" s="524"/>
      <c r="J53" s="524"/>
      <c r="K53" s="524"/>
      <c r="L53" s="524"/>
      <c r="M53" s="524"/>
      <c r="N53" s="524"/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/>
      <c r="AA53" s="524"/>
      <c r="AB53" s="524"/>
      <c r="AC53" s="524"/>
      <c r="AD53" s="524"/>
      <c r="AE53" s="524"/>
      <c r="AF53" s="524"/>
      <c r="AG53" s="524"/>
      <c r="AH53" s="524"/>
      <c r="AI53" s="524"/>
      <c r="AJ53" s="524"/>
      <c r="AK53" s="524"/>
      <c r="AL53" s="524"/>
      <c r="AM53" s="524"/>
      <c r="AN53" s="1665"/>
      <c r="AO53" s="71"/>
    </row>
    <row r="54" spans="2:44" x14ac:dyDescent="0.2">
      <c r="B54" s="530"/>
      <c r="C54" s="531"/>
      <c r="D54" s="532"/>
      <c r="E54" s="374"/>
      <c r="F54" s="533"/>
      <c r="G54" s="533"/>
      <c r="H54" s="374"/>
      <c r="I54" s="374"/>
      <c r="J54" s="374"/>
      <c r="K54" s="374"/>
      <c r="L54" s="374"/>
      <c r="M54" s="374"/>
      <c r="N54" s="374"/>
      <c r="O54" s="374"/>
      <c r="P54" s="374"/>
      <c r="Q54" s="374"/>
      <c r="R54" s="374"/>
      <c r="S54" s="374"/>
      <c r="T54" s="374"/>
      <c r="U54" s="374"/>
      <c r="V54" s="374"/>
      <c r="W54" s="374"/>
      <c r="X54" s="374"/>
      <c r="Y54" s="374"/>
      <c r="Z54" s="374"/>
      <c r="AA54" s="37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255"/>
      <c r="AO54" s="352"/>
    </row>
    <row r="55" spans="2:44" ht="15" x14ac:dyDescent="0.25">
      <c r="B55" s="512" t="s">
        <v>72</v>
      </c>
      <c r="C55" s="525"/>
      <c r="D55" s="526"/>
      <c r="E55" s="513">
        <f>E57</f>
        <v>0</v>
      </c>
      <c r="F55" s="513"/>
      <c r="G55" s="513"/>
      <c r="H55" s="513"/>
      <c r="I55" s="513"/>
      <c r="J55" s="513"/>
      <c r="K55" s="513">
        <f>K56+K57</f>
        <v>0</v>
      </c>
      <c r="L55" s="513">
        <f>L56</f>
        <v>0</v>
      </c>
      <c r="M55" s="513">
        <f>M57</f>
        <v>0</v>
      </c>
      <c r="N55" s="513">
        <f>N57</f>
        <v>0</v>
      </c>
      <c r="O55" s="513">
        <f>O56+O58+O57</f>
        <v>0</v>
      </c>
      <c r="P55" s="513">
        <f>P57</f>
        <v>0</v>
      </c>
      <c r="Q55" s="513">
        <f>Q59</f>
        <v>0</v>
      </c>
      <c r="R55" s="513">
        <f>R59</f>
        <v>0</v>
      </c>
      <c r="S55" s="513">
        <f>S59</f>
        <v>0</v>
      </c>
      <c r="T55" s="513">
        <f>T58+T59</f>
        <v>0</v>
      </c>
      <c r="U55" s="513">
        <f>U58</f>
        <v>0</v>
      </c>
      <c r="V55" s="513">
        <f>V58</f>
        <v>0</v>
      </c>
      <c r="W55" s="513">
        <f>+W58</f>
        <v>0</v>
      </c>
      <c r="X55" s="513">
        <f>X58</f>
        <v>0</v>
      </c>
      <c r="Y55" s="513">
        <f>Y57</f>
        <v>0</v>
      </c>
      <c r="Z55" s="513"/>
      <c r="AA55" s="513">
        <f>AA57</f>
        <v>0</v>
      </c>
      <c r="AB55" s="513"/>
      <c r="AC55" s="513"/>
      <c r="AD55" s="513">
        <f>+AD57</f>
        <v>0</v>
      </c>
      <c r="AE55" s="513">
        <f>+AE58+AE57</f>
        <v>0</v>
      </c>
      <c r="AF55" s="513"/>
      <c r="AG55" s="513"/>
      <c r="AH55" s="513">
        <f>AH57+AH58</f>
        <v>0</v>
      </c>
      <c r="AI55" s="513"/>
      <c r="AJ55" s="513"/>
      <c r="AK55" s="513">
        <f>+AK57+AK58</f>
        <v>96869</v>
      </c>
      <c r="AL55" s="513"/>
      <c r="AM55" s="513"/>
      <c r="AN55" s="519">
        <f>H55+G55+F55+E55+I55+J55+K55+L55+M55+N55+O55+P55+Q55+R55+S55+T55+AN59+W55+U55+V55+Y55+X55+AA55+AD55+AE55+AH55+AK55</f>
        <v>96869</v>
      </c>
      <c r="AO55" s="557">
        <f>F147</f>
        <v>100000</v>
      </c>
    </row>
    <row r="56" spans="2:44" s="58" customFormat="1" x14ac:dyDescent="0.2">
      <c r="B56" s="632"/>
      <c r="C56" s="485"/>
      <c r="D56" s="654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124"/>
      <c r="AO56" s="633"/>
      <c r="AP56" s="596"/>
    </row>
    <row r="57" spans="2:44" x14ac:dyDescent="0.2">
      <c r="B57" s="534"/>
      <c r="C57" s="482" t="s">
        <v>836</v>
      </c>
      <c r="D57" s="654" t="s">
        <v>1067</v>
      </c>
      <c r="E57" s="514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>
        <v>71869</v>
      </c>
      <c r="AL57" s="22"/>
      <c r="AM57" s="22"/>
      <c r="AN57" s="1666"/>
      <c r="AO57" s="126"/>
      <c r="AP57" s="569">
        <v>42615</v>
      </c>
      <c r="AQ57" s="483"/>
      <c r="AR57" s="483"/>
    </row>
    <row r="58" spans="2:44" x14ac:dyDescent="0.2">
      <c r="B58" s="534"/>
      <c r="C58" s="485" t="s">
        <v>324</v>
      </c>
      <c r="D58" s="558" t="s">
        <v>1014</v>
      </c>
      <c r="E58" s="514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>
        <v>25000</v>
      </c>
      <c r="AL58" s="22"/>
      <c r="AM58" s="22"/>
      <c r="AN58" s="1666"/>
      <c r="AO58" s="126"/>
      <c r="AP58" s="94">
        <v>42627</v>
      </c>
      <c r="AQ58" s="569"/>
    </row>
    <row r="59" spans="2:44" x14ac:dyDescent="0.2">
      <c r="B59" s="534"/>
      <c r="C59" s="485"/>
      <c r="D59" s="558"/>
      <c r="E59" s="514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514"/>
      <c r="AO59" s="126"/>
      <c r="AP59" s="94"/>
    </row>
    <row r="60" spans="2:44" x14ac:dyDescent="0.2">
      <c r="B60" s="527"/>
      <c r="C60" s="528"/>
      <c r="D60" s="529"/>
      <c r="E60" s="524"/>
      <c r="F60" s="375"/>
      <c r="G60" s="375"/>
      <c r="H60" s="375"/>
      <c r="I60" s="375"/>
      <c r="J60" s="375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375"/>
      <c r="V60" s="375"/>
      <c r="W60" s="375"/>
      <c r="X60" s="375"/>
      <c r="Y60" s="375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1665"/>
      <c r="AO60" s="71"/>
    </row>
    <row r="61" spans="2:44" x14ac:dyDescent="0.2">
      <c r="B61" s="88"/>
      <c r="C61" s="6"/>
      <c r="D61" s="81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55"/>
      <c r="AO61" s="352"/>
    </row>
    <row r="62" spans="2:44" ht="15" x14ac:dyDescent="0.25">
      <c r="B62" s="512" t="s">
        <v>691</v>
      </c>
      <c r="C62" s="525"/>
      <c r="D62" s="526"/>
      <c r="E62" s="513">
        <f>E64+E66+E68</f>
        <v>0</v>
      </c>
      <c r="F62" s="513">
        <f>F64+F66+F68</f>
        <v>0</v>
      </c>
      <c r="G62" s="513">
        <f>G64+G66+G68</f>
        <v>0</v>
      </c>
      <c r="H62" s="513">
        <f>H64+H66+H68</f>
        <v>0</v>
      </c>
      <c r="I62" s="513">
        <f>I64+I66+I68</f>
        <v>0</v>
      </c>
      <c r="J62" s="513">
        <f>J64+J66</f>
        <v>0</v>
      </c>
      <c r="K62" s="513">
        <f>K65</f>
        <v>0</v>
      </c>
      <c r="L62" s="513">
        <f>L64+L66</f>
        <v>0</v>
      </c>
      <c r="M62" s="513">
        <f>M68+M67+M64</f>
        <v>0</v>
      </c>
      <c r="N62" s="513">
        <f>+N65+N64</f>
        <v>0</v>
      </c>
      <c r="O62" s="513">
        <f>+O66+O68+O64+O65</f>
        <v>0</v>
      </c>
      <c r="P62" s="513">
        <f>P67+P66</f>
        <v>0</v>
      </c>
      <c r="Q62" s="513">
        <f>Q69+Q70+Q71+Q72+Q73+Q74+Q76+Q75+Q66</f>
        <v>0</v>
      </c>
      <c r="R62" s="513" t="e">
        <f>#REF!</f>
        <v>#REF!</v>
      </c>
      <c r="S62" s="513">
        <f>S77+S78+S66+S67+S68</f>
        <v>0</v>
      </c>
      <c r="T62" s="513">
        <f>T79</f>
        <v>0</v>
      </c>
      <c r="U62" s="513" t="e">
        <f>U81+U80+#REF!+U79</f>
        <v>#REF!</v>
      </c>
      <c r="V62" s="513">
        <f>+V77+V68+V78</f>
        <v>0</v>
      </c>
      <c r="W62" s="513"/>
      <c r="X62" s="513">
        <f>X80+X82+X81+X79+X77</f>
        <v>0</v>
      </c>
      <c r="Y62" s="513">
        <f>+Y77+Y78+Y76+Y75+Y74</f>
        <v>0</v>
      </c>
      <c r="Z62" s="513">
        <f>Z75</f>
        <v>0</v>
      </c>
      <c r="AA62" s="513">
        <f>+AA80+AA82+AA79+AA77+AA83+AA75</f>
        <v>0</v>
      </c>
      <c r="AB62" s="513">
        <f>+AB74+AB75+AB76+AB72+AB83</f>
        <v>0</v>
      </c>
      <c r="AC62" s="513">
        <f>AC73+AC74+AC76+AC83+AC82</f>
        <v>0</v>
      </c>
      <c r="AD62" s="513">
        <f>AD82</f>
        <v>0</v>
      </c>
      <c r="AE62" s="513">
        <f>+AE72+AE83+AE74+AE84</f>
        <v>0</v>
      </c>
      <c r="AF62" s="513">
        <f>AF71</f>
        <v>0</v>
      </c>
      <c r="AG62" s="513">
        <f>AG85+AG72</f>
        <v>0</v>
      </c>
      <c r="AH62" s="513">
        <f>AH72+AH83+AH85</f>
        <v>0</v>
      </c>
      <c r="AI62" s="513">
        <f>+AI70+AI71</f>
        <v>0</v>
      </c>
      <c r="AJ62" s="513">
        <f>AJ69+AJ82</f>
        <v>58650</v>
      </c>
      <c r="AK62" s="513">
        <f>AK72+AK74+AK85</f>
        <v>115487.713</v>
      </c>
      <c r="AL62" s="513">
        <f>+AL70+AL83+AL71+AL68</f>
        <v>193195</v>
      </c>
      <c r="AM62" s="513">
        <f>AM69</f>
        <v>41470</v>
      </c>
      <c r="AN62" s="519">
        <f>X62+Y62+AA62+AB62+AC62+Z62+AD62+AE62+AF62+AG62+AH62+AI62+AJ62+AK62+AL62+AM62</f>
        <v>408802.71299999999</v>
      </c>
      <c r="AO62" s="557">
        <f>F155</f>
        <v>200000</v>
      </c>
    </row>
    <row r="63" spans="2:44" x14ac:dyDescent="0.2">
      <c r="B63" s="88"/>
      <c r="C63" s="6"/>
      <c r="D63" s="81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1666"/>
      <c r="AO63" s="126"/>
    </row>
    <row r="64" spans="2:44" x14ac:dyDescent="0.2">
      <c r="B64" s="534"/>
      <c r="C64" s="535"/>
      <c r="D64" s="536"/>
      <c r="E64" s="22"/>
      <c r="F64" s="22"/>
      <c r="G64" s="514"/>
      <c r="H64" s="514"/>
      <c r="I64" s="514"/>
      <c r="J64" s="514"/>
      <c r="L64" s="514"/>
      <c r="M64" s="514"/>
      <c r="N64" s="514"/>
      <c r="O64" s="514"/>
      <c r="P64" s="514"/>
      <c r="Q64" s="514"/>
      <c r="R64" s="514"/>
      <c r="S64" s="514"/>
      <c r="T64" s="514"/>
      <c r="U64" s="514"/>
      <c r="V64" s="514"/>
      <c r="W64" s="514"/>
      <c r="X64" s="514"/>
      <c r="Y64" s="514"/>
      <c r="Z64" s="514"/>
      <c r="AA64" s="514"/>
      <c r="AB64" s="514"/>
      <c r="AC64" s="514"/>
      <c r="AD64" s="514"/>
      <c r="AE64" s="514"/>
      <c r="AF64" s="514"/>
      <c r="AG64" s="514"/>
      <c r="AH64" s="514"/>
      <c r="AI64" s="514"/>
      <c r="AJ64" s="514"/>
      <c r="AK64" s="514"/>
      <c r="AL64" s="514"/>
      <c r="AM64" s="514"/>
      <c r="AN64" s="1666"/>
      <c r="AO64" s="126"/>
      <c r="AP64" s="94"/>
    </row>
    <row r="65" spans="2:46" x14ac:dyDescent="0.2">
      <c r="B65" s="88"/>
      <c r="C65" s="6"/>
      <c r="D65" s="81"/>
      <c r="E65" s="22"/>
      <c r="F65" s="22"/>
      <c r="G65" s="22"/>
      <c r="H65" s="22"/>
      <c r="I65" s="22"/>
      <c r="J65" s="22"/>
      <c r="K65" s="22"/>
      <c r="L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1666"/>
      <c r="AO65" s="126"/>
      <c r="AP65" s="94"/>
    </row>
    <row r="66" spans="2:46" x14ac:dyDescent="0.2">
      <c r="B66" s="534"/>
      <c r="C66" s="482"/>
      <c r="D66" s="558"/>
      <c r="E66" s="514"/>
      <c r="F66" s="514"/>
      <c r="G66" s="514"/>
      <c r="H66" s="514"/>
      <c r="I66" s="514"/>
      <c r="J66" s="514"/>
      <c r="L66" s="514"/>
      <c r="N66" s="514"/>
      <c r="O66" s="514"/>
      <c r="P66" s="514"/>
      <c r="Q66" s="514"/>
      <c r="R66" s="514"/>
      <c r="S66" s="514"/>
      <c r="T66" s="514"/>
      <c r="U66" s="514"/>
      <c r="V66" s="514"/>
      <c r="W66" s="514"/>
      <c r="X66" s="514"/>
      <c r="Y66" s="514"/>
      <c r="Z66" s="514"/>
      <c r="AA66" s="514"/>
      <c r="AB66" s="514"/>
      <c r="AC66" s="514"/>
      <c r="AD66" s="514"/>
      <c r="AE66" s="514"/>
      <c r="AF66" s="514"/>
      <c r="AG66" s="514"/>
      <c r="AH66" s="514"/>
      <c r="AI66" s="514"/>
      <c r="AJ66" s="514"/>
      <c r="AK66" s="514"/>
      <c r="AL66" s="514"/>
      <c r="AM66" s="514"/>
      <c r="AN66" s="1666"/>
      <c r="AO66" s="126"/>
      <c r="AP66" s="569"/>
    </row>
    <row r="67" spans="2:46" x14ac:dyDescent="0.2">
      <c r="B67" s="88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1666"/>
      <c r="AO67" s="126"/>
      <c r="AP67" s="94"/>
    </row>
    <row r="68" spans="2:46" x14ac:dyDescent="0.2">
      <c r="B68" s="534"/>
      <c r="C68" s="610"/>
      <c r="D68" s="558"/>
      <c r="E68" s="22"/>
      <c r="F68" s="514"/>
      <c r="G68" s="514"/>
      <c r="H68" s="514"/>
      <c r="I68" s="514"/>
      <c r="J68" s="514"/>
      <c r="K68" s="514"/>
      <c r="L68" s="514"/>
      <c r="M68" s="514"/>
      <c r="N68" s="514"/>
      <c r="O68" s="514"/>
      <c r="P68" s="514"/>
      <c r="Q68" s="514"/>
      <c r="R68" s="514"/>
      <c r="S68" s="514"/>
      <c r="T68" s="514"/>
      <c r="U68" s="514"/>
      <c r="V68" s="514"/>
      <c r="W68" s="514"/>
      <c r="X68" s="514"/>
      <c r="Y68" s="514"/>
      <c r="Z68" s="514"/>
      <c r="AA68" s="514"/>
      <c r="AB68" s="514"/>
      <c r="AC68" s="514"/>
      <c r="AD68" s="514"/>
      <c r="AE68" s="514"/>
      <c r="AF68" s="514"/>
      <c r="AG68" s="514"/>
      <c r="AH68" s="514"/>
      <c r="AI68" s="514"/>
      <c r="AJ68" s="514"/>
      <c r="AK68" s="514"/>
      <c r="AL68" s="514"/>
      <c r="AM68" s="514"/>
      <c r="AN68" s="1666"/>
      <c r="AO68" s="126"/>
      <c r="AP68" s="793"/>
      <c r="AQ68" s="569"/>
    </row>
    <row r="69" spans="2:46" x14ac:dyDescent="0.2">
      <c r="B69" s="534"/>
      <c r="C69" s="485" t="s">
        <v>338</v>
      </c>
      <c r="D69" s="558" t="s">
        <v>1285</v>
      </c>
      <c r="E69" s="22"/>
      <c r="F69" s="514"/>
      <c r="G69" s="514"/>
      <c r="H69" s="514"/>
      <c r="I69" s="514"/>
      <c r="J69" s="514"/>
      <c r="K69" s="514"/>
      <c r="L69" s="514"/>
      <c r="M69" s="514"/>
      <c r="N69" s="514"/>
      <c r="O69" s="514"/>
      <c r="P69" s="514"/>
      <c r="Q69" s="514"/>
      <c r="R69" s="514"/>
      <c r="S69" s="514"/>
      <c r="T69" s="514"/>
      <c r="U69" s="514"/>
      <c r="V69" s="514"/>
      <c r="W69" s="514"/>
      <c r="X69" s="514"/>
      <c r="Y69" s="514"/>
      <c r="Z69" s="514"/>
      <c r="AA69" s="514"/>
      <c r="AB69" s="514"/>
      <c r="AC69" s="514"/>
      <c r="AD69" s="514"/>
      <c r="AE69" s="514"/>
      <c r="AF69" s="514"/>
      <c r="AG69" s="514"/>
      <c r="AH69" s="514"/>
      <c r="AI69" s="514"/>
      <c r="AJ69" s="514"/>
      <c r="AK69" s="514"/>
      <c r="AL69" s="514"/>
      <c r="AM69" s="514">
        <v>41470</v>
      </c>
      <c r="AN69" s="1666"/>
      <c r="AO69" s="126"/>
      <c r="AP69" s="562">
        <v>42682</v>
      </c>
      <c r="AQ69" s="483" t="s">
        <v>924</v>
      </c>
    </row>
    <row r="70" spans="2:46" x14ac:dyDescent="0.2">
      <c r="B70" s="534"/>
      <c r="C70" s="485" t="s">
        <v>712</v>
      </c>
      <c r="D70" s="558" t="s">
        <v>1310</v>
      </c>
      <c r="E70" s="22"/>
      <c r="F70" s="514"/>
      <c r="G70" s="514"/>
      <c r="H70" s="514"/>
      <c r="I70" s="514"/>
      <c r="J70" s="514"/>
      <c r="K70" s="514"/>
      <c r="L70" s="514"/>
      <c r="M70" s="514"/>
      <c r="N70" s="514"/>
      <c r="O70" s="514"/>
      <c r="P70" s="514"/>
      <c r="Q70" s="514"/>
      <c r="R70" s="514"/>
      <c r="S70" s="514"/>
      <c r="T70" s="514"/>
      <c r="U70" s="514"/>
      <c r="V70" s="514"/>
      <c r="W70" s="514"/>
      <c r="X70" s="514"/>
      <c r="Y70" s="514"/>
      <c r="Z70" s="514"/>
      <c r="AA70" s="514"/>
      <c r="AB70" s="514"/>
      <c r="AC70" s="514"/>
      <c r="AD70" s="514"/>
      <c r="AE70" s="514"/>
      <c r="AF70" s="514"/>
      <c r="AG70" s="514"/>
      <c r="AH70" s="514"/>
      <c r="AI70" s="514"/>
      <c r="AJ70" s="514"/>
      <c r="AK70" s="514"/>
      <c r="AL70" s="514">
        <v>63785</v>
      </c>
      <c r="AM70" s="514"/>
      <c r="AN70" s="1666"/>
      <c r="AO70" s="126"/>
      <c r="AP70" s="562">
        <v>42649</v>
      </c>
      <c r="AQ70" s="483"/>
    </row>
    <row r="71" spans="2:46" x14ac:dyDescent="0.2">
      <c r="B71" s="534"/>
      <c r="C71" s="485" t="s">
        <v>166</v>
      </c>
      <c r="D71" s="558" t="s">
        <v>1276</v>
      </c>
      <c r="E71" s="22"/>
      <c r="F71" s="514"/>
      <c r="G71" s="514"/>
      <c r="H71" s="514"/>
      <c r="I71" s="514"/>
      <c r="J71" s="514"/>
      <c r="K71" s="514"/>
      <c r="L71" s="514"/>
      <c r="M71" s="514"/>
      <c r="N71" s="514"/>
      <c r="O71" s="514"/>
      <c r="P71" s="514"/>
      <c r="Q71" s="514"/>
      <c r="R71" s="514"/>
      <c r="S71" s="514"/>
      <c r="T71" s="514"/>
      <c r="U71" s="514"/>
      <c r="V71" s="514"/>
      <c r="W71" s="514"/>
      <c r="X71" s="514"/>
      <c r="Y71" s="514"/>
      <c r="Z71" s="514"/>
      <c r="AA71" s="514"/>
      <c r="AB71" s="514"/>
      <c r="AC71" s="514"/>
      <c r="AD71" s="514"/>
      <c r="AE71" s="514"/>
      <c r="AF71" s="514"/>
      <c r="AG71" s="514"/>
      <c r="AH71" s="514"/>
      <c r="AI71" s="514"/>
      <c r="AJ71" s="514"/>
      <c r="AK71" s="514"/>
      <c r="AL71" s="514">
        <v>113710</v>
      </c>
      <c r="AM71" s="514"/>
      <c r="AN71" s="1666"/>
      <c r="AO71" s="126"/>
      <c r="AP71" s="562">
        <v>42668</v>
      </c>
      <c r="AQ71" s="575"/>
    </row>
    <row r="72" spans="2:46" x14ac:dyDescent="0.2">
      <c r="B72" s="534"/>
      <c r="C72" s="485" t="s">
        <v>142</v>
      </c>
      <c r="D72" s="850" t="s">
        <v>1344</v>
      </c>
      <c r="E72" s="22"/>
      <c r="F72" s="514"/>
      <c r="G72" s="514"/>
      <c r="H72" s="514"/>
      <c r="I72" s="514"/>
      <c r="J72" s="514"/>
      <c r="K72" s="514"/>
      <c r="L72" s="514"/>
      <c r="M72" s="514"/>
      <c r="N72" s="514"/>
      <c r="O72" s="514"/>
      <c r="P72" s="514"/>
      <c r="Q72" s="514"/>
      <c r="R72" s="514"/>
      <c r="S72" s="514"/>
      <c r="T72" s="514"/>
      <c r="U72" s="514"/>
      <c r="V72" s="514"/>
      <c r="W72" s="514"/>
      <c r="X72" s="514"/>
      <c r="Y72" s="514"/>
      <c r="Z72" s="514"/>
      <c r="AA72" s="514"/>
      <c r="AB72" s="514"/>
      <c r="AC72" s="514"/>
      <c r="AD72" s="514"/>
      <c r="AE72" s="514"/>
      <c r="AF72" s="514"/>
      <c r="AG72" s="514"/>
      <c r="AH72" s="514"/>
      <c r="AI72" s="514"/>
      <c r="AJ72" s="514"/>
      <c r="AK72" s="514">
        <v>45678.713000000003</v>
      </c>
      <c r="AL72" s="514"/>
      <c r="AM72" s="514"/>
      <c r="AN72" s="1666"/>
      <c r="AO72" s="126"/>
      <c r="AP72" s="578">
        <v>42618</v>
      </c>
      <c r="AQ72" s="483"/>
      <c r="AR72" s="483"/>
    </row>
    <row r="73" spans="2:46" hidden="1" x14ac:dyDescent="0.2">
      <c r="B73" s="786"/>
      <c r="C73" s="485" t="s">
        <v>1148</v>
      </c>
      <c r="D73" s="790" t="s">
        <v>1149</v>
      </c>
      <c r="E73" s="22"/>
      <c r="F73" s="514"/>
      <c r="G73" s="514"/>
      <c r="H73" s="514"/>
      <c r="I73" s="514"/>
      <c r="J73" s="514"/>
      <c r="K73" s="514"/>
      <c r="L73" s="514"/>
      <c r="M73" s="514"/>
      <c r="N73" s="514"/>
      <c r="O73" s="514"/>
      <c r="P73" s="514"/>
      <c r="Q73" s="514"/>
      <c r="R73" s="514"/>
      <c r="S73" s="514"/>
      <c r="T73" s="514"/>
      <c r="U73" s="514"/>
      <c r="V73" s="514"/>
      <c r="W73" s="514"/>
      <c r="X73" s="514"/>
      <c r="Y73" s="514"/>
      <c r="Z73" s="514"/>
      <c r="AA73" s="514"/>
      <c r="AB73" s="514"/>
      <c r="AC73" s="514"/>
      <c r="AD73" s="514"/>
      <c r="AE73" s="514"/>
      <c r="AF73" s="514"/>
      <c r="AG73" s="514"/>
      <c r="AH73" s="514"/>
      <c r="AI73" s="514"/>
      <c r="AJ73" s="514"/>
      <c r="AK73" s="514"/>
      <c r="AL73" s="514"/>
      <c r="AM73" s="514"/>
      <c r="AN73" s="1666"/>
      <c r="AO73" s="126"/>
      <c r="AP73" s="562">
        <v>42373</v>
      </c>
      <c r="AQ73" s="575"/>
    </row>
    <row r="74" spans="2:46" x14ac:dyDescent="0.2">
      <c r="B74" s="534"/>
      <c r="C74" s="485" t="s">
        <v>69</v>
      </c>
      <c r="D74" s="850" t="s">
        <v>1345</v>
      </c>
      <c r="E74" s="22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  <c r="V74" s="514"/>
      <c r="W74" s="514"/>
      <c r="X74" s="514"/>
      <c r="Y74" s="514"/>
      <c r="Z74" s="514"/>
      <c r="AA74" s="514"/>
      <c r="AB74" s="514"/>
      <c r="AC74" s="514"/>
      <c r="AD74" s="514"/>
      <c r="AE74" s="514"/>
      <c r="AF74" s="514"/>
      <c r="AG74" s="514"/>
      <c r="AH74" s="514"/>
      <c r="AI74" s="514"/>
      <c r="AJ74" s="514"/>
      <c r="AK74" s="514">
        <v>26438</v>
      </c>
      <c r="AL74" s="514"/>
      <c r="AM74" s="514"/>
      <c r="AN74" s="1666"/>
      <c r="AO74" s="126"/>
      <c r="AP74" s="569">
        <v>42627</v>
      </c>
      <c r="AQ74" s="483"/>
      <c r="AR74" s="569"/>
    </row>
    <row r="75" spans="2:46" hidden="1" x14ac:dyDescent="0.2">
      <c r="B75" s="534"/>
      <c r="C75" s="485" t="s">
        <v>748</v>
      </c>
      <c r="D75" s="558" t="s">
        <v>1025</v>
      </c>
      <c r="E75" s="22"/>
      <c r="F75" s="514"/>
      <c r="G75" s="514"/>
      <c r="H75" s="514"/>
      <c r="I75" s="514"/>
      <c r="J75" s="514"/>
      <c r="K75" s="514"/>
      <c r="L75" s="514"/>
      <c r="M75" s="514"/>
      <c r="N75" s="514"/>
      <c r="O75" s="514"/>
      <c r="P75" s="514"/>
      <c r="Q75" s="514"/>
      <c r="R75" s="514"/>
      <c r="S75" s="514"/>
      <c r="T75" s="514"/>
      <c r="U75" s="514"/>
      <c r="V75" s="514"/>
      <c r="W75" s="514"/>
      <c r="X75" s="514"/>
      <c r="Y75" s="514"/>
      <c r="Z75" s="514"/>
      <c r="AA75" s="514"/>
      <c r="AB75" s="514"/>
      <c r="AC75" s="514"/>
      <c r="AD75" s="514"/>
      <c r="AE75" s="514"/>
      <c r="AF75" s="514"/>
      <c r="AG75" s="514"/>
      <c r="AH75" s="514"/>
      <c r="AI75" s="514"/>
      <c r="AJ75" s="514"/>
      <c r="AK75" s="514"/>
      <c r="AL75" s="514"/>
      <c r="AM75" s="514"/>
      <c r="AN75" s="1666"/>
      <c r="AO75" s="126"/>
      <c r="AP75" s="562">
        <v>42269</v>
      </c>
      <c r="AQ75" s="569">
        <v>42299</v>
      </c>
      <c r="AR75" s="94">
        <v>42359</v>
      </c>
    </row>
    <row r="76" spans="2:46" hidden="1" x14ac:dyDescent="0.2">
      <c r="B76" s="534"/>
      <c r="C76" s="485" t="s">
        <v>173</v>
      </c>
      <c r="D76" s="558" t="s">
        <v>1026</v>
      </c>
      <c r="E76" s="22"/>
      <c r="F76" s="514"/>
      <c r="G76" s="514"/>
      <c r="H76" s="514"/>
      <c r="I76" s="514"/>
      <c r="J76" s="514"/>
      <c r="K76" s="514"/>
      <c r="L76" s="514"/>
      <c r="M76" s="514"/>
      <c r="N76" s="514"/>
      <c r="O76" s="514"/>
      <c r="P76" s="514"/>
      <c r="Q76" s="514"/>
      <c r="R76" s="514"/>
      <c r="S76" s="514"/>
      <c r="T76" s="514"/>
      <c r="U76" s="514"/>
      <c r="V76" s="514"/>
      <c r="W76" s="514"/>
      <c r="X76" s="514"/>
      <c r="Y76" s="514"/>
      <c r="Z76" s="514"/>
      <c r="AA76" s="514"/>
      <c r="AB76" s="514"/>
      <c r="AC76" s="514"/>
      <c r="AD76" s="514"/>
      <c r="AE76" s="514"/>
      <c r="AF76" s="514"/>
      <c r="AG76" s="514"/>
      <c r="AH76" s="514"/>
      <c r="AI76" s="514"/>
      <c r="AJ76" s="514"/>
      <c r="AK76" s="514"/>
      <c r="AL76" s="514"/>
      <c r="AM76" s="514"/>
      <c r="AN76" s="1666"/>
      <c r="AO76" s="126"/>
      <c r="AP76" s="562">
        <v>42277</v>
      </c>
      <c r="AQ76" s="569">
        <v>42367</v>
      </c>
    </row>
    <row r="77" spans="2:46" hidden="1" x14ac:dyDescent="0.2">
      <c r="B77" s="534"/>
      <c r="C77" s="485" t="s">
        <v>768</v>
      </c>
      <c r="D77" s="558" t="s">
        <v>922</v>
      </c>
      <c r="E77" s="22"/>
      <c r="F77" s="514"/>
      <c r="G77" s="514"/>
      <c r="H77" s="514"/>
      <c r="I77" s="514"/>
      <c r="J77" s="514"/>
      <c r="K77" s="514"/>
      <c r="L77" s="514"/>
      <c r="M77" s="514"/>
      <c r="N77" s="514"/>
      <c r="O77" s="514"/>
      <c r="P77" s="514"/>
      <c r="Q77" s="514"/>
      <c r="R77" s="514"/>
      <c r="S77" s="514"/>
      <c r="T77" s="514"/>
      <c r="U77" s="514"/>
      <c r="V77" s="514"/>
      <c r="W77" s="514"/>
      <c r="X77" s="514"/>
      <c r="Y77" s="514"/>
      <c r="Z77" s="514"/>
      <c r="AA77" s="514"/>
      <c r="AB77" s="514"/>
      <c r="AC77" s="514"/>
      <c r="AD77" s="514"/>
      <c r="AE77" s="514"/>
      <c r="AF77" s="514"/>
      <c r="AG77" s="514"/>
      <c r="AH77" s="514"/>
      <c r="AI77" s="514"/>
      <c r="AJ77" s="514"/>
      <c r="AK77" s="514"/>
      <c r="AL77" s="514"/>
      <c r="AM77" s="514"/>
      <c r="AN77" s="1666"/>
      <c r="AO77" s="126"/>
      <c r="AP77" s="562">
        <v>42066</v>
      </c>
      <c r="AQ77" s="94">
        <v>42156</v>
      </c>
      <c r="AR77" s="94">
        <v>42247</v>
      </c>
      <c r="AS77" s="569">
        <v>42338</v>
      </c>
      <c r="AT77" s="483"/>
    </row>
    <row r="78" spans="2:46" hidden="1" x14ac:dyDescent="0.2">
      <c r="B78" s="534"/>
      <c r="C78" s="485"/>
      <c r="D78" s="558"/>
      <c r="E78" s="22"/>
      <c r="F78" s="514"/>
      <c r="G78" s="514"/>
      <c r="H78" s="514"/>
      <c r="I78" s="514"/>
      <c r="J78" s="514"/>
      <c r="K78" s="514"/>
      <c r="L78" s="514"/>
      <c r="M78" s="514"/>
      <c r="N78" s="514"/>
      <c r="O78" s="514"/>
      <c r="P78" s="514"/>
      <c r="Q78" s="514"/>
      <c r="R78" s="514"/>
      <c r="S78" s="514"/>
      <c r="T78" s="514"/>
      <c r="U78" s="514"/>
      <c r="V78" s="514"/>
      <c r="W78" s="514"/>
      <c r="X78" s="514"/>
      <c r="Y78" s="514"/>
      <c r="Z78" s="514"/>
      <c r="AA78" s="514"/>
      <c r="AB78" s="514"/>
      <c r="AC78" s="514"/>
      <c r="AD78" s="514"/>
      <c r="AE78" s="514"/>
      <c r="AF78" s="514"/>
      <c r="AG78" s="514"/>
      <c r="AH78" s="514"/>
      <c r="AI78" s="514"/>
      <c r="AJ78" s="514"/>
      <c r="AK78" s="514"/>
      <c r="AL78" s="514"/>
      <c r="AM78" s="514"/>
      <c r="AN78" s="1666"/>
      <c r="AO78" s="126"/>
      <c r="AP78" s="94">
        <v>42087</v>
      </c>
      <c r="AQ78" s="94">
        <v>42177</v>
      </c>
      <c r="AR78" s="94">
        <v>42268</v>
      </c>
      <c r="AS78" s="483"/>
    </row>
    <row r="79" spans="2:46" hidden="1" x14ac:dyDescent="0.2">
      <c r="B79" s="534"/>
      <c r="C79" s="485" t="s">
        <v>145</v>
      </c>
      <c r="D79" s="558" t="s">
        <v>940</v>
      </c>
      <c r="E79" s="22"/>
      <c r="F79" s="514" t="s">
        <v>813</v>
      </c>
      <c r="G79" s="514"/>
      <c r="H79" s="514"/>
      <c r="I79" s="514"/>
      <c r="J79" s="514"/>
      <c r="K79" s="514"/>
      <c r="L79" s="514"/>
      <c r="M79" s="514"/>
      <c r="N79" s="514"/>
      <c r="O79" s="514"/>
      <c r="P79" s="514"/>
      <c r="Q79" s="514"/>
      <c r="R79" s="514"/>
      <c r="S79" s="514"/>
      <c r="T79" s="514"/>
      <c r="U79" s="514"/>
      <c r="V79" s="514"/>
      <c r="W79" s="514"/>
      <c r="X79" s="514"/>
      <c r="Y79" s="514"/>
      <c r="Z79" s="514"/>
      <c r="AA79" s="514"/>
      <c r="AB79" s="514"/>
      <c r="AC79" s="514"/>
      <c r="AD79" s="514"/>
      <c r="AE79" s="514"/>
      <c r="AF79" s="514"/>
      <c r="AG79" s="514"/>
      <c r="AH79" s="514"/>
      <c r="AI79" s="514"/>
      <c r="AJ79" s="514"/>
      <c r="AK79" s="514"/>
      <c r="AL79" s="514"/>
      <c r="AM79" s="514"/>
      <c r="AN79" s="1666"/>
      <c r="AO79" s="126"/>
      <c r="AP79" s="94">
        <v>42151</v>
      </c>
      <c r="AQ79" s="569">
        <v>42241</v>
      </c>
      <c r="AR79" s="94">
        <v>42331</v>
      </c>
    </row>
    <row r="80" spans="2:46" hidden="1" x14ac:dyDescent="0.2">
      <c r="B80" s="534"/>
      <c r="C80" s="485" t="s">
        <v>139</v>
      </c>
      <c r="D80" s="558" t="s">
        <v>945</v>
      </c>
      <c r="E80" s="22"/>
      <c r="F80" s="514"/>
      <c r="G80" s="514"/>
      <c r="H80" s="514"/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514"/>
      <c r="T80" s="514"/>
      <c r="U80" s="514"/>
      <c r="V80" s="514"/>
      <c r="W80" s="514"/>
      <c r="X80" s="514"/>
      <c r="Y80" s="514"/>
      <c r="Z80" s="514"/>
      <c r="AA80" s="514"/>
      <c r="AB80" s="514"/>
      <c r="AC80" s="514"/>
      <c r="AD80" s="514"/>
      <c r="AE80" s="514"/>
      <c r="AF80" s="514"/>
      <c r="AG80" s="514"/>
      <c r="AH80" s="514"/>
      <c r="AI80" s="514"/>
      <c r="AJ80" s="514"/>
      <c r="AK80" s="514"/>
      <c r="AL80" s="514"/>
      <c r="AM80" s="514"/>
      <c r="AN80" s="1666"/>
      <c r="AO80" s="126"/>
      <c r="AP80" s="94">
        <v>42139</v>
      </c>
      <c r="AQ80" s="569">
        <v>42230</v>
      </c>
      <c r="AR80" s="94">
        <v>42320</v>
      </c>
    </row>
    <row r="81" spans="1:44" hidden="1" x14ac:dyDescent="0.2">
      <c r="B81" s="534"/>
      <c r="C81" s="485"/>
      <c r="D81" s="558"/>
      <c r="E81" s="22"/>
      <c r="F81" s="514"/>
      <c r="G81" s="514"/>
      <c r="H81" s="514"/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4"/>
      <c r="T81" s="514"/>
      <c r="U81" s="514"/>
      <c r="V81" s="514"/>
      <c r="W81" s="514"/>
      <c r="X81" s="514"/>
      <c r="Y81" s="514"/>
      <c r="Z81" s="514"/>
      <c r="AA81" s="514"/>
      <c r="AB81" s="514"/>
      <c r="AC81" s="514"/>
      <c r="AD81" s="514"/>
      <c r="AE81" s="514"/>
      <c r="AF81" s="514"/>
      <c r="AG81" s="514"/>
      <c r="AH81" s="514"/>
      <c r="AI81" s="514"/>
      <c r="AJ81" s="514"/>
      <c r="AK81" s="514"/>
      <c r="AL81" s="514"/>
      <c r="AM81" s="514"/>
      <c r="AN81" s="1666"/>
      <c r="AO81" s="126"/>
      <c r="AP81" s="94">
        <v>42240</v>
      </c>
      <c r="AQ81" s="483"/>
      <c r="AR81" s="934" t="s">
        <v>825</v>
      </c>
    </row>
    <row r="82" spans="1:44" x14ac:dyDescent="0.2">
      <c r="B82" s="534"/>
      <c r="C82" s="485" t="s">
        <v>235</v>
      </c>
      <c r="D82" s="850" t="s">
        <v>1361</v>
      </c>
      <c r="E82" s="22"/>
      <c r="F82" s="514"/>
      <c r="G82" s="514"/>
      <c r="H82" s="514"/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4"/>
      <c r="T82" s="514"/>
      <c r="U82" s="514"/>
      <c r="V82" s="514"/>
      <c r="W82" s="514"/>
      <c r="X82" s="514"/>
      <c r="Y82" s="514"/>
      <c r="Z82" s="514"/>
      <c r="AA82" s="514"/>
      <c r="AB82" s="514"/>
      <c r="AC82" s="514"/>
      <c r="AD82" s="514"/>
      <c r="AE82" s="514"/>
      <c r="AF82" s="514"/>
      <c r="AG82" s="514"/>
      <c r="AH82" s="514"/>
      <c r="AI82" s="514"/>
      <c r="AJ82" s="514">
        <v>58650</v>
      </c>
      <c r="AK82" s="514"/>
      <c r="AL82" s="514"/>
      <c r="AM82" s="514"/>
      <c r="AN82" s="1666"/>
      <c r="AO82" s="126"/>
      <c r="AP82" s="94">
        <v>42612</v>
      </c>
      <c r="AQ82" s="483"/>
      <c r="AR82" s="94"/>
    </row>
    <row r="83" spans="1:44" x14ac:dyDescent="0.2">
      <c r="B83" s="534"/>
      <c r="C83" s="485" t="s">
        <v>198</v>
      </c>
      <c r="D83" s="850" t="s">
        <v>1376</v>
      </c>
      <c r="E83" s="22"/>
      <c r="F83" s="514"/>
      <c r="G83" s="514"/>
      <c r="H83" s="514"/>
      <c r="I83" s="514"/>
      <c r="J83" s="514"/>
      <c r="K83" s="514"/>
      <c r="L83" s="514"/>
      <c r="M83" s="514"/>
      <c r="N83" s="514"/>
      <c r="O83" s="514"/>
      <c r="P83" s="514"/>
      <c r="Q83" s="514"/>
      <c r="R83" s="514"/>
      <c r="S83" s="514"/>
      <c r="T83" s="514"/>
      <c r="U83" s="514"/>
      <c r="V83" s="514"/>
      <c r="W83" s="514"/>
      <c r="X83" s="514"/>
      <c r="Y83" s="514"/>
      <c r="Z83" s="514"/>
      <c r="AA83" s="514"/>
      <c r="AB83" s="514"/>
      <c r="AC83" s="514"/>
      <c r="AD83" s="514"/>
      <c r="AE83" s="514"/>
      <c r="AF83" s="514"/>
      <c r="AG83" s="514"/>
      <c r="AH83" s="514"/>
      <c r="AI83" s="514"/>
      <c r="AJ83" s="514"/>
      <c r="AK83" s="514"/>
      <c r="AL83" s="514">
        <v>15700</v>
      </c>
      <c r="AM83" s="514"/>
      <c r="AN83" s="1666"/>
      <c r="AO83" s="126"/>
      <c r="AP83" s="94">
        <v>42660</v>
      </c>
      <c r="AQ83" s="569"/>
      <c r="AR83" s="569"/>
    </row>
    <row r="84" spans="1:44" x14ac:dyDescent="0.2">
      <c r="B84" s="534"/>
      <c r="C84" s="485"/>
      <c r="D84" s="850"/>
      <c r="E84" s="22"/>
      <c r="F84" s="514"/>
      <c r="G84" s="514"/>
      <c r="H84" s="514"/>
      <c r="I84" s="514"/>
      <c r="J84" s="514"/>
      <c r="K84" s="514"/>
      <c r="L84" s="514"/>
      <c r="M84" s="514"/>
      <c r="N84" s="514"/>
      <c r="O84" s="514"/>
      <c r="P84" s="514"/>
      <c r="Q84" s="514"/>
      <c r="R84" s="514"/>
      <c r="S84" s="514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  <c r="AM84" s="514"/>
      <c r="AN84" s="1666"/>
      <c r="AO84" s="126"/>
      <c r="AP84" s="94"/>
      <c r="AQ84" s="569"/>
      <c r="AR84" s="569"/>
    </row>
    <row r="85" spans="1:44" x14ac:dyDescent="0.2">
      <c r="B85" s="527"/>
      <c r="C85" s="1461" t="s">
        <v>145</v>
      </c>
      <c r="D85" s="1462" t="s">
        <v>1290</v>
      </c>
      <c r="E85" s="375"/>
      <c r="F85" s="524"/>
      <c r="G85" s="524"/>
      <c r="H85" s="524"/>
      <c r="I85" s="524"/>
      <c r="J85" s="524"/>
      <c r="K85" s="524"/>
      <c r="L85" s="524"/>
      <c r="M85" s="524"/>
      <c r="N85" s="524"/>
      <c r="O85" s="524"/>
      <c r="P85" s="524"/>
      <c r="Q85" s="524"/>
      <c r="R85" s="524"/>
      <c r="S85" s="524"/>
      <c r="T85" s="524"/>
      <c r="U85" s="524"/>
      <c r="V85" s="524"/>
      <c r="W85" s="524"/>
      <c r="X85" s="524"/>
      <c r="Y85" s="524"/>
      <c r="Z85" s="524"/>
      <c r="AA85" s="524"/>
      <c r="AB85" s="524"/>
      <c r="AC85" s="524"/>
      <c r="AD85" s="524"/>
      <c r="AE85" s="524"/>
      <c r="AF85" s="524"/>
      <c r="AG85" s="524"/>
      <c r="AH85" s="524"/>
      <c r="AI85" s="524"/>
      <c r="AJ85" s="524"/>
      <c r="AK85" s="524">
        <v>43371</v>
      </c>
      <c r="AL85" s="524"/>
      <c r="AM85" s="524"/>
      <c r="AN85" s="1665"/>
      <c r="AO85" s="71"/>
      <c r="AP85" s="94">
        <v>42626</v>
      </c>
      <c r="AQ85" s="483"/>
    </row>
    <row r="86" spans="1:44" ht="18.75" x14ac:dyDescent="0.3">
      <c r="B86" s="1788" t="s">
        <v>785</v>
      </c>
      <c r="C86" s="1789"/>
      <c r="D86" s="1790"/>
      <c r="E86" s="836">
        <f>E88</f>
        <v>0</v>
      </c>
      <c r="F86" s="836">
        <f>F88</f>
        <v>0</v>
      </c>
      <c r="G86" s="836">
        <f>G88</f>
        <v>0</v>
      </c>
      <c r="H86" s="836">
        <f>H88</f>
        <v>0</v>
      </c>
      <c r="I86" s="836">
        <f>+I88</f>
        <v>0</v>
      </c>
      <c r="J86" s="513"/>
      <c r="K86" s="513"/>
      <c r="L86" s="513"/>
      <c r="M86" s="513"/>
      <c r="N86" s="513"/>
      <c r="O86" s="513"/>
      <c r="P86" s="513"/>
      <c r="Q86" s="513"/>
      <c r="R86" s="513"/>
      <c r="S86" s="513"/>
      <c r="T86" s="513"/>
      <c r="U86" s="513"/>
      <c r="V86" s="513"/>
      <c r="W86" s="513"/>
      <c r="X86" s="513"/>
      <c r="Y86" s="513"/>
      <c r="Z86" s="513"/>
      <c r="AA86" s="513"/>
      <c r="AB86" s="513"/>
      <c r="AC86" s="513"/>
      <c r="AD86" s="513"/>
      <c r="AE86" s="513"/>
      <c r="AF86" s="513"/>
      <c r="AG86" s="513"/>
      <c r="AH86" s="513"/>
      <c r="AI86" s="513"/>
      <c r="AJ86" s="513"/>
      <c r="AK86" s="513"/>
      <c r="AL86" s="513"/>
      <c r="AM86" s="513"/>
      <c r="AN86" s="519">
        <f>H86+G86+F86+E86+I86</f>
        <v>0</v>
      </c>
      <c r="AO86" s="837">
        <f>AO88</f>
        <v>100000</v>
      </c>
    </row>
    <row r="87" spans="1:44" ht="18.75" x14ac:dyDescent="0.3">
      <c r="B87" s="537"/>
      <c r="C87" s="538"/>
      <c r="D87" s="539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55"/>
      <c r="AO87" s="352"/>
    </row>
    <row r="88" spans="1:44" ht="15" x14ac:dyDescent="0.25">
      <c r="B88" s="540" t="s">
        <v>113</v>
      </c>
      <c r="C88" s="541"/>
      <c r="D88" s="54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543">
        <f>H88+G88+F88+E88+I88</f>
        <v>0</v>
      </c>
      <c r="AO88" s="557">
        <f>F176</f>
        <v>100000</v>
      </c>
    </row>
    <row r="89" spans="1:44" ht="15" x14ac:dyDescent="0.25">
      <c r="B89" s="540"/>
      <c r="C89" s="541"/>
      <c r="D89" s="54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543"/>
      <c r="AO89" s="557"/>
    </row>
    <row r="90" spans="1:44" ht="18.75" x14ac:dyDescent="0.3">
      <c r="B90" s="1801" t="s">
        <v>817</v>
      </c>
      <c r="C90" s="1802"/>
      <c r="D90" s="1803"/>
      <c r="E90" s="683"/>
      <c r="F90" s="683" t="s">
        <v>35</v>
      </c>
      <c r="G90" s="683" t="s">
        <v>36</v>
      </c>
      <c r="H90" s="683" t="s">
        <v>396</v>
      </c>
      <c r="I90" s="683" t="s">
        <v>651</v>
      </c>
      <c r="J90" s="683" t="s">
        <v>823</v>
      </c>
      <c r="K90" s="683" t="s">
        <v>824</v>
      </c>
      <c r="L90" s="683" t="s">
        <v>837</v>
      </c>
      <c r="M90" s="683" t="s">
        <v>838</v>
      </c>
      <c r="N90" s="683" t="s">
        <v>852</v>
      </c>
      <c r="O90" s="515" t="s">
        <v>874</v>
      </c>
      <c r="P90" s="515" t="s">
        <v>905</v>
      </c>
      <c r="Q90" s="515"/>
      <c r="R90" s="515"/>
      <c r="S90" s="515"/>
      <c r="T90" s="515"/>
      <c r="U90" s="515"/>
      <c r="V90" s="515"/>
      <c r="W90" s="515"/>
      <c r="X90" s="515"/>
      <c r="Y90" s="515"/>
      <c r="Z90" s="515"/>
      <c r="AA90" s="515"/>
      <c r="AB90" s="515"/>
      <c r="AC90" s="515"/>
      <c r="AD90" s="515"/>
      <c r="AE90" s="515"/>
      <c r="AF90" s="515"/>
      <c r="AG90" s="515"/>
      <c r="AH90" s="515"/>
      <c r="AI90" s="515"/>
      <c r="AJ90" s="515"/>
      <c r="AK90" s="515"/>
      <c r="AL90" s="515"/>
      <c r="AM90" s="515"/>
      <c r="AN90" s="507" t="e">
        <f>H90+G90+F90+E90+I90</f>
        <v>#VALUE!</v>
      </c>
      <c r="AO90" s="556"/>
    </row>
    <row r="91" spans="1:44" ht="15" x14ac:dyDescent="0.25">
      <c r="B91" s="540"/>
      <c r="C91" s="541"/>
      <c r="D91" s="54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543"/>
      <c r="AO91" s="557"/>
    </row>
    <row r="92" spans="1:44" ht="15" x14ac:dyDescent="0.25">
      <c r="B92" s="540" t="s">
        <v>70</v>
      </c>
      <c r="C92" s="679"/>
      <c r="D92" s="595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543"/>
      <c r="AO92" s="557"/>
    </row>
    <row r="93" spans="1:44" ht="15" x14ac:dyDescent="0.25">
      <c r="A93" s="483"/>
      <c r="B93" s="540"/>
      <c r="C93" s="1067"/>
      <c r="D93" s="1180"/>
      <c r="E93" s="1666"/>
      <c r="F93" s="22"/>
      <c r="G93" s="514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543"/>
      <c r="AO93" s="557"/>
      <c r="AP93" s="17"/>
    </row>
    <row r="94" spans="1:44" ht="15" x14ac:dyDescent="0.25">
      <c r="B94" s="540"/>
      <c r="C94" s="1513"/>
      <c r="D94" s="1506"/>
      <c r="E94" s="75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543"/>
      <c r="AO94" s="557"/>
      <c r="AP94" s="17"/>
    </row>
    <row r="95" spans="1:44" ht="15" x14ac:dyDescent="0.25">
      <c r="B95" s="540"/>
      <c r="C95" s="1505"/>
      <c r="D95" s="1506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543"/>
      <c r="AO95" s="557"/>
    </row>
    <row r="96" spans="1:44" ht="15" x14ac:dyDescent="0.25">
      <c r="B96" s="540"/>
      <c r="C96" s="483"/>
      <c r="D96" s="483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>
        <v>6325</v>
      </c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543"/>
      <c r="AO96" s="557"/>
    </row>
    <row r="97" spans="1:42" ht="15" x14ac:dyDescent="0.25">
      <c r="B97" s="540" t="s">
        <v>330</v>
      </c>
      <c r="C97" s="680"/>
      <c r="D97" s="54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543"/>
      <c r="AO97" s="557"/>
    </row>
    <row r="98" spans="1:42" x14ac:dyDescent="0.2">
      <c r="B98" s="88"/>
      <c r="E98" s="22"/>
      <c r="F98" s="22"/>
      <c r="G98" s="22"/>
      <c r="H98" s="22"/>
      <c r="I98" s="22"/>
      <c r="J98" s="22"/>
      <c r="K98" s="32"/>
      <c r="L98" s="22"/>
      <c r="M98" s="22"/>
      <c r="N98" s="22"/>
      <c r="O98" s="22"/>
      <c r="P98" s="22">
        <v>28600</v>
      </c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543"/>
      <c r="AO98" s="557"/>
    </row>
    <row r="99" spans="1:42" ht="15" x14ac:dyDescent="0.25">
      <c r="B99" s="540"/>
      <c r="C99" s="1487"/>
      <c r="D99" s="1488"/>
      <c r="E99" s="22"/>
      <c r="F99" s="22"/>
      <c r="G99" s="22"/>
      <c r="H99" s="22"/>
      <c r="I99" s="22"/>
      <c r="J99" s="22"/>
      <c r="K99" s="3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543"/>
      <c r="AO99" s="557"/>
      <c r="AP99" s="17"/>
    </row>
    <row r="100" spans="1:42" ht="15" x14ac:dyDescent="0.25">
      <c r="B100" s="540"/>
      <c r="C100" s="1532"/>
      <c r="D100" s="1533"/>
      <c r="E100" s="704"/>
      <c r="F100" s="22"/>
      <c r="G100" s="22"/>
      <c r="H100" s="22"/>
      <c r="I100" s="22"/>
      <c r="J100" s="22"/>
      <c r="K100" s="3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543"/>
      <c r="AO100" s="557"/>
      <c r="AP100" s="17"/>
    </row>
    <row r="101" spans="1:42" ht="15" x14ac:dyDescent="0.25">
      <c r="B101" s="540"/>
      <c r="C101" s="1549"/>
      <c r="D101" s="1550"/>
      <c r="E101" s="704"/>
      <c r="F101" s="22"/>
      <c r="G101" s="22"/>
      <c r="H101" s="22"/>
      <c r="I101" s="22"/>
      <c r="J101" s="22"/>
      <c r="K101" s="3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543"/>
      <c r="AO101" s="557"/>
      <c r="AP101" s="17"/>
    </row>
    <row r="102" spans="1:42" ht="15" x14ac:dyDescent="0.25">
      <c r="B102" s="540"/>
      <c r="C102" s="1557" t="s">
        <v>846</v>
      </c>
      <c r="D102" s="1558" t="s">
        <v>1346</v>
      </c>
      <c r="E102" s="704"/>
      <c r="F102" s="22"/>
      <c r="G102" s="22"/>
      <c r="H102" s="22"/>
      <c r="I102" s="22"/>
      <c r="J102" s="22"/>
      <c r="K102" s="32"/>
      <c r="L102" s="22">
        <v>22750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543"/>
      <c r="AO102" s="557"/>
      <c r="AP102" s="17"/>
    </row>
    <row r="103" spans="1:42" s="58" customFormat="1" ht="15" x14ac:dyDescent="0.25">
      <c r="A103" s="575"/>
      <c r="B103" s="724"/>
      <c r="C103" s="704" t="s">
        <v>1373</v>
      </c>
      <c r="D103" s="1612" t="s">
        <v>1374</v>
      </c>
      <c r="E103" s="32"/>
      <c r="F103" s="32"/>
      <c r="G103" s="32"/>
      <c r="H103" s="32"/>
      <c r="I103" s="32"/>
      <c r="J103" s="32"/>
      <c r="K103" s="32"/>
      <c r="L103" s="32">
        <v>16000</v>
      </c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725"/>
      <c r="AO103" s="726"/>
      <c r="AP103" s="59"/>
    </row>
    <row r="104" spans="1:42" ht="15" x14ac:dyDescent="0.25">
      <c r="B104" s="540" t="s">
        <v>72</v>
      </c>
      <c r="C104" s="681"/>
      <c r="D104" s="580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543"/>
      <c r="AO104" s="557"/>
    </row>
    <row r="105" spans="1:42" ht="15" x14ac:dyDescent="0.25">
      <c r="A105" s="483"/>
      <c r="B105" s="540"/>
      <c r="E105" s="75"/>
      <c r="F105" s="22"/>
      <c r="G105" s="514"/>
      <c r="H105" s="514"/>
      <c r="I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543"/>
      <c r="AO105" s="557"/>
      <c r="AP105" s="17"/>
    </row>
    <row r="106" spans="1:42" ht="15" x14ac:dyDescent="0.25">
      <c r="A106" s="483"/>
      <c r="B106" s="540"/>
      <c r="C106" s="1536" t="s">
        <v>946</v>
      </c>
      <c r="D106" s="1650" t="s">
        <v>1396</v>
      </c>
      <c r="E106" s="75"/>
      <c r="F106" s="22"/>
      <c r="G106" s="514"/>
      <c r="H106" s="514"/>
      <c r="I106" s="22"/>
      <c r="J106" s="22"/>
      <c r="K106" s="22"/>
      <c r="L106" s="22">
        <v>24000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543"/>
      <c r="AO106" s="557"/>
      <c r="AP106" s="17"/>
    </row>
    <row r="107" spans="1:42" ht="15" x14ac:dyDescent="0.25">
      <c r="B107" s="540"/>
      <c r="C107" s="1132"/>
      <c r="D107" s="1133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543"/>
      <c r="AO107" s="557"/>
    </row>
    <row r="108" spans="1:42" ht="15" x14ac:dyDescent="0.25">
      <c r="B108" s="540" t="s">
        <v>113</v>
      </c>
      <c r="C108" s="681"/>
      <c r="D108" s="580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543"/>
      <c r="AO108" s="557"/>
    </row>
    <row r="109" spans="1:42" ht="15" x14ac:dyDescent="0.25">
      <c r="B109" s="540"/>
      <c r="C109" s="704"/>
      <c r="D109" s="150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543"/>
      <c r="AO109" s="557"/>
    </row>
    <row r="110" spans="1:42" ht="15" x14ac:dyDescent="0.25">
      <c r="B110" s="540"/>
      <c r="C110" s="1513" t="s">
        <v>848</v>
      </c>
      <c r="D110" s="1514" t="s">
        <v>1327</v>
      </c>
      <c r="E110" s="22"/>
      <c r="F110" s="22"/>
      <c r="G110" s="22"/>
      <c r="H110" s="22"/>
      <c r="I110" s="22"/>
      <c r="J110" s="22"/>
      <c r="K110" s="22"/>
      <c r="L110" s="22">
        <v>223409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543"/>
      <c r="AO110" s="557"/>
      <c r="AP110" s="17"/>
    </row>
    <row r="111" spans="1:42" ht="15" x14ac:dyDescent="0.25">
      <c r="B111" s="540"/>
      <c r="C111" s="986"/>
      <c r="D111" s="558"/>
      <c r="E111" s="81"/>
      <c r="F111" s="1666"/>
      <c r="H111" s="22"/>
      <c r="I111" s="29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543"/>
      <c r="AO111" s="557"/>
    </row>
    <row r="112" spans="1:42" ht="15" x14ac:dyDescent="0.25">
      <c r="B112" s="540"/>
      <c r="C112" s="575"/>
      <c r="D112" s="483"/>
      <c r="E112" s="22"/>
      <c r="F112" s="75"/>
      <c r="G112" s="22"/>
      <c r="H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543"/>
      <c r="AO112" s="557"/>
      <c r="AP112" s="17"/>
    </row>
    <row r="113" spans="2:42" ht="15" x14ac:dyDescent="0.25">
      <c r="B113" s="540"/>
      <c r="C113" s="704"/>
      <c r="D113" s="887"/>
      <c r="E113" s="22"/>
      <c r="F113" s="75"/>
      <c r="G113" s="22"/>
      <c r="H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543"/>
      <c r="AO113" s="557"/>
    </row>
    <row r="114" spans="2:42" ht="15" x14ac:dyDescent="0.25">
      <c r="B114" s="540"/>
      <c r="C114" s="58"/>
      <c r="D114" s="1017"/>
      <c r="E114" s="22"/>
      <c r="F114" s="22"/>
      <c r="G114" s="22"/>
      <c r="H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543"/>
      <c r="AO114" s="557"/>
    </row>
    <row r="115" spans="2:42" ht="18.75" x14ac:dyDescent="0.3">
      <c r="B115" s="537"/>
      <c r="C115" s="538"/>
      <c r="D115" s="538"/>
      <c r="E115" s="22"/>
      <c r="F115" s="22"/>
      <c r="G115" s="22"/>
      <c r="H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543"/>
      <c r="AO115" s="557"/>
    </row>
    <row r="116" spans="2:42" ht="15" x14ac:dyDescent="0.25">
      <c r="B116" s="540"/>
      <c r="C116" s="682"/>
      <c r="D116" s="682"/>
      <c r="E116" s="22"/>
      <c r="F116" s="22"/>
      <c r="G116" s="75"/>
      <c r="H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543"/>
      <c r="AO116" s="557"/>
      <c r="AP116" s="17"/>
    </row>
    <row r="117" spans="2:42" ht="15" x14ac:dyDescent="0.25">
      <c r="B117" s="540"/>
      <c r="C117" s="682"/>
      <c r="D117" s="682"/>
      <c r="E117" s="22"/>
      <c r="F117" s="22"/>
      <c r="G117" s="22"/>
      <c r="H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543"/>
      <c r="AO117" s="557"/>
    </row>
    <row r="118" spans="2:42" x14ac:dyDescent="0.2">
      <c r="B118" s="89"/>
      <c r="C118" s="90"/>
      <c r="D118" s="84"/>
      <c r="E118" s="524"/>
      <c r="F118" s="524"/>
      <c r="G118" s="524"/>
      <c r="H118" s="524"/>
      <c r="I118" s="524"/>
      <c r="J118" s="524"/>
      <c r="K118" s="524"/>
      <c r="L118" s="524"/>
      <c r="M118" s="524"/>
      <c r="N118" s="524"/>
      <c r="O118" s="524"/>
      <c r="P118" s="524"/>
      <c r="Q118" s="524"/>
      <c r="R118" s="524"/>
      <c r="S118" s="524"/>
      <c r="T118" s="524"/>
      <c r="U118" s="524"/>
      <c r="V118" s="524"/>
      <c r="W118" s="524"/>
      <c r="X118" s="524"/>
      <c r="Y118" s="524"/>
      <c r="Z118" s="524"/>
      <c r="AA118" s="524"/>
      <c r="AB118" s="524"/>
      <c r="AC118" s="524"/>
      <c r="AD118" s="524"/>
      <c r="AE118" s="524"/>
      <c r="AF118" s="524"/>
      <c r="AG118" s="524"/>
      <c r="AH118" s="524"/>
      <c r="AI118" s="524"/>
      <c r="AJ118" s="524"/>
      <c r="AK118" s="524"/>
      <c r="AL118" s="524"/>
      <c r="AM118" s="524"/>
      <c r="AN118" s="1665"/>
      <c r="AO118" s="1665"/>
    </row>
    <row r="119" spans="2:42" x14ac:dyDescent="0.2">
      <c r="B119" s="1800"/>
      <c r="C119" s="1800"/>
      <c r="D119" s="1800"/>
      <c r="E119" s="1791"/>
      <c r="F119" s="1791"/>
      <c r="G119" s="1791"/>
      <c r="H119" s="1791"/>
      <c r="I119" s="1653"/>
      <c r="J119" s="1653"/>
      <c r="K119" s="1653"/>
      <c r="L119" s="1653"/>
      <c r="M119" s="1653"/>
      <c r="N119" s="1653"/>
      <c r="O119" s="1653"/>
      <c r="P119" s="1653"/>
      <c r="Q119" s="1653"/>
      <c r="R119" s="1653"/>
      <c r="S119" s="1653"/>
      <c r="T119" s="1653"/>
      <c r="U119" s="1653"/>
      <c r="V119" s="1653"/>
      <c r="W119" s="1653"/>
      <c r="X119" s="1653"/>
      <c r="Y119" s="1653"/>
      <c r="Z119" s="1653"/>
      <c r="AA119" s="1653"/>
      <c r="AB119" s="1653"/>
      <c r="AC119" s="1653"/>
      <c r="AD119" s="1653"/>
      <c r="AE119" s="1653"/>
      <c r="AF119" s="1653"/>
      <c r="AG119" s="1653"/>
      <c r="AH119" s="1653"/>
      <c r="AI119" s="1653"/>
      <c r="AJ119" s="1653"/>
      <c r="AK119" s="1653"/>
      <c r="AL119" s="1653"/>
      <c r="AM119" s="1653"/>
    </row>
    <row r="120" spans="2:42" x14ac:dyDescent="0.2">
      <c r="B120" s="1800"/>
      <c r="C120" s="1800"/>
      <c r="D120" s="1800"/>
      <c r="E120" s="1746"/>
      <c r="F120" s="1746"/>
      <c r="G120" s="1746"/>
      <c r="H120" s="1746"/>
      <c r="I120" s="1653"/>
      <c r="J120" s="1653"/>
      <c r="K120" s="1653"/>
      <c r="L120" s="1653"/>
      <c r="M120" s="1653"/>
      <c r="N120" s="1653"/>
      <c r="O120" s="1653"/>
      <c r="P120" s="1653"/>
      <c r="Q120" s="1653"/>
      <c r="R120" s="1653"/>
      <c r="S120" s="1653"/>
      <c r="T120" s="1653"/>
      <c r="U120" s="1653"/>
      <c r="V120" s="1653"/>
      <c r="W120" s="1653"/>
      <c r="X120" s="1653"/>
      <c r="Y120" s="1653"/>
      <c r="Z120" s="1653"/>
      <c r="AA120" s="1653"/>
      <c r="AB120" s="1653"/>
      <c r="AC120" s="1653"/>
      <c r="AD120" s="1653"/>
      <c r="AE120" s="1653"/>
      <c r="AF120" s="1653"/>
      <c r="AG120" s="1653"/>
      <c r="AH120" s="1653"/>
      <c r="AI120" s="1653"/>
      <c r="AJ120" s="1653"/>
      <c r="AK120" s="1653"/>
      <c r="AL120" s="1653"/>
      <c r="AM120" s="1653"/>
    </row>
    <row r="121" spans="2:42" x14ac:dyDescent="0.2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</row>
    <row r="123" spans="2:42" ht="12.75" customHeight="1" x14ac:dyDescent="0.2">
      <c r="B123" s="1780" t="s">
        <v>786</v>
      </c>
      <c r="C123" s="1780"/>
      <c r="D123" s="1780"/>
      <c r="E123" s="1780"/>
      <c r="F123" s="1780"/>
      <c r="G123" s="544"/>
    </row>
    <row r="124" spans="2:42" ht="23.25" x14ac:dyDescent="0.2">
      <c r="B124" s="1780"/>
      <c r="C124" s="1780"/>
      <c r="D124" s="1780"/>
      <c r="E124" s="1780"/>
      <c r="F124" s="1780"/>
      <c r="G124" s="1658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6"/>
      <c r="S124" s="546"/>
      <c r="T124" s="546"/>
      <c r="U124" s="546"/>
      <c r="V124" s="546"/>
      <c r="W124" s="546"/>
      <c r="X124" s="546"/>
      <c r="Y124" s="546"/>
      <c r="Z124" s="546"/>
      <c r="AA124" s="546"/>
      <c r="AB124" s="546"/>
      <c r="AC124" s="546"/>
      <c r="AD124" s="546"/>
      <c r="AE124" s="546"/>
      <c r="AF124" s="546"/>
      <c r="AG124" s="546"/>
      <c r="AH124" s="546"/>
      <c r="AI124" s="546"/>
      <c r="AJ124" s="546"/>
      <c r="AK124" s="546"/>
      <c r="AL124" s="546"/>
      <c r="AM124" s="546"/>
    </row>
    <row r="125" spans="2:42" ht="23.25" x14ac:dyDescent="0.2">
      <c r="B125" s="1658"/>
      <c r="C125" s="1658"/>
      <c r="D125" s="1658"/>
      <c r="E125" s="1658"/>
      <c r="F125" s="1658"/>
      <c r="G125" s="1658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6"/>
      <c r="AA125" s="546"/>
      <c r="AB125" s="546"/>
      <c r="AC125" s="546"/>
      <c r="AD125" s="546"/>
      <c r="AE125" s="546"/>
      <c r="AF125" s="546"/>
      <c r="AG125" s="546"/>
      <c r="AH125" s="546"/>
      <c r="AI125" s="546"/>
      <c r="AJ125" s="546"/>
      <c r="AK125" s="546"/>
      <c r="AL125" s="546"/>
      <c r="AM125" s="546"/>
    </row>
    <row r="126" spans="2:42" ht="23.25" x14ac:dyDescent="0.2">
      <c r="B126" s="1658"/>
      <c r="C126" s="1658"/>
      <c r="D126" s="1658"/>
      <c r="E126" s="1658"/>
      <c r="F126" s="1658"/>
      <c r="G126" s="1658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6"/>
      <c r="AA126" s="546"/>
      <c r="AB126" s="546"/>
      <c r="AC126" s="546"/>
      <c r="AD126" s="546"/>
      <c r="AE126" s="546"/>
      <c r="AF126" s="546"/>
      <c r="AG126" s="546"/>
      <c r="AH126" s="546"/>
      <c r="AI126" s="546"/>
      <c r="AJ126" s="546"/>
      <c r="AK126" s="546"/>
      <c r="AL126" s="546"/>
      <c r="AM126" s="546"/>
    </row>
    <row r="127" spans="2:42" ht="23.25" x14ac:dyDescent="0.25">
      <c r="B127" s="546"/>
      <c r="C127" s="546"/>
      <c r="D127" s="546"/>
      <c r="E127" s="547"/>
      <c r="F127" s="548" t="s">
        <v>787</v>
      </c>
      <c r="G127" s="547"/>
      <c r="H127" s="548" t="s">
        <v>788</v>
      </c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548"/>
      <c r="AB127" s="548"/>
      <c r="AC127" s="548"/>
      <c r="AD127" s="548"/>
      <c r="AE127" s="548"/>
      <c r="AF127" s="548"/>
      <c r="AG127" s="548"/>
      <c r="AH127" s="548"/>
      <c r="AI127" s="548"/>
      <c r="AJ127" s="548"/>
      <c r="AK127" s="548"/>
      <c r="AL127" s="548"/>
      <c r="AM127" s="548"/>
      <c r="AN127" s="549" t="s">
        <v>789</v>
      </c>
    </row>
    <row r="128" spans="2:42" ht="15.75" x14ac:dyDescent="0.25">
      <c r="B128" s="1792" t="s">
        <v>113</v>
      </c>
      <c r="C128" s="1793"/>
      <c r="D128" s="1793"/>
      <c r="E128" s="102"/>
      <c r="F128" s="548"/>
      <c r="G128" s="102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48"/>
      <c r="W128" s="548"/>
      <c r="X128" s="548"/>
      <c r="Y128" s="548"/>
      <c r="Z128" s="548"/>
      <c r="AA128" s="548"/>
      <c r="AB128" s="548"/>
      <c r="AC128" s="548"/>
      <c r="AD128" s="548"/>
      <c r="AE128" s="548"/>
      <c r="AF128" s="548"/>
      <c r="AG128" s="548"/>
      <c r="AH128" s="548"/>
      <c r="AI128" s="548"/>
      <c r="AJ128" s="548"/>
      <c r="AK128" s="548"/>
      <c r="AL128" s="548"/>
      <c r="AM128" s="548"/>
      <c r="AN128" s="255"/>
    </row>
    <row r="129" spans="2:41" ht="15.75" x14ac:dyDescent="0.25">
      <c r="B129" s="1794"/>
      <c r="C129" s="1769"/>
      <c r="D129" s="1769"/>
      <c r="E129" s="88"/>
      <c r="F129" s="550">
        <f>F132+F133</f>
        <v>350000</v>
      </c>
      <c r="G129" s="88"/>
      <c r="H129" s="550">
        <f>H132+H133</f>
        <v>482797</v>
      </c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19">
        <f>H129-F129</f>
        <v>132797</v>
      </c>
    </row>
    <row r="130" spans="2:41" ht="12.75" customHeight="1" x14ac:dyDescent="0.2">
      <c r="B130" s="1795"/>
      <c r="C130" s="1779"/>
      <c r="D130" s="1779"/>
      <c r="E130" s="89"/>
      <c r="F130" s="84"/>
      <c r="G130" s="89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1665"/>
    </row>
    <row r="131" spans="2:41" x14ac:dyDescent="0.2">
      <c r="B131" s="102"/>
      <c r="C131" s="87"/>
      <c r="D131" s="80"/>
      <c r="E131" s="102"/>
      <c r="F131" s="444"/>
      <c r="G131" s="102"/>
      <c r="H131" s="80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</row>
    <row r="132" spans="2:41" x14ac:dyDescent="0.2">
      <c r="B132" s="88" t="s">
        <v>790</v>
      </c>
      <c r="C132" s="6"/>
      <c r="D132" s="81"/>
      <c r="E132" s="88"/>
      <c r="F132" s="445">
        <v>150000</v>
      </c>
      <c r="G132" s="88"/>
      <c r="H132" s="551">
        <f>AN9</f>
        <v>0</v>
      </c>
      <c r="I132" s="570"/>
      <c r="J132" s="570"/>
      <c r="K132" s="570"/>
      <c r="L132" s="570"/>
      <c r="M132" s="570"/>
      <c r="N132" s="570"/>
      <c r="O132" s="570"/>
      <c r="P132" s="570"/>
      <c r="Q132" s="570"/>
      <c r="R132" s="570"/>
      <c r="S132" s="570"/>
      <c r="T132" s="570"/>
      <c r="U132" s="570"/>
      <c r="V132" s="570"/>
      <c r="W132" s="570"/>
      <c r="X132" s="570"/>
      <c r="Y132" s="570"/>
      <c r="Z132" s="570"/>
      <c r="AA132" s="570"/>
      <c r="AB132" s="570"/>
      <c r="AC132" s="570"/>
      <c r="AD132" s="570"/>
      <c r="AE132" s="570"/>
      <c r="AF132" s="570"/>
      <c r="AG132" s="570"/>
      <c r="AH132" s="570"/>
      <c r="AI132" s="570"/>
      <c r="AJ132" s="570"/>
      <c r="AK132" s="570"/>
      <c r="AL132" s="570"/>
      <c r="AM132" s="570"/>
      <c r="AN132" s="6"/>
    </row>
    <row r="133" spans="2:41" x14ac:dyDescent="0.2">
      <c r="B133" s="88" t="s">
        <v>791</v>
      </c>
      <c r="C133" s="6"/>
      <c r="D133" s="81"/>
      <c r="E133" s="88"/>
      <c r="F133" s="445">
        <v>200000</v>
      </c>
      <c r="G133" s="88"/>
      <c r="H133" s="551">
        <f>AN32</f>
        <v>482797</v>
      </c>
      <c r="I133" s="570"/>
      <c r="J133" s="570"/>
      <c r="K133" s="570"/>
      <c r="L133" s="570"/>
      <c r="M133" s="570"/>
      <c r="N133" s="570"/>
      <c r="O133" s="570"/>
      <c r="P133" s="570"/>
      <c r="Q133" s="570"/>
      <c r="R133" s="570"/>
      <c r="S133" s="570"/>
      <c r="T133" s="570"/>
      <c r="U133" s="570"/>
      <c r="V133" s="570"/>
      <c r="W133" s="570"/>
      <c r="X133" s="570"/>
      <c r="Y133" s="570"/>
      <c r="Z133" s="570"/>
      <c r="AA133" s="570"/>
      <c r="AB133" s="570"/>
      <c r="AC133" s="570"/>
      <c r="AD133" s="570"/>
      <c r="AE133" s="570"/>
      <c r="AF133" s="570"/>
      <c r="AG133" s="570"/>
      <c r="AH133" s="570"/>
      <c r="AI133" s="570"/>
      <c r="AJ133" s="570"/>
      <c r="AK133" s="570"/>
      <c r="AL133" s="570"/>
      <c r="AM133" s="570"/>
      <c r="AN133" s="6"/>
    </row>
    <row r="134" spans="2:41" x14ac:dyDescent="0.2">
      <c r="B134" s="88" t="s">
        <v>792</v>
      </c>
      <c r="C134" s="6"/>
      <c r="D134" s="81"/>
      <c r="E134" s="88"/>
      <c r="F134" s="445">
        <v>100000</v>
      </c>
      <c r="G134" s="88"/>
      <c r="H134" s="551">
        <f>AN88</f>
        <v>0</v>
      </c>
      <c r="I134" s="570"/>
      <c r="J134" s="570"/>
      <c r="K134" s="570"/>
      <c r="L134" s="570"/>
      <c r="M134" s="570"/>
      <c r="N134" s="570"/>
      <c r="O134" s="570"/>
      <c r="P134" s="570"/>
      <c r="Q134" s="570"/>
      <c r="R134" s="570"/>
      <c r="S134" s="570"/>
      <c r="T134" s="570"/>
      <c r="U134" s="570"/>
      <c r="V134" s="570"/>
      <c r="W134" s="570"/>
      <c r="X134" s="570"/>
      <c r="Y134" s="570"/>
      <c r="Z134" s="570"/>
      <c r="AA134" s="570"/>
      <c r="AB134" s="570"/>
      <c r="AC134" s="570"/>
      <c r="AD134" s="570"/>
      <c r="AE134" s="570"/>
      <c r="AF134" s="570"/>
      <c r="AG134" s="570"/>
      <c r="AH134" s="570"/>
      <c r="AI134" s="570"/>
      <c r="AJ134" s="570"/>
      <c r="AK134" s="570"/>
      <c r="AL134" s="570"/>
      <c r="AM134" s="570"/>
      <c r="AN134" s="6"/>
    </row>
    <row r="135" spans="2:41" ht="13.5" thickBot="1" x14ac:dyDescent="0.25">
      <c r="B135" s="89"/>
      <c r="C135" s="90"/>
      <c r="D135" s="84"/>
      <c r="E135" s="89"/>
      <c r="F135" s="552"/>
      <c r="G135" s="89"/>
      <c r="H135" s="84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</row>
    <row r="136" spans="2:41" ht="12.75" customHeight="1" x14ac:dyDescent="0.2">
      <c r="B136" s="1765" t="s">
        <v>70</v>
      </c>
      <c r="C136" s="1766"/>
      <c r="D136" s="1766"/>
      <c r="E136" s="3"/>
      <c r="F136" s="23"/>
      <c r="G136" s="102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255"/>
    </row>
    <row r="137" spans="2:41" ht="15" x14ac:dyDescent="0.25">
      <c r="B137" s="1768"/>
      <c r="C137" s="1769"/>
      <c r="D137" s="1769"/>
      <c r="E137" s="6"/>
      <c r="F137" s="553">
        <f>F140+F141</f>
        <v>200000</v>
      </c>
      <c r="G137" s="88"/>
      <c r="H137" s="554">
        <f>H140+H141</f>
        <v>218766</v>
      </c>
      <c r="I137" s="554"/>
      <c r="J137" s="554"/>
      <c r="K137" s="554"/>
      <c r="L137" s="554"/>
      <c r="M137" s="554"/>
      <c r="N137" s="554"/>
      <c r="O137" s="554"/>
      <c r="P137" s="554"/>
      <c r="Q137" s="554"/>
      <c r="R137" s="554"/>
      <c r="S137" s="554"/>
      <c r="T137" s="554"/>
      <c r="U137" s="554"/>
      <c r="V137" s="554"/>
      <c r="W137" s="554"/>
      <c r="X137" s="554"/>
      <c r="Y137" s="554"/>
      <c r="Z137" s="554"/>
      <c r="AA137" s="554"/>
      <c r="AB137" s="554"/>
      <c r="AC137" s="554"/>
      <c r="AD137" s="554"/>
      <c r="AE137" s="554"/>
      <c r="AF137" s="554"/>
      <c r="AG137" s="554"/>
      <c r="AH137" s="554"/>
      <c r="AI137" s="554"/>
      <c r="AJ137" s="554"/>
      <c r="AK137" s="554"/>
      <c r="AL137" s="554"/>
      <c r="AM137" s="554"/>
      <c r="AN137" s="519">
        <f>H137-F137</f>
        <v>18766</v>
      </c>
      <c r="AO137" s="483"/>
    </row>
    <row r="138" spans="2:41" ht="12.75" customHeight="1" x14ac:dyDescent="0.2">
      <c r="B138" s="1778"/>
      <c r="C138" s="1779"/>
      <c r="D138" s="1779"/>
      <c r="E138" s="6"/>
      <c r="F138" s="445"/>
      <c r="G138" s="89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1665"/>
    </row>
    <row r="139" spans="2:41" x14ac:dyDescent="0.2">
      <c r="B139" s="102"/>
      <c r="C139" s="87"/>
      <c r="D139" s="80"/>
      <c r="E139" s="102"/>
      <c r="F139" s="444"/>
      <c r="G139" s="102"/>
      <c r="H139" s="80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</row>
    <row r="140" spans="2:41" x14ac:dyDescent="0.2">
      <c r="B140" s="88" t="s">
        <v>793</v>
      </c>
      <c r="C140" s="6"/>
      <c r="D140" s="81"/>
      <c r="E140" s="88"/>
      <c r="F140" s="445">
        <v>100000</v>
      </c>
      <c r="G140" s="88"/>
      <c r="H140" s="551">
        <f>AN14</f>
        <v>0</v>
      </c>
      <c r="I140" s="570"/>
      <c r="J140" s="570"/>
      <c r="K140" s="570"/>
      <c r="L140" s="570"/>
      <c r="M140" s="570"/>
      <c r="N140" s="570"/>
      <c r="O140" s="570"/>
      <c r="P140" s="570"/>
      <c r="Q140" s="570"/>
      <c r="R140" s="570"/>
      <c r="S140" s="570"/>
      <c r="T140" s="570"/>
      <c r="U140" s="570"/>
      <c r="V140" s="570"/>
      <c r="W140" s="570"/>
      <c r="X140" s="570"/>
      <c r="Y140" s="570"/>
      <c r="Z140" s="570"/>
      <c r="AA140" s="570"/>
      <c r="AB140" s="570"/>
      <c r="AC140" s="570"/>
      <c r="AD140" s="570"/>
      <c r="AE140" s="570"/>
      <c r="AF140" s="570"/>
      <c r="AG140" s="570"/>
      <c r="AH140" s="570"/>
      <c r="AI140" s="570"/>
      <c r="AJ140" s="570"/>
      <c r="AK140" s="570"/>
      <c r="AL140" s="570"/>
      <c r="AM140" s="570"/>
      <c r="AN140" s="6"/>
      <c r="AO140" s="42"/>
    </row>
    <row r="141" spans="2:41" x14ac:dyDescent="0.2">
      <c r="B141" s="88" t="s">
        <v>794</v>
      </c>
      <c r="C141" s="6"/>
      <c r="D141" s="81"/>
      <c r="E141" s="88"/>
      <c r="F141" s="445">
        <v>100000</v>
      </c>
      <c r="G141" s="88"/>
      <c r="H141" s="551">
        <f>AN44</f>
        <v>218766</v>
      </c>
      <c r="I141" s="570"/>
      <c r="J141" s="570"/>
      <c r="K141" s="570"/>
      <c r="L141" s="570"/>
      <c r="M141" s="570"/>
      <c r="N141" s="570"/>
      <c r="O141" s="570"/>
      <c r="P141" s="570"/>
      <c r="Q141" s="570"/>
      <c r="R141" s="570"/>
      <c r="S141" s="570"/>
      <c r="T141" s="570"/>
      <c r="U141" s="570"/>
      <c r="V141" s="570"/>
      <c r="W141" s="570"/>
      <c r="X141" s="570"/>
      <c r="Y141" s="570"/>
      <c r="Z141" s="570"/>
      <c r="AA141" s="570"/>
      <c r="AB141" s="570"/>
      <c r="AC141" s="570"/>
      <c r="AD141" s="570"/>
      <c r="AE141" s="570"/>
      <c r="AF141" s="570"/>
      <c r="AG141" s="570"/>
      <c r="AH141" s="570"/>
      <c r="AI141" s="570"/>
      <c r="AJ141" s="570"/>
      <c r="AK141" s="570"/>
      <c r="AL141" s="570"/>
      <c r="AM141" s="570"/>
      <c r="AN141" s="6"/>
    </row>
    <row r="142" spans="2:41" ht="13.5" thickBot="1" x14ac:dyDescent="0.25">
      <c r="B142" s="89"/>
      <c r="C142" s="90"/>
      <c r="D142" s="84"/>
      <c r="E142" s="89"/>
      <c r="F142" s="552"/>
      <c r="G142" s="89"/>
      <c r="H142" s="84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</row>
    <row r="143" spans="2:41" ht="12.75" customHeight="1" x14ac:dyDescent="0.2">
      <c r="B143" s="1765" t="s">
        <v>72</v>
      </c>
      <c r="C143" s="1766"/>
      <c r="D143" s="1766"/>
      <c r="E143" s="3"/>
      <c r="F143" s="23"/>
      <c r="G143" s="102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255"/>
    </row>
    <row r="144" spans="2:41" ht="15" x14ac:dyDescent="0.25">
      <c r="B144" s="1768"/>
      <c r="C144" s="1769"/>
      <c r="D144" s="1769"/>
      <c r="E144" s="6"/>
      <c r="F144" s="553">
        <f>F147+F148</f>
        <v>100000</v>
      </c>
      <c r="G144" s="88"/>
      <c r="H144" s="554">
        <f>H147+H148</f>
        <v>96869</v>
      </c>
      <c r="I144" s="554"/>
      <c r="J144" s="554"/>
      <c r="K144" s="554"/>
      <c r="L144" s="554"/>
      <c r="M144" s="554"/>
      <c r="N144" s="554"/>
      <c r="O144" s="554"/>
      <c r="P144" s="554"/>
      <c r="Q144" s="554"/>
      <c r="R144" s="554"/>
      <c r="S144" s="554"/>
      <c r="T144" s="554"/>
      <c r="U144" s="554"/>
      <c r="V144" s="554"/>
      <c r="W144" s="554"/>
      <c r="X144" s="554"/>
      <c r="Y144" s="554"/>
      <c r="Z144" s="554"/>
      <c r="AA144" s="554"/>
      <c r="AB144" s="554"/>
      <c r="AC144" s="554"/>
      <c r="AD144" s="554"/>
      <c r="AE144" s="554"/>
      <c r="AF144" s="554"/>
      <c r="AG144" s="554"/>
      <c r="AH144" s="554"/>
      <c r="AI144" s="554"/>
      <c r="AJ144" s="554"/>
      <c r="AK144" s="554"/>
      <c r="AL144" s="554"/>
      <c r="AM144" s="554"/>
      <c r="AN144" s="519">
        <f>H144-F144</f>
        <v>-3131</v>
      </c>
      <c r="AO144" s="483"/>
    </row>
    <row r="145" spans="2:41" ht="12.75" customHeight="1" x14ac:dyDescent="0.2">
      <c r="B145" s="1778"/>
      <c r="C145" s="1779"/>
      <c r="D145" s="1779"/>
      <c r="E145" s="6"/>
      <c r="F145" s="445"/>
      <c r="G145" s="89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1665"/>
    </row>
    <row r="146" spans="2:41" x14ac:dyDescent="0.2">
      <c r="B146" s="102"/>
      <c r="C146" s="87"/>
      <c r="D146" s="80"/>
      <c r="E146" s="102"/>
      <c r="F146" s="444"/>
      <c r="G146" s="102"/>
      <c r="H146" s="80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</row>
    <row r="147" spans="2:41" x14ac:dyDescent="0.2">
      <c r="B147" s="88" t="s">
        <v>793</v>
      </c>
      <c r="C147" s="6"/>
      <c r="D147" s="81"/>
      <c r="E147" s="88"/>
      <c r="F147" s="445">
        <v>100000</v>
      </c>
      <c r="G147" s="88"/>
      <c r="H147" s="551">
        <f>AN18</f>
        <v>0</v>
      </c>
      <c r="I147" s="570"/>
      <c r="J147" s="570"/>
      <c r="K147" s="570"/>
      <c r="L147" s="570"/>
      <c r="M147" s="570"/>
      <c r="N147" s="570"/>
      <c r="O147" s="570"/>
      <c r="P147" s="570"/>
      <c r="Q147" s="570"/>
      <c r="R147" s="570"/>
      <c r="S147" s="570"/>
      <c r="T147" s="570"/>
      <c r="U147" s="570"/>
      <c r="V147" s="570"/>
      <c r="W147" s="570"/>
      <c r="X147" s="570"/>
      <c r="Y147" s="570"/>
      <c r="Z147" s="570"/>
      <c r="AA147" s="570"/>
      <c r="AB147" s="570"/>
      <c r="AC147" s="570"/>
      <c r="AD147" s="570"/>
      <c r="AE147" s="570"/>
      <c r="AF147" s="570"/>
      <c r="AG147" s="570"/>
      <c r="AH147" s="570"/>
      <c r="AI147" s="570"/>
      <c r="AJ147" s="570"/>
      <c r="AK147" s="570"/>
      <c r="AL147" s="570"/>
      <c r="AM147" s="570"/>
      <c r="AN147" s="6"/>
    </row>
    <row r="148" spans="2:41" x14ac:dyDescent="0.2">
      <c r="B148" s="88" t="s">
        <v>794</v>
      </c>
      <c r="C148" s="6"/>
      <c r="D148" s="81"/>
      <c r="E148" s="88"/>
      <c r="F148" s="445"/>
      <c r="G148" s="88"/>
      <c r="H148" s="551">
        <f>AN55</f>
        <v>96869</v>
      </c>
      <c r="I148" s="570"/>
      <c r="J148" s="570"/>
      <c r="K148" s="570"/>
      <c r="L148" s="570"/>
      <c r="M148" s="570"/>
      <c r="N148" s="570"/>
      <c r="O148" s="570"/>
      <c r="P148" s="570"/>
      <c r="Q148" s="570"/>
      <c r="R148" s="570"/>
      <c r="S148" s="570"/>
      <c r="T148" s="570"/>
      <c r="U148" s="570"/>
      <c r="V148" s="570"/>
      <c r="W148" s="570"/>
      <c r="X148" s="570"/>
      <c r="Y148" s="570"/>
      <c r="Z148" s="570"/>
      <c r="AA148" s="570"/>
      <c r="AB148" s="570"/>
      <c r="AC148" s="570"/>
      <c r="AD148" s="570"/>
      <c r="AE148" s="570"/>
      <c r="AF148" s="570"/>
      <c r="AG148" s="570"/>
      <c r="AH148" s="570"/>
      <c r="AI148" s="570"/>
      <c r="AJ148" s="570"/>
      <c r="AK148" s="570"/>
      <c r="AL148" s="570"/>
      <c r="AM148" s="570"/>
      <c r="AN148" s="6"/>
    </row>
    <row r="149" spans="2:41" ht="13.5" thickBot="1" x14ac:dyDescent="0.25">
      <c r="B149" s="89"/>
      <c r="C149" s="90"/>
      <c r="D149" s="84"/>
      <c r="E149" s="89"/>
      <c r="F149" s="552"/>
      <c r="G149" s="89"/>
      <c r="H149" s="84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</row>
    <row r="150" spans="2:41" ht="12.75" customHeight="1" x14ac:dyDescent="0.2">
      <c r="B150" s="1765" t="s">
        <v>330</v>
      </c>
      <c r="C150" s="1766"/>
      <c r="D150" s="1766"/>
      <c r="E150" s="3"/>
      <c r="F150" s="23"/>
      <c r="G150" s="102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255"/>
    </row>
    <row r="151" spans="2:41" ht="15" x14ac:dyDescent="0.25">
      <c r="B151" s="1768"/>
      <c r="C151" s="1769"/>
      <c r="D151" s="1769"/>
      <c r="E151" s="6"/>
      <c r="F151" s="553">
        <f>F154+F155</f>
        <v>400000</v>
      </c>
      <c r="G151" s="88"/>
      <c r="H151" s="553">
        <f>H154+H155</f>
        <v>408802.71299999999</v>
      </c>
      <c r="I151" s="553"/>
      <c r="J151" s="553"/>
      <c r="K151" s="553"/>
      <c r="L151" s="553"/>
      <c r="M151" s="553"/>
      <c r="N151" s="553"/>
      <c r="O151" s="553"/>
      <c r="P151" s="553"/>
      <c r="Q151" s="553"/>
      <c r="R151" s="553"/>
      <c r="S151" s="553"/>
      <c r="T151" s="553"/>
      <c r="U151" s="553"/>
      <c r="V151" s="553"/>
      <c r="W151" s="553"/>
      <c r="X151" s="553"/>
      <c r="Y151" s="553"/>
      <c r="Z151" s="553"/>
      <c r="AA151" s="553"/>
      <c r="AB151" s="553"/>
      <c r="AC151" s="553"/>
      <c r="AD151" s="553"/>
      <c r="AE151" s="553"/>
      <c r="AF151" s="553"/>
      <c r="AG151" s="553"/>
      <c r="AH151" s="553"/>
      <c r="AI151" s="553"/>
      <c r="AJ151" s="553"/>
      <c r="AK151" s="553"/>
      <c r="AL151" s="553"/>
      <c r="AM151" s="553"/>
      <c r="AN151" s="519">
        <f>H151-F151</f>
        <v>8802.7129999999888</v>
      </c>
      <c r="AO151" s="483"/>
    </row>
    <row r="152" spans="2:41" ht="12.75" customHeight="1" x14ac:dyDescent="0.2">
      <c r="B152" s="1778"/>
      <c r="C152" s="1779"/>
      <c r="D152" s="1779"/>
      <c r="E152" s="6"/>
      <c r="F152" s="445"/>
      <c r="G152" s="89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1665"/>
    </row>
    <row r="153" spans="2:41" x14ac:dyDescent="0.2">
      <c r="B153" s="102"/>
      <c r="C153" s="87"/>
      <c r="D153" s="80"/>
      <c r="E153" s="102"/>
      <c r="F153" s="444"/>
      <c r="G153" s="102"/>
      <c r="H153" s="80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</row>
    <row r="154" spans="2:41" x14ac:dyDescent="0.2">
      <c r="B154" s="88" t="s">
        <v>793</v>
      </c>
      <c r="C154" s="6"/>
      <c r="D154" s="81"/>
      <c r="E154" s="88"/>
      <c r="F154" s="445">
        <v>200000</v>
      </c>
      <c r="G154" s="88"/>
      <c r="H154" s="551">
        <f>AN23</f>
        <v>0</v>
      </c>
      <c r="I154" s="570"/>
      <c r="J154" s="570"/>
      <c r="K154" s="570"/>
      <c r="L154" s="570"/>
      <c r="M154" s="570"/>
      <c r="N154" s="570"/>
      <c r="O154" s="570"/>
      <c r="P154" s="570"/>
      <c r="Q154" s="570"/>
      <c r="R154" s="570"/>
      <c r="S154" s="570"/>
      <c r="T154" s="570"/>
      <c r="U154" s="570"/>
      <c r="V154" s="570"/>
      <c r="W154" s="570"/>
      <c r="X154" s="570"/>
      <c r="Y154" s="570"/>
      <c r="Z154" s="570"/>
      <c r="AA154" s="570"/>
      <c r="AB154" s="570"/>
      <c r="AC154" s="570"/>
      <c r="AD154" s="570"/>
      <c r="AE154" s="570"/>
      <c r="AF154" s="570"/>
      <c r="AG154" s="570"/>
      <c r="AH154" s="570"/>
      <c r="AI154" s="570"/>
      <c r="AJ154" s="570"/>
      <c r="AK154" s="570"/>
      <c r="AL154" s="570"/>
      <c r="AM154" s="570"/>
      <c r="AN154" s="6"/>
    </row>
    <row r="155" spans="2:41" x14ac:dyDescent="0.2">
      <c r="B155" s="88" t="s">
        <v>794</v>
      </c>
      <c r="C155" s="6"/>
      <c r="D155" s="81"/>
      <c r="E155" s="88"/>
      <c r="F155" s="445">
        <v>200000</v>
      </c>
      <c r="G155" s="88"/>
      <c r="H155" s="551">
        <f>AN62</f>
        <v>408802.71299999999</v>
      </c>
      <c r="I155" s="570"/>
      <c r="J155" s="570"/>
      <c r="K155" s="570"/>
      <c r="L155" s="570"/>
      <c r="M155" s="570"/>
      <c r="N155" s="570"/>
      <c r="O155" s="570"/>
      <c r="P155" s="570"/>
      <c r="Q155" s="570"/>
      <c r="R155" s="570"/>
      <c r="S155" s="570"/>
      <c r="T155" s="570"/>
      <c r="U155" s="570"/>
      <c r="V155" s="570"/>
      <c r="W155" s="570"/>
      <c r="X155" s="570"/>
      <c r="Y155" s="570"/>
      <c r="Z155" s="570"/>
      <c r="AA155" s="570"/>
      <c r="AB155" s="570"/>
      <c r="AC155" s="570"/>
      <c r="AD155" s="570"/>
      <c r="AE155" s="570"/>
      <c r="AF155" s="570"/>
      <c r="AG155" s="570"/>
      <c r="AH155" s="570"/>
      <c r="AI155" s="570"/>
      <c r="AJ155" s="570"/>
      <c r="AK155" s="570"/>
      <c r="AL155" s="570"/>
      <c r="AM155" s="570"/>
      <c r="AN155" s="6"/>
    </row>
    <row r="156" spans="2:41" x14ac:dyDescent="0.2">
      <c r="B156" s="89"/>
      <c r="C156" s="90"/>
      <c r="D156" s="84"/>
      <c r="E156" s="89"/>
      <c r="F156" s="555"/>
      <c r="G156" s="89"/>
      <c r="H156" s="84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</row>
    <row r="157" spans="2:41" x14ac:dyDescent="0.2">
      <c r="B157" s="102"/>
      <c r="C157" s="87"/>
      <c r="D157" s="80"/>
      <c r="E157" s="102"/>
      <c r="F157" s="444"/>
      <c r="G157" s="102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255"/>
    </row>
    <row r="158" spans="2:41" ht="15" x14ac:dyDescent="0.25">
      <c r="B158" s="512" t="s">
        <v>671</v>
      </c>
      <c r="C158" s="6"/>
      <c r="D158" s="81"/>
      <c r="E158" s="88"/>
      <c r="F158" s="553">
        <f>F151+F144+F137+F129</f>
        <v>1050000</v>
      </c>
      <c r="G158" s="88"/>
      <c r="H158" s="554">
        <f>H151+H144+H137+H129</f>
        <v>1207234.713</v>
      </c>
      <c r="I158" s="554"/>
      <c r="J158" s="554"/>
      <c r="K158" s="554"/>
      <c r="L158" s="554"/>
      <c r="M158" s="554"/>
      <c r="N158" s="554"/>
      <c r="O158" s="554"/>
      <c r="P158" s="554"/>
      <c r="Q158" s="554"/>
      <c r="R158" s="554"/>
      <c r="S158" s="554"/>
      <c r="T158" s="554"/>
      <c r="U158" s="554"/>
      <c r="V158" s="554"/>
      <c r="W158" s="554"/>
      <c r="X158" s="554"/>
      <c r="Y158" s="554"/>
      <c r="Z158" s="554"/>
      <c r="AA158" s="554"/>
      <c r="AB158" s="554"/>
      <c r="AC158" s="554"/>
      <c r="AD158" s="554"/>
      <c r="AE158" s="554"/>
      <c r="AF158" s="554"/>
      <c r="AG158" s="554"/>
      <c r="AH158" s="554"/>
      <c r="AI158" s="554"/>
      <c r="AJ158" s="554"/>
      <c r="AK158" s="554"/>
      <c r="AL158" s="554"/>
      <c r="AM158" s="554"/>
      <c r="AN158" s="519">
        <f>H158-F158</f>
        <v>157234.71299999999</v>
      </c>
    </row>
    <row r="159" spans="2:41" x14ac:dyDescent="0.2">
      <c r="B159" s="89"/>
      <c r="C159" s="90"/>
      <c r="D159" s="84"/>
      <c r="E159" s="89"/>
      <c r="F159" s="555"/>
      <c r="G159" s="89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1665"/>
    </row>
    <row r="163" spans="1:42" ht="12.75" customHeight="1" x14ac:dyDescent="0.2">
      <c r="B163" s="1780"/>
      <c r="C163" s="1780"/>
      <c r="D163" s="1780"/>
      <c r="E163" s="1780"/>
      <c r="F163" s="1780"/>
      <c r="G163" s="544"/>
    </row>
    <row r="164" spans="1:42" ht="23.25" x14ac:dyDescent="0.2">
      <c r="B164" s="1780"/>
      <c r="C164" s="1780"/>
      <c r="D164" s="1780"/>
      <c r="E164" s="1780"/>
      <c r="F164" s="1780"/>
      <c r="G164" s="1658"/>
      <c r="H164" s="546"/>
      <c r="I164" s="546"/>
      <c r="J164" s="546"/>
      <c r="K164" s="546"/>
      <c r="L164" s="546"/>
      <c r="M164" s="546"/>
      <c r="N164" s="546"/>
      <c r="O164" s="546"/>
      <c r="P164" s="546"/>
      <c r="Q164" s="546"/>
      <c r="R164" s="546"/>
      <c r="S164" s="546"/>
      <c r="T164" s="546"/>
      <c r="U164" s="546"/>
      <c r="V164" s="546"/>
      <c r="W164" s="546"/>
      <c r="X164" s="546"/>
      <c r="Y164" s="546"/>
      <c r="Z164" s="546"/>
      <c r="AA164" s="546"/>
      <c r="AB164" s="546"/>
      <c r="AC164" s="546"/>
      <c r="AD164" s="546"/>
      <c r="AE164" s="546"/>
      <c r="AF164" s="546"/>
      <c r="AG164" s="546"/>
      <c r="AH164" s="546"/>
      <c r="AI164" s="546"/>
      <c r="AJ164" s="546"/>
      <c r="AK164" s="546"/>
      <c r="AL164" s="546"/>
      <c r="AM164" s="546"/>
    </row>
    <row r="165" spans="1:42" s="613" customFormat="1" ht="23.25" customHeight="1" x14ac:dyDescent="0.2">
      <c r="A165" s="1780" t="s">
        <v>1413</v>
      </c>
      <c r="B165" s="1780"/>
      <c r="C165" s="1780"/>
      <c r="D165" s="1780"/>
      <c r="E165" s="1780"/>
      <c r="F165" s="1780"/>
      <c r="G165" s="1780"/>
      <c r="H165" s="1780"/>
      <c r="I165" s="1780"/>
      <c r="J165" s="1780"/>
      <c r="K165" s="1780"/>
      <c r="L165" s="1780"/>
      <c r="M165" s="1780"/>
      <c r="N165" s="1780"/>
      <c r="O165" s="1780"/>
      <c r="P165" s="1780"/>
      <c r="Q165" s="1780"/>
      <c r="R165" s="1780"/>
      <c r="S165" s="1780"/>
      <c r="T165" s="1780"/>
      <c r="U165" s="1780"/>
      <c r="V165" s="1780"/>
      <c r="W165" s="1780"/>
      <c r="X165" s="1780"/>
      <c r="Y165" s="1780"/>
      <c r="Z165" s="1780"/>
      <c r="AA165" s="1780"/>
      <c r="AB165" s="1780"/>
      <c r="AC165" s="1780"/>
      <c r="AD165" s="1780"/>
      <c r="AE165" s="1780"/>
      <c r="AF165" s="1780"/>
      <c r="AG165" s="1780"/>
      <c r="AH165" s="1780"/>
      <c r="AI165" s="1780"/>
      <c r="AJ165" s="1780"/>
      <c r="AK165" s="1780"/>
      <c r="AL165" s="1780"/>
      <c r="AM165" s="1780"/>
      <c r="AN165" s="1780"/>
      <c r="AO165" s="1780"/>
    </row>
    <row r="166" spans="1:42" s="613" customFormat="1" ht="23.25" customHeight="1" x14ac:dyDescent="0.2">
      <c r="A166" s="1780"/>
      <c r="B166" s="1780"/>
      <c r="C166" s="1780"/>
      <c r="D166" s="1780"/>
      <c r="E166" s="1780"/>
      <c r="F166" s="1780"/>
      <c r="G166" s="1780"/>
      <c r="H166" s="1780"/>
      <c r="I166" s="1780"/>
      <c r="J166" s="1780"/>
      <c r="K166" s="1780"/>
      <c r="L166" s="1780"/>
      <c r="M166" s="1780"/>
      <c r="N166" s="1780"/>
      <c r="O166" s="1780"/>
      <c r="P166" s="1780"/>
      <c r="Q166" s="1780"/>
      <c r="R166" s="1780"/>
      <c r="S166" s="1780"/>
      <c r="T166" s="1780"/>
      <c r="U166" s="1780"/>
      <c r="V166" s="1780"/>
      <c r="W166" s="1780"/>
      <c r="X166" s="1780"/>
      <c r="Y166" s="1780"/>
      <c r="Z166" s="1780"/>
      <c r="AA166" s="1780"/>
      <c r="AB166" s="1780"/>
      <c r="AC166" s="1780"/>
      <c r="AD166" s="1780"/>
      <c r="AE166" s="1780"/>
      <c r="AF166" s="1780"/>
      <c r="AG166" s="1780"/>
      <c r="AH166" s="1780"/>
      <c r="AI166" s="1780"/>
      <c r="AJ166" s="1780"/>
      <c r="AK166" s="1780"/>
      <c r="AL166" s="1780"/>
      <c r="AM166" s="1780"/>
      <c r="AN166" s="1780"/>
      <c r="AO166" s="1780"/>
    </row>
    <row r="167" spans="1:42" ht="23.25" x14ac:dyDescent="0.25">
      <c r="B167" s="1658"/>
      <c r="C167" s="1658"/>
      <c r="D167" s="1658"/>
      <c r="E167" s="1658"/>
      <c r="F167" s="1658"/>
      <c r="G167" s="615"/>
      <c r="H167" s="1658"/>
      <c r="I167" s="1658"/>
      <c r="J167" s="1658"/>
      <c r="K167" s="1658"/>
      <c r="L167" s="1658"/>
      <c r="M167" s="1658"/>
      <c r="N167" s="1658"/>
      <c r="O167" s="1658"/>
      <c r="P167" s="1658"/>
      <c r="Q167" s="1658"/>
      <c r="R167" s="1658"/>
      <c r="S167" s="1658"/>
      <c r="T167" s="1658"/>
      <c r="U167" s="1658"/>
      <c r="V167" s="1658"/>
      <c r="W167" s="1658"/>
      <c r="X167" s="1658"/>
      <c r="Y167" s="1658"/>
      <c r="Z167" s="1658"/>
      <c r="AA167" s="1658"/>
      <c r="AB167" s="1658"/>
      <c r="AC167" s="1658"/>
      <c r="AD167" s="1658"/>
      <c r="AE167" s="1658"/>
      <c r="AF167" s="1658"/>
      <c r="AG167" s="1658"/>
      <c r="AH167" s="1658"/>
      <c r="AI167" s="1658"/>
      <c r="AJ167" s="1658"/>
      <c r="AK167" s="1658"/>
      <c r="AL167" s="1658"/>
      <c r="AM167" s="1658"/>
      <c r="AN167" s="1658"/>
    </row>
    <row r="168" spans="1:42" ht="24" thickBot="1" x14ac:dyDescent="0.3">
      <c r="B168" s="1658"/>
      <c r="C168" s="1658"/>
      <c r="D168" s="1658"/>
      <c r="E168" s="1658"/>
      <c r="F168" s="1658"/>
      <c r="G168" s="615"/>
      <c r="H168" s="1658"/>
      <c r="I168" s="1658"/>
      <c r="J168" s="1658"/>
      <c r="K168" s="1658"/>
      <c r="L168" s="1658"/>
      <c r="M168" s="1658"/>
      <c r="N168" s="1658"/>
      <c r="O168" s="1658"/>
      <c r="P168" s="1658"/>
      <c r="Q168" s="1658"/>
      <c r="R168" s="1658"/>
      <c r="S168" s="1658"/>
      <c r="T168" s="1658"/>
      <c r="U168" s="1658"/>
      <c r="V168" s="1658"/>
      <c r="W168" s="1658"/>
      <c r="X168" s="1658"/>
      <c r="Y168" s="1658"/>
      <c r="Z168" s="1658"/>
      <c r="AA168" s="1658"/>
      <c r="AB168" s="1658"/>
      <c r="AC168" s="1658"/>
      <c r="AD168" s="1658"/>
      <c r="AE168" s="1658"/>
      <c r="AF168" s="1658"/>
      <c r="AG168" s="1658"/>
      <c r="AH168" s="1658"/>
      <c r="AI168" s="1658"/>
      <c r="AJ168" s="1658"/>
      <c r="AK168" s="1658"/>
      <c r="AL168" s="1658"/>
      <c r="AM168" s="1658"/>
      <c r="AN168" s="1658"/>
    </row>
    <row r="169" spans="1:42" ht="24" thickBot="1" x14ac:dyDescent="0.3">
      <c r="B169" s="546"/>
      <c r="C169" s="546"/>
      <c r="D169" s="546"/>
      <c r="E169" s="1774" t="s">
        <v>787</v>
      </c>
      <c r="F169" s="1775"/>
      <c r="G169" s="1657" t="s">
        <v>834</v>
      </c>
      <c r="H169" s="1783" t="s">
        <v>834</v>
      </c>
      <c r="I169" s="1784"/>
      <c r="J169" s="548"/>
      <c r="K169" s="548"/>
      <c r="L169" s="548"/>
      <c r="M169" s="548"/>
      <c r="N169" s="548"/>
      <c r="O169" s="548"/>
      <c r="P169" s="548"/>
      <c r="Q169" s="548"/>
      <c r="R169" s="548"/>
      <c r="S169" s="548"/>
      <c r="T169" s="548"/>
      <c r="U169" s="548"/>
      <c r="V169" s="548"/>
      <c r="W169" s="548"/>
      <c r="X169" s="548"/>
      <c r="Y169" s="548"/>
      <c r="Z169" s="548"/>
      <c r="AA169" s="548"/>
      <c r="AB169" s="548"/>
      <c r="AC169" s="548"/>
      <c r="AD169" s="548"/>
      <c r="AE169" s="548"/>
      <c r="AF169" s="548"/>
      <c r="AG169" s="548"/>
      <c r="AH169" s="548"/>
      <c r="AI169" s="548"/>
      <c r="AJ169" s="548"/>
      <c r="AK169" s="548"/>
      <c r="AL169" s="548"/>
      <c r="AM169" s="548"/>
      <c r="AN169" s="1673" t="s">
        <v>789</v>
      </c>
      <c r="AO169" s="1674" t="s">
        <v>795</v>
      </c>
    </row>
    <row r="170" spans="1:42" ht="15.75" x14ac:dyDescent="0.25">
      <c r="B170" s="1765" t="s">
        <v>113</v>
      </c>
      <c r="C170" s="1766"/>
      <c r="D170" s="1767"/>
      <c r="E170" s="87"/>
      <c r="F170" s="548"/>
      <c r="G170" s="255"/>
      <c r="H170" s="1666"/>
      <c r="I170" s="1672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48"/>
      <c r="W170" s="548"/>
      <c r="X170" s="548"/>
      <c r="Y170" s="548"/>
      <c r="Z170" s="548"/>
      <c r="AA170" s="548"/>
      <c r="AB170" s="548"/>
      <c r="AC170" s="548"/>
      <c r="AD170" s="548"/>
      <c r="AE170" s="548"/>
      <c r="AF170" s="548"/>
      <c r="AG170" s="548"/>
      <c r="AH170" s="548"/>
      <c r="AI170" s="548"/>
      <c r="AJ170" s="548"/>
      <c r="AK170" s="548"/>
      <c r="AL170" s="548"/>
      <c r="AM170" s="548"/>
      <c r="AN170" s="255"/>
      <c r="AO170" s="88"/>
      <c r="AP170" s="6"/>
    </row>
    <row r="171" spans="1:42" ht="15.75" x14ac:dyDescent="0.25">
      <c r="B171" s="1768"/>
      <c r="C171" s="1769"/>
      <c r="D171" s="1770"/>
      <c r="E171" s="93" t="s">
        <v>801</v>
      </c>
      <c r="F171" s="550">
        <f>F174+F175+F176+F177+F178+F179</f>
        <v>1950000</v>
      </c>
      <c r="G171" s="617">
        <v>2950000</v>
      </c>
      <c r="H171" s="617">
        <f>H174+H175+H176+H177+H178+H179</f>
        <v>3650000</v>
      </c>
      <c r="I171" s="550"/>
      <c r="J171" s="550"/>
      <c r="K171" s="550"/>
      <c r="L171" s="550"/>
      <c r="M171" s="550"/>
      <c r="N171" s="550"/>
      <c r="O171" s="550"/>
      <c r="P171" s="550"/>
      <c r="Q171" s="550"/>
      <c r="R171" s="550"/>
      <c r="S171" s="550"/>
      <c r="T171" s="550"/>
      <c r="U171" s="550"/>
      <c r="V171" s="550"/>
      <c r="W171" s="550"/>
      <c r="X171" s="550"/>
      <c r="Y171" s="550"/>
      <c r="Z171" s="550"/>
      <c r="AA171" s="550"/>
      <c r="AB171" s="550"/>
      <c r="AC171" s="550"/>
      <c r="AD171" s="550"/>
      <c r="AE171" s="550"/>
      <c r="AF171" s="550"/>
      <c r="AG171" s="550"/>
      <c r="AH171" s="550"/>
      <c r="AI171" s="550"/>
      <c r="AJ171" s="550"/>
      <c r="AK171" s="550"/>
      <c r="AL171" s="550"/>
      <c r="AM171" s="550"/>
      <c r="AN171" s="519">
        <f>H171-F171</f>
        <v>1700000</v>
      </c>
      <c r="AO171" s="88"/>
      <c r="AP171" s="6"/>
    </row>
    <row r="172" spans="1:42" ht="12.75" customHeight="1" thickBot="1" x14ac:dyDescent="0.25">
      <c r="B172" s="1771"/>
      <c r="C172" s="1772"/>
      <c r="D172" s="1773"/>
      <c r="E172" s="90"/>
      <c r="F172" s="84"/>
      <c r="G172" s="1665"/>
      <c r="H172" s="1665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1665"/>
      <c r="AO172" s="89"/>
      <c r="AP172" s="6"/>
    </row>
    <row r="173" spans="1:42" x14ac:dyDescent="0.2">
      <c r="B173" s="88"/>
      <c r="C173" s="6"/>
      <c r="D173" s="81"/>
      <c r="E173" s="102"/>
      <c r="F173" s="444"/>
      <c r="G173" s="255"/>
      <c r="H173" s="255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255"/>
    </row>
    <row r="174" spans="1:42" x14ac:dyDescent="0.2">
      <c r="B174" s="88" t="s">
        <v>790</v>
      </c>
      <c r="C174" s="6"/>
      <c r="D174" s="81"/>
      <c r="E174" s="88"/>
      <c r="F174" s="445">
        <v>150000</v>
      </c>
      <c r="G174" s="1666"/>
      <c r="H174" s="616">
        <v>150000</v>
      </c>
      <c r="I174" s="570"/>
      <c r="J174" s="570"/>
      <c r="K174" s="570"/>
      <c r="L174" s="570"/>
      <c r="M174" s="570"/>
      <c r="N174" s="570"/>
      <c r="O174" s="570"/>
      <c r="P174" s="570"/>
      <c r="Q174" s="570"/>
      <c r="R174" s="570"/>
      <c r="S174" s="570"/>
      <c r="T174" s="570"/>
      <c r="U174" s="570"/>
      <c r="V174" s="570"/>
      <c r="W174" s="570"/>
      <c r="X174" s="570"/>
      <c r="Y174" s="570"/>
      <c r="Z174" s="570"/>
      <c r="AA174" s="570"/>
      <c r="AB174" s="570"/>
      <c r="AC174" s="570"/>
      <c r="AD174" s="570"/>
      <c r="AE174" s="570"/>
      <c r="AF174" s="570"/>
      <c r="AG174" s="570"/>
      <c r="AH174" s="570"/>
      <c r="AI174" s="570"/>
      <c r="AJ174" s="570"/>
      <c r="AK174" s="570"/>
      <c r="AL174" s="570"/>
      <c r="AM174" s="570"/>
      <c r="AN174" s="6"/>
      <c r="AO174" s="1667" t="s">
        <v>1406</v>
      </c>
    </row>
    <row r="175" spans="1:42" x14ac:dyDescent="0.2">
      <c r="B175" s="88" t="s">
        <v>791</v>
      </c>
      <c r="C175" s="6"/>
      <c r="D175" s="81"/>
      <c r="E175" s="88"/>
      <c r="F175" s="445">
        <v>200000</v>
      </c>
      <c r="G175" s="1666"/>
      <c r="H175" s="616">
        <v>200000</v>
      </c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/>
      <c r="W175" s="570"/>
      <c r="X175" s="570"/>
      <c r="Y175" s="570"/>
      <c r="Z175" s="570"/>
      <c r="AA175" s="570"/>
      <c r="AB175" s="570"/>
      <c r="AC175" s="570"/>
      <c r="AD175" s="570"/>
      <c r="AE175" s="570"/>
      <c r="AF175" s="570"/>
      <c r="AG175" s="570"/>
      <c r="AH175" s="570"/>
      <c r="AI175" s="570"/>
      <c r="AJ175" s="570"/>
      <c r="AK175" s="570"/>
      <c r="AL175" s="570"/>
      <c r="AM175" s="570"/>
      <c r="AN175" s="6"/>
      <c r="AO175" s="73" t="s">
        <v>1400</v>
      </c>
    </row>
    <row r="176" spans="1:42" x14ac:dyDescent="0.2">
      <c r="B176" s="88" t="s">
        <v>792</v>
      </c>
      <c r="C176" s="6"/>
      <c r="D176" s="81"/>
      <c r="E176" s="88"/>
      <c r="F176" s="445">
        <v>100000</v>
      </c>
      <c r="G176" s="1666"/>
      <c r="H176" s="616">
        <v>100000</v>
      </c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0"/>
      <c r="W176" s="570"/>
      <c r="X176" s="570"/>
      <c r="Y176" s="570"/>
      <c r="Z176" s="570"/>
      <c r="AA176" s="570"/>
      <c r="AB176" s="570"/>
      <c r="AC176" s="570"/>
      <c r="AD176" s="570"/>
      <c r="AE176" s="570"/>
      <c r="AF176" s="570"/>
      <c r="AG176" s="570"/>
      <c r="AH176" s="570"/>
      <c r="AI176" s="570"/>
      <c r="AJ176" s="570"/>
      <c r="AK176" s="570"/>
      <c r="AL176" s="570"/>
      <c r="AM176" s="570"/>
      <c r="AN176" s="6"/>
      <c r="AO176" s="73" t="s">
        <v>1401</v>
      </c>
    </row>
    <row r="177" spans="2:41" x14ac:dyDescent="0.2">
      <c r="B177" s="88" t="s">
        <v>796</v>
      </c>
      <c r="C177" s="6"/>
      <c r="D177" s="81"/>
      <c r="E177" s="28">
        <v>500000</v>
      </c>
      <c r="F177" s="445">
        <v>700000</v>
      </c>
      <c r="G177" s="616">
        <v>1200000</v>
      </c>
      <c r="H177" s="616">
        <v>1300000</v>
      </c>
      <c r="I177" s="570"/>
      <c r="J177" s="570"/>
      <c r="K177" s="570"/>
      <c r="L177" s="570"/>
      <c r="M177" s="570"/>
      <c r="N177" s="570"/>
      <c r="O177" s="570"/>
      <c r="P177" s="570"/>
      <c r="Q177" s="570"/>
      <c r="R177" s="570"/>
      <c r="S177" s="570"/>
      <c r="T177" s="570"/>
      <c r="U177" s="570"/>
      <c r="V177" s="570"/>
      <c r="W177" s="570"/>
      <c r="X177" s="570"/>
      <c r="Y177" s="570"/>
      <c r="Z177" s="570"/>
      <c r="AA177" s="570"/>
      <c r="AB177" s="570"/>
      <c r="AC177" s="570"/>
      <c r="AD177" s="570"/>
      <c r="AE177" s="570"/>
      <c r="AF177" s="570"/>
      <c r="AG177" s="570"/>
      <c r="AH177" s="570"/>
      <c r="AI177" s="570"/>
      <c r="AJ177" s="570"/>
      <c r="AK177" s="570"/>
      <c r="AL177" s="570"/>
      <c r="AM177" s="570"/>
      <c r="AN177" s="6"/>
      <c r="AO177" s="73" t="s">
        <v>1402</v>
      </c>
    </row>
    <row r="178" spans="2:41" x14ac:dyDescent="0.2">
      <c r="B178" s="88" t="s">
        <v>797</v>
      </c>
      <c r="C178" s="6"/>
      <c r="D178" s="81"/>
      <c r="E178" s="28">
        <v>500000</v>
      </c>
      <c r="F178" s="445">
        <v>700000</v>
      </c>
      <c r="G178" s="616">
        <v>1200000</v>
      </c>
      <c r="H178" s="616">
        <v>1500000</v>
      </c>
      <c r="I178" s="570"/>
      <c r="J178" s="570"/>
      <c r="K178" s="570"/>
      <c r="L178" s="570"/>
      <c r="M178" s="570"/>
      <c r="N178" s="570"/>
      <c r="O178" s="570"/>
      <c r="P178" s="570"/>
      <c r="Q178" s="570"/>
      <c r="R178" s="570"/>
      <c r="S178" s="570"/>
      <c r="T178" s="570"/>
      <c r="U178" s="570"/>
      <c r="V178" s="570"/>
      <c r="W178" s="570"/>
      <c r="X178" s="570"/>
      <c r="Y178" s="570"/>
      <c r="Z178" s="570"/>
      <c r="AA178" s="570"/>
      <c r="AB178" s="570"/>
      <c r="AC178" s="570"/>
      <c r="AD178" s="570"/>
      <c r="AE178" s="570"/>
      <c r="AF178" s="570"/>
      <c r="AG178" s="570"/>
      <c r="AH178" s="570"/>
      <c r="AI178" s="570"/>
      <c r="AJ178" s="570"/>
      <c r="AK178" s="570"/>
      <c r="AL178" s="570"/>
      <c r="AM178" s="570"/>
      <c r="AN178" s="6"/>
      <c r="AO178" s="73" t="s">
        <v>1403</v>
      </c>
    </row>
    <row r="179" spans="2:41" x14ac:dyDescent="0.2">
      <c r="B179" s="88" t="s">
        <v>798</v>
      </c>
      <c r="C179" s="6"/>
      <c r="D179" s="81"/>
      <c r="E179" s="88"/>
      <c r="F179" s="445">
        <v>100000</v>
      </c>
      <c r="G179" s="1666"/>
      <c r="H179" s="616">
        <v>400000</v>
      </c>
      <c r="I179" s="570"/>
      <c r="J179" s="570"/>
      <c r="K179" s="570"/>
      <c r="L179" s="570"/>
      <c r="M179" s="570"/>
      <c r="N179" s="570"/>
      <c r="O179" s="570"/>
      <c r="P179" s="570"/>
      <c r="Q179" s="570"/>
      <c r="R179" s="570"/>
      <c r="S179" s="570"/>
      <c r="T179" s="570"/>
      <c r="U179" s="570"/>
      <c r="V179" s="570"/>
      <c r="W179" s="570"/>
      <c r="X179" s="570"/>
      <c r="Y179" s="570"/>
      <c r="Z179" s="570"/>
      <c r="AA179" s="570"/>
      <c r="AB179" s="570"/>
      <c r="AC179" s="570"/>
      <c r="AD179" s="570"/>
      <c r="AE179" s="570"/>
      <c r="AF179" s="570"/>
      <c r="AG179" s="570"/>
      <c r="AH179" s="570"/>
      <c r="AI179" s="570"/>
      <c r="AJ179" s="570"/>
      <c r="AK179" s="570"/>
      <c r="AL179" s="570"/>
      <c r="AM179" s="570"/>
      <c r="AN179" s="6"/>
      <c r="AO179" s="73" t="s">
        <v>1402</v>
      </c>
    </row>
    <row r="180" spans="2:41" ht="13.5" thickBot="1" x14ac:dyDescent="0.25">
      <c r="B180" s="89"/>
      <c r="C180" s="90"/>
      <c r="D180" s="84"/>
      <c r="E180" s="89"/>
      <c r="F180" s="552"/>
      <c r="G180" s="1665"/>
      <c r="H180" s="1665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1665"/>
    </row>
    <row r="181" spans="2:41" ht="12.75" customHeight="1" x14ac:dyDescent="0.2">
      <c r="B181" s="1765" t="s">
        <v>70</v>
      </c>
      <c r="C181" s="1766"/>
      <c r="D181" s="1767"/>
      <c r="E181" s="3"/>
      <c r="F181" s="23"/>
      <c r="G181" s="255"/>
      <c r="H181" s="255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255"/>
    </row>
    <row r="182" spans="2:41" ht="15" x14ac:dyDescent="0.25">
      <c r="B182" s="1768"/>
      <c r="C182" s="1769"/>
      <c r="D182" s="1770"/>
      <c r="E182" s="6"/>
      <c r="F182" s="553">
        <f>F185+F186+F187+F188</f>
        <v>375000</v>
      </c>
      <c r="G182" s="617">
        <v>375000</v>
      </c>
      <c r="H182" s="617">
        <v>525000</v>
      </c>
      <c r="I182" s="554"/>
      <c r="J182" s="554"/>
      <c r="K182" s="554"/>
      <c r="L182" s="554"/>
      <c r="M182" s="554"/>
      <c r="N182" s="554"/>
      <c r="O182" s="554"/>
      <c r="P182" s="554"/>
      <c r="Q182" s="554"/>
      <c r="R182" s="554"/>
      <c r="S182" s="554"/>
      <c r="T182" s="554"/>
      <c r="U182" s="554"/>
      <c r="V182" s="554"/>
      <c r="W182" s="554"/>
      <c r="X182" s="554"/>
      <c r="Y182" s="554"/>
      <c r="Z182" s="554"/>
      <c r="AA182" s="554"/>
      <c r="AB182" s="554"/>
      <c r="AC182" s="554"/>
      <c r="AD182" s="554"/>
      <c r="AE182" s="554"/>
      <c r="AF182" s="554"/>
      <c r="AG182" s="554"/>
      <c r="AH182" s="554"/>
      <c r="AI182" s="554"/>
      <c r="AJ182" s="554"/>
      <c r="AK182" s="554"/>
      <c r="AL182" s="554"/>
      <c r="AM182" s="554"/>
      <c r="AN182" s="519">
        <f>H182-F182</f>
        <v>150000</v>
      </c>
    </row>
    <row r="183" spans="2:41" ht="12.75" customHeight="1" thickBot="1" x14ac:dyDescent="0.25">
      <c r="B183" s="1771"/>
      <c r="C183" s="1772"/>
      <c r="D183" s="1773"/>
      <c r="E183" s="6"/>
      <c r="F183" s="445"/>
      <c r="G183" s="1665"/>
      <c r="H183" s="1665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1665"/>
    </row>
    <row r="184" spans="2:41" x14ac:dyDescent="0.2">
      <c r="B184" s="88"/>
      <c r="C184" s="6"/>
      <c r="D184" s="81"/>
      <c r="E184" s="102"/>
      <c r="F184" s="444"/>
      <c r="G184" s="255"/>
      <c r="H184" s="255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1663"/>
    </row>
    <row r="185" spans="2:41" x14ac:dyDescent="0.2">
      <c r="B185" s="88" t="s">
        <v>793</v>
      </c>
      <c r="C185" s="6"/>
      <c r="D185" s="81"/>
      <c r="E185" s="88"/>
      <c r="F185" s="445">
        <v>75000</v>
      </c>
      <c r="G185" s="1666"/>
      <c r="H185" s="616">
        <v>100000</v>
      </c>
      <c r="I185" s="570"/>
      <c r="J185" s="570"/>
      <c r="K185" s="570"/>
      <c r="L185" s="570"/>
      <c r="M185" s="570"/>
      <c r="N185" s="570"/>
      <c r="O185" s="570"/>
      <c r="P185" s="570"/>
      <c r="Q185" s="570"/>
      <c r="R185" s="570"/>
      <c r="S185" s="570"/>
      <c r="T185" s="570"/>
      <c r="U185" s="570"/>
      <c r="V185" s="570"/>
      <c r="W185" s="570"/>
      <c r="X185" s="570"/>
      <c r="Y185" s="570"/>
      <c r="Z185" s="570"/>
      <c r="AA185" s="570"/>
      <c r="AB185" s="570"/>
      <c r="AC185" s="570"/>
      <c r="AD185" s="570"/>
      <c r="AE185" s="570"/>
      <c r="AF185" s="570"/>
      <c r="AG185" s="570"/>
      <c r="AH185" s="570"/>
      <c r="AI185" s="570"/>
      <c r="AJ185" s="570"/>
      <c r="AK185" s="570"/>
      <c r="AL185" s="570"/>
      <c r="AM185" s="570"/>
      <c r="AN185" s="6"/>
      <c r="AO185" s="905" t="s">
        <v>1407</v>
      </c>
    </row>
    <row r="186" spans="2:41" x14ac:dyDescent="0.2">
      <c r="B186" s="88" t="s">
        <v>794</v>
      </c>
      <c r="C186" s="6"/>
      <c r="D186" s="81"/>
      <c r="E186" s="88"/>
      <c r="F186" s="445">
        <v>75000</v>
      </c>
      <c r="G186" s="1666"/>
      <c r="H186" s="616">
        <v>100000</v>
      </c>
      <c r="I186" s="570"/>
      <c r="J186" s="570"/>
      <c r="K186" s="570"/>
      <c r="L186" s="570"/>
      <c r="M186" s="570"/>
      <c r="N186" s="570"/>
      <c r="O186" s="570"/>
      <c r="P186" s="570"/>
      <c r="Q186" s="570"/>
      <c r="R186" s="570"/>
      <c r="S186" s="570"/>
      <c r="T186" s="570"/>
      <c r="U186" s="570"/>
      <c r="V186" s="570"/>
      <c r="W186" s="570"/>
      <c r="X186" s="570"/>
      <c r="Y186" s="570"/>
      <c r="Z186" s="570"/>
      <c r="AA186" s="570"/>
      <c r="AB186" s="570"/>
      <c r="AC186" s="570"/>
      <c r="AD186" s="570"/>
      <c r="AE186" s="570"/>
      <c r="AF186" s="570"/>
      <c r="AG186" s="570"/>
      <c r="AH186" s="570"/>
      <c r="AI186" s="570"/>
      <c r="AJ186" s="570"/>
      <c r="AK186" s="570"/>
      <c r="AL186" s="570"/>
      <c r="AM186" s="570"/>
      <c r="AN186" s="6"/>
      <c r="AO186" s="73" t="s">
        <v>1404</v>
      </c>
    </row>
    <row r="187" spans="2:41" x14ac:dyDescent="0.2">
      <c r="B187" s="88" t="s">
        <v>796</v>
      </c>
      <c r="C187" s="6"/>
      <c r="D187" s="81"/>
      <c r="E187" s="88"/>
      <c r="F187" s="445">
        <v>200000</v>
      </c>
      <c r="G187" s="1666"/>
      <c r="H187" s="616">
        <v>300000</v>
      </c>
      <c r="I187" s="570"/>
      <c r="J187" s="570"/>
      <c r="K187" s="570"/>
      <c r="L187" s="570"/>
      <c r="M187" s="570"/>
      <c r="N187" s="570"/>
      <c r="O187" s="570"/>
      <c r="P187" s="570"/>
      <c r="Q187" s="570"/>
      <c r="R187" s="570"/>
      <c r="S187" s="570"/>
      <c r="T187" s="570"/>
      <c r="U187" s="570"/>
      <c r="V187" s="570"/>
      <c r="W187" s="570"/>
      <c r="X187" s="570"/>
      <c r="Y187" s="570"/>
      <c r="Z187" s="570"/>
      <c r="AA187" s="570"/>
      <c r="AB187" s="570"/>
      <c r="AC187" s="570"/>
      <c r="AD187" s="570"/>
      <c r="AE187" s="570"/>
      <c r="AF187" s="570"/>
      <c r="AG187" s="570"/>
      <c r="AH187" s="570"/>
      <c r="AI187" s="570"/>
      <c r="AJ187" s="570"/>
      <c r="AK187" s="570"/>
      <c r="AL187" s="570"/>
      <c r="AM187" s="570"/>
      <c r="AN187" s="6"/>
      <c r="AO187" s="73" t="s">
        <v>1405</v>
      </c>
    </row>
    <row r="188" spans="2:41" x14ac:dyDescent="0.2">
      <c r="B188" s="88" t="s">
        <v>798</v>
      </c>
      <c r="C188" s="6"/>
      <c r="D188" s="81"/>
      <c r="E188" s="88"/>
      <c r="F188" s="445">
        <v>25000</v>
      </c>
      <c r="G188" s="1666"/>
      <c r="H188" s="616">
        <v>25000</v>
      </c>
      <c r="I188" s="570"/>
      <c r="J188" s="570"/>
      <c r="K188" s="570"/>
      <c r="L188" s="570"/>
      <c r="M188" s="570"/>
      <c r="N188" s="570"/>
      <c r="O188" s="570"/>
      <c r="P188" s="570"/>
      <c r="Q188" s="570"/>
      <c r="R188" s="570"/>
      <c r="S188" s="570"/>
      <c r="T188" s="570"/>
      <c r="U188" s="570"/>
      <c r="V188" s="570"/>
      <c r="W188" s="570"/>
      <c r="X188" s="570"/>
      <c r="Y188" s="570"/>
      <c r="Z188" s="570"/>
      <c r="AA188" s="570"/>
      <c r="AB188" s="570"/>
      <c r="AC188" s="570"/>
      <c r="AD188" s="570"/>
      <c r="AE188" s="570"/>
      <c r="AF188" s="570"/>
      <c r="AG188" s="570"/>
      <c r="AH188" s="570"/>
      <c r="AI188" s="570"/>
      <c r="AJ188" s="570"/>
      <c r="AK188" s="570"/>
      <c r="AL188" s="570"/>
      <c r="AM188" s="570"/>
      <c r="AN188" s="6"/>
      <c r="AO188" s="905" t="s">
        <v>1408</v>
      </c>
    </row>
    <row r="189" spans="2:41" ht="13.5" thickBot="1" x14ac:dyDescent="0.25">
      <c r="B189" s="89"/>
      <c r="C189" s="90"/>
      <c r="D189" s="84"/>
      <c r="E189" s="89"/>
      <c r="F189" s="552"/>
      <c r="G189" s="1665"/>
      <c r="H189" s="1665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1664"/>
    </row>
    <row r="190" spans="2:41" ht="12.75" customHeight="1" x14ac:dyDescent="0.2">
      <c r="B190" s="1765" t="s">
        <v>72</v>
      </c>
      <c r="C190" s="1766"/>
      <c r="D190" s="1767"/>
      <c r="E190" s="3"/>
      <c r="F190" s="23"/>
      <c r="G190" s="255"/>
      <c r="H190" s="255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255"/>
    </row>
    <row r="191" spans="2:41" ht="15" x14ac:dyDescent="0.25">
      <c r="B191" s="1768"/>
      <c r="C191" s="1769"/>
      <c r="D191" s="1770"/>
      <c r="E191" s="6"/>
      <c r="F191" s="553">
        <f>F194+F195+F196+F197</f>
        <v>425000</v>
      </c>
      <c r="G191" s="617">
        <v>375000</v>
      </c>
      <c r="H191" s="617">
        <v>425000</v>
      </c>
      <c r="I191" s="554"/>
      <c r="J191" s="554"/>
      <c r="K191" s="554"/>
      <c r="L191" s="554"/>
      <c r="M191" s="554"/>
      <c r="N191" s="554"/>
      <c r="O191" s="554"/>
      <c r="P191" s="554"/>
      <c r="Q191" s="554"/>
      <c r="R191" s="554"/>
      <c r="S191" s="554"/>
      <c r="T191" s="554"/>
      <c r="U191" s="554"/>
      <c r="V191" s="554"/>
      <c r="W191" s="554"/>
      <c r="X191" s="554"/>
      <c r="Y191" s="554"/>
      <c r="Z191" s="554"/>
      <c r="AA191" s="554"/>
      <c r="AB191" s="554"/>
      <c r="AC191" s="554"/>
      <c r="AD191" s="554"/>
      <c r="AE191" s="554"/>
      <c r="AF191" s="554"/>
      <c r="AG191" s="554"/>
      <c r="AH191" s="554"/>
      <c r="AI191" s="554"/>
      <c r="AJ191" s="554"/>
      <c r="AK191" s="554"/>
      <c r="AL191" s="554"/>
      <c r="AM191" s="554"/>
      <c r="AN191" s="519">
        <f>H191-F191</f>
        <v>0</v>
      </c>
    </row>
    <row r="192" spans="2:41" ht="12.75" customHeight="1" thickBot="1" x14ac:dyDescent="0.25">
      <c r="B192" s="1771"/>
      <c r="C192" s="1772"/>
      <c r="D192" s="1773"/>
      <c r="E192" s="6"/>
      <c r="F192" s="445"/>
      <c r="G192" s="1665"/>
      <c r="H192" s="1665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1665"/>
    </row>
    <row r="193" spans="2:41" x14ac:dyDescent="0.2">
      <c r="B193" s="88"/>
      <c r="C193" s="6"/>
      <c r="D193" s="81"/>
      <c r="E193" s="102"/>
      <c r="F193" s="444"/>
      <c r="G193" s="255"/>
      <c r="H193" s="255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255"/>
    </row>
    <row r="194" spans="2:41" x14ac:dyDescent="0.2">
      <c r="B194" s="88" t="s">
        <v>793</v>
      </c>
      <c r="C194" s="6"/>
      <c r="D194" s="81"/>
      <c r="E194" s="88"/>
      <c r="F194" s="445">
        <v>100000</v>
      </c>
      <c r="G194" s="1666"/>
      <c r="H194" s="616">
        <v>100000</v>
      </c>
      <c r="I194" s="570"/>
      <c r="J194" s="570"/>
      <c r="K194" s="570"/>
      <c r="L194" s="570"/>
      <c r="M194" s="570"/>
      <c r="N194" s="570"/>
      <c r="O194" s="570"/>
      <c r="P194" s="570"/>
      <c r="Q194" s="570"/>
      <c r="R194" s="570"/>
      <c r="S194" s="570"/>
      <c r="T194" s="570"/>
      <c r="U194" s="570"/>
      <c r="V194" s="570"/>
      <c r="W194" s="570"/>
      <c r="X194" s="570"/>
      <c r="Y194" s="570"/>
      <c r="Z194" s="570"/>
      <c r="AA194" s="570"/>
      <c r="AB194" s="570"/>
      <c r="AC194" s="570"/>
      <c r="AD194" s="570"/>
      <c r="AE194" s="570"/>
      <c r="AF194" s="570"/>
      <c r="AG194" s="570"/>
      <c r="AH194" s="570"/>
      <c r="AI194" s="570"/>
      <c r="AJ194" s="570"/>
      <c r="AK194" s="570"/>
      <c r="AL194" s="570"/>
      <c r="AM194" s="570"/>
      <c r="AN194" s="6"/>
      <c r="AO194" s="1666"/>
    </row>
    <row r="195" spans="2:41" x14ac:dyDescent="0.2">
      <c r="B195" s="88" t="s">
        <v>794</v>
      </c>
      <c r="C195" s="6"/>
      <c r="D195" s="81"/>
      <c r="E195" s="88"/>
      <c r="F195" s="445"/>
      <c r="G195" s="1666"/>
      <c r="H195" s="1666"/>
      <c r="I195" s="570"/>
      <c r="J195" s="570"/>
      <c r="K195" s="570"/>
      <c r="L195" s="570"/>
      <c r="M195" s="570"/>
      <c r="N195" s="570"/>
      <c r="O195" s="570"/>
      <c r="P195" s="570"/>
      <c r="Q195" s="570"/>
      <c r="R195" s="570"/>
      <c r="S195" s="570"/>
      <c r="T195" s="570"/>
      <c r="U195" s="570"/>
      <c r="V195" s="570"/>
      <c r="W195" s="570"/>
      <c r="X195" s="570"/>
      <c r="Y195" s="570"/>
      <c r="Z195" s="570"/>
      <c r="AA195" s="570"/>
      <c r="AB195" s="570"/>
      <c r="AC195" s="570"/>
      <c r="AD195" s="570"/>
      <c r="AE195" s="570"/>
      <c r="AF195" s="570"/>
      <c r="AG195" s="570"/>
      <c r="AH195" s="570"/>
      <c r="AI195" s="570"/>
      <c r="AJ195" s="570"/>
      <c r="AK195" s="570"/>
      <c r="AL195" s="570"/>
      <c r="AM195" s="570"/>
      <c r="AN195" s="6"/>
      <c r="AO195" s="1666"/>
    </row>
    <row r="196" spans="2:41" x14ac:dyDescent="0.2">
      <c r="B196" s="88" t="s">
        <v>796</v>
      </c>
      <c r="C196" s="6"/>
      <c r="D196" s="81"/>
      <c r="E196" s="88"/>
      <c r="F196" s="445">
        <v>300000</v>
      </c>
      <c r="G196" s="1666"/>
      <c r="H196" s="616">
        <v>300000</v>
      </c>
      <c r="I196" s="570"/>
      <c r="J196" s="570"/>
      <c r="K196" s="570"/>
      <c r="L196" s="570"/>
      <c r="M196" s="570"/>
      <c r="N196" s="570"/>
      <c r="O196" s="570"/>
      <c r="P196" s="570"/>
      <c r="Q196" s="570"/>
      <c r="R196" s="570"/>
      <c r="S196" s="570"/>
      <c r="T196" s="570"/>
      <c r="U196" s="570"/>
      <c r="V196" s="570"/>
      <c r="W196" s="570"/>
      <c r="X196" s="570"/>
      <c r="Y196" s="570"/>
      <c r="Z196" s="570"/>
      <c r="AA196" s="570"/>
      <c r="AB196" s="570"/>
      <c r="AC196" s="570"/>
      <c r="AD196" s="570"/>
      <c r="AE196" s="570"/>
      <c r="AF196" s="570"/>
      <c r="AG196" s="570"/>
      <c r="AH196" s="570"/>
      <c r="AI196" s="570"/>
      <c r="AJ196" s="570"/>
      <c r="AK196" s="570"/>
      <c r="AL196" s="570"/>
      <c r="AM196" s="570"/>
      <c r="AN196" s="6"/>
      <c r="AO196" s="1666"/>
    </row>
    <row r="197" spans="2:41" x14ac:dyDescent="0.2">
      <c r="B197" s="88" t="s">
        <v>798</v>
      </c>
      <c r="C197" s="6"/>
      <c r="D197" s="81"/>
      <c r="E197" s="88"/>
      <c r="F197" s="445">
        <v>25000</v>
      </c>
      <c r="G197" s="1666"/>
      <c r="H197" s="616">
        <v>25000</v>
      </c>
      <c r="I197" s="570"/>
      <c r="J197" s="570"/>
      <c r="K197" s="570"/>
      <c r="L197" s="570"/>
      <c r="M197" s="570"/>
      <c r="N197" s="570"/>
      <c r="O197" s="570"/>
      <c r="P197" s="570"/>
      <c r="Q197" s="570"/>
      <c r="R197" s="570"/>
      <c r="S197" s="570"/>
      <c r="T197" s="570"/>
      <c r="U197" s="570"/>
      <c r="V197" s="570"/>
      <c r="W197" s="570"/>
      <c r="X197" s="570"/>
      <c r="Y197" s="570"/>
      <c r="Z197" s="570"/>
      <c r="AA197" s="570"/>
      <c r="AB197" s="570"/>
      <c r="AC197" s="570"/>
      <c r="AD197" s="570"/>
      <c r="AE197" s="570"/>
      <c r="AF197" s="570"/>
      <c r="AG197" s="570"/>
      <c r="AH197" s="570"/>
      <c r="AI197" s="570"/>
      <c r="AJ197" s="570"/>
      <c r="AK197" s="570"/>
      <c r="AL197" s="570"/>
      <c r="AM197" s="570"/>
      <c r="AN197" s="6"/>
      <c r="AO197" s="1666"/>
    </row>
    <row r="198" spans="2:41" ht="13.5" thickBot="1" x14ac:dyDescent="0.25">
      <c r="B198" s="89"/>
      <c r="C198" s="90"/>
      <c r="D198" s="84"/>
      <c r="E198" s="89"/>
      <c r="F198" s="552"/>
      <c r="G198" s="1665"/>
      <c r="H198" s="1665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1665"/>
    </row>
    <row r="199" spans="2:41" ht="12.75" customHeight="1" x14ac:dyDescent="0.2">
      <c r="B199" s="1765" t="s">
        <v>330</v>
      </c>
      <c r="C199" s="1766"/>
      <c r="D199" s="1767"/>
      <c r="E199" s="3"/>
      <c r="F199" s="23"/>
      <c r="G199" s="255"/>
      <c r="H199" s="255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255"/>
    </row>
    <row r="200" spans="2:41" ht="15" x14ac:dyDescent="0.25">
      <c r="B200" s="1768"/>
      <c r="C200" s="1769"/>
      <c r="D200" s="1770"/>
      <c r="E200" s="6"/>
      <c r="F200" s="553">
        <f>F203+F204+F205+F206</f>
        <v>1020000</v>
      </c>
      <c r="G200" s="617">
        <v>1020000</v>
      </c>
      <c r="H200" s="617">
        <v>1020000</v>
      </c>
      <c r="I200" s="553"/>
      <c r="J200" s="553"/>
      <c r="K200" s="553"/>
      <c r="L200" s="553"/>
      <c r="M200" s="553"/>
      <c r="N200" s="553"/>
      <c r="O200" s="553"/>
      <c r="P200" s="553"/>
      <c r="Q200" s="553"/>
      <c r="R200" s="553"/>
      <c r="S200" s="553"/>
      <c r="T200" s="553"/>
      <c r="U200" s="553"/>
      <c r="V200" s="553"/>
      <c r="W200" s="553"/>
      <c r="X200" s="553"/>
      <c r="Y200" s="553"/>
      <c r="Z200" s="553"/>
      <c r="AA200" s="553"/>
      <c r="AB200" s="553"/>
      <c r="AC200" s="553"/>
      <c r="AD200" s="553"/>
      <c r="AE200" s="553"/>
      <c r="AF200" s="553"/>
      <c r="AG200" s="553"/>
      <c r="AH200" s="553"/>
      <c r="AI200" s="553"/>
      <c r="AJ200" s="553"/>
      <c r="AK200" s="553"/>
      <c r="AL200" s="553"/>
      <c r="AM200" s="553"/>
      <c r="AN200" s="519">
        <f>H200-F200</f>
        <v>0</v>
      </c>
    </row>
    <row r="201" spans="2:41" ht="12.75" customHeight="1" thickBot="1" x14ac:dyDescent="0.25">
      <c r="B201" s="1771"/>
      <c r="C201" s="1772"/>
      <c r="D201" s="1773"/>
      <c r="E201" s="6"/>
      <c r="F201" s="445"/>
      <c r="G201" s="1665"/>
      <c r="H201" s="1665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1665"/>
    </row>
    <row r="202" spans="2:41" x14ac:dyDescent="0.2">
      <c r="B202" s="88"/>
      <c r="C202" s="6"/>
      <c r="D202" s="81"/>
      <c r="E202" s="102"/>
      <c r="F202" s="444"/>
      <c r="G202" s="255"/>
      <c r="H202" s="255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1663"/>
    </row>
    <row r="203" spans="2:41" x14ac:dyDescent="0.2">
      <c r="B203" s="88" t="s">
        <v>793</v>
      </c>
      <c r="C203" s="6"/>
      <c r="D203" s="81"/>
      <c r="E203" s="88"/>
      <c r="F203" s="445">
        <v>200000</v>
      </c>
      <c r="G203" s="1666"/>
      <c r="H203" s="616">
        <v>200000</v>
      </c>
      <c r="I203" s="570"/>
      <c r="J203" s="570"/>
      <c r="K203" s="570"/>
      <c r="L203" s="570"/>
      <c r="M203" s="570"/>
      <c r="N203" s="570"/>
      <c r="O203" s="570"/>
      <c r="P203" s="570"/>
      <c r="Q203" s="570"/>
      <c r="R203" s="570"/>
      <c r="S203" s="570"/>
      <c r="T203" s="570"/>
      <c r="U203" s="570"/>
      <c r="V203" s="570"/>
      <c r="W203" s="570"/>
      <c r="X203" s="570"/>
      <c r="Y203" s="570"/>
      <c r="Z203" s="570"/>
      <c r="AA203" s="570"/>
      <c r="AB203" s="570"/>
      <c r="AC203" s="570"/>
      <c r="AD203" s="570"/>
      <c r="AE203" s="570"/>
      <c r="AF203" s="570"/>
      <c r="AG203" s="570"/>
      <c r="AH203" s="570"/>
      <c r="AI203" s="570"/>
      <c r="AJ203" s="570"/>
      <c r="AK203" s="570"/>
      <c r="AL203" s="570"/>
      <c r="AM203" s="570"/>
      <c r="AN203" s="6"/>
      <c r="AO203" s="905" t="s">
        <v>1409</v>
      </c>
    </row>
    <row r="204" spans="2:41" x14ac:dyDescent="0.2">
      <c r="B204" s="88" t="s">
        <v>794</v>
      </c>
      <c r="C204" s="6"/>
      <c r="D204" s="81"/>
      <c r="E204" s="88"/>
      <c r="F204" s="445">
        <v>200000</v>
      </c>
      <c r="G204" s="1666"/>
      <c r="H204" s="616">
        <v>200000</v>
      </c>
      <c r="I204" s="570"/>
      <c r="J204" s="570"/>
      <c r="K204" s="570"/>
      <c r="L204" s="570"/>
      <c r="M204" s="570"/>
      <c r="N204" s="570"/>
      <c r="O204" s="570"/>
      <c r="P204" s="570"/>
      <c r="Q204" s="570"/>
      <c r="R204" s="570"/>
      <c r="S204" s="570"/>
      <c r="T204" s="570"/>
      <c r="U204" s="570"/>
      <c r="V204" s="570"/>
      <c r="W204" s="570"/>
      <c r="X204" s="570"/>
      <c r="Y204" s="570"/>
      <c r="Z204" s="570"/>
      <c r="AA204" s="570"/>
      <c r="AB204" s="570"/>
      <c r="AC204" s="570"/>
      <c r="AD204" s="570"/>
      <c r="AE204" s="570"/>
      <c r="AF204" s="570"/>
      <c r="AG204" s="570"/>
      <c r="AH204" s="570"/>
      <c r="AI204" s="570"/>
      <c r="AJ204" s="570"/>
      <c r="AK204" s="570"/>
      <c r="AL204" s="570"/>
      <c r="AM204" s="570"/>
      <c r="AN204" s="6"/>
      <c r="AO204" s="905" t="s">
        <v>1410</v>
      </c>
    </row>
    <row r="205" spans="2:41" x14ac:dyDescent="0.2">
      <c r="B205" s="88" t="s">
        <v>796</v>
      </c>
      <c r="C205" s="6"/>
      <c r="D205" s="81"/>
      <c r="E205" s="88"/>
      <c r="F205" s="445">
        <v>600000</v>
      </c>
      <c r="G205" s="1666"/>
      <c r="H205" s="616">
        <v>600000</v>
      </c>
      <c r="I205" s="570"/>
      <c r="J205" s="570"/>
      <c r="K205" s="570"/>
      <c r="L205" s="570"/>
      <c r="M205" s="570"/>
      <c r="N205" s="570"/>
      <c r="O205" s="570"/>
      <c r="P205" s="570"/>
      <c r="Q205" s="570"/>
      <c r="R205" s="570"/>
      <c r="S205" s="570"/>
      <c r="T205" s="570"/>
      <c r="U205" s="570"/>
      <c r="V205" s="570"/>
      <c r="W205" s="570"/>
      <c r="X205" s="570"/>
      <c r="Y205" s="570"/>
      <c r="Z205" s="570"/>
      <c r="AA205" s="570"/>
      <c r="AB205" s="570"/>
      <c r="AC205" s="570"/>
      <c r="AD205" s="570"/>
      <c r="AE205" s="570"/>
      <c r="AF205" s="570"/>
      <c r="AG205" s="570"/>
      <c r="AH205" s="570"/>
      <c r="AI205" s="570"/>
      <c r="AJ205" s="570"/>
      <c r="AK205" s="570"/>
      <c r="AL205" s="570"/>
      <c r="AM205" s="570"/>
      <c r="AN205" s="6"/>
      <c r="AO205" s="73" t="s">
        <v>799</v>
      </c>
    </row>
    <row r="206" spans="2:41" x14ac:dyDescent="0.2">
      <c r="B206" s="88" t="s">
        <v>798</v>
      </c>
      <c r="C206" s="6"/>
      <c r="D206" s="81"/>
      <c r="E206" s="88"/>
      <c r="F206" s="445">
        <v>20000</v>
      </c>
      <c r="G206" s="1666"/>
      <c r="H206" s="616">
        <v>20000</v>
      </c>
      <c r="I206" s="570"/>
      <c r="J206" s="570"/>
      <c r="K206" s="570"/>
      <c r="L206" s="570"/>
      <c r="M206" s="570"/>
      <c r="N206" s="570"/>
      <c r="O206" s="570"/>
      <c r="P206" s="570"/>
      <c r="Q206" s="570"/>
      <c r="R206" s="570"/>
      <c r="S206" s="570"/>
      <c r="T206" s="570"/>
      <c r="U206" s="570"/>
      <c r="V206" s="570"/>
      <c r="W206" s="570"/>
      <c r="X206" s="570"/>
      <c r="Y206" s="570"/>
      <c r="Z206" s="570"/>
      <c r="AA206" s="570"/>
      <c r="AB206" s="570"/>
      <c r="AC206" s="570"/>
      <c r="AD206" s="570"/>
      <c r="AE206" s="570"/>
      <c r="AF206" s="570"/>
      <c r="AG206" s="570"/>
      <c r="AH206" s="570"/>
      <c r="AI206" s="570"/>
      <c r="AJ206" s="570"/>
      <c r="AK206" s="570"/>
      <c r="AL206" s="570"/>
      <c r="AM206" s="570"/>
      <c r="AN206" s="6"/>
      <c r="AO206" s="73" t="s">
        <v>799</v>
      </c>
    </row>
    <row r="207" spans="2:41" ht="13.5" thickBot="1" x14ac:dyDescent="0.25">
      <c r="B207" s="88"/>
      <c r="C207" s="6"/>
      <c r="D207" s="81"/>
      <c r="E207" s="88"/>
      <c r="F207" s="445"/>
      <c r="G207" s="1666"/>
      <c r="H207" s="1666"/>
      <c r="I207" s="570"/>
      <c r="J207" s="570"/>
      <c r="K207" s="570"/>
      <c r="L207" s="570"/>
      <c r="M207" s="570"/>
      <c r="N207" s="570"/>
      <c r="O207" s="570"/>
      <c r="P207" s="570"/>
      <c r="Q207" s="570"/>
      <c r="R207" s="570"/>
      <c r="S207" s="570"/>
      <c r="T207" s="570"/>
      <c r="U207" s="570"/>
      <c r="V207" s="570"/>
      <c r="W207" s="570"/>
      <c r="X207" s="570"/>
      <c r="Y207" s="570"/>
      <c r="Z207" s="570"/>
      <c r="AA207" s="570"/>
      <c r="AB207" s="570"/>
      <c r="AC207" s="570"/>
      <c r="AD207" s="570"/>
      <c r="AE207" s="570"/>
      <c r="AF207" s="570"/>
      <c r="AG207" s="570"/>
      <c r="AH207" s="570"/>
      <c r="AI207" s="570"/>
      <c r="AJ207" s="570"/>
      <c r="AK207" s="570"/>
      <c r="AL207" s="570"/>
      <c r="AM207" s="570"/>
      <c r="AN207" s="6"/>
      <c r="AO207" s="1664"/>
    </row>
    <row r="208" spans="2:41" ht="12.75" customHeight="1" x14ac:dyDescent="0.2">
      <c r="B208" s="1765" t="s">
        <v>696</v>
      </c>
      <c r="C208" s="1766"/>
      <c r="D208" s="1767"/>
      <c r="E208" s="3"/>
      <c r="F208" s="23"/>
      <c r="G208" s="255"/>
      <c r="H208" s="255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255"/>
    </row>
    <row r="209" spans="2:42" ht="15" x14ac:dyDescent="0.25">
      <c r="B209" s="1768"/>
      <c r="C209" s="1769"/>
      <c r="D209" s="1770"/>
      <c r="E209" s="6"/>
      <c r="F209" s="553">
        <v>1500000</v>
      </c>
      <c r="G209" s="617">
        <v>500000</v>
      </c>
      <c r="H209" s="1670">
        <v>500000</v>
      </c>
      <c r="I209" s="553"/>
      <c r="J209" s="553"/>
      <c r="K209" s="553"/>
      <c r="L209" s="553"/>
      <c r="M209" s="553"/>
      <c r="N209" s="553"/>
      <c r="O209" s="553"/>
      <c r="P209" s="553"/>
      <c r="Q209" s="553"/>
      <c r="R209" s="553"/>
      <c r="S209" s="553"/>
      <c r="T209" s="553"/>
      <c r="U209" s="553"/>
      <c r="V209" s="553"/>
      <c r="W209" s="553"/>
      <c r="X209" s="553"/>
      <c r="Y209" s="553"/>
      <c r="Z209" s="553"/>
      <c r="AA209" s="553"/>
      <c r="AB209" s="553"/>
      <c r="AC209" s="553"/>
      <c r="AD209" s="553"/>
      <c r="AE209" s="553"/>
      <c r="AF209" s="553"/>
      <c r="AG209" s="553"/>
      <c r="AH209" s="553"/>
      <c r="AI209" s="553"/>
      <c r="AJ209" s="553"/>
      <c r="AK209" s="553"/>
      <c r="AL209" s="553"/>
      <c r="AM209" s="553"/>
      <c r="AN209" s="519">
        <f>H209-F209</f>
        <v>-1000000</v>
      </c>
      <c r="AO209" s="1669" t="s">
        <v>1411</v>
      </c>
    </row>
    <row r="210" spans="2:42" ht="12.75" customHeight="1" thickBot="1" x14ac:dyDescent="0.25">
      <c r="B210" s="1771"/>
      <c r="C210" s="1772"/>
      <c r="D210" s="1773"/>
      <c r="E210" s="90"/>
      <c r="F210" s="555"/>
      <c r="G210" s="1665"/>
      <c r="H210" s="1665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1665"/>
    </row>
    <row r="211" spans="2:42" ht="13.5" thickBot="1" x14ac:dyDescent="0.25">
      <c r="B211" s="88"/>
      <c r="C211" s="6"/>
      <c r="D211" s="81"/>
      <c r="E211" s="88"/>
      <c r="F211" s="445"/>
      <c r="G211" s="1666"/>
      <c r="H211" s="1666"/>
      <c r="I211" s="570"/>
      <c r="J211" s="570"/>
      <c r="K211" s="570"/>
      <c r="L211" s="570"/>
      <c r="M211" s="570"/>
      <c r="N211" s="570"/>
      <c r="O211" s="570"/>
      <c r="P211" s="570"/>
      <c r="Q211" s="570"/>
      <c r="R211" s="570"/>
      <c r="S211" s="570"/>
      <c r="T211" s="570"/>
      <c r="U211" s="570"/>
      <c r="V211" s="570"/>
      <c r="W211" s="570"/>
      <c r="X211" s="570"/>
      <c r="Y211" s="570"/>
      <c r="Z211" s="570"/>
      <c r="AA211" s="570"/>
      <c r="AB211" s="570"/>
      <c r="AC211" s="570"/>
      <c r="AD211" s="570"/>
      <c r="AE211" s="570"/>
      <c r="AF211" s="570"/>
      <c r="AG211" s="570"/>
      <c r="AH211" s="570"/>
      <c r="AI211" s="570"/>
      <c r="AJ211" s="570"/>
      <c r="AK211" s="570"/>
      <c r="AL211" s="570"/>
      <c r="AM211" s="570"/>
      <c r="AN211" s="6"/>
      <c r="AO211" s="1668"/>
      <c r="AP211" s="6"/>
    </row>
    <row r="212" spans="2:42" ht="12.75" customHeight="1" x14ac:dyDescent="0.2">
      <c r="B212" s="1765" t="s">
        <v>832</v>
      </c>
      <c r="C212" s="1766"/>
      <c r="D212" s="1767"/>
      <c r="E212" s="3"/>
      <c r="F212" s="23"/>
      <c r="G212" s="255"/>
      <c r="H212" s="255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255"/>
    </row>
    <row r="213" spans="2:42" ht="15" x14ac:dyDescent="0.25">
      <c r="B213" s="1768"/>
      <c r="C213" s="1769"/>
      <c r="D213" s="1770"/>
      <c r="E213" s="6"/>
      <c r="F213" s="553">
        <v>1600000</v>
      </c>
      <c r="G213" s="617">
        <v>1400000</v>
      </c>
      <c r="H213" s="1670">
        <v>1400000</v>
      </c>
      <c r="I213" s="553"/>
      <c r="J213" s="553"/>
      <c r="K213" s="553"/>
      <c r="L213" s="553"/>
      <c r="M213" s="553"/>
      <c r="N213" s="553"/>
      <c r="O213" s="553"/>
      <c r="P213" s="553"/>
      <c r="Q213" s="553"/>
      <c r="R213" s="553"/>
      <c r="S213" s="553"/>
      <c r="T213" s="553"/>
      <c r="U213" s="553"/>
      <c r="V213" s="553"/>
      <c r="W213" s="553"/>
      <c r="X213" s="553"/>
      <c r="Y213" s="553"/>
      <c r="Z213" s="553"/>
      <c r="AA213" s="553"/>
      <c r="AB213" s="553"/>
      <c r="AC213" s="553"/>
      <c r="AD213" s="553"/>
      <c r="AE213" s="553"/>
      <c r="AF213" s="553"/>
      <c r="AG213" s="553"/>
      <c r="AH213" s="553"/>
      <c r="AI213" s="553"/>
      <c r="AJ213" s="553"/>
      <c r="AK213" s="553"/>
      <c r="AL213" s="553"/>
      <c r="AM213" s="553"/>
      <c r="AN213" s="519">
        <f>H213-F213</f>
        <v>-200000</v>
      </c>
      <c r="AO213" s="753" t="s">
        <v>1412</v>
      </c>
    </row>
    <row r="214" spans="2:42" ht="12.75" customHeight="1" thickBot="1" x14ac:dyDescent="0.25">
      <c r="B214" s="1771"/>
      <c r="C214" s="1772"/>
      <c r="D214" s="1773"/>
      <c r="E214" s="90"/>
      <c r="F214" s="555"/>
      <c r="G214" s="1665"/>
      <c r="H214" s="1665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1665"/>
    </row>
    <row r="215" spans="2:42" x14ac:dyDescent="0.2">
      <c r="B215" s="2"/>
      <c r="C215" s="3"/>
      <c r="D215" s="4"/>
      <c r="E215" s="87"/>
      <c r="F215" s="444"/>
      <c r="G215" s="255"/>
      <c r="H215" s="255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255"/>
    </row>
    <row r="216" spans="2:42" ht="15" x14ac:dyDescent="0.25">
      <c r="B216" s="1671" t="s">
        <v>671</v>
      </c>
      <c r="C216" s="6"/>
      <c r="D216" s="7"/>
      <c r="E216" s="6"/>
      <c r="F216" s="553">
        <f>F200+F191+F182+F171+F209+F213</f>
        <v>6870000</v>
      </c>
      <c r="G216" s="617">
        <f>+H171+H182+H191+H200+G209+G213</f>
        <v>7520000</v>
      </c>
      <c r="H216" s="617">
        <f>H171+H182+H191+H200+H209+H213</f>
        <v>7520000</v>
      </c>
      <c r="I216" s="554"/>
      <c r="J216" s="554"/>
      <c r="K216" s="554"/>
      <c r="L216" s="554"/>
      <c r="M216" s="554"/>
      <c r="N216" s="554"/>
      <c r="O216" s="554"/>
      <c r="P216" s="554"/>
      <c r="Q216" s="554"/>
      <c r="R216" s="554"/>
      <c r="S216" s="554"/>
      <c r="T216" s="554"/>
      <c r="U216" s="554"/>
      <c r="V216" s="554"/>
      <c r="W216" s="554"/>
      <c r="X216" s="554"/>
      <c r="Y216" s="554"/>
      <c r="Z216" s="554"/>
      <c r="AA216" s="554"/>
      <c r="AB216" s="554"/>
      <c r="AC216" s="554"/>
      <c r="AD216" s="554"/>
      <c r="AE216" s="554"/>
      <c r="AF216" s="554"/>
      <c r="AG216" s="554"/>
      <c r="AH216" s="554"/>
      <c r="AI216" s="554"/>
      <c r="AJ216" s="554"/>
      <c r="AK216" s="554"/>
      <c r="AL216" s="554"/>
      <c r="AM216" s="554"/>
      <c r="AN216" s="519">
        <f>H216-F216</f>
        <v>650000</v>
      </c>
    </row>
    <row r="217" spans="2:42" ht="13.5" thickBot="1" x14ac:dyDescent="0.25">
      <c r="B217" s="11"/>
      <c r="C217" s="12"/>
      <c r="D217" s="130"/>
      <c r="E217" s="90"/>
      <c r="F217" s="555"/>
      <c r="G217" s="1665"/>
      <c r="H217" s="1665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1665"/>
    </row>
    <row r="220" spans="2:42" x14ac:dyDescent="0.2">
      <c r="G220" s="42"/>
    </row>
    <row r="226" spans="1:10" ht="23.25" x14ac:dyDescent="0.35">
      <c r="A226" s="6"/>
      <c r="B226" s="818"/>
      <c r="C226" s="818"/>
      <c r="D226" s="1811"/>
      <c r="E226" s="1811"/>
      <c r="F226" s="1811"/>
      <c r="G226" s="1811"/>
    </row>
    <row r="227" spans="1:10" x14ac:dyDescent="0.2">
      <c r="A227" s="6"/>
      <c r="B227" s="6"/>
      <c r="C227" s="6"/>
      <c r="D227" s="6"/>
      <c r="E227" s="6"/>
      <c r="F227" s="6"/>
      <c r="G227" s="6"/>
    </row>
    <row r="228" spans="1:10" x14ac:dyDescent="0.2">
      <c r="A228" s="6"/>
      <c r="B228" s="6"/>
      <c r="C228" s="1777"/>
      <c r="D228" s="1777"/>
      <c r="E228" s="1777"/>
      <c r="F228" s="1777"/>
      <c r="G228" s="6"/>
    </row>
    <row r="229" spans="1:10" x14ac:dyDescent="0.2">
      <c r="A229" s="6"/>
      <c r="B229" s="6"/>
      <c r="C229" s="1777"/>
      <c r="D229" s="1777"/>
      <c r="E229" s="1777"/>
      <c r="F229" s="1777"/>
      <c r="G229" s="1659"/>
    </row>
    <row r="230" spans="1:10" x14ac:dyDescent="0.2">
      <c r="A230" s="6"/>
      <c r="B230" s="6"/>
      <c r="C230" s="1659"/>
      <c r="D230" s="1659"/>
      <c r="E230" s="1659"/>
      <c r="F230" s="6"/>
      <c r="G230" s="6"/>
    </row>
    <row r="231" spans="1:10" x14ac:dyDescent="0.2">
      <c r="A231" s="1776"/>
      <c r="B231" s="1776"/>
      <c r="C231" s="6"/>
      <c r="D231" s="819"/>
      <c r="E231" s="819"/>
      <c r="F231" s="819"/>
      <c r="G231" s="819"/>
    </row>
    <row r="232" spans="1:10" x14ac:dyDescent="0.2">
      <c r="A232" s="6"/>
      <c r="B232" s="6"/>
      <c r="C232" s="6"/>
      <c r="D232" s="6"/>
      <c r="E232" s="6"/>
      <c r="F232" s="6"/>
      <c r="G232" s="819"/>
    </row>
    <row r="233" spans="1:10" x14ac:dyDescent="0.2">
      <c r="A233" s="1776"/>
      <c r="B233" s="1776"/>
      <c r="C233" s="6"/>
      <c r="D233" s="819"/>
      <c r="E233" s="819"/>
      <c r="F233" s="819"/>
      <c r="G233" s="819"/>
    </row>
    <row r="234" spans="1:10" x14ac:dyDescent="0.2">
      <c r="A234" s="6"/>
      <c r="B234" s="6"/>
      <c r="C234" s="6"/>
      <c r="D234" s="6"/>
      <c r="E234" s="6"/>
      <c r="F234" s="819"/>
      <c r="G234" s="819"/>
    </row>
    <row r="235" spans="1:10" x14ac:dyDescent="0.2">
      <c r="A235" s="1776"/>
      <c r="B235" s="1776"/>
      <c r="C235" s="819"/>
      <c r="D235" s="819"/>
      <c r="E235" s="819"/>
      <c r="F235" s="819"/>
      <c r="G235" s="819"/>
    </row>
    <row r="236" spans="1:10" x14ac:dyDescent="0.2">
      <c r="A236" s="6"/>
      <c r="B236" s="6"/>
      <c r="C236" s="6"/>
      <c r="D236" s="6"/>
      <c r="E236" s="6"/>
      <c r="F236" s="819"/>
      <c r="G236" s="819"/>
    </row>
    <row r="237" spans="1:10" x14ac:dyDescent="0.2">
      <c r="A237" s="1776"/>
      <c r="B237" s="1776"/>
      <c r="C237" s="6"/>
      <c r="D237" s="819"/>
      <c r="E237" s="819"/>
      <c r="F237" s="819"/>
      <c r="G237" s="819"/>
    </row>
    <row r="238" spans="1:10" x14ac:dyDescent="0.2">
      <c r="A238" s="6"/>
      <c r="B238" s="6"/>
      <c r="C238" s="6"/>
      <c r="D238" s="6"/>
      <c r="E238" s="6"/>
      <c r="F238" s="6"/>
      <c r="G238" s="819"/>
    </row>
    <row r="239" spans="1:10" ht="23.25" x14ac:dyDescent="0.2">
      <c r="A239" s="1780" t="s">
        <v>833</v>
      </c>
      <c r="B239" s="1780"/>
      <c r="C239" s="1780"/>
      <c r="D239" s="1780"/>
      <c r="E239" s="1780"/>
      <c r="F239" s="1780"/>
      <c r="G239" s="1780"/>
      <c r="H239" s="1780"/>
      <c r="I239" s="1658"/>
      <c r="J239" s="1658"/>
    </row>
    <row r="240" spans="1:10" ht="23.25" x14ac:dyDescent="0.2">
      <c r="A240" s="1780"/>
      <c r="B240" s="1780"/>
      <c r="C240" s="1780"/>
      <c r="D240" s="1780"/>
      <c r="E240" s="1780"/>
      <c r="F240" s="1780"/>
      <c r="G240" s="1780"/>
      <c r="H240" s="1780"/>
      <c r="I240" s="1658"/>
      <c r="J240" s="1658"/>
    </row>
    <row r="241" spans="2:10" ht="23.25" x14ac:dyDescent="0.25">
      <c r="B241" s="1658"/>
      <c r="C241" s="1658"/>
      <c r="D241" s="1658"/>
      <c r="E241" s="1658"/>
      <c r="F241" s="1658"/>
      <c r="G241" s="615"/>
      <c r="H241" s="1658"/>
      <c r="I241" s="1658"/>
      <c r="J241" s="1658"/>
    </row>
    <row r="242" spans="2:10" ht="23.25" x14ac:dyDescent="0.25">
      <c r="B242" s="1658"/>
      <c r="C242" s="1658"/>
      <c r="D242" s="1658"/>
      <c r="E242" s="1658"/>
      <c r="F242" s="1658"/>
      <c r="G242" s="615"/>
      <c r="H242" s="1658"/>
      <c r="I242" s="1658"/>
      <c r="J242" s="1658"/>
    </row>
    <row r="243" spans="2:10" ht="23.25" x14ac:dyDescent="0.25">
      <c r="B243" s="546"/>
      <c r="C243" s="546"/>
      <c r="D243" s="546"/>
      <c r="E243" s="1774" t="s">
        <v>787</v>
      </c>
      <c r="F243" s="1775"/>
      <c r="G243" s="618" t="s">
        <v>834</v>
      </c>
      <c r="H243" s="549" t="s">
        <v>835</v>
      </c>
      <c r="I243" s="548"/>
      <c r="J243" s="548"/>
    </row>
    <row r="244" spans="2:10" ht="15.75" x14ac:dyDescent="0.25">
      <c r="B244" s="1792" t="s">
        <v>113</v>
      </c>
      <c r="C244" s="1793"/>
      <c r="D244" s="1793"/>
      <c r="E244" s="102"/>
      <c r="F244" s="548"/>
      <c r="G244" s="255"/>
      <c r="H244" s="255"/>
      <c r="I244" s="548"/>
      <c r="J244" s="548"/>
    </row>
    <row r="245" spans="2:10" ht="15.75" x14ac:dyDescent="0.25">
      <c r="B245" s="1794"/>
      <c r="C245" s="1769"/>
      <c r="D245" s="1769"/>
      <c r="E245" s="559" t="s">
        <v>801</v>
      </c>
      <c r="F245" s="550">
        <f>F248+F249+F250+F251+F252+F253</f>
        <v>1950000</v>
      </c>
      <c r="G245" s="617">
        <v>2950000</v>
      </c>
      <c r="H245" s="617">
        <f>H248+H249+H250+H251+H252+H253</f>
        <v>2950000</v>
      </c>
      <c r="I245" s="550"/>
      <c r="J245" s="550"/>
    </row>
    <row r="246" spans="2:10" x14ac:dyDescent="0.2">
      <c r="B246" s="1795"/>
      <c r="C246" s="1779"/>
      <c r="D246" s="1779"/>
      <c r="E246" s="89"/>
      <c r="F246" s="84"/>
      <c r="G246" s="1665"/>
      <c r="H246" s="1665"/>
      <c r="I246" s="84"/>
      <c r="J246" s="84"/>
    </row>
    <row r="247" spans="2:10" x14ac:dyDescent="0.2">
      <c r="B247" s="102"/>
      <c r="C247" s="87"/>
      <c r="D247" s="80"/>
      <c r="E247" s="102"/>
      <c r="F247" s="444"/>
      <c r="G247" s="255"/>
      <c r="H247" s="255"/>
      <c r="I247" s="6"/>
      <c r="J247" s="6"/>
    </row>
    <row r="248" spans="2:10" x14ac:dyDescent="0.2">
      <c r="B248" s="88" t="s">
        <v>790</v>
      </c>
      <c r="C248" s="6"/>
      <c r="D248" s="81"/>
      <c r="E248" s="88"/>
      <c r="F248" s="445">
        <v>150000</v>
      </c>
      <c r="G248" s="1666"/>
      <c r="H248" s="616">
        <v>150000</v>
      </c>
      <c r="I248" s="570"/>
      <c r="J248" s="570"/>
    </row>
    <row r="249" spans="2:10" x14ac:dyDescent="0.2">
      <c r="B249" s="88" t="s">
        <v>791</v>
      </c>
      <c r="C249" s="6"/>
      <c r="D249" s="81"/>
      <c r="E249" s="88"/>
      <c r="F249" s="445">
        <v>200000</v>
      </c>
      <c r="G249" s="1666"/>
      <c r="H249" s="616">
        <v>200000</v>
      </c>
      <c r="I249" s="570"/>
      <c r="J249" s="570"/>
    </row>
    <row r="250" spans="2:10" x14ac:dyDescent="0.2">
      <c r="B250" s="88" t="s">
        <v>792</v>
      </c>
      <c r="C250" s="6"/>
      <c r="D250" s="81"/>
      <c r="E250" s="88"/>
      <c r="F250" s="445">
        <v>100000</v>
      </c>
      <c r="G250" s="1666"/>
      <c r="H250" s="616">
        <v>100000</v>
      </c>
      <c r="I250" s="570"/>
      <c r="J250" s="570"/>
    </row>
    <row r="251" spans="2:10" x14ac:dyDescent="0.2">
      <c r="B251" s="88" t="s">
        <v>796</v>
      </c>
      <c r="C251" s="6"/>
      <c r="D251" s="81"/>
      <c r="E251" s="28">
        <v>500000</v>
      </c>
      <c r="F251" s="445">
        <v>700000</v>
      </c>
      <c r="G251" s="616">
        <v>1200000</v>
      </c>
      <c r="H251" s="616">
        <v>1200000</v>
      </c>
      <c r="I251" s="570"/>
      <c r="J251" s="570"/>
    </row>
    <row r="252" spans="2:10" x14ac:dyDescent="0.2">
      <c r="B252" s="88" t="s">
        <v>797</v>
      </c>
      <c r="C252" s="6"/>
      <c r="D252" s="81"/>
      <c r="E252" s="28">
        <v>500000</v>
      </c>
      <c r="F252" s="445">
        <v>700000</v>
      </c>
      <c r="G252" s="616">
        <v>1200000</v>
      </c>
      <c r="H252" s="616">
        <v>1200000</v>
      </c>
      <c r="I252" s="570"/>
      <c r="J252" s="570"/>
    </row>
    <row r="253" spans="2:10" x14ac:dyDescent="0.2">
      <c r="B253" s="88" t="s">
        <v>798</v>
      </c>
      <c r="C253" s="6"/>
      <c r="D253" s="81"/>
      <c r="E253" s="88"/>
      <c r="F253" s="445">
        <v>100000</v>
      </c>
      <c r="G253" s="1666"/>
      <c r="H253" s="616">
        <v>100000</v>
      </c>
      <c r="I253" s="570"/>
      <c r="J253" s="570"/>
    </row>
    <row r="254" spans="2:10" ht="13.5" thickBot="1" x14ac:dyDescent="0.25">
      <c r="B254" s="89"/>
      <c r="C254" s="90"/>
      <c r="D254" s="84"/>
      <c r="E254" s="89"/>
      <c r="F254" s="552"/>
      <c r="G254" s="1665"/>
      <c r="H254" s="1665"/>
      <c r="I254" s="6"/>
      <c r="J254" s="6"/>
    </row>
    <row r="255" spans="2:10" x14ac:dyDescent="0.2">
      <c r="B255" s="1765" t="s">
        <v>70</v>
      </c>
      <c r="C255" s="1766"/>
      <c r="D255" s="1766"/>
      <c r="E255" s="3"/>
      <c r="F255" s="23"/>
      <c r="G255" s="255"/>
      <c r="H255" s="255"/>
      <c r="I255" s="80"/>
      <c r="J255" s="80"/>
    </row>
    <row r="256" spans="2:10" ht="15" x14ac:dyDescent="0.25">
      <c r="B256" s="1768"/>
      <c r="C256" s="1769"/>
      <c r="D256" s="1769"/>
      <c r="E256" s="6"/>
      <c r="F256" s="553">
        <f>F259+F260+F261+F262</f>
        <v>375000</v>
      </c>
      <c r="G256" s="617">
        <v>525000</v>
      </c>
      <c r="H256" s="617">
        <v>525000</v>
      </c>
      <c r="I256" s="554"/>
      <c r="J256" s="554"/>
    </row>
    <row r="257" spans="2:10" x14ac:dyDescent="0.2">
      <c r="B257" s="1778"/>
      <c r="C257" s="1779"/>
      <c r="D257" s="1779"/>
      <c r="E257" s="6"/>
      <c r="F257" s="445"/>
      <c r="G257" s="1665"/>
      <c r="H257" s="1665"/>
      <c r="I257" s="84"/>
      <c r="J257" s="84"/>
    </row>
    <row r="258" spans="2:10" x14ac:dyDescent="0.2">
      <c r="B258" s="102"/>
      <c r="C258" s="87"/>
      <c r="D258" s="80"/>
      <c r="E258" s="102"/>
      <c r="F258" s="444"/>
      <c r="G258" s="255"/>
      <c r="H258" s="255"/>
      <c r="I258" s="6"/>
      <c r="J258" s="6"/>
    </row>
    <row r="259" spans="2:10" x14ac:dyDescent="0.2">
      <c r="B259" s="88" t="s">
        <v>793</v>
      </c>
      <c r="C259" s="6"/>
      <c r="D259" s="81"/>
      <c r="E259" s="88"/>
      <c r="F259" s="445">
        <v>75000</v>
      </c>
      <c r="G259" s="1666"/>
      <c r="H259" s="616">
        <v>100000</v>
      </c>
      <c r="I259" s="570"/>
      <c r="J259" s="570"/>
    </row>
    <row r="260" spans="2:10" x14ac:dyDescent="0.2">
      <c r="B260" s="88" t="s">
        <v>794</v>
      </c>
      <c r="C260" s="6"/>
      <c r="D260" s="81"/>
      <c r="E260" s="88"/>
      <c r="F260" s="445">
        <v>75000</v>
      </c>
      <c r="G260" s="1666"/>
      <c r="H260" s="616">
        <v>100000</v>
      </c>
      <c r="I260" s="570"/>
      <c r="J260" s="570"/>
    </row>
    <row r="261" spans="2:10" x14ac:dyDescent="0.2">
      <c r="B261" s="88" t="s">
        <v>796</v>
      </c>
      <c r="C261" s="6"/>
      <c r="D261" s="81"/>
      <c r="E261" s="88"/>
      <c r="F261" s="445">
        <v>200000</v>
      </c>
      <c r="G261" s="1666"/>
      <c r="H261" s="616">
        <v>300000</v>
      </c>
      <c r="I261" s="570"/>
      <c r="J261" s="570"/>
    </row>
    <row r="262" spans="2:10" x14ac:dyDescent="0.2">
      <c r="B262" s="88" t="s">
        <v>798</v>
      </c>
      <c r="C262" s="6"/>
      <c r="D262" s="81"/>
      <c r="E262" s="88"/>
      <c r="F262" s="445">
        <v>25000</v>
      </c>
      <c r="G262" s="1666"/>
      <c r="H262" s="616">
        <v>25000</v>
      </c>
      <c r="I262" s="570"/>
      <c r="J262" s="570"/>
    </row>
    <row r="263" spans="2:10" ht="13.5" thickBot="1" x14ac:dyDescent="0.25">
      <c r="B263" s="89"/>
      <c r="C263" s="90"/>
      <c r="D263" s="84"/>
      <c r="E263" s="89"/>
      <c r="F263" s="552"/>
      <c r="G263" s="1665"/>
      <c r="H263" s="1665"/>
      <c r="I263" s="6"/>
      <c r="J263" s="6"/>
    </row>
    <row r="264" spans="2:10" x14ac:dyDescent="0.2">
      <c r="B264" s="1765" t="s">
        <v>72</v>
      </c>
      <c r="C264" s="1766"/>
      <c r="D264" s="1766"/>
      <c r="E264" s="3"/>
      <c r="F264" s="23"/>
      <c r="G264" s="255"/>
      <c r="H264" s="255"/>
      <c r="I264" s="80"/>
      <c r="J264" s="80"/>
    </row>
    <row r="265" spans="2:10" ht="15" x14ac:dyDescent="0.25">
      <c r="B265" s="1768"/>
      <c r="C265" s="1769"/>
      <c r="D265" s="1769"/>
      <c r="E265" s="6"/>
      <c r="F265" s="553">
        <f>F268+F269+F270+F271</f>
        <v>425000</v>
      </c>
      <c r="G265" s="617">
        <v>425000</v>
      </c>
      <c r="H265" s="617">
        <v>425000</v>
      </c>
      <c r="I265" s="554"/>
      <c r="J265" s="554"/>
    </row>
    <row r="266" spans="2:10" x14ac:dyDescent="0.2">
      <c r="B266" s="1778"/>
      <c r="C266" s="1779"/>
      <c r="D266" s="1779"/>
      <c r="E266" s="6"/>
      <c r="F266" s="445"/>
      <c r="G266" s="1665"/>
      <c r="H266" s="1665"/>
      <c r="I266" s="84"/>
      <c r="J266" s="84"/>
    </row>
    <row r="267" spans="2:10" x14ac:dyDescent="0.2">
      <c r="B267" s="102"/>
      <c r="C267" s="87"/>
      <c r="D267" s="80"/>
      <c r="E267" s="102"/>
      <c r="F267" s="444"/>
      <c r="G267" s="255"/>
      <c r="H267" s="255"/>
      <c r="I267" s="6"/>
      <c r="J267" s="6"/>
    </row>
    <row r="268" spans="2:10" x14ac:dyDescent="0.2">
      <c r="B268" s="88" t="s">
        <v>793</v>
      </c>
      <c r="C268" s="6"/>
      <c r="D268" s="81"/>
      <c r="E268" s="88"/>
      <c r="F268" s="445">
        <v>100000</v>
      </c>
      <c r="G268" s="1666"/>
      <c r="H268" s="616">
        <v>100000</v>
      </c>
      <c r="I268" s="570"/>
      <c r="J268" s="570"/>
    </row>
    <row r="269" spans="2:10" x14ac:dyDescent="0.2">
      <c r="B269" s="88" t="s">
        <v>794</v>
      </c>
      <c r="C269" s="6"/>
      <c r="D269" s="81"/>
      <c r="E269" s="88"/>
      <c r="F269" s="445"/>
      <c r="G269" s="1666"/>
      <c r="H269" s="1666"/>
      <c r="I269" s="570"/>
      <c r="J269" s="570"/>
    </row>
    <row r="270" spans="2:10" x14ac:dyDescent="0.2">
      <c r="B270" s="88" t="s">
        <v>796</v>
      </c>
      <c r="C270" s="6"/>
      <c r="D270" s="81"/>
      <c r="E270" s="88"/>
      <c r="F270" s="445">
        <v>300000</v>
      </c>
      <c r="G270" s="1666"/>
      <c r="H270" s="616">
        <v>300000</v>
      </c>
      <c r="I270" s="570"/>
      <c r="J270" s="570"/>
    </row>
    <row r="271" spans="2:10" x14ac:dyDescent="0.2">
      <c r="B271" s="88" t="s">
        <v>798</v>
      </c>
      <c r="C271" s="6"/>
      <c r="D271" s="81"/>
      <c r="E271" s="88"/>
      <c r="F271" s="445">
        <v>25000</v>
      </c>
      <c r="G271" s="1666"/>
      <c r="H271" s="616">
        <v>25000</v>
      </c>
      <c r="I271" s="570"/>
      <c r="J271" s="570"/>
    </row>
    <row r="272" spans="2:10" ht="13.5" thickBot="1" x14ac:dyDescent="0.25">
      <c r="B272" s="89"/>
      <c r="C272" s="90"/>
      <c r="D272" s="84"/>
      <c r="E272" s="89"/>
      <c r="F272" s="552"/>
      <c r="G272" s="1665"/>
      <c r="H272" s="1665"/>
      <c r="I272" s="6"/>
      <c r="J272" s="6"/>
    </row>
    <row r="273" spans="2:10" x14ac:dyDescent="0.2">
      <c r="B273" s="1765" t="s">
        <v>330</v>
      </c>
      <c r="C273" s="1766"/>
      <c r="D273" s="1766"/>
      <c r="E273" s="3"/>
      <c r="F273" s="23"/>
      <c r="G273" s="255"/>
      <c r="H273" s="255"/>
      <c r="I273" s="80"/>
      <c r="J273" s="80"/>
    </row>
    <row r="274" spans="2:10" ht="15" x14ac:dyDescent="0.25">
      <c r="B274" s="1768"/>
      <c r="C274" s="1769"/>
      <c r="D274" s="1769"/>
      <c r="E274" s="6"/>
      <c r="F274" s="553">
        <f>F277+F278+F279+F280</f>
        <v>1020000</v>
      </c>
      <c r="G274" s="617">
        <v>1020000</v>
      </c>
      <c r="H274" s="617">
        <v>1020000</v>
      </c>
      <c r="I274" s="553"/>
      <c r="J274" s="553"/>
    </row>
    <row r="275" spans="2:10" x14ac:dyDescent="0.2">
      <c r="B275" s="1778"/>
      <c r="C275" s="1779"/>
      <c r="D275" s="1779"/>
      <c r="E275" s="6"/>
      <c r="F275" s="445"/>
      <c r="G275" s="1665"/>
      <c r="H275" s="1665"/>
      <c r="I275" s="84"/>
      <c r="J275" s="84"/>
    </row>
    <row r="276" spans="2:10" x14ac:dyDescent="0.2">
      <c r="B276" s="102"/>
      <c r="C276" s="87"/>
      <c r="D276" s="80"/>
      <c r="E276" s="102"/>
      <c r="F276" s="444"/>
      <c r="G276" s="255"/>
      <c r="H276" s="255"/>
      <c r="I276" s="6"/>
      <c r="J276" s="6"/>
    </row>
    <row r="277" spans="2:10" x14ac:dyDescent="0.2">
      <c r="B277" s="88" t="s">
        <v>793</v>
      </c>
      <c r="C277" s="6"/>
      <c r="D277" s="81"/>
      <c r="E277" s="88"/>
      <c r="F277" s="445">
        <v>200000</v>
      </c>
      <c r="G277" s="1666"/>
      <c r="H277" s="616">
        <v>200000</v>
      </c>
      <c r="I277" s="570"/>
      <c r="J277" s="570"/>
    </row>
    <row r="278" spans="2:10" x14ac:dyDescent="0.2">
      <c r="B278" s="88" t="s">
        <v>794</v>
      </c>
      <c r="C278" s="6"/>
      <c r="D278" s="81"/>
      <c r="E278" s="88"/>
      <c r="F278" s="445">
        <v>200000</v>
      </c>
      <c r="G278" s="1666"/>
      <c r="H278" s="616">
        <v>200000</v>
      </c>
      <c r="I278" s="570"/>
      <c r="J278" s="570"/>
    </row>
    <row r="279" spans="2:10" x14ac:dyDescent="0.2">
      <c r="B279" s="88" t="s">
        <v>796</v>
      </c>
      <c r="C279" s="6"/>
      <c r="D279" s="81"/>
      <c r="E279" s="88"/>
      <c r="F279" s="445">
        <v>600000</v>
      </c>
      <c r="G279" s="1666"/>
      <c r="H279" s="616">
        <v>600000</v>
      </c>
      <c r="I279" s="570"/>
      <c r="J279" s="570"/>
    </row>
    <row r="280" spans="2:10" x14ac:dyDescent="0.2">
      <c r="B280" s="88" t="s">
        <v>798</v>
      </c>
      <c r="C280" s="6"/>
      <c r="D280" s="81"/>
      <c r="E280" s="88"/>
      <c r="F280" s="445">
        <v>20000</v>
      </c>
      <c r="G280" s="1666"/>
      <c r="H280" s="616">
        <v>20000</v>
      </c>
      <c r="I280" s="570"/>
      <c r="J280" s="570"/>
    </row>
    <row r="281" spans="2:10" ht="13.5" thickBot="1" x14ac:dyDescent="0.25">
      <c r="B281" s="88"/>
      <c r="C281" s="6"/>
      <c r="D281" s="81"/>
      <c r="E281" s="88"/>
      <c r="F281" s="445"/>
      <c r="G281" s="1666"/>
      <c r="H281" s="1666"/>
      <c r="I281" s="570"/>
      <c r="J281" s="570"/>
    </row>
    <row r="282" spans="2:10" x14ac:dyDescent="0.2">
      <c r="B282" s="1765" t="s">
        <v>696</v>
      </c>
      <c r="C282" s="1766"/>
      <c r="D282" s="1766"/>
      <c r="E282" s="3"/>
      <c r="F282" s="23"/>
      <c r="G282" s="255"/>
      <c r="H282" s="255"/>
      <c r="I282" s="80"/>
      <c r="J282" s="80"/>
    </row>
    <row r="283" spans="2:10" ht="15" x14ac:dyDescent="0.25">
      <c r="B283" s="1768"/>
      <c r="C283" s="1769"/>
      <c r="D283" s="1769"/>
      <c r="E283" s="6"/>
      <c r="F283" s="553">
        <v>1500000</v>
      </c>
      <c r="G283" s="617">
        <v>1500000</v>
      </c>
      <c r="H283" s="617">
        <v>1500000</v>
      </c>
      <c r="I283" s="553"/>
      <c r="J283" s="553"/>
    </row>
    <row r="284" spans="2:10" x14ac:dyDescent="0.2">
      <c r="B284" s="1778"/>
      <c r="C284" s="1779"/>
      <c r="D284" s="1779"/>
      <c r="E284" s="90"/>
      <c r="F284" s="555"/>
      <c r="G284" s="1665"/>
      <c r="H284" s="1665"/>
      <c r="I284" s="84"/>
      <c r="J284" s="84"/>
    </row>
    <row r="285" spans="2:10" ht="13.5" thickBot="1" x14ac:dyDescent="0.25">
      <c r="B285" s="88"/>
      <c r="C285" s="6"/>
      <c r="D285" s="81"/>
      <c r="E285" s="88"/>
      <c r="F285" s="445"/>
      <c r="G285" s="1666"/>
      <c r="H285" s="1666"/>
      <c r="I285" s="570"/>
      <c r="J285" s="570"/>
    </row>
    <row r="286" spans="2:10" x14ac:dyDescent="0.2">
      <c r="B286" s="1765" t="s">
        <v>832</v>
      </c>
      <c r="C286" s="1766"/>
      <c r="D286" s="1766"/>
      <c r="E286" s="3"/>
      <c r="F286" s="23"/>
      <c r="G286" s="255"/>
      <c r="H286" s="255"/>
      <c r="I286" s="80"/>
      <c r="J286" s="80"/>
    </row>
    <row r="287" spans="2:10" ht="15" x14ac:dyDescent="0.25">
      <c r="B287" s="1768"/>
      <c r="C287" s="1769"/>
      <c r="D287" s="1769"/>
      <c r="E287" s="6"/>
      <c r="F287" s="553">
        <v>1600000</v>
      </c>
      <c r="G287" s="617">
        <v>1600000</v>
      </c>
      <c r="H287" s="617">
        <v>1600000</v>
      </c>
      <c r="I287" s="553"/>
      <c r="J287" s="553"/>
    </row>
    <row r="288" spans="2:10" x14ac:dyDescent="0.2">
      <c r="B288" s="1778"/>
      <c r="C288" s="1779"/>
      <c r="D288" s="1779"/>
      <c r="E288" s="90"/>
      <c r="F288" s="555"/>
      <c r="G288" s="1665"/>
      <c r="H288" s="1665"/>
      <c r="I288" s="84"/>
      <c r="J288" s="84"/>
    </row>
    <row r="289" spans="1:10" x14ac:dyDescent="0.2">
      <c r="B289" s="102"/>
      <c r="C289" s="87"/>
      <c r="D289" s="80"/>
      <c r="E289" s="102"/>
      <c r="F289" s="444"/>
      <c r="G289" s="255"/>
      <c r="H289" s="255"/>
      <c r="I289" s="80"/>
      <c r="J289" s="80"/>
    </row>
    <row r="290" spans="1:10" ht="15" x14ac:dyDescent="0.25">
      <c r="B290" s="512" t="s">
        <v>671</v>
      </c>
      <c r="C290" s="6"/>
      <c r="D290" s="81"/>
      <c r="E290" s="88"/>
      <c r="F290" s="553">
        <f>F274+F265+F256+F245+F283+F287</f>
        <v>6870000</v>
      </c>
      <c r="G290" s="617">
        <f>G245+G256+G265+G274+G283+G287</f>
        <v>8020000</v>
      </c>
      <c r="H290" s="617">
        <f>H245+H256+H265+H274+H283+H287</f>
        <v>8020000</v>
      </c>
      <c r="I290" s="554"/>
      <c r="J290" s="554"/>
    </row>
    <row r="291" spans="1:10" x14ac:dyDescent="0.2">
      <c r="B291" s="89"/>
      <c r="C291" s="90"/>
      <c r="D291" s="84"/>
      <c r="E291" s="89"/>
      <c r="F291" s="555"/>
      <c r="G291" s="1665"/>
      <c r="H291" s="1665"/>
      <c r="I291" s="84"/>
      <c r="J291" s="84"/>
    </row>
    <row r="294" spans="1:10" x14ac:dyDescent="0.2">
      <c r="G294" s="42"/>
    </row>
    <row r="295" spans="1:10" x14ac:dyDescent="0.2">
      <c r="G295" s="479" t="s">
        <v>965</v>
      </c>
    </row>
    <row r="297" spans="1:10" ht="23.25" x14ac:dyDescent="0.2">
      <c r="A297" s="1780" t="s">
        <v>964</v>
      </c>
      <c r="B297" s="1780"/>
      <c r="C297" s="1780"/>
      <c r="D297" s="1780"/>
      <c r="E297" s="1780"/>
      <c r="F297" s="1780"/>
      <c r="G297" s="1780"/>
      <c r="H297" s="546"/>
      <c r="I297" s="1658"/>
      <c r="J297" s="1658"/>
    </row>
    <row r="298" spans="1:10" ht="23.25" x14ac:dyDescent="0.2">
      <c r="A298" s="1780"/>
      <c r="B298" s="1780"/>
      <c r="C298" s="1780"/>
      <c r="D298" s="1780"/>
      <c r="E298" s="1780"/>
      <c r="F298" s="1780"/>
      <c r="G298" s="1780"/>
      <c r="H298" s="546"/>
      <c r="I298" s="1658"/>
      <c r="J298" s="1658"/>
    </row>
    <row r="299" spans="1:10" ht="23.25" x14ac:dyDescent="0.25">
      <c r="B299" s="1658"/>
      <c r="C299" s="1658"/>
      <c r="D299" s="1658"/>
      <c r="E299" s="1658"/>
      <c r="F299" s="1658"/>
      <c r="G299" s="615"/>
      <c r="H299" s="1658"/>
      <c r="I299" s="1658"/>
      <c r="J299" s="1658"/>
    </row>
    <row r="300" spans="1:10" ht="23.25" x14ac:dyDescent="0.25">
      <c r="B300" s="1658"/>
      <c r="C300" s="1658"/>
      <c r="D300" s="1658"/>
      <c r="E300" s="1658"/>
      <c r="F300" s="1658"/>
      <c r="G300" s="615"/>
      <c r="H300" s="1658"/>
      <c r="I300" s="1658"/>
      <c r="J300" s="1658"/>
    </row>
    <row r="301" spans="1:10" ht="23.25" x14ac:dyDescent="0.25">
      <c r="B301" s="546"/>
      <c r="C301" s="546"/>
      <c r="D301" s="546"/>
      <c r="E301" s="1804" t="s">
        <v>966</v>
      </c>
      <c r="F301" s="1775"/>
      <c r="G301" s="618" t="s">
        <v>834</v>
      </c>
      <c r="H301" s="549" t="s">
        <v>835</v>
      </c>
      <c r="I301" s="548"/>
      <c r="J301" s="548"/>
    </row>
    <row r="302" spans="1:10" ht="15.75" x14ac:dyDescent="0.25">
      <c r="B302" s="1792" t="s">
        <v>113</v>
      </c>
      <c r="C302" s="1793"/>
      <c r="D302" s="1793"/>
      <c r="E302" s="102"/>
      <c r="F302" s="548"/>
      <c r="G302" s="255"/>
      <c r="H302" s="255"/>
      <c r="I302" s="548"/>
      <c r="J302" s="548"/>
    </row>
    <row r="303" spans="1:10" ht="15.75" x14ac:dyDescent="0.25">
      <c r="B303" s="1794"/>
      <c r="C303" s="1769"/>
      <c r="D303" s="1769"/>
      <c r="E303" s="559" t="s">
        <v>801</v>
      </c>
      <c r="F303" s="93" t="s">
        <v>968</v>
      </c>
      <c r="G303" s="617">
        <v>2950000</v>
      </c>
      <c r="H303" s="617">
        <f>H306+H307+H308+H309+H310+H311</f>
        <v>2950000</v>
      </c>
      <c r="I303" s="550"/>
      <c r="J303" s="550"/>
    </row>
    <row r="304" spans="1:10" x14ac:dyDescent="0.2">
      <c r="B304" s="1795"/>
      <c r="C304" s="1779"/>
      <c r="D304" s="1779"/>
      <c r="E304" s="89"/>
      <c r="F304" s="84"/>
      <c r="G304" s="1665"/>
      <c r="H304" s="1665"/>
      <c r="I304" s="84"/>
      <c r="J304" s="84"/>
    </row>
    <row r="305" spans="2:10" x14ac:dyDescent="0.2">
      <c r="B305" s="102"/>
      <c r="C305" s="87"/>
      <c r="D305" s="80"/>
      <c r="E305" s="88"/>
      <c r="F305" s="444"/>
      <c r="G305" s="255"/>
      <c r="H305" s="255"/>
      <c r="I305" s="6"/>
      <c r="J305" s="6"/>
    </row>
    <row r="306" spans="2:10" x14ac:dyDescent="0.2">
      <c r="B306" s="88" t="s">
        <v>790</v>
      </c>
      <c r="C306" s="6"/>
      <c r="D306" s="81"/>
      <c r="E306" s="88"/>
      <c r="F306" s="445">
        <v>150000</v>
      </c>
      <c r="G306" s="616">
        <v>150000</v>
      </c>
      <c r="H306" s="616">
        <v>150000</v>
      </c>
      <c r="I306" s="570"/>
      <c r="J306" s="570"/>
    </row>
    <row r="307" spans="2:10" x14ac:dyDescent="0.2">
      <c r="B307" s="88" t="s">
        <v>791</v>
      </c>
      <c r="C307" s="6"/>
      <c r="D307" s="81"/>
      <c r="E307" s="88"/>
      <c r="F307" s="445">
        <v>200000</v>
      </c>
      <c r="G307" s="616">
        <v>200000</v>
      </c>
      <c r="H307" s="616">
        <v>200000</v>
      </c>
      <c r="I307" s="570"/>
      <c r="J307" s="570"/>
    </row>
    <row r="308" spans="2:10" x14ac:dyDescent="0.2">
      <c r="B308" s="88" t="s">
        <v>792</v>
      </c>
      <c r="C308" s="6"/>
      <c r="D308" s="81"/>
      <c r="E308" s="88"/>
      <c r="F308" s="445">
        <v>100000</v>
      </c>
      <c r="G308" s="616">
        <v>100000</v>
      </c>
      <c r="H308" s="616">
        <v>100000</v>
      </c>
      <c r="I308" s="570"/>
      <c r="J308" s="570"/>
    </row>
    <row r="309" spans="2:10" x14ac:dyDescent="0.2">
      <c r="B309" s="88" t="s">
        <v>796</v>
      </c>
      <c r="C309" s="6"/>
      <c r="D309" s="81"/>
      <c r="E309" s="28">
        <v>500000</v>
      </c>
      <c r="F309" s="445">
        <v>700000</v>
      </c>
      <c r="G309" s="616">
        <v>1200000</v>
      </c>
      <c r="H309" s="616">
        <v>1200000</v>
      </c>
      <c r="I309" s="570"/>
      <c r="J309" s="570"/>
    </row>
    <row r="310" spans="2:10" x14ac:dyDescent="0.2">
      <c r="B310" s="88" t="s">
        <v>797</v>
      </c>
      <c r="C310" s="6"/>
      <c r="D310" s="81"/>
      <c r="E310" s="28">
        <v>500000</v>
      </c>
      <c r="F310" s="445">
        <v>700000</v>
      </c>
      <c r="G310" s="616">
        <v>1200000</v>
      </c>
      <c r="H310" s="616">
        <v>1200000</v>
      </c>
      <c r="I310" s="570"/>
      <c r="J310" s="570"/>
    </row>
    <row r="311" spans="2:10" x14ac:dyDescent="0.2">
      <c r="B311" s="88" t="s">
        <v>798</v>
      </c>
      <c r="C311" s="6"/>
      <c r="D311" s="81"/>
      <c r="E311" s="88"/>
      <c r="F311" s="445">
        <v>100000</v>
      </c>
      <c r="G311" s="616">
        <v>100000</v>
      </c>
      <c r="H311" s="616">
        <v>100000</v>
      </c>
      <c r="I311" s="570"/>
      <c r="J311" s="570"/>
    </row>
    <row r="312" spans="2:10" ht="13.5" thickBot="1" x14ac:dyDescent="0.25">
      <c r="B312" s="89"/>
      <c r="C312" s="90"/>
      <c r="D312" s="84"/>
      <c r="E312" s="89"/>
      <c r="F312" s="552"/>
      <c r="G312" s="1665"/>
      <c r="H312" s="1665"/>
      <c r="I312" s="6"/>
      <c r="J312" s="6"/>
    </row>
    <row r="313" spans="2:10" x14ac:dyDescent="0.2">
      <c r="B313" s="1765" t="s">
        <v>70</v>
      </c>
      <c r="C313" s="1766"/>
      <c r="D313" s="1766"/>
      <c r="E313" s="3"/>
      <c r="F313" s="23"/>
      <c r="G313" s="255"/>
      <c r="H313" s="255"/>
      <c r="I313" s="80"/>
      <c r="J313" s="80"/>
    </row>
    <row r="314" spans="2:10" ht="15" x14ac:dyDescent="0.25">
      <c r="B314" s="1768"/>
      <c r="C314" s="1769"/>
      <c r="D314" s="1769"/>
      <c r="E314" s="6"/>
      <c r="F314" s="553">
        <f>F317+F318+F319+F320</f>
        <v>525000</v>
      </c>
      <c r="G314" s="617">
        <v>525000</v>
      </c>
      <c r="H314" s="617">
        <v>525000</v>
      </c>
      <c r="I314" s="554"/>
      <c r="J314" s="554"/>
    </row>
    <row r="315" spans="2:10" x14ac:dyDescent="0.2">
      <c r="B315" s="1778"/>
      <c r="C315" s="1779"/>
      <c r="D315" s="1779"/>
      <c r="E315" s="6"/>
      <c r="F315" s="445"/>
      <c r="G315" s="1665"/>
      <c r="H315" s="1665"/>
      <c r="I315" s="84"/>
      <c r="J315" s="84"/>
    </row>
    <row r="316" spans="2:10" x14ac:dyDescent="0.2">
      <c r="B316" s="102"/>
      <c r="C316" s="87"/>
      <c r="D316" s="80"/>
      <c r="E316" s="102"/>
      <c r="F316" s="444"/>
      <c r="G316" s="255"/>
      <c r="H316" s="255"/>
      <c r="I316" s="6"/>
      <c r="J316" s="6"/>
    </row>
    <row r="317" spans="2:10" x14ac:dyDescent="0.2">
      <c r="B317" s="88" t="s">
        <v>793</v>
      </c>
      <c r="C317" s="6"/>
      <c r="D317" s="81"/>
      <c r="E317" s="88"/>
      <c r="F317" s="445">
        <v>100000</v>
      </c>
      <c r="G317" s="1666"/>
      <c r="H317" s="616">
        <v>100000</v>
      </c>
      <c r="I317" s="570"/>
      <c r="J317" s="570"/>
    </row>
    <row r="318" spans="2:10" x14ac:dyDescent="0.2">
      <c r="B318" s="88" t="s">
        <v>794</v>
      </c>
      <c r="C318" s="6"/>
      <c r="D318" s="81"/>
      <c r="E318" s="88"/>
      <c r="F318" s="445">
        <v>100000</v>
      </c>
      <c r="G318" s="1666"/>
      <c r="H318" s="616">
        <v>100000</v>
      </c>
      <c r="I318" s="570"/>
      <c r="J318" s="570"/>
    </row>
    <row r="319" spans="2:10" x14ac:dyDescent="0.2">
      <c r="B319" s="88" t="s">
        <v>796</v>
      </c>
      <c r="C319" s="6"/>
      <c r="D319" s="81"/>
      <c r="E319" s="88"/>
      <c r="F319" s="445">
        <v>300000</v>
      </c>
      <c r="G319" s="1666"/>
      <c r="H319" s="616">
        <v>300000</v>
      </c>
      <c r="I319" s="570"/>
      <c r="J319" s="570"/>
    </row>
    <row r="320" spans="2:10" x14ac:dyDescent="0.2">
      <c r="B320" s="88" t="s">
        <v>798</v>
      </c>
      <c r="C320" s="6"/>
      <c r="D320" s="81"/>
      <c r="E320" s="88"/>
      <c r="F320" s="445">
        <v>25000</v>
      </c>
      <c r="G320" s="1666"/>
      <c r="H320" s="616">
        <v>25000</v>
      </c>
      <c r="I320" s="570"/>
      <c r="J320" s="570"/>
    </row>
    <row r="321" spans="2:10" ht="13.5" thickBot="1" x14ac:dyDescent="0.25">
      <c r="B321" s="89"/>
      <c r="C321" s="90"/>
      <c r="D321" s="84"/>
      <c r="E321" s="89"/>
      <c r="F321" s="552"/>
      <c r="G321" s="1665"/>
      <c r="H321" s="1665"/>
      <c r="I321" s="6"/>
      <c r="J321" s="6"/>
    </row>
    <row r="322" spans="2:10" x14ac:dyDescent="0.2">
      <c r="B322" s="1765" t="s">
        <v>72</v>
      </c>
      <c r="C322" s="1766"/>
      <c r="D322" s="1766"/>
      <c r="E322" s="3"/>
      <c r="F322" s="23"/>
      <c r="G322" s="255"/>
      <c r="H322" s="255"/>
      <c r="I322" s="80"/>
      <c r="J322" s="80"/>
    </row>
    <row r="323" spans="2:10" ht="15" x14ac:dyDescent="0.25">
      <c r="B323" s="1768"/>
      <c r="C323" s="1769"/>
      <c r="D323" s="1769"/>
      <c r="E323" s="6"/>
      <c r="F323" s="553">
        <f>F326+F327+F328+F329</f>
        <v>425000</v>
      </c>
      <c r="G323" s="617">
        <v>425000</v>
      </c>
      <c r="H323" s="617">
        <v>425000</v>
      </c>
      <c r="I323" s="554"/>
      <c r="J323" s="554"/>
    </row>
    <row r="324" spans="2:10" x14ac:dyDescent="0.2">
      <c r="B324" s="1778"/>
      <c r="C324" s="1779"/>
      <c r="D324" s="1779"/>
      <c r="E324" s="6"/>
      <c r="F324" s="445"/>
      <c r="G324" s="1665"/>
      <c r="H324" s="1665"/>
      <c r="I324" s="84"/>
      <c r="J324" s="84"/>
    </row>
    <row r="325" spans="2:10" x14ac:dyDescent="0.2">
      <c r="B325" s="102"/>
      <c r="C325" s="87"/>
      <c r="D325" s="80"/>
      <c r="E325" s="102"/>
      <c r="F325" s="444"/>
      <c r="G325" s="255"/>
      <c r="H325" s="255"/>
      <c r="I325" s="6"/>
      <c r="J325" s="6"/>
    </row>
    <row r="326" spans="2:10" x14ac:dyDescent="0.2">
      <c r="B326" s="88" t="s">
        <v>793</v>
      </c>
      <c r="C326" s="6"/>
      <c r="D326" s="81"/>
      <c r="E326" s="88"/>
      <c r="F326" s="445">
        <v>100000</v>
      </c>
      <c r="G326" s="1666"/>
      <c r="H326" s="616">
        <v>100000</v>
      </c>
      <c r="I326" s="570"/>
      <c r="J326" s="570"/>
    </row>
    <row r="327" spans="2:10" x14ac:dyDescent="0.2">
      <c r="B327" s="88" t="s">
        <v>794</v>
      </c>
      <c r="C327" s="6"/>
      <c r="D327" s="81"/>
      <c r="E327" s="88"/>
      <c r="F327" s="445"/>
      <c r="G327" s="1666"/>
      <c r="H327" s="1666"/>
      <c r="I327" s="570"/>
      <c r="J327" s="570"/>
    </row>
    <row r="328" spans="2:10" x14ac:dyDescent="0.2">
      <c r="B328" s="88" t="s">
        <v>796</v>
      </c>
      <c r="C328" s="6"/>
      <c r="D328" s="81"/>
      <c r="E328" s="88"/>
      <c r="F328" s="445">
        <v>300000</v>
      </c>
      <c r="G328" s="1666"/>
      <c r="H328" s="616">
        <v>300000</v>
      </c>
      <c r="I328" s="570"/>
      <c r="J328" s="570"/>
    </row>
    <row r="329" spans="2:10" x14ac:dyDescent="0.2">
      <c r="B329" s="88" t="s">
        <v>798</v>
      </c>
      <c r="C329" s="6"/>
      <c r="D329" s="81"/>
      <c r="E329" s="88"/>
      <c r="F329" s="445">
        <v>25000</v>
      </c>
      <c r="G329" s="1666"/>
      <c r="H329" s="616">
        <v>25000</v>
      </c>
      <c r="I329" s="570"/>
      <c r="J329" s="570"/>
    </row>
    <row r="330" spans="2:10" ht="13.5" thickBot="1" x14ac:dyDescent="0.25">
      <c r="B330" s="89"/>
      <c r="C330" s="90"/>
      <c r="D330" s="84"/>
      <c r="E330" s="89"/>
      <c r="F330" s="552"/>
      <c r="G330" s="1665"/>
      <c r="H330" s="1665"/>
      <c r="I330" s="6"/>
      <c r="J330" s="6"/>
    </row>
    <row r="331" spans="2:10" x14ac:dyDescent="0.2">
      <c r="B331" s="1765" t="s">
        <v>330</v>
      </c>
      <c r="C331" s="1766"/>
      <c r="D331" s="1766"/>
      <c r="E331" s="3"/>
      <c r="F331" s="23"/>
      <c r="G331" s="255"/>
      <c r="H331" s="255"/>
      <c r="I331" s="80"/>
      <c r="J331" s="80"/>
    </row>
    <row r="332" spans="2:10" ht="15" x14ac:dyDescent="0.25">
      <c r="B332" s="1768"/>
      <c r="C332" s="1769"/>
      <c r="D332" s="1769"/>
      <c r="E332" s="6"/>
      <c r="F332" s="553">
        <f>F335+F336+F337+F338</f>
        <v>1020000</v>
      </c>
      <c r="G332" s="617">
        <v>1020000</v>
      </c>
      <c r="H332" s="617">
        <v>1020000</v>
      </c>
      <c r="I332" s="553"/>
      <c r="J332" s="553"/>
    </row>
    <row r="333" spans="2:10" x14ac:dyDescent="0.2">
      <c r="B333" s="1778"/>
      <c r="C333" s="1779"/>
      <c r="D333" s="1779"/>
      <c r="E333" s="90"/>
      <c r="F333" s="555"/>
      <c r="G333" s="1665"/>
      <c r="H333" s="1665"/>
      <c r="I333" s="84"/>
      <c r="J333" s="84"/>
    </row>
    <row r="334" spans="2:10" x14ac:dyDescent="0.2">
      <c r="B334" s="102"/>
      <c r="C334" s="87"/>
      <c r="D334" s="80"/>
      <c r="E334" s="102"/>
      <c r="F334" s="444"/>
      <c r="G334" s="255"/>
      <c r="H334" s="255"/>
      <c r="I334" s="6"/>
      <c r="J334" s="6"/>
    </row>
    <row r="335" spans="2:10" x14ac:dyDescent="0.2">
      <c r="B335" s="88" t="s">
        <v>793</v>
      </c>
      <c r="C335" s="6"/>
      <c r="D335" s="81"/>
      <c r="E335" s="88"/>
      <c r="F335" s="445">
        <v>200000</v>
      </c>
      <c r="G335" s="1666"/>
      <c r="H335" s="616">
        <v>200000</v>
      </c>
      <c r="I335" s="570"/>
      <c r="J335" s="570"/>
    </row>
    <row r="336" spans="2:10" x14ac:dyDescent="0.2">
      <c r="B336" s="88" t="s">
        <v>794</v>
      </c>
      <c r="C336" s="6"/>
      <c r="D336" s="81"/>
      <c r="E336" s="88"/>
      <c r="F336" s="445">
        <v>200000</v>
      </c>
      <c r="G336" s="1666"/>
      <c r="H336" s="616">
        <v>200000</v>
      </c>
      <c r="I336" s="570"/>
      <c r="J336" s="570"/>
    </row>
    <row r="337" spans="2:10" x14ac:dyDescent="0.2">
      <c r="B337" s="88" t="s">
        <v>796</v>
      </c>
      <c r="C337" s="6"/>
      <c r="D337" s="81"/>
      <c r="E337" s="88"/>
      <c r="F337" s="445">
        <v>600000</v>
      </c>
      <c r="G337" s="1666"/>
      <c r="H337" s="616">
        <v>600000</v>
      </c>
      <c r="I337" s="570"/>
      <c r="J337" s="570"/>
    </row>
    <row r="338" spans="2:10" x14ac:dyDescent="0.2">
      <c r="B338" s="88" t="s">
        <v>798</v>
      </c>
      <c r="C338" s="6"/>
      <c r="D338" s="81"/>
      <c r="E338" s="88"/>
      <c r="F338" s="445">
        <v>20000</v>
      </c>
      <c r="G338" s="1666"/>
      <c r="H338" s="616">
        <v>20000</v>
      </c>
      <c r="I338" s="570"/>
      <c r="J338" s="570"/>
    </row>
    <row r="339" spans="2:10" x14ac:dyDescent="0.2">
      <c r="B339" s="88"/>
      <c r="C339" s="6"/>
      <c r="D339" s="81"/>
      <c r="E339" s="88"/>
      <c r="F339" s="445"/>
      <c r="G339" s="1666"/>
      <c r="H339" s="616"/>
      <c r="I339" s="570"/>
      <c r="J339" s="570"/>
    </row>
    <row r="340" spans="2:10" x14ac:dyDescent="0.2">
      <c r="B340" s="88"/>
      <c r="C340" s="6"/>
      <c r="D340" s="81"/>
      <c r="E340" s="88"/>
      <c r="F340" s="445"/>
      <c r="G340" s="1666"/>
      <c r="H340" s="616"/>
      <c r="I340" s="570"/>
      <c r="J340" s="570"/>
    </row>
    <row r="341" spans="2:10" x14ac:dyDescent="0.2">
      <c r="B341" s="88"/>
      <c r="C341" s="6"/>
      <c r="D341" s="81"/>
      <c r="E341" s="89"/>
      <c r="F341" s="555"/>
      <c r="G341" s="1665"/>
      <c r="H341" s="1666"/>
      <c r="I341" s="570"/>
      <c r="J341" s="570"/>
    </row>
    <row r="342" spans="2:10" ht="12.75" customHeight="1" x14ac:dyDescent="0.2">
      <c r="B342" s="1805" t="s">
        <v>735</v>
      </c>
      <c r="C342" s="1806"/>
      <c r="D342" s="1807"/>
      <c r="E342" s="6"/>
      <c r="F342" s="445"/>
      <c r="G342" s="1666"/>
      <c r="H342" s="1666"/>
      <c r="I342" s="570"/>
      <c r="J342" s="570"/>
    </row>
    <row r="343" spans="2:10" ht="12.75" customHeight="1" x14ac:dyDescent="0.2">
      <c r="B343" s="1808"/>
      <c r="C343" s="1809"/>
      <c r="D343" s="1810"/>
      <c r="E343" s="6"/>
      <c r="F343" s="445"/>
      <c r="G343" s="905" t="s">
        <v>967</v>
      </c>
      <c r="H343" s="1666"/>
      <c r="I343" s="570"/>
      <c r="J343" s="570"/>
    </row>
    <row r="344" spans="2:10" ht="12.75" customHeight="1" x14ac:dyDescent="0.2">
      <c r="B344" s="1794" t="s">
        <v>696</v>
      </c>
      <c r="C344" s="1769"/>
      <c r="D344" s="1798"/>
      <c r="E344" s="6"/>
      <c r="F344" s="445"/>
      <c r="G344" s="1666"/>
      <c r="H344" s="255"/>
      <c r="I344" s="80"/>
      <c r="J344" s="80"/>
    </row>
    <row r="345" spans="2:10" ht="15" x14ac:dyDescent="0.25">
      <c r="B345" s="1794"/>
      <c r="C345" s="1769"/>
      <c r="D345" s="1798"/>
      <c r="E345" s="6"/>
      <c r="F345" s="906">
        <v>1500000</v>
      </c>
      <c r="G345" s="617">
        <v>450000</v>
      </c>
      <c r="H345" s="907">
        <v>1500000</v>
      </c>
      <c r="I345" s="553"/>
      <c r="J345" s="553"/>
    </row>
    <row r="346" spans="2:10" ht="12.75" customHeight="1" x14ac:dyDescent="0.2">
      <c r="B346" s="1794" t="s">
        <v>832</v>
      </c>
      <c r="C346" s="1769"/>
      <c r="D346" s="1798"/>
      <c r="E346" s="6"/>
      <c r="F346" s="29"/>
      <c r="G346" s="1666"/>
      <c r="H346" s="80"/>
      <c r="I346" s="80"/>
      <c r="J346" s="80"/>
    </row>
    <row r="347" spans="2:10" ht="15" x14ac:dyDescent="0.25">
      <c r="B347" s="1794"/>
      <c r="C347" s="1769"/>
      <c r="D347" s="1798"/>
      <c r="E347" s="6"/>
      <c r="F347" s="906">
        <v>1600000</v>
      </c>
      <c r="G347" s="908">
        <v>550000</v>
      </c>
      <c r="H347" s="907">
        <v>1600000</v>
      </c>
      <c r="I347" s="553"/>
      <c r="J347" s="553"/>
    </row>
    <row r="348" spans="2:10" ht="15" x14ac:dyDescent="0.25">
      <c r="B348" s="1794"/>
      <c r="C348" s="1769"/>
      <c r="D348" s="1798"/>
      <c r="E348" s="6"/>
      <c r="F348" s="906"/>
      <c r="G348" s="617">
        <v>1000000</v>
      </c>
      <c r="H348" s="907"/>
      <c r="I348" s="553"/>
      <c r="J348" s="553"/>
    </row>
    <row r="349" spans="2:10" ht="12.75" customHeight="1" x14ac:dyDescent="0.2">
      <c r="B349" s="1795"/>
      <c r="C349" s="1779"/>
      <c r="D349" s="1799"/>
      <c r="E349" s="90"/>
      <c r="F349" s="436"/>
      <c r="G349" s="1665"/>
      <c r="H349" s="84"/>
      <c r="I349" s="84"/>
      <c r="J349" s="84"/>
    </row>
    <row r="350" spans="2:10" x14ac:dyDescent="0.2">
      <c r="B350" s="88"/>
      <c r="C350" s="6"/>
      <c r="D350" s="81"/>
      <c r="E350" s="102"/>
      <c r="F350" s="444"/>
      <c r="G350" s="1666"/>
      <c r="H350" s="255"/>
      <c r="I350" s="80"/>
      <c r="J350" s="80"/>
    </row>
    <row r="351" spans="2:10" ht="15" x14ac:dyDescent="0.25">
      <c r="B351" s="512" t="s">
        <v>671</v>
      </c>
      <c r="C351" s="6"/>
      <c r="D351" s="81"/>
      <c r="E351" s="88"/>
      <c r="F351" s="553">
        <f>F332+F323+F314+F345+F347</f>
        <v>5070000</v>
      </c>
      <c r="G351" s="617">
        <f>G303+G314+G323+G332+G345+G347</f>
        <v>5920000</v>
      </c>
      <c r="H351" s="617">
        <f>H303+H314+H323+H332+H345+H347</f>
        <v>8020000</v>
      </c>
      <c r="I351" s="554"/>
      <c r="J351" s="554"/>
    </row>
    <row r="352" spans="2:10" x14ac:dyDescent="0.2">
      <c r="B352" s="89"/>
      <c r="C352" s="90"/>
      <c r="D352" s="84"/>
      <c r="E352" s="89"/>
      <c r="F352" s="555"/>
      <c r="G352" s="1665"/>
      <c r="H352" s="1665"/>
      <c r="I352" s="84"/>
      <c r="J352" s="84"/>
    </row>
    <row r="363" spans="1:10" x14ac:dyDescent="0.2">
      <c r="G363" t="s">
        <v>1292</v>
      </c>
    </row>
    <row r="365" spans="1:10" ht="23.25" x14ac:dyDescent="0.2">
      <c r="A365" s="1780" t="s">
        <v>1291</v>
      </c>
      <c r="B365" s="1780"/>
      <c r="C365" s="1780"/>
      <c r="D365" s="1780"/>
      <c r="E365" s="1780"/>
      <c r="F365" s="1780"/>
      <c r="G365" s="1780"/>
      <c r="H365" s="546"/>
      <c r="I365" s="1658"/>
      <c r="J365" s="1658"/>
    </row>
    <row r="366" spans="1:10" ht="23.25" x14ac:dyDescent="0.2">
      <c r="A366" s="1780"/>
      <c r="B366" s="1780"/>
      <c r="C366" s="1780"/>
      <c r="D366" s="1780"/>
      <c r="E366" s="1780"/>
      <c r="F366" s="1780"/>
      <c r="G366" s="1780"/>
      <c r="H366" s="546"/>
      <c r="I366" s="1658"/>
      <c r="J366" s="1658"/>
    </row>
    <row r="367" spans="1:10" ht="23.25" x14ac:dyDescent="0.25">
      <c r="B367" s="1658"/>
      <c r="C367" s="1658"/>
      <c r="D367" s="1658"/>
      <c r="E367" s="1658"/>
      <c r="F367" s="1658"/>
      <c r="G367" s="615"/>
      <c r="H367" s="1658"/>
      <c r="I367" s="1658"/>
      <c r="J367" s="1658"/>
    </row>
    <row r="368" spans="1:10" ht="24" thickBot="1" x14ac:dyDescent="0.3">
      <c r="B368" s="1658"/>
      <c r="C368" s="1658"/>
      <c r="D368" s="1658"/>
      <c r="E368" s="1658"/>
      <c r="F368" s="1658"/>
      <c r="G368" s="615"/>
      <c r="H368" s="1658"/>
      <c r="I368" s="1658"/>
      <c r="J368" s="1658"/>
    </row>
    <row r="369" spans="2:10" ht="24" hidden="1" thickBot="1" x14ac:dyDescent="0.3">
      <c r="B369" s="546"/>
      <c r="C369" s="546"/>
      <c r="D369" s="546"/>
      <c r="E369" s="1804" t="s">
        <v>966</v>
      </c>
      <c r="F369" s="1775"/>
      <c r="G369" s="618" t="s">
        <v>834</v>
      </c>
      <c r="H369" s="549" t="s">
        <v>835</v>
      </c>
      <c r="I369" s="548"/>
      <c r="J369" s="548"/>
    </row>
    <row r="370" spans="2:10" ht="16.5" hidden="1" thickBot="1" x14ac:dyDescent="0.3">
      <c r="B370" s="1792" t="s">
        <v>113</v>
      </c>
      <c r="C370" s="1793"/>
      <c r="D370" s="1793"/>
      <c r="E370" s="102"/>
      <c r="F370" s="548"/>
      <c r="G370" s="255"/>
      <c r="H370" s="255"/>
      <c r="I370" s="548"/>
      <c r="J370" s="548"/>
    </row>
    <row r="371" spans="2:10" ht="16.5" hidden="1" thickBot="1" x14ac:dyDescent="0.3">
      <c r="B371" s="1794"/>
      <c r="C371" s="1769"/>
      <c r="D371" s="1769"/>
      <c r="E371" s="559" t="s">
        <v>801</v>
      </c>
      <c r="F371" s="93" t="s">
        <v>968</v>
      </c>
      <c r="G371" s="617">
        <v>2950000</v>
      </c>
      <c r="H371" s="617">
        <f>H374+H375+H376+H377+H378+H379</f>
        <v>2950000</v>
      </c>
      <c r="I371" s="550"/>
      <c r="J371" s="550"/>
    </row>
    <row r="372" spans="2:10" ht="13.5" hidden="1" thickBot="1" x14ac:dyDescent="0.25">
      <c r="B372" s="1795"/>
      <c r="C372" s="1779"/>
      <c r="D372" s="1779"/>
      <c r="E372" s="89"/>
      <c r="F372" s="84"/>
      <c r="G372" s="1665"/>
      <c r="H372" s="1665"/>
      <c r="I372" s="84"/>
      <c r="J372" s="84"/>
    </row>
    <row r="373" spans="2:10" ht="13.5" hidden="1" thickBot="1" x14ac:dyDescent="0.25">
      <c r="B373" s="102"/>
      <c r="C373" s="87"/>
      <c r="D373" s="80"/>
      <c r="E373" s="88"/>
      <c r="F373" s="444"/>
      <c r="G373" s="255"/>
      <c r="H373" s="255"/>
      <c r="I373" s="6"/>
      <c r="J373" s="6"/>
    </row>
    <row r="374" spans="2:10" ht="13.5" hidden="1" thickBot="1" x14ac:dyDescent="0.25">
      <c r="B374" s="88" t="s">
        <v>790</v>
      </c>
      <c r="C374" s="6"/>
      <c r="D374" s="81"/>
      <c r="E374" s="88"/>
      <c r="F374" s="445">
        <v>150000</v>
      </c>
      <c r="G374" s="616">
        <v>150000</v>
      </c>
      <c r="H374" s="616">
        <v>150000</v>
      </c>
      <c r="I374" s="570"/>
      <c r="J374" s="570"/>
    </row>
    <row r="375" spans="2:10" ht="13.5" hidden="1" thickBot="1" x14ac:dyDescent="0.25">
      <c r="B375" s="88" t="s">
        <v>791</v>
      </c>
      <c r="C375" s="6"/>
      <c r="D375" s="81"/>
      <c r="E375" s="88"/>
      <c r="F375" s="445">
        <v>200000</v>
      </c>
      <c r="G375" s="616">
        <v>200000</v>
      </c>
      <c r="H375" s="616">
        <v>200000</v>
      </c>
      <c r="I375" s="570"/>
      <c r="J375" s="570"/>
    </row>
    <row r="376" spans="2:10" ht="13.5" hidden="1" thickBot="1" x14ac:dyDescent="0.25">
      <c r="B376" s="88" t="s">
        <v>792</v>
      </c>
      <c r="C376" s="6"/>
      <c r="D376" s="81"/>
      <c r="E376" s="88"/>
      <c r="F376" s="445">
        <v>100000</v>
      </c>
      <c r="G376" s="616">
        <v>100000</v>
      </c>
      <c r="H376" s="616">
        <v>100000</v>
      </c>
      <c r="I376" s="570"/>
      <c r="J376" s="570"/>
    </row>
    <row r="377" spans="2:10" ht="13.5" hidden="1" thickBot="1" x14ac:dyDescent="0.25">
      <c r="B377" s="88" t="s">
        <v>796</v>
      </c>
      <c r="C377" s="6"/>
      <c r="D377" s="81"/>
      <c r="E377" s="28">
        <v>500000</v>
      </c>
      <c r="F377" s="445">
        <v>700000</v>
      </c>
      <c r="G377" s="616">
        <v>1200000</v>
      </c>
      <c r="H377" s="616">
        <v>1200000</v>
      </c>
      <c r="I377" s="570"/>
      <c r="J377" s="570"/>
    </row>
    <row r="378" spans="2:10" ht="13.5" hidden="1" thickBot="1" x14ac:dyDescent="0.25">
      <c r="B378" s="88" t="s">
        <v>797</v>
      </c>
      <c r="C378" s="6"/>
      <c r="D378" s="81"/>
      <c r="E378" s="28">
        <v>500000</v>
      </c>
      <c r="F378" s="445">
        <v>700000</v>
      </c>
      <c r="G378" s="616">
        <v>1200000</v>
      </c>
      <c r="H378" s="616">
        <v>1200000</v>
      </c>
      <c r="I378" s="570"/>
      <c r="J378" s="570"/>
    </row>
    <row r="379" spans="2:10" ht="13.5" hidden="1" thickBot="1" x14ac:dyDescent="0.25">
      <c r="B379" s="88" t="s">
        <v>798</v>
      </c>
      <c r="C379" s="6"/>
      <c r="D379" s="81"/>
      <c r="E379" s="88"/>
      <c r="F379" s="445">
        <v>100000</v>
      </c>
      <c r="G379" s="616">
        <v>100000</v>
      </c>
      <c r="H379" s="616">
        <v>100000</v>
      </c>
      <c r="I379" s="570"/>
      <c r="J379" s="570"/>
    </row>
    <row r="380" spans="2:10" ht="13.5" hidden="1" thickBot="1" x14ac:dyDescent="0.25">
      <c r="B380" s="89"/>
      <c r="C380" s="90"/>
      <c r="D380" s="84"/>
      <c r="E380" s="89"/>
      <c r="F380" s="552"/>
      <c r="G380" s="1665"/>
      <c r="H380" s="1665"/>
      <c r="I380" s="6"/>
      <c r="J380" s="6"/>
    </row>
    <row r="381" spans="2:10" x14ac:dyDescent="0.2">
      <c r="B381" s="1765" t="s">
        <v>70</v>
      </c>
      <c r="C381" s="1766"/>
      <c r="D381" s="1766"/>
      <c r="E381" s="3"/>
      <c r="F381" s="23"/>
      <c r="G381" s="255"/>
      <c r="H381" s="255"/>
      <c r="I381" s="80"/>
      <c r="J381" s="80"/>
    </row>
    <row r="382" spans="2:10" ht="15" x14ac:dyDescent="0.25">
      <c r="B382" s="1768"/>
      <c r="C382" s="1769"/>
      <c r="D382" s="1769"/>
      <c r="E382" s="6"/>
      <c r="F382" s="553">
        <f>F385+F386+F387+F388</f>
        <v>525000</v>
      </c>
      <c r="G382" s="617">
        <v>525000</v>
      </c>
      <c r="H382" s="617">
        <v>525000</v>
      </c>
      <c r="I382" s="554"/>
      <c r="J382" s="554"/>
    </row>
    <row r="383" spans="2:10" x14ac:dyDescent="0.2">
      <c r="B383" s="1778"/>
      <c r="C383" s="1779"/>
      <c r="D383" s="1779"/>
      <c r="E383" s="6"/>
      <c r="F383" s="445"/>
      <c r="G383" s="1665"/>
      <c r="H383" s="1665"/>
      <c r="I383" s="84"/>
      <c r="J383" s="84"/>
    </row>
    <row r="384" spans="2:10" x14ac:dyDescent="0.2">
      <c r="B384" s="102"/>
      <c r="C384" s="87"/>
      <c r="D384" s="80"/>
      <c r="E384" s="102"/>
      <c r="F384" s="444"/>
      <c r="G384" s="255"/>
      <c r="H384" s="255"/>
      <c r="I384" s="6"/>
      <c r="J384" s="6"/>
    </row>
    <row r="385" spans="2:10" x14ac:dyDescent="0.2">
      <c r="B385" s="88" t="s">
        <v>793</v>
      </c>
      <c r="C385" s="6"/>
      <c r="D385" s="81"/>
      <c r="E385" s="88"/>
      <c r="F385" s="445">
        <v>100000</v>
      </c>
      <c r="G385" s="1666"/>
      <c r="H385" s="616">
        <v>100000</v>
      </c>
      <c r="I385" s="570"/>
      <c r="J385" s="570"/>
    </row>
    <row r="386" spans="2:10" x14ac:dyDescent="0.2">
      <c r="B386" s="88" t="s">
        <v>794</v>
      </c>
      <c r="C386" s="6"/>
      <c r="D386" s="81"/>
      <c r="E386" s="88"/>
      <c r="F386" s="445">
        <v>100000</v>
      </c>
      <c r="G386" s="1666"/>
      <c r="H386" s="616">
        <v>100000</v>
      </c>
      <c r="I386" s="570"/>
      <c r="J386" s="570"/>
    </row>
    <row r="387" spans="2:10" x14ac:dyDescent="0.2">
      <c r="B387" s="88" t="s">
        <v>796</v>
      </c>
      <c r="C387" s="6"/>
      <c r="D387" s="81"/>
      <c r="E387" s="88"/>
      <c r="F387" s="445">
        <v>300000</v>
      </c>
      <c r="G387" s="1666"/>
      <c r="H387" s="616">
        <v>300000</v>
      </c>
      <c r="I387" s="570"/>
      <c r="J387" s="570"/>
    </row>
    <row r="388" spans="2:10" x14ac:dyDescent="0.2">
      <c r="B388" s="88" t="s">
        <v>798</v>
      </c>
      <c r="C388" s="6"/>
      <c r="D388" s="81"/>
      <c r="E388" s="88"/>
      <c r="F388" s="445">
        <v>25000</v>
      </c>
      <c r="G388" s="1666"/>
      <c r="H388" s="616">
        <v>25000</v>
      </c>
      <c r="I388" s="570"/>
      <c r="J388" s="570"/>
    </row>
    <row r="389" spans="2:10" ht="13.5" thickBot="1" x14ac:dyDescent="0.25">
      <c r="B389" s="89"/>
      <c r="C389" s="90"/>
      <c r="D389" s="84"/>
      <c r="E389" s="89"/>
      <c r="F389" s="552"/>
      <c r="G389" s="1665"/>
      <c r="H389" s="1665"/>
      <c r="I389" s="6"/>
      <c r="J389" s="6"/>
    </row>
    <row r="390" spans="2:10" x14ac:dyDescent="0.2">
      <c r="B390" s="1765" t="s">
        <v>72</v>
      </c>
      <c r="C390" s="1766"/>
      <c r="D390" s="1766"/>
      <c r="E390" s="3"/>
      <c r="F390" s="23"/>
      <c r="G390" s="255"/>
      <c r="H390" s="255"/>
      <c r="I390" s="80"/>
      <c r="J390" s="80"/>
    </row>
    <row r="391" spans="2:10" ht="15" x14ac:dyDescent="0.25">
      <c r="B391" s="1768"/>
      <c r="C391" s="1769"/>
      <c r="D391" s="1769"/>
      <c r="E391" s="6"/>
      <c r="F391" s="553">
        <f>F394+F395+F396+F397</f>
        <v>425000</v>
      </c>
      <c r="G391" s="617">
        <v>425000</v>
      </c>
      <c r="H391" s="617">
        <v>425000</v>
      </c>
      <c r="I391" s="554"/>
      <c r="J391" s="554"/>
    </row>
    <row r="392" spans="2:10" x14ac:dyDescent="0.2">
      <c r="B392" s="1778"/>
      <c r="C392" s="1779"/>
      <c r="D392" s="1779"/>
      <c r="E392" s="6"/>
      <c r="F392" s="445"/>
      <c r="G392" s="1665"/>
      <c r="H392" s="1665"/>
      <c r="I392" s="84"/>
      <c r="J392" s="84"/>
    </row>
    <row r="393" spans="2:10" x14ac:dyDescent="0.2">
      <c r="B393" s="102"/>
      <c r="C393" s="87"/>
      <c r="D393" s="80"/>
      <c r="E393" s="102"/>
      <c r="F393" s="444"/>
      <c r="G393" s="255"/>
      <c r="H393" s="255"/>
      <c r="I393" s="6"/>
      <c r="J393" s="6"/>
    </row>
    <row r="394" spans="2:10" x14ac:dyDescent="0.2">
      <c r="B394" s="88" t="s">
        <v>793</v>
      </c>
      <c r="C394" s="6"/>
      <c r="D394" s="81"/>
      <c r="E394" s="88"/>
      <c r="F394" s="445">
        <v>100000</v>
      </c>
      <c r="G394" s="1666"/>
      <c r="H394" s="616">
        <v>100000</v>
      </c>
      <c r="I394" s="570"/>
      <c r="J394" s="570"/>
    </row>
    <row r="395" spans="2:10" x14ac:dyDescent="0.2">
      <c r="B395" s="88" t="s">
        <v>794</v>
      </c>
      <c r="C395" s="6"/>
      <c r="D395" s="81"/>
      <c r="E395" s="88"/>
      <c r="F395" s="445"/>
      <c r="G395" s="1666"/>
      <c r="H395" s="1666"/>
      <c r="I395" s="570"/>
      <c r="J395" s="570"/>
    </row>
    <row r="396" spans="2:10" x14ac:dyDescent="0.2">
      <c r="B396" s="88" t="s">
        <v>796</v>
      </c>
      <c r="C396" s="6"/>
      <c r="D396" s="81"/>
      <c r="E396" s="88"/>
      <c r="F396" s="445">
        <v>300000</v>
      </c>
      <c r="G396" s="1666"/>
      <c r="H396" s="616">
        <v>300000</v>
      </c>
      <c r="I396" s="570"/>
      <c r="J396" s="570"/>
    </row>
    <row r="397" spans="2:10" x14ac:dyDescent="0.2">
      <c r="B397" s="88" t="s">
        <v>798</v>
      </c>
      <c r="C397" s="6"/>
      <c r="D397" s="81"/>
      <c r="E397" s="88"/>
      <c r="F397" s="445">
        <v>25000</v>
      </c>
      <c r="G397" s="1666"/>
      <c r="H397" s="616">
        <v>25000</v>
      </c>
      <c r="I397" s="570"/>
      <c r="J397" s="570"/>
    </row>
    <row r="398" spans="2:10" ht="13.5" thickBot="1" x14ac:dyDescent="0.25">
      <c r="B398" s="89"/>
      <c r="C398" s="90"/>
      <c r="D398" s="84"/>
      <c r="E398" s="89"/>
      <c r="F398" s="552"/>
      <c r="G398" s="1665"/>
      <c r="H398" s="1665"/>
      <c r="I398" s="6"/>
      <c r="J398" s="6"/>
    </row>
    <row r="399" spans="2:10" x14ac:dyDescent="0.2">
      <c r="B399" s="1765" t="s">
        <v>330</v>
      </c>
      <c r="C399" s="1766"/>
      <c r="D399" s="1766"/>
      <c r="E399" s="3"/>
      <c r="F399" s="23"/>
      <c r="G399" s="255"/>
      <c r="H399" s="255"/>
      <c r="I399" s="80"/>
      <c r="J399" s="80"/>
    </row>
    <row r="400" spans="2:10" ht="15" x14ac:dyDescent="0.25">
      <c r="B400" s="1768"/>
      <c r="C400" s="1769"/>
      <c r="D400" s="1769"/>
      <c r="E400" s="6"/>
      <c r="F400" s="553">
        <f>F403+F404+F405+F406</f>
        <v>1020000</v>
      </c>
      <c r="G400" s="617">
        <v>1020000</v>
      </c>
      <c r="H400" s="617">
        <v>1020000</v>
      </c>
      <c r="I400" s="553"/>
      <c r="J400" s="553"/>
    </row>
    <row r="401" spans="2:10" x14ac:dyDescent="0.2">
      <c r="B401" s="1778"/>
      <c r="C401" s="1779"/>
      <c r="D401" s="1779"/>
      <c r="E401" s="90"/>
      <c r="F401" s="555"/>
      <c r="G401" s="1665"/>
      <c r="H401" s="1665"/>
      <c r="I401" s="84"/>
      <c r="J401" s="84"/>
    </row>
    <row r="402" spans="2:10" x14ac:dyDescent="0.2">
      <c r="B402" s="102"/>
      <c r="C402" s="87"/>
      <c r="D402" s="80"/>
      <c r="E402" s="102"/>
      <c r="F402" s="444"/>
      <c r="G402" s="255"/>
      <c r="H402" s="255"/>
      <c r="I402" s="6"/>
      <c r="J402" s="6"/>
    </row>
    <row r="403" spans="2:10" x14ac:dyDescent="0.2">
      <c r="B403" s="88" t="s">
        <v>793</v>
      </c>
      <c r="C403" s="6"/>
      <c r="D403" s="81"/>
      <c r="E403" s="88"/>
      <c r="F403" s="445">
        <v>200000</v>
      </c>
      <c r="G403" s="1666"/>
      <c r="H403" s="616">
        <v>200000</v>
      </c>
      <c r="I403" s="570"/>
      <c r="J403" s="570"/>
    </row>
    <row r="404" spans="2:10" x14ac:dyDescent="0.2">
      <c r="B404" s="88" t="s">
        <v>794</v>
      </c>
      <c r="C404" s="6"/>
      <c r="D404" s="81"/>
      <c r="E404" s="88"/>
      <c r="F404" s="445">
        <v>200000</v>
      </c>
      <c r="G404" s="1666"/>
      <c r="H404" s="616">
        <v>200000</v>
      </c>
      <c r="I404" s="570"/>
      <c r="J404" s="570"/>
    </row>
    <row r="405" spans="2:10" x14ac:dyDescent="0.2">
      <c r="B405" s="88" t="s">
        <v>796</v>
      </c>
      <c r="C405" s="6"/>
      <c r="D405" s="81"/>
      <c r="E405" s="88"/>
      <c r="F405" s="445">
        <v>600000</v>
      </c>
      <c r="G405" s="1666"/>
      <c r="H405" s="616">
        <v>600000</v>
      </c>
      <c r="I405" s="570"/>
      <c r="J405" s="570"/>
    </row>
    <row r="406" spans="2:10" x14ac:dyDescent="0.2">
      <c r="B406" s="88" t="s">
        <v>798</v>
      </c>
      <c r="C406" s="6"/>
      <c r="D406" s="81"/>
      <c r="E406" s="88"/>
      <c r="F406" s="445">
        <v>20000</v>
      </c>
      <c r="G406" s="1666"/>
      <c r="H406" s="616">
        <v>20000</v>
      </c>
      <c r="I406" s="570"/>
      <c r="J406" s="570"/>
    </row>
    <row r="407" spans="2:10" x14ac:dyDescent="0.2">
      <c r="B407" s="88"/>
      <c r="C407" s="6"/>
      <c r="D407" s="81"/>
      <c r="E407" s="88"/>
      <c r="F407" s="445"/>
      <c r="G407" s="1666"/>
      <c r="H407" s="616"/>
      <c r="I407" s="570"/>
      <c r="J407" s="570"/>
    </row>
    <row r="408" spans="2:10" x14ac:dyDescent="0.2">
      <c r="B408" s="88"/>
      <c r="C408" s="6"/>
      <c r="D408" s="81"/>
      <c r="E408" s="88"/>
      <c r="F408" s="445"/>
      <c r="G408" s="1666"/>
      <c r="H408" s="616"/>
      <c r="I408" s="570"/>
      <c r="J408" s="570"/>
    </row>
    <row r="409" spans="2:10" x14ac:dyDescent="0.2">
      <c r="B409" s="89"/>
      <c r="C409" s="90"/>
      <c r="D409" s="84"/>
      <c r="E409" s="89"/>
      <c r="F409" s="555"/>
      <c r="G409" s="1665"/>
      <c r="H409" s="1666"/>
      <c r="I409" s="570"/>
      <c r="J409" s="570"/>
    </row>
    <row r="410" spans="2:10" x14ac:dyDescent="0.2">
      <c r="B410" s="1805" t="s">
        <v>735</v>
      </c>
      <c r="C410" s="1806"/>
      <c r="D410" s="1807"/>
      <c r="E410" s="6"/>
      <c r="F410" s="445"/>
      <c r="G410" s="1666"/>
      <c r="H410" s="1666"/>
      <c r="I410" s="570"/>
      <c r="J410" s="570"/>
    </row>
    <row r="411" spans="2:10" x14ac:dyDescent="0.2">
      <c r="B411" s="1808"/>
      <c r="C411" s="1809"/>
      <c r="D411" s="1810"/>
      <c r="E411" s="6"/>
      <c r="F411" s="445"/>
      <c r="G411" s="905" t="s">
        <v>967</v>
      </c>
      <c r="H411" s="1666"/>
      <c r="I411" s="570"/>
      <c r="J411" s="570"/>
    </row>
    <row r="412" spans="2:10" x14ac:dyDescent="0.2">
      <c r="B412" s="1794" t="s">
        <v>696</v>
      </c>
      <c r="C412" s="1769"/>
      <c r="D412" s="1798"/>
      <c r="E412" s="6"/>
      <c r="F412" s="445"/>
      <c r="G412" s="1666"/>
      <c r="H412" s="255"/>
      <c r="I412" s="80"/>
      <c r="J412" s="80"/>
    </row>
    <row r="413" spans="2:10" ht="15" x14ac:dyDescent="0.25">
      <c r="B413" s="1794"/>
      <c r="C413" s="1769"/>
      <c r="D413" s="1798"/>
      <c r="E413" s="6"/>
      <c r="F413" s="906">
        <v>1500000</v>
      </c>
      <c r="G413" s="617">
        <v>450000</v>
      </c>
      <c r="H413" s="907">
        <v>1500000</v>
      </c>
      <c r="I413" s="553"/>
      <c r="J413" s="553"/>
    </row>
    <row r="414" spans="2:10" x14ac:dyDescent="0.2">
      <c r="B414" s="1794" t="s">
        <v>832</v>
      </c>
      <c r="C414" s="1769"/>
      <c r="D414" s="1798"/>
      <c r="E414" s="6"/>
      <c r="F414" s="29"/>
      <c r="G414" s="1666"/>
      <c r="H414" s="80"/>
      <c r="I414" s="80"/>
      <c r="J414" s="80"/>
    </row>
    <row r="415" spans="2:10" ht="15" x14ac:dyDescent="0.25">
      <c r="B415" s="1794"/>
      <c r="C415" s="1769"/>
      <c r="D415" s="1798"/>
      <c r="E415" s="6"/>
      <c r="F415" s="906">
        <v>1600000</v>
      </c>
      <c r="G415" s="908">
        <v>550000</v>
      </c>
      <c r="H415" s="907">
        <v>1600000</v>
      </c>
      <c r="I415" s="553"/>
      <c r="J415" s="553"/>
    </row>
    <row r="416" spans="2:10" ht="15" x14ac:dyDescent="0.25">
      <c r="B416" s="1794"/>
      <c r="C416" s="1769"/>
      <c r="D416" s="1798"/>
      <c r="E416" s="6"/>
      <c r="F416" s="906"/>
      <c r="G416" s="617">
        <v>1000000</v>
      </c>
      <c r="H416" s="907"/>
      <c r="I416" s="553"/>
      <c r="J416" s="553"/>
    </row>
    <row r="417" spans="2:10" x14ac:dyDescent="0.2">
      <c r="B417" s="1795"/>
      <c r="C417" s="1779"/>
      <c r="D417" s="1799"/>
      <c r="E417" s="90"/>
      <c r="F417" s="436"/>
      <c r="G417" s="1665"/>
      <c r="H417" s="84"/>
      <c r="I417" s="84"/>
      <c r="J417" s="84"/>
    </row>
    <row r="418" spans="2:10" x14ac:dyDescent="0.2">
      <c r="B418" s="88"/>
      <c r="C418" s="6"/>
      <c r="D418" s="81"/>
      <c r="E418" s="102"/>
      <c r="F418" s="444"/>
      <c r="G418" s="1666"/>
      <c r="H418" s="255"/>
      <c r="I418" s="80"/>
      <c r="J418" s="80"/>
    </row>
    <row r="419" spans="2:10" ht="15" x14ac:dyDescent="0.25">
      <c r="B419" s="512" t="s">
        <v>671</v>
      </c>
      <c r="C419" s="6"/>
      <c r="D419" s="81"/>
      <c r="E419" s="88"/>
      <c r="F419" s="553">
        <f>F400+F391+F382+F413+F415</f>
        <v>5070000</v>
      </c>
      <c r="G419" s="617">
        <f>G371+G382+G391+G400+G413+G415</f>
        <v>5920000</v>
      </c>
      <c r="H419" s="617">
        <f>H371+H382+H391+H400+H413+H415</f>
        <v>8020000</v>
      </c>
      <c r="I419" s="554"/>
      <c r="J419" s="554"/>
    </row>
    <row r="420" spans="2:10" x14ac:dyDescent="0.2">
      <c r="B420" s="89"/>
      <c r="C420" s="90"/>
      <c r="D420" s="84"/>
      <c r="E420" s="89"/>
      <c r="F420" s="555"/>
      <c r="G420" s="1665"/>
      <c r="H420" s="1665"/>
      <c r="I420" s="84"/>
      <c r="J420" s="84"/>
    </row>
  </sheetData>
  <mergeCells count="134">
    <mergeCell ref="B1:AN1"/>
    <mergeCell ref="B2:H2"/>
    <mergeCell ref="E5:E6"/>
    <mergeCell ref="F5:F6"/>
    <mergeCell ref="G5:G6"/>
    <mergeCell ref="H5:H6"/>
    <mergeCell ref="I5:I6"/>
    <mergeCell ref="J5:J6"/>
    <mergeCell ref="K5:K6"/>
    <mergeCell ref="L5:L6"/>
    <mergeCell ref="AN5:AN6"/>
    <mergeCell ref="AH5:AH6"/>
    <mergeCell ref="AI5:AI6"/>
    <mergeCell ref="AJ5:AJ6"/>
    <mergeCell ref="B7:D7"/>
    <mergeCell ref="E28:E29"/>
    <mergeCell ref="F28:F29"/>
    <mergeCell ref="G28:G29"/>
    <mergeCell ref="H28:H29"/>
    <mergeCell ref="I28:I29"/>
    <mergeCell ref="AE5:AE6"/>
    <mergeCell ref="AF5:AF6"/>
    <mergeCell ref="AG5:AG6"/>
    <mergeCell ref="Y5:Y6"/>
    <mergeCell ref="Z5:Z6"/>
    <mergeCell ref="AA5:AA6"/>
    <mergeCell ref="AB5:AB6"/>
    <mergeCell ref="AC5:AC6"/>
    <mergeCell ref="AD5:AD6"/>
    <mergeCell ref="S5:S6"/>
    <mergeCell ref="T5:T6"/>
    <mergeCell ref="U5:U6"/>
    <mergeCell ref="V5:V6"/>
    <mergeCell ref="W5:W6"/>
    <mergeCell ref="J28:J29"/>
    <mergeCell ref="K28:K29"/>
    <mergeCell ref="L28:L29"/>
    <mergeCell ref="M28:M29"/>
    <mergeCell ref="N28:N29"/>
    <mergeCell ref="O28:O29"/>
    <mergeCell ref="AK5:AK6"/>
    <mergeCell ref="AL5:AL6"/>
    <mergeCell ref="AM5:AM6"/>
    <mergeCell ref="X5:X6"/>
    <mergeCell ref="M5:M6"/>
    <mergeCell ref="N5:N6"/>
    <mergeCell ref="O5:O6"/>
    <mergeCell ref="P5:P6"/>
    <mergeCell ref="Q5:Q6"/>
    <mergeCell ref="R5:R6"/>
    <mergeCell ref="X28:X29"/>
    <mergeCell ref="Y28:Y29"/>
    <mergeCell ref="Z28:Z29"/>
    <mergeCell ref="AA28:AA29"/>
    <mergeCell ref="P28:P29"/>
    <mergeCell ref="Q28:Q29"/>
    <mergeCell ref="R28:R29"/>
    <mergeCell ref="S28:S29"/>
    <mergeCell ref="T28:T29"/>
    <mergeCell ref="U28:U29"/>
    <mergeCell ref="AN28:AN29"/>
    <mergeCell ref="AO28:AO29"/>
    <mergeCell ref="B30:D30"/>
    <mergeCell ref="B86:D86"/>
    <mergeCell ref="B90:D90"/>
    <mergeCell ref="B119:D120"/>
    <mergeCell ref="E119:E120"/>
    <mergeCell ref="F119:F120"/>
    <mergeCell ref="G119:G120"/>
    <mergeCell ref="H119:H120"/>
    <mergeCell ref="AH28:AH29"/>
    <mergeCell ref="AI28:AI29"/>
    <mergeCell ref="AJ28:AJ29"/>
    <mergeCell ref="AK28:AK29"/>
    <mergeCell ref="AL28:AL29"/>
    <mergeCell ref="AM28:AM29"/>
    <mergeCell ref="AB28:AB29"/>
    <mergeCell ref="AC28:AC29"/>
    <mergeCell ref="AD28:AD29"/>
    <mergeCell ref="AE28:AE29"/>
    <mergeCell ref="AF28:AF29"/>
    <mergeCell ref="AG28:AG29"/>
    <mergeCell ref="V28:V29"/>
    <mergeCell ref="W28:W29"/>
    <mergeCell ref="A165:AO166"/>
    <mergeCell ref="E169:F169"/>
    <mergeCell ref="H169:I169"/>
    <mergeCell ref="B170:D172"/>
    <mergeCell ref="B181:D183"/>
    <mergeCell ref="B190:D192"/>
    <mergeCell ref="B123:F124"/>
    <mergeCell ref="B128:D130"/>
    <mergeCell ref="B136:D138"/>
    <mergeCell ref="B143:D145"/>
    <mergeCell ref="B150:D152"/>
    <mergeCell ref="B163:F164"/>
    <mergeCell ref="A231:B231"/>
    <mergeCell ref="A233:B233"/>
    <mergeCell ref="A235:B235"/>
    <mergeCell ref="A237:B237"/>
    <mergeCell ref="A239:H240"/>
    <mergeCell ref="E243:F243"/>
    <mergeCell ref="B199:D201"/>
    <mergeCell ref="B208:D210"/>
    <mergeCell ref="B212:D214"/>
    <mergeCell ref="D226:G226"/>
    <mergeCell ref="C228:C229"/>
    <mergeCell ref="D228:D229"/>
    <mergeCell ref="E228:E229"/>
    <mergeCell ref="F228:F229"/>
    <mergeCell ref="A297:G298"/>
    <mergeCell ref="E301:F301"/>
    <mergeCell ref="B302:D304"/>
    <mergeCell ref="B313:D315"/>
    <mergeCell ref="B322:D324"/>
    <mergeCell ref="B331:D333"/>
    <mergeCell ref="B244:D246"/>
    <mergeCell ref="B255:D257"/>
    <mergeCell ref="B264:D266"/>
    <mergeCell ref="B273:D275"/>
    <mergeCell ref="B282:D284"/>
    <mergeCell ref="B286:D288"/>
    <mergeCell ref="B381:D383"/>
    <mergeCell ref="B390:D392"/>
    <mergeCell ref="B399:D401"/>
    <mergeCell ref="B410:D411"/>
    <mergeCell ref="B412:D413"/>
    <mergeCell ref="B414:D417"/>
    <mergeCell ref="B342:D343"/>
    <mergeCell ref="B344:D345"/>
    <mergeCell ref="B346:D349"/>
    <mergeCell ref="A365:G366"/>
    <mergeCell ref="E369:F369"/>
    <mergeCell ref="B370:D372"/>
  </mergeCells>
  <pageMargins left="0.70866141732283472" right="0.70866141732283472" top="0.43307086614173229" bottom="0.74803149606299213" header="0.31496062992125984" footer="0.31496062992125984"/>
  <pageSetup paperSize="9" scale="67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2:C67"/>
  <sheetViews>
    <sheetView workbookViewId="0">
      <selection activeCell="G29" sqref="G29"/>
    </sheetView>
  </sheetViews>
  <sheetFormatPr defaultColWidth="11.42578125" defaultRowHeight="12.75" x14ac:dyDescent="0.2"/>
  <cols>
    <col min="1" max="1" width="45.7109375" customWidth="1"/>
    <col min="2" max="2" width="28.85546875" customWidth="1"/>
  </cols>
  <sheetData>
    <row r="2" spans="1:3" ht="18" x14ac:dyDescent="0.25">
      <c r="A2" s="1757" t="s">
        <v>1372</v>
      </c>
      <c r="B2" s="1757"/>
      <c r="C2" s="1757"/>
    </row>
    <row r="4" spans="1:3" x14ac:dyDescent="0.2">
      <c r="B4" s="934"/>
    </row>
    <row r="6" spans="1:3" x14ac:dyDescent="0.2">
      <c r="A6" s="1863" t="s">
        <v>1035</v>
      </c>
      <c r="B6" s="1863"/>
      <c r="C6" s="1863"/>
    </row>
    <row r="8" spans="1:3" x14ac:dyDescent="0.2">
      <c r="A8" s="753" t="s">
        <v>1364</v>
      </c>
      <c r="B8" s="753" t="s">
        <v>1365</v>
      </c>
      <c r="C8" s="753" t="s">
        <v>1366</v>
      </c>
    </row>
    <row r="9" spans="1:3" x14ac:dyDescent="0.2">
      <c r="A9" s="1610">
        <v>14206.08</v>
      </c>
      <c r="B9" s="755">
        <f>+A9*2.25</f>
        <v>31963.68</v>
      </c>
      <c r="C9" s="1606">
        <v>42554</v>
      </c>
    </row>
    <row r="10" spans="1:3" x14ac:dyDescent="0.2">
      <c r="A10" s="755">
        <v>6300</v>
      </c>
      <c r="B10" s="755">
        <f>+A10*2.4</f>
        <v>15120</v>
      </c>
      <c r="C10" s="1606">
        <v>42557</v>
      </c>
    </row>
    <row r="11" spans="1:3" x14ac:dyDescent="0.2">
      <c r="A11" s="755">
        <v>11280</v>
      </c>
      <c r="B11" s="755">
        <f>+A11*2.43</f>
        <v>27410.400000000001</v>
      </c>
      <c r="C11" s="1606">
        <v>42561</v>
      </c>
    </row>
    <row r="12" spans="1:3" x14ac:dyDescent="0.2">
      <c r="A12" s="755">
        <v>4149.16</v>
      </c>
      <c r="B12" s="755">
        <f>+A12*2.25</f>
        <v>9335.61</v>
      </c>
      <c r="C12" s="1607">
        <v>42567</v>
      </c>
    </row>
    <row r="13" spans="1:3" x14ac:dyDescent="0.2">
      <c r="A13" s="755">
        <v>4445.1499999999996</v>
      </c>
      <c r="B13" s="755">
        <f>+A13*2.32</f>
        <v>10312.747999999998</v>
      </c>
      <c r="C13" s="1608">
        <v>42581</v>
      </c>
    </row>
    <row r="14" spans="1:3" x14ac:dyDescent="0.2">
      <c r="A14" s="601"/>
      <c r="B14" s="601"/>
      <c r="C14" s="60"/>
    </row>
    <row r="15" spans="1:3" x14ac:dyDescent="0.2">
      <c r="A15" s="600"/>
      <c r="B15" s="601"/>
      <c r="C15" s="94"/>
    </row>
    <row r="16" spans="1:3" x14ac:dyDescent="0.2">
      <c r="A16" s="600"/>
      <c r="B16" s="601"/>
      <c r="C16" s="94"/>
    </row>
    <row r="17" spans="1:3" x14ac:dyDescent="0.2">
      <c r="A17" s="1862" t="s">
        <v>1367</v>
      </c>
      <c r="B17" s="1862"/>
      <c r="C17" s="1862"/>
    </row>
    <row r="18" spans="1:3" x14ac:dyDescent="0.2">
      <c r="A18" s="600"/>
      <c r="B18" s="600"/>
      <c r="C18" s="94"/>
    </row>
    <row r="19" spans="1:3" x14ac:dyDescent="0.2">
      <c r="A19" s="753" t="s">
        <v>1364</v>
      </c>
      <c r="B19" s="753" t="s">
        <v>1365</v>
      </c>
      <c r="C19" s="753" t="s">
        <v>1366</v>
      </c>
    </row>
    <row r="20" spans="1:3" x14ac:dyDescent="0.2">
      <c r="A20" s="1609">
        <v>115210.76</v>
      </c>
      <c r="B20" s="755">
        <f>A20*2.208/3</f>
        <v>84795.119359999997</v>
      </c>
      <c r="C20" s="1607">
        <v>42562</v>
      </c>
    </row>
    <row r="21" spans="1:3" x14ac:dyDescent="0.2">
      <c r="A21" s="1605">
        <v>51220.800000000003</v>
      </c>
      <c r="B21" s="755">
        <f>+A21*2.22</f>
        <v>113710.17600000002</v>
      </c>
      <c r="C21" s="1607">
        <v>42578</v>
      </c>
    </row>
    <row r="22" spans="1:3" x14ac:dyDescent="0.2">
      <c r="A22" s="600"/>
      <c r="B22" s="601"/>
      <c r="C22" s="94"/>
    </row>
    <row r="23" spans="1:3" x14ac:dyDescent="0.2">
      <c r="A23" s="600"/>
      <c r="B23" s="601"/>
      <c r="C23" s="94"/>
    </row>
    <row r="24" spans="1:3" x14ac:dyDescent="0.2">
      <c r="A24" s="600"/>
      <c r="B24" s="601"/>
      <c r="C24" s="94"/>
    </row>
    <row r="25" spans="1:3" x14ac:dyDescent="0.2">
      <c r="A25" s="600"/>
      <c r="B25" s="601"/>
      <c r="C25" s="94"/>
    </row>
    <row r="26" spans="1:3" x14ac:dyDescent="0.2">
      <c r="A26" s="600"/>
      <c r="B26" s="601"/>
      <c r="C26" s="94"/>
    </row>
    <row r="27" spans="1:3" x14ac:dyDescent="0.2">
      <c r="A27" s="650"/>
      <c r="B27" s="650"/>
      <c r="C27" s="649"/>
    </row>
    <row r="28" spans="1:3" x14ac:dyDescent="0.2">
      <c r="A28" s="650"/>
      <c r="B28" s="650"/>
      <c r="C28" s="649"/>
    </row>
    <row r="29" spans="1:3" x14ac:dyDescent="0.2">
      <c r="A29" s="1862" t="s">
        <v>1368</v>
      </c>
      <c r="B29" s="1862"/>
      <c r="C29" s="1862"/>
    </row>
    <row r="30" spans="1:3" x14ac:dyDescent="0.2">
      <c r="A30" s="650"/>
      <c r="B30" s="650"/>
      <c r="C30" s="649"/>
    </row>
    <row r="31" spans="1:3" x14ac:dyDescent="0.2">
      <c r="A31" s="753" t="s">
        <v>1364</v>
      </c>
      <c r="B31" s="753" t="s">
        <v>1365</v>
      </c>
      <c r="C31" s="676" t="s">
        <v>1366</v>
      </c>
    </row>
    <row r="32" spans="1:3" x14ac:dyDescent="0.2">
      <c r="A32" s="1605">
        <v>16768.3</v>
      </c>
      <c r="B32" s="755">
        <f>+A32*2.32</f>
        <v>38902.455999999998</v>
      </c>
      <c r="C32" s="1608">
        <v>42584</v>
      </c>
    </row>
    <row r="33" spans="1:3" x14ac:dyDescent="0.2">
      <c r="A33" s="1605">
        <v>5222.3</v>
      </c>
      <c r="B33" s="755">
        <f>+A33*2.47</f>
        <v>12899.081000000002</v>
      </c>
      <c r="C33" s="1608">
        <v>42585</v>
      </c>
    </row>
    <row r="34" spans="1:3" x14ac:dyDescent="0.2">
      <c r="A34" s="650"/>
      <c r="B34" s="659"/>
      <c r="C34" s="649"/>
    </row>
    <row r="35" spans="1:3" x14ac:dyDescent="0.2">
      <c r="A35" s="650"/>
      <c r="B35" s="659"/>
      <c r="C35" s="649"/>
    </row>
    <row r="36" spans="1:3" x14ac:dyDescent="0.2">
      <c r="A36" s="1862" t="s">
        <v>1369</v>
      </c>
      <c r="B36" s="1862"/>
      <c r="C36" s="1862"/>
    </row>
    <row r="37" spans="1:3" x14ac:dyDescent="0.2">
      <c r="A37" s="650"/>
      <c r="B37" s="650"/>
      <c r="C37" s="650"/>
    </row>
    <row r="38" spans="1:3" x14ac:dyDescent="0.2">
      <c r="A38" s="753" t="s">
        <v>1364</v>
      </c>
      <c r="B38" s="753" t="s">
        <v>1365</v>
      </c>
      <c r="C38" s="676" t="s">
        <v>1366</v>
      </c>
    </row>
    <row r="39" spans="1:3" x14ac:dyDescent="0.2">
      <c r="A39" s="1605">
        <v>54548.6</v>
      </c>
      <c r="B39" s="755">
        <f>+A39*2.22</f>
        <v>121097.89200000001</v>
      </c>
      <c r="C39" s="1607">
        <v>42583</v>
      </c>
    </row>
    <row r="40" spans="1:3" x14ac:dyDescent="0.2">
      <c r="A40" s="1605">
        <v>18349.830000000002</v>
      </c>
      <c r="B40" s="755">
        <f>+A40*2.2</f>
        <v>40369.626000000004</v>
      </c>
      <c r="C40" s="1606">
        <v>42590</v>
      </c>
    </row>
    <row r="41" spans="1:3" x14ac:dyDescent="0.2">
      <c r="A41" s="1605">
        <v>11807.62</v>
      </c>
      <c r="B41" s="755">
        <f>+A41*2.2</f>
        <v>25976.764000000003</v>
      </c>
      <c r="C41" s="1607">
        <v>42591</v>
      </c>
    </row>
    <row r="42" spans="1:3" x14ac:dyDescent="0.2">
      <c r="A42" s="1605">
        <v>16756.48</v>
      </c>
      <c r="B42" s="755">
        <f>A42*2.2</f>
        <v>36864.256000000001</v>
      </c>
      <c r="C42" s="1607">
        <v>42605</v>
      </c>
    </row>
    <row r="43" spans="1:3" x14ac:dyDescent="0.2">
      <c r="A43" s="1605">
        <v>29024</v>
      </c>
      <c r="B43" s="755">
        <f>+A43*2</f>
        <v>58048</v>
      </c>
      <c r="C43" s="1611">
        <v>42612</v>
      </c>
    </row>
    <row r="44" spans="1:3" x14ac:dyDescent="0.2">
      <c r="A44" s="650"/>
      <c r="B44" s="650"/>
      <c r="C44" s="649"/>
    </row>
    <row r="45" spans="1:3" x14ac:dyDescent="0.2">
      <c r="A45" s="650"/>
      <c r="B45" s="650"/>
      <c r="C45" s="649"/>
    </row>
    <row r="46" spans="1:3" x14ac:dyDescent="0.2">
      <c r="A46" s="650"/>
      <c r="B46" s="650"/>
      <c r="C46" s="649"/>
    </row>
    <row r="47" spans="1:3" x14ac:dyDescent="0.2">
      <c r="A47" s="650"/>
      <c r="B47" s="650"/>
      <c r="C47" s="649"/>
    </row>
    <row r="48" spans="1:3" x14ac:dyDescent="0.2">
      <c r="A48" s="650"/>
      <c r="B48" s="650"/>
      <c r="C48" s="649"/>
    </row>
    <row r="49" spans="1:3" x14ac:dyDescent="0.2">
      <c r="A49" s="1862" t="s">
        <v>1370</v>
      </c>
      <c r="B49" s="1862"/>
      <c r="C49" s="1862"/>
    </row>
    <row r="50" spans="1:3" x14ac:dyDescent="0.2">
      <c r="A50" s="600"/>
      <c r="B50" s="600"/>
      <c r="C50" s="600"/>
    </row>
    <row r="51" spans="1:3" x14ac:dyDescent="0.2">
      <c r="A51" s="1605" t="s">
        <v>1364</v>
      </c>
      <c r="B51" s="1605" t="s">
        <v>1365</v>
      </c>
      <c r="C51" s="1607" t="s">
        <v>1366</v>
      </c>
    </row>
    <row r="52" spans="1:3" x14ac:dyDescent="0.2">
      <c r="A52" s="1605">
        <v>32668.33</v>
      </c>
      <c r="B52" s="755">
        <f>+A52*2.2</f>
        <v>71870.326000000015</v>
      </c>
      <c r="C52" s="1607">
        <v>42616</v>
      </c>
    </row>
    <row r="53" spans="1:3" x14ac:dyDescent="0.2">
      <c r="A53" s="1605">
        <v>19437.75</v>
      </c>
      <c r="B53" s="755">
        <f>+A53*2.22</f>
        <v>43151.805</v>
      </c>
      <c r="C53" s="1606">
        <v>42618</v>
      </c>
    </row>
    <row r="54" spans="1:3" x14ac:dyDescent="0.2">
      <c r="A54" s="1605">
        <v>19275.72</v>
      </c>
      <c r="B54" s="755">
        <f>+A54*2.2</f>
        <v>42406.584000000003</v>
      </c>
      <c r="C54" s="1607">
        <v>42626</v>
      </c>
    </row>
    <row r="55" spans="1:3" x14ac:dyDescent="0.2">
      <c r="A55" s="1605">
        <v>11250.22</v>
      </c>
      <c r="B55" s="755">
        <f>+A55*2.25</f>
        <v>25312.994999999999</v>
      </c>
      <c r="C55" s="1607">
        <v>42627</v>
      </c>
    </row>
    <row r="56" spans="1:3" x14ac:dyDescent="0.2">
      <c r="A56" s="1605">
        <v>21057</v>
      </c>
      <c r="B56" s="755">
        <f>+A56*1.95</f>
        <v>41061.15</v>
      </c>
      <c r="C56" s="1607">
        <v>42627</v>
      </c>
    </row>
    <row r="57" spans="1:3" x14ac:dyDescent="0.2">
      <c r="A57" s="1605">
        <v>57198.65</v>
      </c>
      <c r="B57" s="755">
        <f>+A57*2.25</f>
        <v>128696.96250000001</v>
      </c>
      <c r="C57" s="1606">
        <v>42633</v>
      </c>
    </row>
    <row r="58" spans="1:3" x14ac:dyDescent="0.2">
      <c r="A58" s="650"/>
      <c r="B58" s="659"/>
      <c r="C58" s="562"/>
    </row>
    <row r="59" spans="1:3" x14ac:dyDescent="0.2">
      <c r="A59" s="650"/>
      <c r="B59" s="659"/>
      <c r="C59" s="562"/>
    </row>
    <row r="60" spans="1:3" x14ac:dyDescent="0.2">
      <c r="A60" s="650"/>
      <c r="B60" s="659"/>
      <c r="C60" s="562"/>
    </row>
    <row r="61" spans="1:3" x14ac:dyDescent="0.2">
      <c r="A61" s="1862" t="s">
        <v>1371</v>
      </c>
      <c r="B61" s="1862"/>
      <c r="C61" s="1862"/>
    </row>
    <row r="62" spans="1:3" x14ac:dyDescent="0.2">
      <c r="A62" s="650"/>
      <c r="B62" s="659"/>
      <c r="C62" s="562"/>
    </row>
    <row r="63" spans="1:3" x14ac:dyDescent="0.2">
      <c r="A63" s="1605" t="s">
        <v>1364</v>
      </c>
      <c r="B63" s="1605" t="s">
        <v>1365</v>
      </c>
      <c r="C63" s="1607" t="s">
        <v>1366</v>
      </c>
    </row>
    <row r="64" spans="1:3" x14ac:dyDescent="0.2">
      <c r="A64" s="1605">
        <v>28223.85</v>
      </c>
      <c r="B64" s="755">
        <f>+A64*2.2</f>
        <v>62092.47</v>
      </c>
      <c r="C64" s="1607">
        <v>42649</v>
      </c>
    </row>
    <row r="65" spans="1:3" x14ac:dyDescent="0.2">
      <c r="A65" s="650"/>
      <c r="B65" s="659"/>
      <c r="C65" s="562"/>
    </row>
    <row r="66" spans="1:3" x14ac:dyDescent="0.2">
      <c r="A66" s="650"/>
      <c r="B66" s="659"/>
      <c r="C66" s="649"/>
    </row>
    <row r="67" spans="1:3" x14ac:dyDescent="0.2">
      <c r="A67" s="650"/>
      <c r="B67" s="659"/>
      <c r="C67" s="649"/>
    </row>
  </sheetData>
  <mergeCells count="7">
    <mergeCell ref="A49:C49"/>
    <mergeCell ref="A61:C61"/>
    <mergeCell ref="A2:C2"/>
    <mergeCell ref="A29:C29"/>
    <mergeCell ref="A17:C17"/>
    <mergeCell ref="A6:C6"/>
    <mergeCell ref="A36:C36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51"/>
  <sheetViews>
    <sheetView topLeftCell="A28" workbookViewId="0">
      <selection activeCell="J39" sqref="J39"/>
    </sheetView>
  </sheetViews>
  <sheetFormatPr defaultColWidth="11.42578125" defaultRowHeight="12.75" x14ac:dyDescent="0.2"/>
  <cols>
    <col min="2" max="3" width="33.7109375" customWidth="1"/>
    <col min="4" max="4" width="23.85546875" customWidth="1"/>
    <col min="5" max="5" width="15.42578125" customWidth="1"/>
    <col min="9" max="9" width="13.85546875" bestFit="1" customWidth="1"/>
  </cols>
  <sheetData>
    <row r="2" spans="2:5" x14ac:dyDescent="0.2">
      <c r="E2" s="483" t="s">
        <v>1427</v>
      </c>
    </row>
    <row r="4" spans="2:5" ht="28.5" customHeight="1" x14ac:dyDescent="0.2">
      <c r="B4" s="1869" t="s">
        <v>1426</v>
      </c>
      <c r="C4" s="1869"/>
      <c r="D4" s="1869"/>
      <c r="E4" s="1869"/>
    </row>
    <row r="5" spans="2:5" ht="28.5" customHeight="1" x14ac:dyDescent="0.2">
      <c r="B5" s="1687"/>
      <c r="C5" s="1687"/>
      <c r="D5" s="1687"/>
      <c r="E5" s="1687"/>
    </row>
    <row r="6" spans="2:5" ht="28.5" customHeight="1" x14ac:dyDescent="0.2">
      <c r="B6" s="1687"/>
      <c r="C6" s="1687"/>
      <c r="D6" s="1687"/>
      <c r="E6" s="1687"/>
    </row>
    <row r="7" spans="2:5" ht="28.5" customHeight="1" x14ac:dyDescent="0.2">
      <c r="B7" s="259" t="s">
        <v>1421</v>
      </c>
      <c r="C7" s="1681" t="s">
        <v>1431</v>
      </c>
      <c r="D7" s="259" t="s">
        <v>1366</v>
      </c>
      <c r="E7" s="1680" t="s">
        <v>1420</v>
      </c>
    </row>
    <row r="8" spans="2:5" ht="28.5" customHeight="1" x14ac:dyDescent="0.2">
      <c r="B8" s="1203" t="s">
        <v>1422</v>
      </c>
      <c r="C8" s="1688" t="s">
        <v>166</v>
      </c>
      <c r="D8" s="1689" t="s">
        <v>837</v>
      </c>
      <c r="E8" s="1682">
        <v>250000</v>
      </c>
    </row>
    <row r="9" spans="2:5" ht="28.5" customHeight="1" x14ac:dyDescent="0.2">
      <c r="B9" s="1203" t="s">
        <v>1433</v>
      </c>
      <c r="C9" s="1203" t="s">
        <v>1435</v>
      </c>
      <c r="D9" s="1690">
        <v>42602</v>
      </c>
      <c r="E9" s="1682">
        <v>24442</v>
      </c>
    </row>
    <row r="10" spans="2:5" ht="28.5" customHeight="1" x14ac:dyDescent="0.2">
      <c r="B10" s="1676" t="s">
        <v>896</v>
      </c>
      <c r="C10" s="1691" t="s">
        <v>341</v>
      </c>
      <c r="D10" s="1692">
        <v>42611</v>
      </c>
      <c r="E10" s="1684">
        <v>29000</v>
      </c>
    </row>
    <row r="11" spans="2:5" ht="28.5" customHeight="1" thickBot="1" x14ac:dyDescent="0.25">
      <c r="B11" s="1848" t="s">
        <v>1434</v>
      </c>
      <c r="C11" s="1848"/>
      <c r="D11" s="1848"/>
      <c r="E11" s="1684">
        <v>600000</v>
      </c>
    </row>
    <row r="12" spans="2:5" ht="28.5" customHeight="1" thickBot="1" x14ac:dyDescent="0.25">
      <c r="B12" s="1866" t="s">
        <v>1432</v>
      </c>
      <c r="C12" s="1867"/>
      <c r="D12" s="1868"/>
      <c r="E12" s="1685">
        <f>SUM(E8:E11)</f>
        <v>903442</v>
      </c>
    </row>
    <row r="13" spans="2:5" ht="28.5" customHeight="1" x14ac:dyDescent="0.2">
      <c r="B13" s="1687"/>
      <c r="C13" s="1687"/>
      <c r="D13" s="1687"/>
      <c r="E13" s="1687"/>
    </row>
    <row r="14" spans="2:5" ht="28.5" customHeight="1" x14ac:dyDescent="0.2">
      <c r="B14" s="1687"/>
      <c r="C14" s="1687"/>
      <c r="D14" s="1687"/>
      <c r="E14" s="1687"/>
    </row>
    <row r="16" spans="2:5" ht="35.1" customHeight="1" x14ac:dyDescent="0.2">
      <c r="B16" s="259" t="s">
        <v>1421</v>
      </c>
      <c r="C16" s="1681" t="s">
        <v>1431</v>
      </c>
      <c r="D16" s="259" t="s">
        <v>1366</v>
      </c>
      <c r="E16" s="1680" t="s">
        <v>1420</v>
      </c>
    </row>
    <row r="17" spans="2:5" ht="24.95" customHeight="1" x14ac:dyDescent="0.2">
      <c r="B17" s="1203" t="s">
        <v>896</v>
      </c>
      <c r="C17" s="1688" t="s">
        <v>605</v>
      </c>
      <c r="D17" s="1689">
        <v>42593</v>
      </c>
      <c r="E17" s="1682">
        <v>13000</v>
      </c>
    </row>
    <row r="18" spans="2:5" ht="24.95" customHeight="1" thickBot="1" x14ac:dyDescent="0.25">
      <c r="B18" s="1676" t="s">
        <v>897</v>
      </c>
      <c r="C18" s="1691" t="s">
        <v>192</v>
      </c>
      <c r="D18" s="1692">
        <v>42605</v>
      </c>
      <c r="E18" s="1684">
        <v>37000</v>
      </c>
    </row>
    <row r="19" spans="2:5" ht="31.5" customHeight="1" thickBot="1" x14ac:dyDescent="0.25">
      <c r="B19" s="1866" t="s">
        <v>1415</v>
      </c>
      <c r="C19" s="1867"/>
      <c r="D19" s="1868"/>
      <c r="E19" s="1685">
        <f>+E17+E18</f>
        <v>50000</v>
      </c>
    </row>
    <row r="21" spans="2:5" x14ac:dyDescent="0.2">
      <c r="B21" s="934"/>
      <c r="C21" s="934"/>
      <c r="D21" s="934"/>
    </row>
    <row r="23" spans="2:5" ht="35.1" customHeight="1" x14ac:dyDescent="0.2">
      <c r="B23" s="259" t="s">
        <v>1421</v>
      </c>
      <c r="C23" s="1681" t="s">
        <v>1431</v>
      </c>
      <c r="D23" s="1681" t="s">
        <v>1366</v>
      </c>
      <c r="E23" s="1680" t="s">
        <v>1420</v>
      </c>
    </row>
    <row r="24" spans="2:5" ht="24.95" customHeight="1" x14ac:dyDescent="0.2">
      <c r="B24" s="1203" t="s">
        <v>896</v>
      </c>
      <c r="C24" s="1688" t="s">
        <v>319</v>
      </c>
      <c r="D24" s="1689">
        <v>42600</v>
      </c>
      <c r="E24" s="1682">
        <v>35000</v>
      </c>
    </row>
    <row r="25" spans="2:5" ht="24.95" customHeight="1" x14ac:dyDescent="0.2">
      <c r="B25" s="1203" t="s">
        <v>896</v>
      </c>
      <c r="C25" s="1688" t="s">
        <v>212</v>
      </c>
      <c r="D25" s="1689">
        <v>42601</v>
      </c>
      <c r="E25" s="1682">
        <v>16000</v>
      </c>
    </row>
    <row r="26" spans="2:5" ht="24.95" customHeight="1" x14ac:dyDescent="0.2">
      <c r="B26" s="1203" t="s">
        <v>896</v>
      </c>
      <c r="C26" s="1688" t="s">
        <v>946</v>
      </c>
      <c r="D26" s="1689">
        <v>42604</v>
      </c>
      <c r="E26" s="1682">
        <v>26000</v>
      </c>
    </row>
    <row r="27" spans="2:5" ht="24.95" customHeight="1" x14ac:dyDescent="0.2">
      <c r="B27" s="1203" t="s">
        <v>896</v>
      </c>
      <c r="C27" s="1688" t="s">
        <v>809</v>
      </c>
      <c r="D27" s="1689">
        <v>42605</v>
      </c>
      <c r="E27" s="1682">
        <v>6000</v>
      </c>
    </row>
    <row r="28" spans="2:5" ht="24.95" customHeight="1" thickBot="1" x14ac:dyDescent="0.25">
      <c r="B28" s="1676" t="s">
        <v>1425</v>
      </c>
      <c r="C28" s="1691" t="s">
        <v>1187</v>
      </c>
      <c r="D28" s="1692">
        <v>42611</v>
      </c>
      <c r="E28" s="1684">
        <v>10000</v>
      </c>
    </row>
    <row r="29" spans="2:5" ht="31.5" customHeight="1" thickBot="1" x14ac:dyDescent="0.25">
      <c r="B29" s="1866" t="s">
        <v>1416</v>
      </c>
      <c r="C29" s="1867"/>
      <c r="D29" s="1868"/>
      <c r="E29" s="1685">
        <f>+E24+E25+E26+E27+E28</f>
        <v>93000</v>
      </c>
    </row>
    <row r="34" spans="2:9" ht="35.1" customHeight="1" x14ac:dyDescent="0.2">
      <c r="B34" s="259" t="s">
        <v>1421</v>
      </c>
      <c r="C34" s="1681" t="s">
        <v>1431</v>
      </c>
      <c r="D34" s="1681" t="s">
        <v>1366</v>
      </c>
      <c r="E34" s="1680" t="s">
        <v>1420</v>
      </c>
    </row>
    <row r="35" spans="2:9" ht="24.95" customHeight="1" x14ac:dyDescent="0.2">
      <c r="B35" s="1203" t="s">
        <v>1422</v>
      </c>
      <c r="C35" s="1688" t="s">
        <v>846</v>
      </c>
      <c r="D35" s="1689" t="s">
        <v>837</v>
      </c>
      <c r="E35" s="1682">
        <v>23000</v>
      </c>
    </row>
    <row r="36" spans="2:9" ht="24.95" customHeight="1" x14ac:dyDescent="0.2">
      <c r="B36" s="1203" t="s">
        <v>1422</v>
      </c>
      <c r="C36" s="1688" t="s">
        <v>1373</v>
      </c>
      <c r="D36" s="1689" t="s">
        <v>837</v>
      </c>
      <c r="E36" s="1682">
        <v>16000</v>
      </c>
    </row>
    <row r="37" spans="2:9" ht="24.95" customHeight="1" x14ac:dyDescent="0.2">
      <c r="B37" s="1203" t="s">
        <v>1044</v>
      </c>
      <c r="C37" s="1688" t="s">
        <v>1423</v>
      </c>
      <c r="D37" s="1689">
        <v>42597</v>
      </c>
      <c r="E37" s="1682">
        <v>9032</v>
      </c>
    </row>
    <row r="38" spans="2:9" ht="24.95" customHeight="1" x14ac:dyDescent="0.2">
      <c r="B38" s="1203" t="s">
        <v>1217</v>
      </c>
      <c r="C38" s="1688" t="s">
        <v>1428</v>
      </c>
      <c r="D38" s="1689">
        <v>42602</v>
      </c>
      <c r="E38" s="1682">
        <v>3425</v>
      </c>
    </row>
    <row r="39" spans="2:9" ht="24.95" customHeight="1" x14ac:dyDescent="0.2">
      <c r="B39" s="1203" t="s">
        <v>1417</v>
      </c>
      <c r="C39" s="1688" t="s">
        <v>1417</v>
      </c>
      <c r="D39" s="1689">
        <v>42610</v>
      </c>
      <c r="E39" s="1682">
        <v>110000</v>
      </c>
    </row>
    <row r="40" spans="2:9" ht="24.95" customHeight="1" x14ac:dyDescent="0.2">
      <c r="B40" s="1203" t="s">
        <v>921</v>
      </c>
      <c r="C40" s="1688" t="s">
        <v>921</v>
      </c>
      <c r="D40" s="1689">
        <v>42610</v>
      </c>
      <c r="E40" s="1682">
        <v>30000</v>
      </c>
    </row>
    <row r="41" spans="2:9" ht="24.95" customHeight="1" thickBot="1" x14ac:dyDescent="0.25">
      <c r="B41" s="1676" t="s">
        <v>1044</v>
      </c>
      <c r="C41" s="1691" t="s">
        <v>1423</v>
      </c>
      <c r="D41" s="1692">
        <v>42613</v>
      </c>
      <c r="E41" s="1684">
        <v>6217</v>
      </c>
    </row>
    <row r="42" spans="2:9" ht="31.5" customHeight="1" thickBot="1" x14ac:dyDescent="0.25">
      <c r="B42" s="1866" t="s">
        <v>1418</v>
      </c>
      <c r="C42" s="1867"/>
      <c r="D42" s="1868"/>
      <c r="E42" s="1686">
        <f>SUM(E35:E40)</f>
        <v>191457</v>
      </c>
    </row>
    <row r="45" spans="2:9" ht="13.5" thickBot="1" x14ac:dyDescent="0.25">
      <c r="I45" s="194" t="s">
        <v>1482</v>
      </c>
    </row>
    <row r="46" spans="2:9" ht="33" customHeight="1" thickBot="1" x14ac:dyDescent="0.25">
      <c r="B46" s="1864" t="s">
        <v>1419</v>
      </c>
      <c r="C46" s="1865"/>
      <c r="D46" s="1683">
        <f>+E19+E29+E42+E12</f>
        <v>1237899</v>
      </c>
    </row>
    <row r="50" spans="1:2" x14ac:dyDescent="0.2">
      <c r="A50" s="1" t="s">
        <v>1424</v>
      </c>
      <c r="B50" s="483" t="s">
        <v>1430</v>
      </c>
    </row>
    <row r="51" spans="1:2" x14ac:dyDescent="0.2">
      <c r="B51" s="483" t="s">
        <v>1429</v>
      </c>
    </row>
  </sheetData>
  <mergeCells count="7">
    <mergeCell ref="B46:C46"/>
    <mergeCell ref="B12:D12"/>
    <mergeCell ref="B11:D11"/>
    <mergeCell ref="B4:E4"/>
    <mergeCell ref="B42:D42"/>
    <mergeCell ref="B29:D29"/>
    <mergeCell ref="B19:D19"/>
  </mergeCells>
  <pageMargins left="0.70866141732283472" right="0.70866141732283472" top="0.74803149606299213" bottom="0.74803149606299213" header="0.31496062992125984" footer="0.31496062992125984"/>
  <pageSetup paperSize="9" scale="64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9"/>
  <sheetViews>
    <sheetView workbookViewId="0">
      <selection activeCell="E18" sqref="E18"/>
    </sheetView>
  </sheetViews>
  <sheetFormatPr defaultColWidth="11.42578125" defaultRowHeight="12.75" x14ac:dyDescent="0.2"/>
  <cols>
    <col min="3" max="3" width="37.7109375" customWidth="1"/>
    <col min="4" max="4" width="38.7109375" customWidth="1"/>
  </cols>
  <sheetData>
    <row r="2" spans="3:4" x14ac:dyDescent="0.2">
      <c r="D2" s="568" t="s">
        <v>1427</v>
      </c>
    </row>
    <row r="7" spans="3:4" ht="26.25" customHeight="1" x14ac:dyDescent="0.2">
      <c r="C7" s="1870" t="s">
        <v>1438</v>
      </c>
      <c r="D7" s="1870"/>
    </row>
    <row r="10" spans="3:4" ht="35.1" customHeight="1" x14ac:dyDescent="0.2">
      <c r="C10" s="259" t="s">
        <v>1436</v>
      </c>
      <c r="D10" s="259" t="s">
        <v>1437</v>
      </c>
    </row>
    <row r="11" spans="3:4" ht="45" customHeight="1" x14ac:dyDescent="0.2">
      <c r="C11" s="1678" t="s">
        <v>1441</v>
      </c>
      <c r="D11" s="1679"/>
    </row>
    <row r="12" spans="3:4" ht="45" customHeight="1" x14ac:dyDescent="0.2">
      <c r="C12" s="1695" t="s">
        <v>1441</v>
      </c>
      <c r="D12" s="1696"/>
    </row>
    <row r="13" spans="3:4" ht="45" customHeight="1" x14ac:dyDescent="0.2">
      <c r="C13" s="1678" t="s">
        <v>1439</v>
      </c>
      <c r="D13" s="1679"/>
    </row>
    <row r="14" spans="3:4" ht="45" customHeight="1" x14ac:dyDescent="0.2">
      <c r="C14" s="1678" t="s">
        <v>1440</v>
      </c>
      <c r="D14" s="1679"/>
    </row>
    <row r="15" spans="3:4" ht="30" customHeight="1" x14ac:dyDescent="0.2"/>
    <row r="17" spans="2:4" x14ac:dyDescent="0.2">
      <c r="B17" s="1871"/>
      <c r="C17" s="1871"/>
      <c r="D17" s="1871"/>
    </row>
    <row r="18" spans="2:4" x14ac:dyDescent="0.2">
      <c r="B18" s="1502" t="s">
        <v>1442</v>
      </c>
      <c r="C18" s="1693"/>
    </row>
    <row r="19" spans="2:4" x14ac:dyDescent="0.2">
      <c r="B19" s="1502" t="s">
        <v>1443</v>
      </c>
    </row>
  </sheetData>
  <mergeCells count="2">
    <mergeCell ref="C7:D7"/>
    <mergeCell ref="B17:D17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17"/>
  <sheetViews>
    <sheetView workbookViewId="0">
      <selection activeCell="J20" sqref="J20"/>
    </sheetView>
  </sheetViews>
  <sheetFormatPr defaultColWidth="11.42578125" defaultRowHeight="12.75" x14ac:dyDescent="0.2"/>
  <sheetData>
    <row r="4" spans="1:7" ht="18" x14ac:dyDescent="0.25">
      <c r="A4" s="208"/>
      <c r="B4" s="208"/>
      <c r="C4" s="208"/>
      <c r="D4" s="208"/>
      <c r="E4" s="208"/>
      <c r="F4" s="208"/>
      <c r="G4" s="208"/>
    </row>
    <row r="5" spans="1:7" ht="26.25" customHeight="1" x14ac:dyDescent="0.2">
      <c r="A5" s="1815" t="s">
        <v>1481</v>
      </c>
      <c r="B5" s="1815"/>
      <c r="C5" s="1815"/>
      <c r="D5" s="1815"/>
      <c r="E5" s="1815"/>
      <c r="F5" s="1815"/>
      <c r="G5" s="1815"/>
    </row>
    <row r="6" spans="1:7" ht="18" x14ac:dyDescent="0.25">
      <c r="A6" s="208"/>
      <c r="B6" s="208"/>
      <c r="C6" s="208"/>
      <c r="D6" s="208"/>
      <c r="E6" s="208"/>
      <c r="F6" s="208"/>
      <c r="G6" s="208"/>
    </row>
    <row r="7" spans="1:7" ht="18" x14ac:dyDescent="0.25">
      <c r="A7" s="208"/>
      <c r="B7" s="208"/>
      <c r="C7" s="208"/>
      <c r="D7" s="208"/>
      <c r="E7" s="208"/>
      <c r="F7" s="208"/>
      <c r="G7" s="208"/>
    </row>
    <row r="8" spans="1:7" ht="18" x14ac:dyDescent="0.25">
      <c r="A8" s="208"/>
      <c r="B8" s="208"/>
      <c r="C8" s="208"/>
      <c r="D8" s="208"/>
      <c r="E8" s="208"/>
      <c r="F8" s="208"/>
      <c r="G8" s="208"/>
    </row>
    <row r="9" spans="1:7" ht="20.100000000000001" customHeight="1" x14ac:dyDescent="0.25">
      <c r="A9" s="208"/>
      <c r="B9" s="208" t="s">
        <v>1477</v>
      </c>
      <c r="C9" s="208"/>
      <c r="D9" s="208"/>
      <c r="E9" s="208"/>
      <c r="F9" s="208"/>
      <c r="G9" s="208"/>
    </row>
    <row r="10" spans="1:7" ht="20.100000000000001" customHeight="1" x14ac:dyDescent="0.25">
      <c r="A10" s="208"/>
      <c r="B10" s="208" t="s">
        <v>1478</v>
      </c>
      <c r="C10" s="208"/>
      <c r="D10" s="208"/>
      <c r="E10" s="208"/>
      <c r="F10" s="208"/>
      <c r="G10" s="208"/>
    </row>
    <row r="11" spans="1:7" ht="20.100000000000001" customHeight="1" x14ac:dyDescent="0.25">
      <c r="A11" s="208"/>
      <c r="B11" s="208" t="s">
        <v>1479</v>
      </c>
      <c r="C11" s="208"/>
      <c r="D11" s="208"/>
      <c r="E11" s="208"/>
      <c r="F11" s="208"/>
      <c r="G11" s="208"/>
    </row>
    <row r="12" spans="1:7" ht="20.100000000000001" customHeight="1" x14ac:dyDescent="0.25">
      <c r="A12" s="208"/>
      <c r="B12" s="208" t="s">
        <v>1480</v>
      </c>
      <c r="C12" s="208"/>
      <c r="D12" s="208"/>
      <c r="E12" s="208"/>
      <c r="F12" s="208"/>
      <c r="G12" s="208"/>
    </row>
    <row r="13" spans="1:7" ht="20.100000000000001" customHeight="1" x14ac:dyDescent="0.25">
      <c r="A13" s="208"/>
      <c r="B13" s="208"/>
      <c r="C13" s="208"/>
      <c r="D13" s="208"/>
      <c r="E13" s="208"/>
      <c r="F13" s="208"/>
      <c r="G13" s="208"/>
    </row>
    <row r="14" spans="1:7" ht="18" x14ac:dyDescent="0.25">
      <c r="A14" s="208"/>
      <c r="B14" s="208"/>
      <c r="C14" s="208"/>
      <c r="D14" s="208"/>
      <c r="E14" s="208"/>
      <c r="F14" s="208"/>
      <c r="G14" s="208"/>
    </row>
    <row r="15" spans="1:7" ht="18" x14ac:dyDescent="0.25">
      <c r="A15" s="208"/>
      <c r="B15" s="208"/>
      <c r="C15" s="208"/>
      <c r="D15" s="208"/>
      <c r="E15" s="208"/>
      <c r="F15" s="208"/>
      <c r="G15" s="208"/>
    </row>
    <row r="16" spans="1:7" ht="18" x14ac:dyDescent="0.25">
      <c r="A16" s="208"/>
      <c r="B16" s="208"/>
      <c r="C16" s="208"/>
      <c r="D16" s="208"/>
      <c r="E16" s="208"/>
      <c r="F16" s="208"/>
      <c r="G16" s="208"/>
    </row>
    <row r="17" spans="1:7" ht="18" x14ac:dyDescent="0.25">
      <c r="A17" s="208"/>
      <c r="B17" s="208"/>
      <c r="C17" s="208"/>
      <c r="D17" s="208"/>
      <c r="E17" s="208"/>
      <c r="F17" s="208"/>
      <c r="G17" s="208"/>
    </row>
  </sheetData>
  <mergeCells count="1">
    <mergeCell ref="A5:G5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>
    <pageSetUpPr fitToPage="1"/>
  </sheetPr>
  <dimension ref="A3:O207"/>
  <sheetViews>
    <sheetView workbookViewId="0">
      <selection activeCell="K41" sqref="K41"/>
    </sheetView>
  </sheetViews>
  <sheetFormatPr defaultColWidth="11.42578125" defaultRowHeight="12.75" x14ac:dyDescent="0.2"/>
  <cols>
    <col min="1" max="1" width="40.5703125" customWidth="1"/>
    <col min="2" max="2" width="19.42578125" customWidth="1"/>
    <col min="3" max="7" width="16.140625" customWidth="1"/>
    <col min="8" max="9" width="15.7109375" customWidth="1"/>
    <col min="10" max="10" width="12.85546875" bestFit="1" customWidth="1"/>
    <col min="11" max="11" width="14.7109375" bestFit="1" customWidth="1"/>
    <col min="12" max="15" width="11.85546875" bestFit="1" customWidth="1"/>
  </cols>
  <sheetData>
    <row r="3" spans="1:11" ht="13.5" thickBot="1" x14ac:dyDescent="0.25"/>
    <row r="4" spans="1:11" x14ac:dyDescent="0.2">
      <c r="A4" s="2"/>
      <c r="B4" s="3"/>
      <c r="C4" s="3"/>
      <c r="D4" s="3"/>
      <c r="E4" s="3"/>
      <c r="F4" s="3"/>
      <c r="G4" s="3"/>
      <c r="H4" s="119">
        <v>42300</v>
      </c>
      <c r="I4" s="60"/>
    </row>
    <row r="5" spans="1:11" x14ac:dyDescent="0.2">
      <c r="A5" s="5"/>
      <c r="B5" s="6"/>
      <c r="C5" s="6"/>
      <c r="D5" s="6"/>
      <c r="E5" s="6"/>
      <c r="F5" s="6"/>
      <c r="G5" s="6"/>
      <c r="H5" s="7"/>
      <c r="I5" s="6"/>
      <c r="J5">
        <v>100</v>
      </c>
      <c r="K5">
        <v>121</v>
      </c>
    </row>
    <row r="6" spans="1:11" ht="18" x14ac:dyDescent="0.25">
      <c r="A6" s="5"/>
      <c r="B6" s="505" t="s">
        <v>1158</v>
      </c>
      <c r="C6" s="6"/>
      <c r="D6" s="6"/>
      <c r="E6" s="6"/>
      <c r="F6" s="6"/>
      <c r="G6" s="6"/>
      <c r="H6" s="7"/>
      <c r="I6" s="6"/>
      <c r="K6">
        <f>+J5/K5</f>
        <v>0.82644628099173556</v>
      </c>
    </row>
    <row r="7" spans="1:11" x14ac:dyDescent="0.2">
      <c r="A7" s="5"/>
      <c r="B7" s="6"/>
      <c r="C7" s="6"/>
      <c r="D7" s="6"/>
      <c r="E7" s="6"/>
      <c r="F7" s="6"/>
      <c r="G7" s="6"/>
      <c r="H7" s="7"/>
      <c r="I7" s="6"/>
      <c r="J7">
        <v>14614496</v>
      </c>
      <c r="K7" s="1084">
        <v>17739897</v>
      </c>
    </row>
    <row r="8" spans="1:11" x14ac:dyDescent="0.2">
      <c r="A8" s="5"/>
      <c r="B8" s="6"/>
      <c r="C8" s="6"/>
      <c r="D8" s="6"/>
      <c r="E8" s="6"/>
      <c r="F8" s="6"/>
      <c r="G8" s="6"/>
      <c r="H8" s="7"/>
      <c r="I8" s="6"/>
      <c r="K8">
        <f>+J7/K7</f>
        <v>0.82382079219512938</v>
      </c>
    </row>
    <row r="9" spans="1:11" x14ac:dyDescent="0.2">
      <c r="A9" s="5"/>
      <c r="B9" s="6"/>
      <c r="C9" s="482"/>
      <c r="D9" s="482">
        <v>70881</v>
      </c>
      <c r="E9" s="482" t="s">
        <v>1159</v>
      </c>
      <c r="F9" s="6"/>
      <c r="G9" s="6"/>
      <c r="H9" s="7"/>
      <c r="I9" s="6"/>
    </row>
    <row r="10" spans="1:11" x14ac:dyDescent="0.2">
      <c r="A10" s="5"/>
      <c r="B10" s="6"/>
      <c r="C10" s="6"/>
      <c r="D10" s="6">
        <v>16453</v>
      </c>
      <c r="E10" s="482" t="s">
        <v>1160</v>
      </c>
      <c r="F10" s="6"/>
      <c r="G10" s="6"/>
      <c r="H10" s="7"/>
      <c r="I10" s="6"/>
    </row>
    <row r="11" spans="1:11" ht="13.5" thickBot="1" x14ac:dyDescent="0.25">
      <c r="A11" s="11"/>
      <c r="B11" s="12"/>
      <c r="C11" s="12"/>
      <c r="D11" s="12">
        <v>8782</v>
      </c>
      <c r="E11" s="1149" t="s">
        <v>1161</v>
      </c>
      <c r="F11" s="12"/>
      <c r="G11" s="12"/>
      <c r="H11" s="130"/>
      <c r="I11" s="6"/>
    </row>
    <row r="12" spans="1:11" x14ac:dyDescent="0.2">
      <c r="A12" s="5"/>
      <c r="B12" s="205" t="s">
        <v>852</v>
      </c>
      <c r="C12" s="205" t="s">
        <v>874</v>
      </c>
      <c r="D12" s="205" t="s">
        <v>905</v>
      </c>
      <c r="E12" s="205" t="s">
        <v>910</v>
      </c>
      <c r="F12" s="205" t="s">
        <v>912</v>
      </c>
      <c r="G12" s="205" t="s">
        <v>933</v>
      </c>
      <c r="H12" s="561" t="s">
        <v>820</v>
      </c>
      <c r="I12" s="96"/>
    </row>
    <row r="13" spans="1:11" ht="13.5" thickBot="1" x14ac:dyDescent="0.25">
      <c r="A13" s="5"/>
      <c r="B13" s="27"/>
      <c r="C13" s="27"/>
      <c r="D13" s="27"/>
      <c r="E13" s="27"/>
      <c r="F13" s="27"/>
      <c r="G13" s="27"/>
      <c r="H13" s="27"/>
      <c r="I13" s="93"/>
    </row>
    <row r="14" spans="1:11" x14ac:dyDescent="0.2">
      <c r="A14" s="2"/>
      <c r="B14" s="33"/>
      <c r="C14" s="31"/>
      <c r="D14" s="31"/>
      <c r="E14" s="31"/>
      <c r="F14" s="31"/>
      <c r="G14" s="31"/>
      <c r="H14" s="31"/>
      <c r="I14" s="29"/>
      <c r="J14">
        <v>100</v>
      </c>
      <c r="K14">
        <v>121</v>
      </c>
    </row>
    <row r="15" spans="1:11" ht="15.75" x14ac:dyDescent="0.25">
      <c r="A15" s="43" t="s">
        <v>18</v>
      </c>
      <c r="B15" s="45">
        <f t="shared" ref="B15:H15" si="0">B17+B18</f>
        <v>-806279</v>
      </c>
      <c r="C15" s="44">
        <f t="shared" si="0"/>
        <v>-963245</v>
      </c>
      <c r="D15" s="44">
        <f t="shared" si="0"/>
        <v>-877476</v>
      </c>
      <c r="E15" s="44">
        <f t="shared" si="0"/>
        <v>-372124.5</v>
      </c>
      <c r="F15" s="44">
        <f t="shared" si="0"/>
        <v>-504138.5</v>
      </c>
      <c r="G15" s="44">
        <f t="shared" si="0"/>
        <v>-527184.5</v>
      </c>
      <c r="H15" s="44">
        <f t="shared" si="0"/>
        <v>-541198</v>
      </c>
      <c r="I15" s="122"/>
      <c r="K15">
        <v>777721</v>
      </c>
    </row>
    <row r="16" spans="1:11" ht="15.75" x14ac:dyDescent="0.25">
      <c r="A16" s="43"/>
      <c r="B16" s="45"/>
      <c r="C16" s="46"/>
      <c r="D16" s="46"/>
      <c r="E16" s="46"/>
      <c r="F16" s="46"/>
      <c r="G16" s="46"/>
      <c r="H16" s="46"/>
      <c r="I16" s="122"/>
    </row>
    <row r="17" spans="1:15" x14ac:dyDescent="0.2">
      <c r="A17" s="9" t="s">
        <v>19</v>
      </c>
      <c r="B17" s="34">
        <f>+-537250-150204-65050-55775</f>
        <v>-808279</v>
      </c>
      <c r="C17" s="34">
        <f t="shared" ref="C17:H17" si="1">B56</f>
        <v>-965245</v>
      </c>
      <c r="D17" s="34">
        <f t="shared" si="1"/>
        <v>-879476</v>
      </c>
      <c r="E17" s="34">
        <f t="shared" si="1"/>
        <v>-374124.5</v>
      </c>
      <c r="F17" s="34">
        <f t="shared" si="1"/>
        <v>-506138.5</v>
      </c>
      <c r="G17" s="34">
        <f t="shared" si="1"/>
        <v>-529184.5</v>
      </c>
      <c r="H17" s="34">
        <f t="shared" si="1"/>
        <v>-543198</v>
      </c>
      <c r="I17" s="29"/>
      <c r="K17">
        <f>J14/K14</f>
        <v>0.82644628099173556</v>
      </c>
    </row>
    <row r="18" spans="1:15" x14ac:dyDescent="0.2">
      <c r="A18" s="9" t="s">
        <v>20</v>
      </c>
      <c r="B18" s="34">
        <v>2000</v>
      </c>
      <c r="C18" s="34">
        <f>B57</f>
        <v>2000</v>
      </c>
      <c r="D18" s="34">
        <f>B57</f>
        <v>2000</v>
      </c>
      <c r="E18" s="34">
        <v>2000</v>
      </c>
      <c r="F18" s="34">
        <f>B57</f>
        <v>2000</v>
      </c>
      <c r="G18" s="34">
        <f>B57</f>
        <v>2000</v>
      </c>
      <c r="H18" s="34">
        <f>C57</f>
        <v>2000</v>
      </c>
      <c r="I18" s="29"/>
    </row>
    <row r="19" spans="1:15" x14ac:dyDescent="0.2">
      <c r="A19" s="9"/>
      <c r="B19" s="34"/>
      <c r="C19" s="31"/>
      <c r="D19" s="31"/>
      <c r="E19" s="31"/>
      <c r="F19" s="31"/>
      <c r="G19" s="31"/>
      <c r="H19" s="31"/>
      <c r="I19" s="29"/>
    </row>
    <row r="20" spans="1:15" ht="13.5" thickBot="1" x14ac:dyDescent="0.25">
      <c r="A20" s="11"/>
      <c r="B20" s="35"/>
      <c r="C20" s="31"/>
      <c r="D20" s="31"/>
      <c r="E20" s="31"/>
      <c r="F20" s="31"/>
      <c r="G20" s="31"/>
      <c r="H20" s="31"/>
      <c r="I20" s="29"/>
    </row>
    <row r="21" spans="1:15" x14ac:dyDescent="0.2">
      <c r="A21" s="5"/>
      <c r="B21" s="33"/>
      <c r="C21" s="33"/>
      <c r="D21" s="33"/>
      <c r="E21" s="33"/>
      <c r="F21" s="33"/>
      <c r="G21" s="33"/>
      <c r="H21" s="33"/>
      <c r="I21" s="29"/>
    </row>
    <row r="22" spans="1:15" ht="15.75" x14ac:dyDescent="0.25">
      <c r="A22" s="43" t="s">
        <v>25</v>
      </c>
      <c r="B22" s="45">
        <f>B24+B27+B33+B29+B28+B30+B34+B25+B26+B31+B32</f>
        <v>776000</v>
      </c>
      <c r="C22" s="45">
        <f t="shared" ref="C22:H22" si="2">C24+C27+C33+C29+C28+C30+C34+C25+C26+C31+C32</f>
        <v>1819231</v>
      </c>
      <c r="D22" s="45">
        <f t="shared" si="2"/>
        <v>1199648.5</v>
      </c>
      <c r="E22" s="45">
        <f t="shared" si="2"/>
        <v>1787014</v>
      </c>
      <c r="F22" s="45">
        <f t="shared" si="2"/>
        <v>1728046</v>
      </c>
      <c r="G22" s="45">
        <f t="shared" si="2"/>
        <v>1819013.5</v>
      </c>
      <c r="H22" s="45">
        <f t="shared" si="2"/>
        <v>1877014</v>
      </c>
      <c r="I22" s="42">
        <f t="shared" ref="I22:N22" si="3">(C24+C27+C28+C29+C30)</f>
        <v>1546182</v>
      </c>
      <c r="J22" s="42">
        <f t="shared" si="3"/>
        <v>935634</v>
      </c>
      <c r="K22" s="42">
        <f t="shared" si="3"/>
        <v>1465000</v>
      </c>
      <c r="L22" s="42">
        <f t="shared" si="3"/>
        <v>1455000</v>
      </c>
      <c r="M22" s="42">
        <f t="shared" si="3"/>
        <v>1555000</v>
      </c>
      <c r="N22" s="42">
        <f t="shared" si="3"/>
        <v>1555000</v>
      </c>
      <c r="O22" s="42">
        <f>SUM(I22:N22)</f>
        <v>8511816</v>
      </c>
    </row>
    <row r="23" spans="1:15" ht="15.75" x14ac:dyDescent="0.25">
      <c r="A23" s="43"/>
      <c r="B23" s="45"/>
      <c r="C23" s="45"/>
      <c r="D23" s="45"/>
      <c r="E23" s="45"/>
      <c r="F23" s="45"/>
      <c r="G23" s="45"/>
      <c r="H23" s="45"/>
      <c r="I23" s="1082">
        <f t="shared" ref="I23:N23" si="4">I22/(C37)</f>
        <v>0.81164409448818897</v>
      </c>
      <c r="J23" s="1082">
        <f t="shared" si="4"/>
        <v>0.54875894428152494</v>
      </c>
      <c r="K23" s="1082">
        <f t="shared" si="4"/>
        <v>0.88519637462235645</v>
      </c>
      <c r="L23" s="1082">
        <f t="shared" si="4"/>
        <v>0.85337243401759533</v>
      </c>
      <c r="M23" s="1082">
        <f t="shared" si="4"/>
        <v>0.86149584487534625</v>
      </c>
      <c r="N23" s="1082">
        <f t="shared" si="4"/>
        <v>0.86149584487534625</v>
      </c>
    </row>
    <row r="24" spans="1:15" x14ac:dyDescent="0.2">
      <c r="A24" s="10" t="s">
        <v>133</v>
      </c>
      <c r="B24" s="1095">
        <f>213507+397118</f>
        <v>610625</v>
      </c>
      <c r="C24" s="120">
        <f>561192+676697+70881-20000-16453-8782</f>
        <v>1263535</v>
      </c>
      <c r="D24" s="120">
        <v>776619</v>
      </c>
      <c r="E24" s="120">
        <v>1000000</v>
      </c>
      <c r="F24" s="120">
        <v>1000000</v>
      </c>
      <c r="G24" s="120">
        <v>1100000</v>
      </c>
      <c r="H24" s="120">
        <v>1100000</v>
      </c>
      <c r="I24" s="1085"/>
    </row>
    <row r="25" spans="1:15" x14ac:dyDescent="0.2">
      <c r="A25" s="491" t="s">
        <v>804</v>
      </c>
      <c r="B25" s="120">
        <v>0</v>
      </c>
      <c r="C25" s="120">
        <f>6089+1349+1398</f>
        <v>8836</v>
      </c>
      <c r="D25" s="120">
        <v>8836</v>
      </c>
      <c r="E25" s="120">
        <v>8835</v>
      </c>
      <c r="F25" s="120">
        <v>8835</v>
      </c>
      <c r="G25" s="120">
        <v>8835</v>
      </c>
      <c r="H25" s="120">
        <v>8835</v>
      </c>
      <c r="I25" s="42">
        <f t="shared" ref="I25:N25" si="5">I22/1.18</f>
        <v>1310323.7288135593</v>
      </c>
      <c r="J25" s="42">
        <f t="shared" si="5"/>
        <v>792910.16949152551</v>
      </c>
      <c r="K25" s="42">
        <f t="shared" si="5"/>
        <v>1241525.4237288137</v>
      </c>
      <c r="L25" s="42">
        <f t="shared" si="5"/>
        <v>1233050.8474576271</v>
      </c>
      <c r="M25" s="42">
        <f t="shared" si="5"/>
        <v>1317796.6101694915</v>
      </c>
      <c r="N25" s="42">
        <f t="shared" si="5"/>
        <v>1317796.6101694915</v>
      </c>
      <c r="O25" s="42">
        <f>SUM(I25:N25)</f>
        <v>7213403.3898305083</v>
      </c>
    </row>
    <row r="26" spans="1:15" x14ac:dyDescent="0.2">
      <c r="A26" s="491" t="s">
        <v>805</v>
      </c>
      <c r="B26" s="120">
        <v>0</v>
      </c>
      <c r="C26" s="120">
        <v>24442</v>
      </c>
      <c r="D26" s="120">
        <v>24442</v>
      </c>
      <c r="E26" s="120">
        <v>24442</v>
      </c>
      <c r="F26" s="120">
        <v>24442</v>
      </c>
      <c r="G26" s="120">
        <v>24442</v>
      </c>
      <c r="H26" s="120">
        <v>24442</v>
      </c>
      <c r="I26" s="1082">
        <f t="shared" ref="I26:N26" si="6">+I25/(C37/1.18)</f>
        <v>0.81164409448818897</v>
      </c>
      <c r="J26" s="1082">
        <f t="shared" si="6"/>
        <v>0.54875894428152494</v>
      </c>
      <c r="K26" s="1082">
        <f t="shared" si="6"/>
        <v>0.88519637462235656</v>
      </c>
      <c r="L26" s="1082">
        <f t="shared" si="6"/>
        <v>0.85337243401759522</v>
      </c>
      <c r="M26" s="1082">
        <f t="shared" si="6"/>
        <v>0.86149584487534625</v>
      </c>
      <c r="N26" s="1082">
        <f t="shared" si="6"/>
        <v>0.86149584487534625</v>
      </c>
    </row>
    <row r="27" spans="1:15" x14ac:dyDescent="0.2">
      <c r="A27" s="10" t="s">
        <v>134</v>
      </c>
      <c r="B27" s="120">
        <v>0</v>
      </c>
      <c r="C27" s="120">
        <v>50146</v>
      </c>
      <c r="D27" s="729">
        <v>100000</v>
      </c>
      <c r="E27" s="120">
        <v>200000</v>
      </c>
      <c r="F27" s="120">
        <v>200000</v>
      </c>
      <c r="G27" s="120">
        <v>200000</v>
      </c>
      <c r="H27" s="120">
        <v>200000</v>
      </c>
      <c r="I27" s="1085"/>
      <c r="N27" s="42">
        <f>SUM(I25:N25)</f>
        <v>7213403.3898305083</v>
      </c>
    </row>
    <row r="28" spans="1:15" s="58" customFormat="1" x14ac:dyDescent="0.2">
      <c r="A28" s="727" t="s">
        <v>359</v>
      </c>
      <c r="B28" s="728">
        <v>0</v>
      </c>
      <c r="C28" s="728">
        <v>131251</v>
      </c>
      <c r="D28" s="728">
        <v>0</v>
      </c>
      <c r="E28" s="728">
        <v>180000</v>
      </c>
      <c r="F28" s="728">
        <v>170000</v>
      </c>
      <c r="G28" s="728">
        <v>170000</v>
      </c>
      <c r="H28" s="728">
        <v>170000</v>
      </c>
      <c r="I28" s="1086"/>
    </row>
    <row r="29" spans="1:15" x14ac:dyDescent="0.2">
      <c r="A29" s="10" t="s">
        <v>292</v>
      </c>
      <c r="B29" s="120">
        <v>0</v>
      </c>
      <c r="C29" s="120">
        <v>50000</v>
      </c>
      <c r="D29" s="120">
        <v>50000</v>
      </c>
      <c r="E29" s="120">
        <v>50000</v>
      </c>
      <c r="F29" s="120">
        <v>50000</v>
      </c>
      <c r="G29" s="120">
        <v>50000</v>
      </c>
      <c r="H29" s="120">
        <v>50000</v>
      </c>
      <c r="I29" s="1085"/>
      <c r="K29">
        <v>194399.91666666666</v>
      </c>
    </row>
    <row r="30" spans="1:15" x14ac:dyDescent="0.2">
      <c r="A30" s="10" t="s">
        <v>358</v>
      </c>
      <c r="B30" s="120">
        <v>24634</v>
      </c>
      <c r="C30" s="120">
        <v>51250</v>
      </c>
      <c r="D30" s="120">
        <v>9015</v>
      </c>
      <c r="E30" s="120">
        <v>35000</v>
      </c>
      <c r="F30" s="120">
        <v>35000</v>
      </c>
      <c r="G30" s="120">
        <v>35000</v>
      </c>
      <c r="H30" s="120">
        <v>35000</v>
      </c>
      <c r="I30" s="1085"/>
      <c r="K30">
        <v>234844.66666666666</v>
      </c>
    </row>
    <row r="31" spans="1:15" x14ac:dyDescent="0.2">
      <c r="A31" s="491" t="s">
        <v>806</v>
      </c>
      <c r="B31" s="120">
        <f>4771+6216</f>
        <v>10987</v>
      </c>
      <c r="C31" s="120">
        <v>20020</v>
      </c>
      <c r="D31" s="120">
        <v>10986</v>
      </c>
      <c r="E31" s="120">
        <v>10986</v>
      </c>
      <c r="F31" s="120">
        <v>20018</v>
      </c>
      <c r="G31" s="120">
        <v>10986</v>
      </c>
      <c r="H31" s="120">
        <v>10986</v>
      </c>
      <c r="I31" s="1085"/>
    </row>
    <row r="32" spans="1:15" x14ac:dyDescent="0.2">
      <c r="A32" s="491" t="s">
        <v>1069</v>
      </c>
      <c r="B32" s="120">
        <v>20000</v>
      </c>
      <c r="C32" s="120">
        <v>20000</v>
      </c>
      <c r="D32" s="120">
        <v>20000</v>
      </c>
      <c r="E32" s="120">
        <v>20000</v>
      </c>
      <c r="F32" s="120">
        <v>20000</v>
      </c>
      <c r="G32" s="120">
        <v>20000</v>
      </c>
      <c r="H32" s="120">
        <v>20000</v>
      </c>
      <c r="I32" s="1085"/>
    </row>
    <row r="33" spans="1:13" x14ac:dyDescent="0.2">
      <c r="A33" s="10" t="s">
        <v>135</v>
      </c>
      <c r="B33" s="120">
        <v>109754</v>
      </c>
      <c r="C33" s="120">
        <f>199751</f>
        <v>199751</v>
      </c>
      <c r="D33" s="120">
        <v>199750.49999999997</v>
      </c>
      <c r="E33" s="120">
        <v>257751</v>
      </c>
      <c r="F33" s="120">
        <v>199751</v>
      </c>
      <c r="G33" s="120">
        <v>199750.49999999997</v>
      </c>
      <c r="H33" s="120">
        <v>257751</v>
      </c>
      <c r="I33" s="1085"/>
    </row>
    <row r="34" spans="1:13" x14ac:dyDescent="0.2">
      <c r="A34" s="10"/>
      <c r="B34" s="120"/>
      <c r="C34" s="120"/>
      <c r="D34" s="120"/>
      <c r="E34" s="120"/>
      <c r="F34" s="120"/>
      <c r="G34" s="120"/>
      <c r="H34" s="120"/>
      <c r="I34" s="1085"/>
    </row>
    <row r="35" spans="1:13" ht="13.5" thickBot="1" x14ac:dyDescent="0.25">
      <c r="A35" s="121"/>
      <c r="B35" s="35"/>
      <c r="C35" s="35"/>
      <c r="D35" s="35"/>
      <c r="E35" s="35"/>
      <c r="F35" s="35"/>
      <c r="G35" s="35"/>
      <c r="H35" s="35"/>
      <c r="I35" s="29"/>
    </row>
    <row r="36" spans="1:13" x14ac:dyDescent="0.2">
      <c r="A36" s="5"/>
      <c r="B36" s="33"/>
      <c r="C36" s="21"/>
      <c r="D36" s="21"/>
      <c r="E36" s="21"/>
      <c r="F36" s="21"/>
      <c r="G36" s="21"/>
      <c r="H36" s="21"/>
      <c r="I36" s="29"/>
    </row>
    <row r="37" spans="1:13" ht="15.75" x14ac:dyDescent="0.25">
      <c r="A37" s="43" t="s">
        <v>136</v>
      </c>
      <c r="B37" s="45">
        <f>B41+B48</f>
        <v>619034</v>
      </c>
      <c r="C37" s="45">
        <f t="shared" ref="C37:H37" si="7">C41+C48</f>
        <v>1905000</v>
      </c>
      <c r="D37" s="45">
        <f t="shared" si="7"/>
        <v>1705000</v>
      </c>
      <c r="E37" s="45">
        <f t="shared" si="7"/>
        <v>1655000</v>
      </c>
      <c r="F37" s="45">
        <f t="shared" si="7"/>
        <v>1705000</v>
      </c>
      <c r="G37" s="45">
        <f>G41+G48</f>
        <v>1805000</v>
      </c>
      <c r="H37" s="45">
        <f t="shared" si="7"/>
        <v>1805000</v>
      </c>
      <c r="I37" s="122"/>
      <c r="J37" s="1081">
        <f>SUM(C37:H37)</f>
        <v>10580000</v>
      </c>
      <c r="K37" s="722">
        <f>J37/1.18</f>
        <v>8966101.6949152555</v>
      </c>
      <c r="L37" s="42">
        <f>+K37-N27</f>
        <v>1752698.3050847473</v>
      </c>
      <c r="M37">
        <f>L37/N27</f>
        <v>0.24297799670481621</v>
      </c>
    </row>
    <row r="38" spans="1:13" ht="15.75" x14ac:dyDescent="0.25">
      <c r="A38" s="43"/>
      <c r="B38" s="45"/>
      <c r="C38" s="46"/>
      <c r="D38" s="46"/>
      <c r="E38" s="46"/>
      <c r="F38" s="46"/>
      <c r="G38" s="46"/>
      <c r="H38" s="46"/>
      <c r="I38" s="122"/>
    </row>
    <row r="39" spans="1:13" ht="13.5" thickBot="1" x14ac:dyDescent="0.25">
      <c r="A39" s="5"/>
      <c r="B39" s="35"/>
      <c r="C39" s="20"/>
      <c r="D39" s="20"/>
      <c r="E39" s="20"/>
      <c r="F39" s="20"/>
      <c r="G39" s="20"/>
      <c r="H39" s="20"/>
      <c r="I39" s="29"/>
    </row>
    <row r="40" spans="1:13" x14ac:dyDescent="0.2">
      <c r="A40" s="13"/>
      <c r="B40" s="21"/>
      <c r="C40" s="21"/>
      <c r="D40" s="21"/>
      <c r="E40" s="21"/>
      <c r="F40" s="21"/>
      <c r="G40" s="21"/>
      <c r="H40" s="21"/>
      <c r="I40" s="29"/>
      <c r="K40">
        <f>O25/K37</f>
        <v>0.80451947069943275</v>
      </c>
    </row>
    <row r="41" spans="1:13" ht="13.5" thickBot="1" x14ac:dyDescent="0.25">
      <c r="A41" s="14" t="s">
        <v>137</v>
      </c>
      <c r="B41" s="41">
        <f t="shared" ref="B41:H41" si="8">B43+B44+B45</f>
        <v>493047</v>
      </c>
      <c r="C41" s="41">
        <f t="shared" si="8"/>
        <v>1305000</v>
      </c>
      <c r="D41" s="41">
        <f t="shared" si="8"/>
        <v>1155000</v>
      </c>
      <c r="E41" s="41">
        <f t="shared" si="8"/>
        <v>1105000</v>
      </c>
      <c r="F41" s="41">
        <f t="shared" si="8"/>
        <v>1155000</v>
      </c>
      <c r="G41" s="41">
        <f t="shared" si="8"/>
        <v>1205000</v>
      </c>
      <c r="H41" s="41">
        <f t="shared" si="8"/>
        <v>1205000</v>
      </c>
      <c r="I41" s="123"/>
    </row>
    <row r="42" spans="1:13" x14ac:dyDescent="0.2">
      <c r="A42" s="14"/>
      <c r="B42" s="172"/>
      <c r="C42" s="504"/>
      <c r="D42" s="172"/>
      <c r="E42" s="504"/>
      <c r="F42" s="172"/>
      <c r="G42" s="504"/>
      <c r="H42" s="172"/>
      <c r="I42" s="123"/>
    </row>
    <row r="43" spans="1:13" x14ac:dyDescent="0.2">
      <c r="A43" s="15" t="s">
        <v>8</v>
      </c>
      <c r="B43" s="34">
        <v>393047</v>
      </c>
      <c r="C43" s="29">
        <v>900000</v>
      </c>
      <c r="D43" s="34">
        <v>800000</v>
      </c>
      <c r="E43" s="29">
        <v>750000</v>
      </c>
      <c r="F43" s="34">
        <v>750000</v>
      </c>
      <c r="G43" s="29">
        <v>800000</v>
      </c>
      <c r="H43" s="34">
        <v>800000</v>
      </c>
      <c r="I43" s="29"/>
    </row>
    <row r="44" spans="1:13" x14ac:dyDescent="0.2">
      <c r="A44" s="15" t="s">
        <v>26</v>
      </c>
      <c r="B44" s="34">
        <v>100000</v>
      </c>
      <c r="C44" s="29">
        <v>400000</v>
      </c>
      <c r="D44" s="34">
        <v>350000</v>
      </c>
      <c r="E44" s="29">
        <v>350000</v>
      </c>
      <c r="F44" s="34">
        <v>400000</v>
      </c>
      <c r="G44" s="29">
        <v>400000</v>
      </c>
      <c r="H44" s="34">
        <v>400000</v>
      </c>
      <c r="I44" s="29"/>
      <c r="J44" s="495"/>
    </row>
    <row r="45" spans="1:13" x14ac:dyDescent="0.2">
      <c r="A45" s="15" t="s">
        <v>29</v>
      </c>
      <c r="B45" s="34"/>
      <c r="C45" s="29">
        <v>5000</v>
      </c>
      <c r="D45" s="34">
        <v>5000</v>
      </c>
      <c r="E45" s="29">
        <v>5000</v>
      </c>
      <c r="F45" s="34">
        <v>5000</v>
      </c>
      <c r="G45" s="29">
        <v>5000</v>
      </c>
      <c r="H45" s="34">
        <v>5000</v>
      </c>
      <c r="I45" s="29"/>
    </row>
    <row r="46" spans="1:13" x14ac:dyDescent="0.2">
      <c r="A46" s="15"/>
      <c r="B46" s="34"/>
      <c r="C46" s="29"/>
      <c r="D46" s="34"/>
      <c r="E46" s="29"/>
      <c r="F46" s="34"/>
      <c r="G46" s="29"/>
      <c r="H46" s="34"/>
      <c r="I46" s="29"/>
    </row>
    <row r="47" spans="1:13" x14ac:dyDescent="0.2">
      <c r="A47" s="15" t="s">
        <v>179</v>
      </c>
      <c r="B47" s="34"/>
      <c r="C47" s="29"/>
      <c r="D47" s="34"/>
      <c r="E47" s="29"/>
      <c r="F47" s="34"/>
      <c r="G47" s="29"/>
      <c r="H47" s="34"/>
      <c r="I47" s="29"/>
    </row>
    <row r="48" spans="1:13" x14ac:dyDescent="0.2">
      <c r="A48" s="14" t="s">
        <v>138</v>
      </c>
      <c r="B48" s="173">
        <v>125987</v>
      </c>
      <c r="C48" s="123">
        <v>600000</v>
      </c>
      <c r="D48" s="173">
        <v>550000</v>
      </c>
      <c r="E48" s="123">
        <v>550000</v>
      </c>
      <c r="F48" s="173">
        <v>550000</v>
      </c>
      <c r="G48" s="123">
        <v>600000</v>
      </c>
      <c r="H48" s="173">
        <v>600000</v>
      </c>
      <c r="I48" s="123"/>
    </row>
    <row r="49" spans="1:9" ht="13.5" thickBot="1" x14ac:dyDescent="0.25">
      <c r="A49" s="16"/>
      <c r="B49" s="35"/>
      <c r="C49" s="37"/>
      <c r="D49" s="35"/>
      <c r="E49" s="37"/>
      <c r="F49" s="35"/>
      <c r="G49" s="37"/>
      <c r="H49" s="35"/>
      <c r="I49" s="29"/>
    </row>
    <row r="50" spans="1:9" x14ac:dyDescent="0.2">
      <c r="A50" s="2"/>
      <c r="B50" s="21"/>
      <c r="C50" s="21"/>
      <c r="D50" s="21"/>
      <c r="E50" s="21"/>
      <c r="F50" s="21"/>
      <c r="G50" s="21"/>
      <c r="H50" s="21"/>
      <c r="I50" s="29"/>
    </row>
    <row r="51" spans="1:9" x14ac:dyDescent="0.2">
      <c r="A51" s="9" t="s">
        <v>27</v>
      </c>
      <c r="B51" s="34">
        <f t="shared" ref="B51:H51" si="9">B37-B22</f>
        <v>-156966</v>
      </c>
      <c r="C51" s="34">
        <f t="shared" si="9"/>
        <v>85769</v>
      </c>
      <c r="D51" s="34">
        <f t="shared" si="9"/>
        <v>505351.5</v>
      </c>
      <c r="E51" s="34">
        <f t="shared" si="9"/>
        <v>-132014</v>
      </c>
      <c r="F51" s="34">
        <f t="shared" si="9"/>
        <v>-23046</v>
      </c>
      <c r="G51" s="34">
        <f>G37-G22</f>
        <v>-14013.5</v>
      </c>
      <c r="H51" s="34">
        <f t="shared" si="9"/>
        <v>-72014</v>
      </c>
      <c r="I51" s="29"/>
    </row>
    <row r="52" spans="1:9" ht="13.5" thickBot="1" x14ac:dyDescent="0.25">
      <c r="A52" s="5"/>
      <c r="B52" s="19"/>
      <c r="C52" s="19"/>
      <c r="D52" s="19"/>
      <c r="E52" s="19"/>
      <c r="F52" s="19"/>
      <c r="G52" s="19"/>
      <c r="H52" s="19"/>
      <c r="I52" s="29"/>
    </row>
    <row r="53" spans="1:9" x14ac:dyDescent="0.2">
      <c r="A53" s="2"/>
      <c r="B53" s="33"/>
      <c r="C53" s="33"/>
      <c r="D53" s="33"/>
      <c r="E53" s="33"/>
      <c r="F53" s="33"/>
      <c r="G53" s="33"/>
      <c r="H53" s="33"/>
      <c r="I53" s="29"/>
    </row>
    <row r="54" spans="1:9" ht="16.5" thickBot="1" x14ac:dyDescent="0.3">
      <c r="A54" s="43" t="s">
        <v>28</v>
      </c>
      <c r="B54" s="171">
        <f t="shared" ref="B54:H54" si="10">B15+B51</f>
        <v>-963245</v>
      </c>
      <c r="C54" s="171">
        <f t="shared" si="10"/>
        <v>-877476</v>
      </c>
      <c r="D54" s="171">
        <f t="shared" si="10"/>
        <v>-372124.5</v>
      </c>
      <c r="E54" s="171">
        <f t="shared" si="10"/>
        <v>-504138.5</v>
      </c>
      <c r="F54" s="171">
        <f t="shared" si="10"/>
        <v>-527184.5</v>
      </c>
      <c r="G54" s="171">
        <f>G15+G51</f>
        <v>-541198</v>
      </c>
      <c r="H54" s="171">
        <f t="shared" si="10"/>
        <v>-613212</v>
      </c>
      <c r="I54" s="122"/>
    </row>
    <row r="55" spans="1:9" ht="16.5" thickBot="1" x14ac:dyDescent="0.3">
      <c r="A55" s="43"/>
      <c r="B55" s="122"/>
      <c r="C55" s="122"/>
      <c r="D55" s="122"/>
      <c r="E55" s="122"/>
      <c r="F55" s="122"/>
      <c r="G55" s="122"/>
      <c r="H55" s="122"/>
      <c r="I55" s="122"/>
    </row>
    <row r="56" spans="1:9" x14ac:dyDescent="0.2">
      <c r="A56" s="9" t="s">
        <v>19</v>
      </c>
      <c r="B56" s="33">
        <f t="shared" ref="B56:H56" si="11">B54-B57</f>
        <v>-965245</v>
      </c>
      <c r="C56" s="33">
        <f t="shared" si="11"/>
        <v>-879476</v>
      </c>
      <c r="D56" s="33">
        <f t="shared" si="11"/>
        <v>-374124.5</v>
      </c>
      <c r="E56" s="33">
        <f t="shared" si="11"/>
        <v>-506138.5</v>
      </c>
      <c r="F56" s="33">
        <f t="shared" si="11"/>
        <v>-529184.5</v>
      </c>
      <c r="G56" s="33">
        <f t="shared" si="11"/>
        <v>-543198</v>
      </c>
      <c r="H56" s="33">
        <f t="shared" si="11"/>
        <v>-615212</v>
      </c>
      <c r="I56" s="29"/>
    </row>
    <row r="57" spans="1:9" x14ac:dyDescent="0.2">
      <c r="A57" s="9" t="s">
        <v>20</v>
      </c>
      <c r="B57" s="34">
        <f>2000</f>
        <v>2000</v>
      </c>
      <c r="C57" s="34">
        <f>2000</f>
        <v>2000</v>
      </c>
      <c r="D57" s="34">
        <f>2000</f>
        <v>2000</v>
      </c>
      <c r="E57" s="34">
        <f>2000</f>
        <v>2000</v>
      </c>
      <c r="F57" s="34">
        <f>2000</f>
        <v>2000</v>
      </c>
      <c r="G57" s="34">
        <f>2000</f>
        <v>2000</v>
      </c>
      <c r="H57" s="34">
        <f>2000</f>
        <v>2000</v>
      </c>
      <c r="I57" s="29"/>
    </row>
    <row r="58" spans="1:9" ht="13.5" thickBot="1" x14ac:dyDescent="0.25">
      <c r="A58" s="36"/>
      <c r="B58" s="35"/>
      <c r="C58" s="35"/>
      <c r="D58" s="35"/>
      <c r="E58" s="35"/>
      <c r="F58" s="35"/>
      <c r="G58" s="35"/>
      <c r="H58" s="35"/>
      <c r="I58" s="29"/>
    </row>
    <row r="59" spans="1:9" x14ac:dyDescent="0.2">
      <c r="A59" s="86"/>
      <c r="B59" s="29"/>
      <c r="C59" s="29"/>
      <c r="D59" s="29"/>
      <c r="E59" s="29"/>
      <c r="F59" s="29"/>
      <c r="G59" s="29"/>
      <c r="H59" s="29"/>
      <c r="I59" s="29"/>
    </row>
    <row r="60" spans="1:9" ht="18" x14ac:dyDescent="0.25">
      <c r="A60" s="86"/>
      <c r="B60" s="1111"/>
      <c r="C60" s="1112"/>
      <c r="D60" s="1112"/>
      <c r="E60" s="29"/>
      <c r="F60" s="29"/>
      <c r="G60" s="29"/>
      <c r="H60" s="29"/>
      <c r="I60" s="29"/>
    </row>
    <row r="61" spans="1:9" x14ac:dyDescent="0.2">
      <c r="A61" s="86"/>
      <c r="B61" s="29"/>
      <c r="C61" s="29"/>
      <c r="D61" s="29"/>
      <c r="E61" s="29"/>
      <c r="F61" s="29"/>
      <c r="G61" s="29"/>
      <c r="H61" s="29"/>
      <c r="I61" s="29"/>
    </row>
    <row r="62" spans="1:9" ht="18" x14ac:dyDescent="0.25">
      <c r="A62" s="505" t="s">
        <v>1147</v>
      </c>
      <c r="B62" s="1110"/>
      <c r="C62" s="1110"/>
      <c r="D62" s="1110"/>
      <c r="E62" s="29"/>
      <c r="F62" s="29"/>
      <c r="G62" s="29"/>
      <c r="H62" s="29"/>
      <c r="I62" s="29"/>
    </row>
    <row r="63" spans="1:9" ht="18" x14ac:dyDescent="0.25">
      <c r="A63" s="505"/>
      <c r="B63" s="1110"/>
      <c r="C63" s="1110"/>
      <c r="D63" s="1110"/>
      <c r="E63" s="29"/>
      <c r="F63" s="29"/>
      <c r="G63" s="29"/>
      <c r="H63" s="29"/>
      <c r="I63" s="29"/>
    </row>
    <row r="64" spans="1:9" ht="18" x14ac:dyDescent="0.25">
      <c r="A64" s="505"/>
      <c r="B64" s="1110"/>
      <c r="C64" s="1110"/>
      <c r="D64" s="1110"/>
      <c r="E64" s="29"/>
      <c r="F64" s="29"/>
      <c r="G64" s="29"/>
      <c r="H64" s="29"/>
      <c r="I64" s="29"/>
    </row>
    <row r="65" spans="1:9" ht="15.75" x14ac:dyDescent="0.25">
      <c r="A65" s="1122" t="s">
        <v>1143</v>
      </c>
      <c r="B65" s="1110"/>
      <c r="C65" s="1110"/>
      <c r="D65" s="1110"/>
      <c r="E65" s="29"/>
      <c r="F65" s="29"/>
      <c r="G65" s="29"/>
      <c r="H65" s="29"/>
      <c r="I65" s="29"/>
    </row>
    <row r="66" spans="1:9" ht="18" x14ac:dyDescent="0.25">
      <c r="A66" s="505"/>
      <c r="B66" s="1110"/>
      <c r="C66" s="1110"/>
      <c r="D66" s="1110"/>
      <c r="E66" s="29"/>
      <c r="F66" s="29"/>
      <c r="G66" s="29"/>
      <c r="H66" s="29"/>
      <c r="I66" s="29"/>
    </row>
    <row r="67" spans="1:9" ht="15" x14ac:dyDescent="0.2">
      <c r="A67" s="1124" t="s">
        <v>1144</v>
      </c>
      <c r="B67" s="1110"/>
      <c r="C67" s="1110"/>
      <c r="D67" s="1110"/>
      <c r="E67" s="29"/>
      <c r="F67" s="29"/>
      <c r="G67" s="29"/>
      <c r="H67" s="29"/>
      <c r="I67" s="29"/>
    </row>
    <row r="68" spans="1:9" ht="18" x14ac:dyDescent="0.25">
      <c r="A68" s="505"/>
      <c r="B68" s="1110"/>
      <c r="C68" s="1110"/>
      <c r="D68" s="1110"/>
      <c r="E68" s="29"/>
      <c r="F68" s="29"/>
      <c r="G68" s="29"/>
      <c r="H68" s="29"/>
      <c r="I68" s="29"/>
    </row>
    <row r="69" spans="1:9" ht="15.75" x14ac:dyDescent="0.25">
      <c r="A69" s="1121" t="s">
        <v>1127</v>
      </c>
      <c r="B69" s="1110"/>
      <c r="C69" s="1110"/>
      <c r="D69" s="1110"/>
      <c r="E69" s="29"/>
      <c r="F69" s="29"/>
      <c r="G69" s="29"/>
      <c r="H69" s="29"/>
      <c r="I69" s="29"/>
    </row>
    <row r="70" spans="1:9" ht="18" x14ac:dyDescent="0.25">
      <c r="A70" s="505"/>
      <c r="B70" s="1110"/>
      <c r="C70" s="1110"/>
      <c r="D70" s="1110"/>
      <c r="E70" s="29"/>
      <c r="F70" s="29"/>
      <c r="G70" s="29"/>
      <c r="H70" s="29"/>
      <c r="I70" s="29"/>
    </row>
    <row r="71" spans="1:9" ht="15" x14ac:dyDescent="0.2">
      <c r="A71" s="1120"/>
      <c r="B71" s="1110"/>
      <c r="C71" s="1110"/>
      <c r="D71" s="1110"/>
      <c r="E71" s="29"/>
      <c r="F71" s="29"/>
      <c r="G71" s="29"/>
      <c r="H71" s="29"/>
      <c r="I71" s="29"/>
    </row>
    <row r="72" spans="1:9" x14ac:dyDescent="0.2">
      <c r="A72" s="86"/>
      <c r="B72" s="1745" t="s">
        <v>1118</v>
      </c>
      <c r="C72" s="1745"/>
      <c r="D72" s="1147" t="s">
        <v>59</v>
      </c>
      <c r="E72" s="1147" t="s">
        <v>947</v>
      </c>
      <c r="F72" s="29"/>
      <c r="G72" s="29"/>
      <c r="H72" s="29"/>
      <c r="I72" s="29"/>
    </row>
    <row r="73" spans="1:9" x14ac:dyDescent="0.2">
      <c r="A73" s="676" t="s">
        <v>1138</v>
      </c>
      <c r="B73" s="1115" t="s">
        <v>1150</v>
      </c>
      <c r="C73" s="1115" t="s">
        <v>1151</v>
      </c>
      <c r="D73" s="1116">
        <v>42281</v>
      </c>
      <c r="E73" s="1147" t="s">
        <v>384</v>
      </c>
      <c r="F73" s="29"/>
      <c r="G73" s="29"/>
      <c r="H73" s="29"/>
      <c r="I73" s="29"/>
    </row>
    <row r="74" spans="1:9" x14ac:dyDescent="0.2">
      <c r="A74" s="676" t="s">
        <v>1140</v>
      </c>
      <c r="B74" s="1115" t="s">
        <v>1146</v>
      </c>
      <c r="C74" s="1115" t="s">
        <v>1142</v>
      </c>
      <c r="D74" s="1125">
        <v>42282</v>
      </c>
      <c r="E74" s="1147" t="s">
        <v>500</v>
      </c>
      <c r="F74" s="29"/>
      <c r="G74" s="29"/>
      <c r="H74" s="29"/>
      <c r="I74" s="29"/>
    </row>
    <row r="75" spans="1:9" ht="18" x14ac:dyDescent="0.25">
      <c r="A75" s="505"/>
      <c r="B75" s="1110"/>
      <c r="C75" s="1110"/>
      <c r="D75" s="1110"/>
      <c r="E75" s="1123"/>
      <c r="F75" s="29"/>
      <c r="G75" s="29"/>
      <c r="H75" s="29"/>
      <c r="I75" s="29"/>
    </row>
    <row r="76" spans="1:9" ht="18" x14ac:dyDescent="0.25">
      <c r="A76" s="505"/>
      <c r="B76" s="1110"/>
      <c r="C76" s="1110"/>
      <c r="D76" s="1110"/>
      <c r="E76" s="29"/>
      <c r="F76" s="29"/>
      <c r="G76" s="29"/>
      <c r="H76" s="29"/>
      <c r="I76" s="29"/>
    </row>
    <row r="77" spans="1:9" ht="15" x14ac:dyDescent="0.2">
      <c r="A77" s="1124" t="s">
        <v>1145</v>
      </c>
      <c r="B77" s="1110"/>
      <c r="C77" s="1110"/>
      <c r="D77" s="1110"/>
      <c r="E77" s="29"/>
      <c r="F77" s="29"/>
      <c r="G77" s="29"/>
      <c r="H77" s="29"/>
      <c r="I77" s="29"/>
    </row>
    <row r="78" spans="1:9" ht="18" x14ac:dyDescent="0.25">
      <c r="A78" s="505"/>
      <c r="B78" s="1110"/>
      <c r="C78" s="1110"/>
      <c r="D78" s="1110"/>
      <c r="E78" s="29"/>
      <c r="F78" s="29"/>
      <c r="G78" s="29"/>
      <c r="H78" s="29"/>
      <c r="I78" s="29"/>
    </row>
    <row r="79" spans="1:9" ht="18" x14ac:dyDescent="0.25">
      <c r="A79" s="505"/>
      <c r="B79" s="1110"/>
      <c r="C79" s="1110"/>
      <c r="D79" s="1110"/>
      <c r="E79" s="29"/>
      <c r="F79" s="29"/>
      <c r="G79" s="29"/>
      <c r="H79" s="29"/>
      <c r="I79" s="29"/>
    </row>
    <row r="80" spans="1:9" ht="15.75" x14ac:dyDescent="0.25">
      <c r="A80" s="1121" t="s">
        <v>1112</v>
      </c>
      <c r="B80" s="1110"/>
      <c r="C80" s="1110"/>
      <c r="D80" s="1110"/>
      <c r="E80" s="29"/>
      <c r="F80" s="29"/>
      <c r="G80" s="29"/>
      <c r="H80" s="29"/>
      <c r="I80" s="29"/>
    </row>
    <row r="81" spans="1:9" ht="18" x14ac:dyDescent="0.25">
      <c r="A81" s="505"/>
      <c r="B81" s="1110"/>
      <c r="C81" s="1110"/>
      <c r="D81" s="1110"/>
      <c r="E81" s="29"/>
      <c r="F81" s="29"/>
      <c r="G81" s="29"/>
      <c r="H81" s="29"/>
      <c r="I81" s="29"/>
    </row>
    <row r="82" spans="1:9" x14ac:dyDescent="0.2">
      <c r="A82" s="86"/>
      <c r="B82" s="1745" t="s">
        <v>1118</v>
      </c>
      <c r="C82" s="1745"/>
      <c r="D82" s="1147" t="s">
        <v>1125</v>
      </c>
      <c r="E82" s="1147" t="s">
        <v>890</v>
      </c>
      <c r="F82" s="29"/>
      <c r="G82" s="29"/>
      <c r="H82" s="29"/>
      <c r="I82" s="29"/>
    </row>
    <row r="83" spans="1:9" x14ac:dyDescent="0.2">
      <c r="A83" s="676" t="s">
        <v>1123</v>
      </c>
      <c r="B83" s="1114" t="s">
        <v>1122</v>
      </c>
      <c r="C83" s="1115" t="s">
        <v>1124</v>
      </c>
      <c r="D83" s="1116">
        <v>42277</v>
      </c>
      <c r="E83" s="1147" t="s">
        <v>698</v>
      </c>
      <c r="F83" s="29"/>
      <c r="G83" s="29"/>
      <c r="H83" s="29"/>
      <c r="I83" s="29"/>
    </row>
    <row r="84" spans="1:9" ht="18" x14ac:dyDescent="0.25">
      <c r="A84" s="505"/>
      <c r="B84" s="1110"/>
      <c r="C84" s="1110"/>
      <c r="D84" s="1110"/>
      <c r="E84" s="29"/>
      <c r="F84" s="29"/>
      <c r="G84" s="29"/>
      <c r="H84" s="29"/>
      <c r="I84" s="29"/>
    </row>
    <row r="85" spans="1:9" ht="18" x14ac:dyDescent="0.25">
      <c r="A85" s="505"/>
      <c r="B85" s="1110"/>
      <c r="C85" s="1110"/>
      <c r="D85" s="1110"/>
      <c r="E85" s="29"/>
      <c r="F85" s="29"/>
      <c r="G85" s="29"/>
      <c r="H85" s="29"/>
      <c r="I85" s="29"/>
    </row>
    <row r="86" spans="1:9" ht="15.75" x14ac:dyDescent="0.25">
      <c r="A86" s="1121" t="s">
        <v>1128</v>
      </c>
      <c r="B86" s="29"/>
      <c r="C86" s="29"/>
      <c r="D86" s="29"/>
      <c r="E86" s="29"/>
      <c r="F86" s="29"/>
      <c r="G86" s="29"/>
      <c r="H86" s="29"/>
      <c r="I86" s="29"/>
    </row>
    <row r="87" spans="1:9" x14ac:dyDescent="0.2">
      <c r="A87" s="1109"/>
      <c r="B87" s="29"/>
      <c r="C87" s="29"/>
      <c r="D87" s="29"/>
      <c r="E87" s="29"/>
      <c r="F87" s="29"/>
      <c r="G87" s="29"/>
      <c r="H87" s="29"/>
      <c r="I87" s="29"/>
    </row>
    <row r="88" spans="1:9" x14ac:dyDescent="0.2">
      <c r="A88" s="86" t="s">
        <v>1121</v>
      </c>
      <c r="B88" s="29"/>
      <c r="C88" s="29"/>
      <c r="D88" s="29"/>
      <c r="E88" s="29"/>
      <c r="F88" s="29"/>
      <c r="G88" s="29"/>
      <c r="H88" s="29"/>
      <c r="I88" s="29"/>
    </row>
    <row r="89" spans="1:9" x14ac:dyDescent="0.2">
      <c r="A89" s="86"/>
      <c r="B89" s="1745" t="s">
        <v>1118</v>
      </c>
      <c r="C89" s="1745"/>
      <c r="D89" s="1148" t="s">
        <v>1125</v>
      </c>
      <c r="E89" s="1745" t="s">
        <v>890</v>
      </c>
      <c r="F89" s="1745"/>
      <c r="G89" s="29"/>
      <c r="H89" s="29"/>
      <c r="I89" s="29"/>
    </row>
    <row r="90" spans="1:9" x14ac:dyDescent="0.2">
      <c r="A90" s="676" t="s">
        <v>1130</v>
      </c>
      <c r="B90" s="1115" t="s">
        <v>1129</v>
      </c>
      <c r="C90" s="1115" t="s">
        <v>1131</v>
      </c>
      <c r="D90" s="1116">
        <v>42324</v>
      </c>
      <c r="E90" s="1747" t="s">
        <v>1132</v>
      </c>
      <c r="F90" s="1747"/>
      <c r="G90" s="29"/>
      <c r="H90" s="29"/>
      <c r="I90" s="29"/>
    </row>
    <row r="91" spans="1:9" x14ac:dyDescent="0.2">
      <c r="A91" s="676" t="s">
        <v>1133</v>
      </c>
      <c r="B91" s="1115" t="s">
        <v>1135</v>
      </c>
      <c r="C91" s="1115" t="s">
        <v>1134</v>
      </c>
      <c r="D91" s="1116">
        <v>42335</v>
      </c>
      <c r="E91" s="1747" t="s">
        <v>384</v>
      </c>
      <c r="F91" s="1747"/>
      <c r="G91" s="29"/>
      <c r="H91" s="29"/>
      <c r="I91" s="29"/>
    </row>
    <row r="92" spans="1:9" ht="18" x14ac:dyDescent="0.25">
      <c r="A92" s="505"/>
      <c r="B92" s="1110"/>
      <c r="C92" s="1110"/>
      <c r="D92" s="1110"/>
      <c r="E92" s="29"/>
      <c r="F92" s="29"/>
      <c r="G92" s="29"/>
      <c r="H92" s="29"/>
      <c r="I92" s="29"/>
    </row>
    <row r="93" spans="1:9" ht="18" x14ac:dyDescent="0.25">
      <c r="A93" s="505"/>
      <c r="B93" s="1110"/>
      <c r="C93" s="1110"/>
      <c r="D93" s="1110"/>
      <c r="E93" s="29"/>
      <c r="F93" s="29"/>
      <c r="G93" s="29"/>
      <c r="H93" s="29"/>
      <c r="I93" s="29"/>
    </row>
    <row r="94" spans="1:9" ht="18" x14ac:dyDescent="0.25">
      <c r="A94" s="505"/>
      <c r="B94" s="1110"/>
      <c r="C94" s="1110"/>
      <c r="D94" s="1110"/>
      <c r="E94" s="29"/>
      <c r="F94" s="29"/>
      <c r="G94" s="29"/>
      <c r="H94" s="29"/>
      <c r="I94" s="29"/>
    </row>
    <row r="95" spans="1:9" ht="18" x14ac:dyDescent="0.25">
      <c r="A95" s="505"/>
      <c r="B95" s="1110"/>
      <c r="C95" s="1110"/>
      <c r="D95" s="1110"/>
      <c r="E95" s="29"/>
      <c r="F95" s="29"/>
      <c r="G95" s="29"/>
      <c r="H95" s="29"/>
      <c r="I95" s="29"/>
    </row>
    <row r="96" spans="1:9" ht="18" x14ac:dyDescent="0.25">
      <c r="A96" s="505"/>
      <c r="B96" s="1110"/>
      <c r="C96" s="1110"/>
      <c r="D96" s="1110"/>
      <c r="E96" s="29"/>
      <c r="F96" s="29"/>
      <c r="G96" s="29"/>
      <c r="H96" s="29"/>
      <c r="I96" s="29"/>
    </row>
    <row r="97" spans="1:9" ht="18" x14ac:dyDescent="0.25">
      <c r="A97" s="505"/>
      <c r="B97" s="1110"/>
      <c r="C97" s="1110"/>
      <c r="D97" s="1110"/>
      <c r="E97" s="29"/>
      <c r="F97" s="29"/>
      <c r="G97" s="29"/>
      <c r="H97" s="29"/>
      <c r="I97" s="29"/>
    </row>
    <row r="98" spans="1:9" ht="18" x14ac:dyDescent="0.25">
      <c r="A98" s="505"/>
      <c r="B98" s="1110"/>
      <c r="C98" s="1110"/>
      <c r="D98" s="1110"/>
      <c r="E98" s="29"/>
      <c r="F98" s="29"/>
      <c r="G98" s="29"/>
      <c r="H98" s="29"/>
      <c r="I98" s="29"/>
    </row>
    <row r="99" spans="1:9" ht="18" x14ac:dyDescent="0.25">
      <c r="A99" s="505"/>
      <c r="B99" s="1110"/>
      <c r="C99" s="1110"/>
      <c r="D99" s="1110"/>
      <c r="E99" s="29"/>
      <c r="F99" s="29"/>
      <c r="G99" s="29"/>
      <c r="H99" s="29"/>
      <c r="I99" s="29"/>
    </row>
    <row r="100" spans="1:9" ht="18" x14ac:dyDescent="0.25">
      <c r="A100" s="505"/>
      <c r="B100" s="1110"/>
      <c r="C100" s="1110"/>
      <c r="D100" s="1110"/>
      <c r="E100" s="29"/>
      <c r="F100" s="29"/>
      <c r="G100" s="29"/>
      <c r="H100" s="29"/>
      <c r="I100" s="29"/>
    </row>
    <row r="101" spans="1:9" ht="18" x14ac:dyDescent="0.25">
      <c r="A101" s="505"/>
      <c r="B101" s="1110"/>
      <c r="C101" s="1110"/>
      <c r="D101" s="1110"/>
      <c r="E101" s="29"/>
      <c r="F101" s="29"/>
      <c r="G101" s="29"/>
      <c r="H101" s="29"/>
      <c r="I101" s="29"/>
    </row>
    <row r="102" spans="1:9" ht="18" x14ac:dyDescent="0.25">
      <c r="A102" s="505"/>
      <c r="B102" s="1110"/>
      <c r="C102" s="1110"/>
      <c r="D102" s="1110"/>
      <c r="E102" s="29"/>
      <c r="F102" s="29"/>
      <c r="G102" s="29"/>
      <c r="H102" s="29"/>
      <c r="I102" s="29"/>
    </row>
    <row r="103" spans="1:9" ht="18" x14ac:dyDescent="0.25">
      <c r="A103" s="505"/>
      <c r="B103" s="1110"/>
      <c r="C103" s="1110"/>
      <c r="D103" s="1110"/>
      <c r="E103" s="29"/>
      <c r="F103" s="29"/>
      <c r="G103" s="29"/>
      <c r="H103" s="29"/>
      <c r="I103" s="29"/>
    </row>
    <row r="104" spans="1:9" ht="18" x14ac:dyDescent="0.25">
      <c r="A104" s="505"/>
      <c r="B104" s="1110"/>
      <c r="C104" s="1110"/>
      <c r="D104" s="1110"/>
      <c r="E104" s="29"/>
      <c r="F104" s="29"/>
      <c r="G104" s="29"/>
      <c r="H104" s="29"/>
      <c r="I104" s="29"/>
    </row>
    <row r="105" spans="1:9" ht="18" x14ac:dyDescent="0.25">
      <c r="A105" s="505"/>
      <c r="B105" s="1110"/>
      <c r="C105" s="1110"/>
      <c r="D105" s="1110"/>
      <c r="E105" s="29"/>
      <c r="F105" s="29"/>
      <c r="G105" s="29"/>
      <c r="H105" s="29"/>
      <c r="I105" s="29"/>
    </row>
    <row r="106" spans="1:9" ht="18" x14ac:dyDescent="0.25">
      <c r="A106" s="505"/>
      <c r="B106" s="1110"/>
      <c r="C106" s="1110"/>
      <c r="D106" s="1110"/>
      <c r="E106" s="29"/>
      <c r="F106" s="29"/>
      <c r="G106" s="29"/>
      <c r="H106" s="29"/>
      <c r="I106" s="29"/>
    </row>
    <row r="107" spans="1:9" ht="18" x14ac:dyDescent="0.25">
      <c r="A107" s="505"/>
      <c r="B107" s="1110"/>
      <c r="C107" s="1110"/>
      <c r="D107" s="1110"/>
      <c r="E107" s="29"/>
      <c r="F107" s="29"/>
      <c r="G107" s="29"/>
      <c r="H107" s="29"/>
      <c r="I107" s="29"/>
    </row>
    <row r="108" spans="1:9" x14ac:dyDescent="0.2">
      <c r="A108" s="86"/>
      <c r="B108" s="29"/>
      <c r="C108" s="29"/>
      <c r="D108" s="29"/>
      <c r="E108" s="29"/>
      <c r="F108" s="29"/>
      <c r="G108" s="29"/>
      <c r="H108" s="29"/>
      <c r="I108" s="29"/>
    </row>
    <row r="109" spans="1:9" ht="15" x14ac:dyDescent="0.2">
      <c r="A109" s="1120" t="s">
        <v>1126</v>
      </c>
      <c r="B109" s="29"/>
      <c r="C109" s="29"/>
      <c r="D109" s="29"/>
      <c r="E109" s="29"/>
      <c r="F109" s="29"/>
      <c r="G109" s="29"/>
      <c r="H109" s="29"/>
      <c r="I109" s="29"/>
    </row>
    <row r="110" spans="1:9" x14ac:dyDescent="0.2">
      <c r="A110" s="86"/>
      <c r="B110" s="29"/>
      <c r="C110" s="29"/>
      <c r="D110" s="29"/>
      <c r="E110" s="29"/>
      <c r="F110" s="29"/>
      <c r="G110" s="29"/>
      <c r="H110" s="29"/>
      <c r="I110" s="29"/>
    </row>
    <row r="111" spans="1:9" x14ac:dyDescent="0.2">
      <c r="A111" s="1109" t="s">
        <v>1112</v>
      </c>
      <c r="B111" s="29"/>
      <c r="C111" s="29"/>
      <c r="D111" s="29"/>
      <c r="E111" s="29"/>
      <c r="F111" s="29"/>
      <c r="G111" s="29"/>
      <c r="H111" s="29"/>
      <c r="I111" s="29"/>
    </row>
    <row r="112" spans="1:9" x14ac:dyDescent="0.2">
      <c r="A112" s="86"/>
      <c r="B112" s="29"/>
      <c r="C112" s="29"/>
      <c r="D112" s="29"/>
      <c r="E112" s="29"/>
      <c r="F112" s="29"/>
      <c r="G112" s="29"/>
      <c r="H112" s="29"/>
      <c r="I112" s="29"/>
    </row>
    <row r="113" spans="1:9" x14ac:dyDescent="0.2">
      <c r="A113" s="86" t="s">
        <v>1113</v>
      </c>
      <c r="B113" s="29"/>
      <c r="C113" s="29"/>
      <c r="D113" s="29"/>
      <c r="E113" s="29"/>
      <c r="F113" s="29"/>
      <c r="G113" s="29"/>
      <c r="H113" s="29"/>
      <c r="I113" s="29"/>
    </row>
    <row r="114" spans="1:9" x14ac:dyDescent="0.2">
      <c r="A114" s="86"/>
      <c r="B114" s="1747" t="s">
        <v>1118</v>
      </c>
      <c r="C114" s="1747"/>
      <c r="D114" s="29"/>
      <c r="E114" s="29"/>
      <c r="F114" s="29"/>
      <c r="G114" s="29"/>
      <c r="H114" s="29"/>
      <c r="I114" s="29"/>
    </row>
    <row r="115" spans="1:9" x14ac:dyDescent="0.2">
      <c r="A115" s="676" t="s">
        <v>1115</v>
      </c>
      <c r="B115" s="1119" t="s">
        <v>1114</v>
      </c>
      <c r="C115" s="1115" t="s">
        <v>1120</v>
      </c>
      <c r="D115" s="29"/>
      <c r="E115" s="29"/>
      <c r="F115" s="29"/>
      <c r="G115" s="29"/>
      <c r="H115" s="29"/>
      <c r="I115" s="29"/>
    </row>
    <row r="116" spans="1:9" x14ac:dyDescent="0.2">
      <c r="A116" s="676" t="s">
        <v>1116</v>
      </c>
      <c r="B116" s="676" t="s">
        <v>1117</v>
      </c>
      <c r="C116" s="1115" t="s">
        <v>1119</v>
      </c>
      <c r="D116" s="29"/>
      <c r="E116" s="29"/>
      <c r="F116" s="29"/>
      <c r="G116" s="29"/>
      <c r="H116" s="29"/>
      <c r="I116" s="29"/>
    </row>
    <row r="117" spans="1:9" x14ac:dyDescent="0.2">
      <c r="A117" s="86"/>
      <c r="B117" s="29"/>
      <c r="C117" s="29"/>
      <c r="D117" s="29"/>
      <c r="E117" s="29"/>
      <c r="F117" s="29"/>
      <c r="G117" s="29"/>
      <c r="H117" s="29"/>
      <c r="I117" s="29"/>
    </row>
    <row r="118" spans="1:9" x14ac:dyDescent="0.2">
      <c r="A118" s="86"/>
      <c r="B118" s="29"/>
      <c r="C118" s="29"/>
      <c r="D118" s="29"/>
      <c r="E118" s="29"/>
      <c r="F118" s="29"/>
      <c r="G118" s="29"/>
      <c r="H118" s="29"/>
      <c r="I118" s="29"/>
    </row>
    <row r="119" spans="1:9" x14ac:dyDescent="0.2">
      <c r="A119" s="86" t="s">
        <v>1121</v>
      </c>
      <c r="B119" s="29"/>
      <c r="C119" s="29"/>
      <c r="D119" s="29"/>
      <c r="E119" s="29"/>
      <c r="F119" s="29"/>
      <c r="G119" s="29"/>
      <c r="H119" s="29"/>
      <c r="I119" s="29"/>
    </row>
    <row r="120" spans="1:9" x14ac:dyDescent="0.2">
      <c r="A120" s="86"/>
      <c r="B120" s="1745" t="s">
        <v>1118</v>
      </c>
      <c r="C120" s="1745"/>
      <c r="D120" s="1147" t="s">
        <v>1125</v>
      </c>
      <c r="E120" s="1147" t="s">
        <v>890</v>
      </c>
      <c r="F120" s="29"/>
      <c r="G120" s="29"/>
      <c r="H120" s="29"/>
      <c r="I120" s="29"/>
    </row>
    <row r="121" spans="1:9" x14ac:dyDescent="0.2">
      <c r="A121" s="676" t="s">
        <v>1123</v>
      </c>
      <c r="B121" s="1114" t="s">
        <v>1122</v>
      </c>
      <c r="C121" s="1115" t="s">
        <v>1124</v>
      </c>
      <c r="D121" s="1116">
        <v>42277</v>
      </c>
      <c r="E121" s="1147" t="s">
        <v>698</v>
      </c>
      <c r="F121" s="29"/>
      <c r="G121" s="29"/>
      <c r="H121" s="29"/>
      <c r="I121" s="29"/>
    </row>
    <row r="122" spans="1:9" x14ac:dyDescent="0.2">
      <c r="A122" s="86"/>
      <c r="B122" s="29"/>
      <c r="C122" s="29"/>
      <c r="D122" s="29"/>
      <c r="E122" s="29"/>
      <c r="F122" s="29"/>
      <c r="G122" s="29"/>
      <c r="H122" s="29"/>
      <c r="I122" s="29"/>
    </row>
    <row r="123" spans="1:9" x14ac:dyDescent="0.2">
      <c r="A123" s="86"/>
      <c r="B123" s="29"/>
      <c r="C123" s="29"/>
      <c r="D123" s="29"/>
      <c r="E123" s="29"/>
      <c r="F123" s="29"/>
      <c r="G123" s="29"/>
      <c r="H123" s="29"/>
      <c r="I123" s="29"/>
    </row>
    <row r="124" spans="1:9" x14ac:dyDescent="0.2">
      <c r="A124" s="86"/>
      <c r="B124" s="29"/>
      <c r="C124" s="29"/>
      <c r="D124" s="29"/>
      <c r="E124" s="29"/>
      <c r="F124" s="29"/>
      <c r="G124" s="29"/>
      <c r="H124" s="29"/>
      <c r="I124" s="29"/>
    </row>
    <row r="125" spans="1:9" x14ac:dyDescent="0.2">
      <c r="A125" s="1109" t="s">
        <v>1128</v>
      </c>
      <c r="B125" s="29"/>
      <c r="C125" s="29"/>
      <c r="D125" s="29"/>
      <c r="E125" s="29"/>
      <c r="F125" s="29"/>
      <c r="G125" s="29"/>
      <c r="H125" s="29"/>
      <c r="I125" s="29"/>
    </row>
    <row r="126" spans="1:9" x14ac:dyDescent="0.2">
      <c r="A126" s="1109"/>
      <c r="B126" s="29"/>
      <c r="C126" s="29"/>
      <c r="D126" s="29"/>
      <c r="E126" s="29"/>
      <c r="F126" s="29"/>
      <c r="G126" s="29"/>
      <c r="H126" s="29"/>
      <c r="I126" s="29"/>
    </row>
    <row r="127" spans="1:9" x14ac:dyDescent="0.2">
      <c r="A127" s="86" t="s">
        <v>1121</v>
      </c>
      <c r="B127" s="29"/>
      <c r="C127" s="29"/>
      <c r="D127" s="29"/>
      <c r="E127" s="29"/>
      <c r="F127" s="29"/>
      <c r="G127" s="29"/>
      <c r="H127" s="29"/>
      <c r="I127" s="29"/>
    </row>
    <row r="128" spans="1:9" x14ac:dyDescent="0.2">
      <c r="A128" s="86"/>
      <c r="B128" s="1745" t="s">
        <v>1118</v>
      </c>
      <c r="C128" s="1745"/>
      <c r="D128" s="1148" t="s">
        <v>1125</v>
      </c>
      <c r="E128" s="1745" t="s">
        <v>890</v>
      </c>
      <c r="F128" s="1745"/>
      <c r="G128" s="29"/>
      <c r="H128" s="29"/>
      <c r="I128" s="29"/>
    </row>
    <row r="129" spans="1:9" x14ac:dyDescent="0.2">
      <c r="A129" s="676" t="s">
        <v>1130</v>
      </c>
      <c r="B129" s="1115" t="s">
        <v>1129</v>
      </c>
      <c r="C129" s="1115" t="s">
        <v>1131</v>
      </c>
      <c r="D129" s="1116">
        <v>42324</v>
      </c>
      <c r="E129" s="1747" t="s">
        <v>1132</v>
      </c>
      <c r="F129" s="1747"/>
      <c r="G129" s="29"/>
      <c r="H129" s="29"/>
      <c r="I129" s="29"/>
    </row>
    <row r="130" spans="1:9" x14ac:dyDescent="0.2">
      <c r="A130" s="676" t="s">
        <v>1133</v>
      </c>
      <c r="B130" s="1115" t="s">
        <v>1135</v>
      </c>
      <c r="C130" s="1115" t="s">
        <v>1134</v>
      </c>
      <c r="D130" s="1116">
        <v>42335</v>
      </c>
      <c r="E130" s="1747" t="s">
        <v>384</v>
      </c>
      <c r="F130" s="1747"/>
      <c r="G130" s="29"/>
      <c r="H130" s="29"/>
      <c r="I130" s="29"/>
    </row>
    <row r="131" spans="1:9" x14ac:dyDescent="0.2">
      <c r="A131" s="86"/>
      <c r="B131" s="29"/>
      <c r="C131" s="29"/>
      <c r="D131" s="29"/>
      <c r="E131" s="29"/>
      <c r="F131" s="29"/>
      <c r="G131" s="29"/>
      <c r="H131" s="29"/>
      <c r="I131" s="29"/>
    </row>
    <row r="132" spans="1:9" x14ac:dyDescent="0.2">
      <c r="A132" s="86"/>
      <c r="B132" s="29"/>
      <c r="C132" s="29"/>
      <c r="D132" s="29"/>
      <c r="E132" s="29"/>
      <c r="F132" s="29"/>
      <c r="G132" s="29"/>
      <c r="H132" s="29"/>
      <c r="I132" s="29"/>
    </row>
    <row r="133" spans="1:9" ht="15" x14ac:dyDescent="0.2">
      <c r="A133" s="1120" t="s">
        <v>1136</v>
      </c>
      <c r="B133" s="29"/>
      <c r="C133" s="29"/>
      <c r="D133" s="29"/>
      <c r="E133" s="29"/>
      <c r="F133" s="29"/>
      <c r="G133" s="29"/>
      <c r="H133" s="29"/>
      <c r="I133" s="29"/>
    </row>
    <row r="134" spans="1:9" x14ac:dyDescent="0.2">
      <c r="A134" s="482"/>
      <c r="B134" s="29"/>
      <c r="C134" s="29"/>
      <c r="D134" s="29"/>
      <c r="E134" s="29"/>
      <c r="F134" s="29"/>
      <c r="G134" s="29"/>
      <c r="H134" s="29"/>
      <c r="I134" s="29"/>
    </row>
    <row r="135" spans="1:9" x14ac:dyDescent="0.2">
      <c r="A135" s="1109" t="s">
        <v>1127</v>
      </c>
      <c r="B135" s="29"/>
      <c r="C135" s="29"/>
      <c r="D135" s="29"/>
      <c r="E135" s="29"/>
      <c r="F135" s="29"/>
      <c r="G135" s="29"/>
      <c r="H135" s="29"/>
      <c r="I135" s="29"/>
    </row>
    <row r="136" spans="1:9" x14ac:dyDescent="0.2">
      <c r="A136" s="86"/>
      <c r="B136" s="29"/>
      <c r="C136" s="29"/>
      <c r="D136" s="29"/>
      <c r="E136" s="29"/>
      <c r="F136" s="29"/>
      <c r="G136" s="29"/>
      <c r="H136" s="29"/>
      <c r="I136" s="29"/>
    </row>
    <row r="137" spans="1:9" x14ac:dyDescent="0.2">
      <c r="A137" s="86"/>
      <c r="B137" s="1745" t="s">
        <v>1118</v>
      </c>
      <c r="C137" s="1745"/>
      <c r="D137" s="1147" t="s">
        <v>947</v>
      </c>
      <c r="E137" s="1746"/>
      <c r="F137" s="1746"/>
      <c r="G137" s="29"/>
      <c r="H137" s="29"/>
      <c r="I137" s="29"/>
    </row>
    <row r="138" spans="1:9" x14ac:dyDescent="0.2">
      <c r="A138" s="676" t="s">
        <v>1138</v>
      </c>
      <c r="B138" s="1114" t="s">
        <v>1137</v>
      </c>
      <c r="C138" s="1115" t="s">
        <v>1141</v>
      </c>
      <c r="D138" s="1147" t="s">
        <v>384</v>
      </c>
      <c r="E138" s="29"/>
      <c r="F138" s="29"/>
      <c r="G138" s="29"/>
      <c r="H138" s="29"/>
      <c r="I138" s="29"/>
    </row>
    <row r="139" spans="1:9" x14ac:dyDescent="0.2">
      <c r="A139" s="676" t="s">
        <v>1140</v>
      </c>
      <c r="B139" s="1114" t="s">
        <v>1139</v>
      </c>
      <c r="C139" s="1115" t="s">
        <v>1142</v>
      </c>
      <c r="D139" s="1147" t="s">
        <v>500</v>
      </c>
      <c r="E139" s="29"/>
      <c r="F139" s="29"/>
      <c r="G139" s="29"/>
      <c r="H139" s="29"/>
      <c r="I139" s="29"/>
    </row>
    <row r="140" spans="1:9" x14ac:dyDescent="0.2">
      <c r="A140" s="86"/>
      <c r="B140" s="29"/>
      <c r="C140" s="29"/>
      <c r="D140" s="29"/>
      <c r="E140" s="29"/>
      <c r="F140" s="29"/>
      <c r="G140" s="29"/>
      <c r="H140" s="29"/>
      <c r="I140" s="29"/>
    </row>
    <row r="141" spans="1:9" x14ac:dyDescent="0.2">
      <c r="A141" s="86"/>
      <c r="B141" s="29"/>
      <c r="C141" s="29"/>
      <c r="D141" s="29"/>
      <c r="E141" s="29"/>
      <c r="F141" s="29"/>
      <c r="G141" s="29"/>
      <c r="H141" s="29"/>
      <c r="I141" s="29"/>
    </row>
    <row r="142" spans="1:9" x14ac:dyDescent="0.2">
      <c r="A142" s="86"/>
      <c r="B142" s="29"/>
      <c r="C142" s="29"/>
      <c r="D142" s="29"/>
      <c r="E142" s="29"/>
      <c r="F142" s="29"/>
      <c r="G142" s="29"/>
      <c r="H142" s="29"/>
      <c r="I142" s="29"/>
    </row>
    <row r="143" spans="1:9" x14ac:dyDescent="0.2">
      <c r="A143" s="86"/>
      <c r="B143" s="29"/>
      <c r="C143" s="29"/>
      <c r="D143" s="29"/>
      <c r="E143" s="29"/>
      <c r="F143" s="29"/>
      <c r="G143" s="29"/>
      <c r="H143" s="29"/>
      <c r="I143" s="29"/>
    </row>
    <row r="144" spans="1:9" x14ac:dyDescent="0.2">
      <c r="A144" s="86"/>
      <c r="B144" s="29"/>
      <c r="C144" s="29"/>
      <c r="D144" s="29"/>
      <c r="E144" s="29"/>
      <c r="F144" s="29"/>
      <c r="G144" s="29"/>
      <c r="H144" s="29"/>
      <c r="I144" s="29"/>
    </row>
    <row r="145" spans="1:9" x14ac:dyDescent="0.2">
      <c r="A145" s="86"/>
      <c r="B145" s="29"/>
      <c r="C145" s="29"/>
      <c r="D145" s="29"/>
      <c r="E145" s="29"/>
      <c r="F145" s="29"/>
      <c r="G145" s="29"/>
      <c r="H145" s="29"/>
      <c r="I145" s="29"/>
    </row>
    <row r="146" spans="1:9" x14ac:dyDescent="0.2">
      <c r="A146" s="86"/>
      <c r="B146" s="29"/>
      <c r="C146" s="29"/>
      <c r="D146" s="29"/>
      <c r="E146" s="29"/>
      <c r="F146" s="29"/>
      <c r="G146" s="29"/>
      <c r="H146" s="29"/>
      <c r="I146" s="29"/>
    </row>
    <row r="147" spans="1:9" x14ac:dyDescent="0.2">
      <c r="A147" s="86"/>
      <c r="B147" s="29"/>
      <c r="C147" s="29"/>
      <c r="D147" s="29"/>
      <c r="E147" s="29"/>
      <c r="F147" s="29"/>
      <c r="G147" s="29"/>
      <c r="H147" s="29"/>
      <c r="I147" s="29"/>
    </row>
    <row r="148" spans="1:9" x14ac:dyDescent="0.2">
      <c r="A148" s="86"/>
      <c r="B148" s="29"/>
      <c r="C148" s="29"/>
      <c r="D148" s="29"/>
      <c r="E148" s="29"/>
      <c r="F148" s="29"/>
      <c r="G148" s="29"/>
      <c r="H148" s="29"/>
      <c r="I148" s="29"/>
    </row>
    <row r="149" spans="1:9" x14ac:dyDescent="0.2">
      <c r="A149" s="86"/>
      <c r="B149" s="29"/>
      <c r="C149" s="29"/>
      <c r="D149" s="29"/>
      <c r="E149" s="29"/>
      <c r="F149" s="29"/>
      <c r="G149" s="29"/>
      <c r="H149" s="29"/>
      <c r="I149" s="29"/>
    </row>
    <row r="150" spans="1:9" x14ac:dyDescent="0.2">
      <c r="A150" s="86"/>
      <c r="B150" s="29"/>
      <c r="C150" s="29"/>
      <c r="D150" s="29"/>
      <c r="E150" s="29"/>
      <c r="F150" s="29"/>
      <c r="G150" s="29"/>
      <c r="H150" s="29"/>
      <c r="I150" s="29"/>
    </row>
    <row r="151" spans="1:9" x14ac:dyDescent="0.2">
      <c r="A151" s="86"/>
      <c r="B151" s="29"/>
      <c r="C151" s="29"/>
      <c r="D151" s="29"/>
      <c r="E151" s="29"/>
      <c r="F151" s="29"/>
      <c r="G151" s="29"/>
      <c r="H151" s="29"/>
      <c r="I151" s="29"/>
    </row>
    <row r="152" spans="1:9" x14ac:dyDescent="0.2">
      <c r="A152" s="86"/>
      <c r="B152" s="29"/>
      <c r="C152" s="29"/>
      <c r="D152" s="29"/>
      <c r="E152" s="29"/>
      <c r="F152" s="29"/>
      <c r="G152" s="29"/>
      <c r="H152" s="29"/>
      <c r="I152" s="29"/>
    </row>
    <row r="153" spans="1:9" x14ac:dyDescent="0.2">
      <c r="A153" s="86"/>
      <c r="B153" s="29"/>
      <c r="C153" s="29"/>
      <c r="D153" s="29"/>
      <c r="E153" s="29"/>
      <c r="F153" s="29"/>
      <c r="G153" s="29"/>
      <c r="H153" s="29"/>
      <c r="I153" s="29"/>
    </row>
    <row r="154" spans="1:9" x14ac:dyDescent="0.2">
      <c r="A154" s="86"/>
      <c r="B154" s="29"/>
      <c r="C154" s="29"/>
      <c r="D154" s="29"/>
      <c r="E154" s="29"/>
      <c r="F154" s="29"/>
      <c r="G154" s="29"/>
      <c r="H154" s="29"/>
      <c r="I154" s="29"/>
    </row>
    <row r="155" spans="1:9" x14ac:dyDescent="0.2">
      <c r="A155" s="86"/>
      <c r="B155" s="29"/>
      <c r="C155" s="29"/>
      <c r="D155" s="29"/>
      <c r="E155" s="29"/>
      <c r="F155" s="29"/>
      <c r="G155" s="29"/>
      <c r="H155" s="29"/>
      <c r="I155" s="29"/>
    </row>
    <row r="157" spans="1:9" x14ac:dyDescent="0.2">
      <c r="A157" s="62" t="s">
        <v>838</v>
      </c>
    </row>
    <row r="158" spans="1:9" x14ac:dyDescent="0.2">
      <c r="A158" s="577" t="s">
        <v>1050</v>
      </c>
    </row>
    <row r="159" spans="1:9" x14ac:dyDescent="0.2">
      <c r="A159" s="577" t="s">
        <v>1052</v>
      </c>
    </row>
    <row r="160" spans="1:9" x14ac:dyDescent="0.2">
      <c r="A160" s="577" t="s">
        <v>1051</v>
      </c>
    </row>
    <row r="161" spans="1:1" x14ac:dyDescent="0.2">
      <c r="A161" s="577" t="s">
        <v>1054</v>
      </c>
    </row>
    <row r="162" spans="1:1" x14ac:dyDescent="0.2">
      <c r="A162" s="577" t="s">
        <v>1055</v>
      </c>
    </row>
    <row r="164" spans="1:1" x14ac:dyDescent="0.2">
      <c r="A164" s="1071" t="s">
        <v>852</v>
      </c>
    </row>
    <row r="165" spans="1:1" x14ac:dyDescent="0.2">
      <c r="A165" s="577" t="s">
        <v>1051</v>
      </c>
    </row>
    <row r="166" spans="1:1" x14ac:dyDescent="0.2">
      <c r="A166" s="577" t="s">
        <v>1056</v>
      </c>
    </row>
    <row r="167" spans="1:1" x14ac:dyDescent="0.2">
      <c r="A167" s="577" t="s">
        <v>1057</v>
      </c>
    </row>
    <row r="169" spans="1:1" x14ac:dyDescent="0.2">
      <c r="A169" s="1071" t="s">
        <v>874</v>
      </c>
    </row>
    <row r="170" spans="1:1" x14ac:dyDescent="0.2">
      <c r="A170" s="577" t="s">
        <v>1050</v>
      </c>
    </row>
    <row r="171" spans="1:1" x14ac:dyDescent="0.2">
      <c r="A171" s="577" t="s">
        <v>1058</v>
      </c>
    </row>
    <row r="172" spans="1:1" x14ac:dyDescent="0.2">
      <c r="A172" s="577" t="s">
        <v>1059</v>
      </c>
    </row>
    <row r="173" spans="1:1" x14ac:dyDescent="0.2">
      <c r="A173" s="577" t="s">
        <v>1060</v>
      </c>
    </row>
    <row r="174" spans="1:1" x14ac:dyDescent="0.2">
      <c r="A174" s="577" t="s">
        <v>1061</v>
      </c>
    </row>
    <row r="175" spans="1:1" x14ac:dyDescent="0.2">
      <c r="A175" s="577" t="s">
        <v>1062</v>
      </c>
    </row>
    <row r="177" spans="1:3" x14ac:dyDescent="0.2">
      <c r="A177" s="577" t="s">
        <v>905</v>
      </c>
    </row>
    <row r="178" spans="1:3" x14ac:dyDescent="0.2">
      <c r="A178" s="577" t="s">
        <v>1050</v>
      </c>
    </row>
    <row r="179" spans="1:3" x14ac:dyDescent="0.2">
      <c r="A179" s="577" t="s">
        <v>1065</v>
      </c>
    </row>
    <row r="180" spans="1:3" x14ac:dyDescent="0.2">
      <c r="A180" s="577" t="s">
        <v>1064</v>
      </c>
    </row>
    <row r="181" spans="1:3" x14ac:dyDescent="0.2">
      <c r="A181" s="577" t="s">
        <v>1063</v>
      </c>
    </row>
    <row r="185" spans="1:3" x14ac:dyDescent="0.2">
      <c r="A185" s="62" t="s">
        <v>1087</v>
      </c>
    </row>
    <row r="186" spans="1:3" x14ac:dyDescent="0.2">
      <c r="B186" s="568" t="s">
        <v>1088</v>
      </c>
      <c r="C186" s="568" t="s">
        <v>1089</v>
      </c>
    </row>
    <row r="187" spans="1:3" x14ac:dyDescent="0.2">
      <c r="A187" s="483" t="s">
        <v>1076</v>
      </c>
      <c r="B187" s="25">
        <v>447000</v>
      </c>
      <c r="C187" s="25">
        <f>+B187/12</f>
        <v>37250</v>
      </c>
    </row>
    <row r="188" spans="1:3" x14ac:dyDescent="0.2">
      <c r="A188" s="483" t="s">
        <v>1077</v>
      </c>
      <c r="B188" s="25">
        <v>2185</v>
      </c>
      <c r="C188" s="25">
        <f t="shared" ref="C188:C199" si="12">+B188/12</f>
        <v>182.08333333333334</v>
      </c>
    </row>
    <row r="189" spans="1:3" x14ac:dyDescent="0.2">
      <c r="A189" s="483" t="s">
        <v>1078</v>
      </c>
      <c r="B189" s="25">
        <v>10881</v>
      </c>
      <c r="C189" s="25">
        <f t="shared" si="12"/>
        <v>906.75</v>
      </c>
    </row>
    <row r="190" spans="1:3" x14ac:dyDescent="0.2">
      <c r="A190" s="483" t="s">
        <v>1079</v>
      </c>
      <c r="B190" s="25">
        <v>70938</v>
      </c>
      <c r="C190" s="25">
        <f t="shared" si="12"/>
        <v>5911.5</v>
      </c>
    </row>
    <row r="191" spans="1:3" x14ac:dyDescent="0.2">
      <c r="A191" s="483" t="s">
        <v>1080</v>
      </c>
      <c r="B191" s="25">
        <v>21728</v>
      </c>
      <c r="C191" s="25">
        <f t="shared" si="12"/>
        <v>1810.6666666666667</v>
      </c>
    </row>
    <row r="192" spans="1:3" x14ac:dyDescent="0.2">
      <c r="A192" s="483" t="s">
        <v>1081</v>
      </c>
      <c r="B192" s="25">
        <f>229323*0.85</f>
        <v>194924.55</v>
      </c>
      <c r="C192" s="25">
        <v>26000</v>
      </c>
    </row>
    <row r="193" spans="1:4" x14ac:dyDescent="0.2">
      <c r="A193" s="483" t="s">
        <v>1082</v>
      </c>
      <c r="B193" s="25">
        <v>20870</v>
      </c>
      <c r="C193" s="25">
        <f t="shared" si="12"/>
        <v>1739.1666666666667</v>
      </c>
    </row>
    <row r="194" spans="1:4" x14ac:dyDescent="0.2">
      <c r="A194" s="483" t="s">
        <v>1083</v>
      </c>
      <c r="B194" s="25">
        <v>67582</v>
      </c>
      <c r="C194" s="25">
        <f t="shared" si="12"/>
        <v>5631.833333333333</v>
      </c>
    </row>
    <row r="195" spans="1:4" x14ac:dyDescent="0.2">
      <c r="A195" s="483" t="s">
        <v>1084</v>
      </c>
      <c r="B195" s="1083">
        <f>55651*0.95</f>
        <v>52868.45</v>
      </c>
      <c r="C195" s="25"/>
    </row>
    <row r="196" spans="1:4" x14ac:dyDescent="0.2">
      <c r="A196" s="483" t="s">
        <v>1085</v>
      </c>
      <c r="B196" s="25">
        <v>32647</v>
      </c>
      <c r="C196" s="25">
        <f t="shared" si="12"/>
        <v>2720.5833333333335</v>
      </c>
    </row>
    <row r="197" spans="1:4" x14ac:dyDescent="0.2">
      <c r="A197" s="483" t="s">
        <v>1086</v>
      </c>
      <c r="B197" s="25">
        <f>69599+80674</f>
        <v>150273</v>
      </c>
      <c r="C197" s="25">
        <f t="shared" si="12"/>
        <v>12522.75</v>
      </c>
    </row>
    <row r="198" spans="1:4" x14ac:dyDescent="0.2">
      <c r="A198" s="483" t="s">
        <v>1091</v>
      </c>
      <c r="B198" s="25">
        <v>780198</v>
      </c>
      <c r="C198" s="25">
        <f t="shared" si="12"/>
        <v>65016.5</v>
      </c>
    </row>
    <row r="199" spans="1:4" x14ac:dyDescent="0.2">
      <c r="A199" s="483" t="s">
        <v>961</v>
      </c>
      <c r="B199" s="25">
        <v>480704</v>
      </c>
      <c r="C199" s="25">
        <f t="shared" si="12"/>
        <v>40058.666666666664</v>
      </c>
    </row>
    <row r="200" spans="1:4" x14ac:dyDescent="0.2">
      <c r="A200" s="483" t="s">
        <v>1090</v>
      </c>
      <c r="B200" s="25">
        <v>232000</v>
      </c>
      <c r="C200" s="25">
        <f>+B200/12</f>
        <v>19333.333333333332</v>
      </c>
    </row>
    <row r="201" spans="1:4" x14ac:dyDescent="0.2">
      <c r="A201" s="483"/>
      <c r="B201" s="25"/>
      <c r="C201" s="25"/>
    </row>
    <row r="203" spans="1:4" x14ac:dyDescent="0.2">
      <c r="A203" s="483" t="s">
        <v>888</v>
      </c>
      <c r="B203" s="495">
        <f>SUM(B187:B202)</f>
        <v>2564799</v>
      </c>
      <c r="C203" s="495">
        <f>SUM(C187:C202)</f>
        <v>219083.83333333331</v>
      </c>
      <c r="D203" s="495">
        <f>+C203*3</f>
        <v>657251.5</v>
      </c>
    </row>
    <row r="204" spans="1:4" x14ac:dyDescent="0.2">
      <c r="B204" s="194">
        <f>SUM(B187:B199)/12</f>
        <v>194399.91666666666</v>
      </c>
      <c r="C204" s="495">
        <f>SUM(C187:C199)</f>
        <v>199750.49999999997</v>
      </c>
      <c r="D204" s="495">
        <f>+C204</f>
        <v>199750.49999999997</v>
      </c>
    </row>
    <row r="205" spans="1:4" x14ac:dyDescent="0.2">
      <c r="B205" s="194">
        <f>+B204+B200/4</f>
        <v>252399.91666666666</v>
      </c>
      <c r="C205" s="194">
        <f>C204+C200*3</f>
        <v>257750.49999999997</v>
      </c>
    </row>
    <row r="207" spans="1:4" x14ac:dyDescent="0.2">
      <c r="B207" s="194">
        <f>+B204*8+B205*4</f>
        <v>2564799</v>
      </c>
      <c r="C207" s="25">
        <f>50000+40000+26000+58000/3</f>
        <v>135333.33333333334</v>
      </c>
    </row>
  </sheetData>
  <mergeCells count="14">
    <mergeCell ref="E91:F91"/>
    <mergeCell ref="B72:C72"/>
    <mergeCell ref="B82:C82"/>
    <mergeCell ref="B89:C89"/>
    <mergeCell ref="E89:F89"/>
    <mergeCell ref="E90:F90"/>
    <mergeCell ref="B137:C137"/>
    <mergeCell ref="E137:F137"/>
    <mergeCell ref="B114:C114"/>
    <mergeCell ref="B120:C120"/>
    <mergeCell ref="B128:C128"/>
    <mergeCell ref="E128:F128"/>
    <mergeCell ref="E129:F129"/>
    <mergeCell ref="E130:F130"/>
  </mergeCells>
  <pageMargins left="1.9685039370078741" right="0.39370078740157483" top="0.19685039370078741" bottom="0.78740157480314965" header="0.51181102362204722" footer="0"/>
  <pageSetup paperSize="9" scale="85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2.75" x14ac:dyDescent="0.2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67"/>
  <sheetViews>
    <sheetView workbookViewId="0">
      <selection activeCell="E18" sqref="E18"/>
    </sheetView>
  </sheetViews>
  <sheetFormatPr defaultColWidth="11.42578125" defaultRowHeight="12.75" x14ac:dyDescent="0.2"/>
  <cols>
    <col min="2" max="3" width="33.7109375" customWidth="1"/>
    <col min="4" max="4" width="23.85546875" customWidth="1"/>
    <col min="5" max="5" width="15.42578125" customWidth="1"/>
    <col min="9" max="9" width="13.85546875" bestFit="1" customWidth="1"/>
  </cols>
  <sheetData>
    <row r="2" spans="1:6" x14ac:dyDescent="0.2">
      <c r="E2" s="483" t="s">
        <v>1446</v>
      </c>
    </row>
    <row r="4" spans="1:6" ht="28.5" customHeight="1" x14ac:dyDescent="0.2">
      <c r="B4" s="1869" t="s">
        <v>1426</v>
      </c>
      <c r="C4" s="1869"/>
      <c r="D4" s="1869"/>
      <c r="E4" s="1869"/>
    </row>
    <row r="5" spans="1:6" ht="28.5" customHeight="1" x14ac:dyDescent="0.2">
      <c r="B5" s="1716"/>
      <c r="C5" s="1716"/>
      <c r="D5" s="1716"/>
      <c r="E5" s="1716"/>
    </row>
    <row r="6" spans="1:6" ht="28.5" customHeight="1" x14ac:dyDescent="0.2">
      <c r="B6" s="1699" t="s">
        <v>1448</v>
      </c>
      <c r="C6" s="1699"/>
      <c r="D6" s="1716"/>
      <c r="E6" s="1716"/>
    </row>
    <row r="7" spans="1:6" ht="28.5" customHeight="1" x14ac:dyDescent="0.2">
      <c r="B7" s="259" t="s">
        <v>1421</v>
      </c>
      <c r="C7" s="1681" t="s">
        <v>1431</v>
      </c>
      <c r="D7" s="259" t="s">
        <v>1366</v>
      </c>
      <c r="E7" s="1680" t="s">
        <v>1420</v>
      </c>
    </row>
    <row r="8" spans="1:6" ht="28.5" customHeight="1" x14ac:dyDescent="0.2">
      <c r="B8" s="1203" t="s">
        <v>1422</v>
      </c>
      <c r="C8" s="1688" t="s">
        <v>166</v>
      </c>
      <c r="D8" s="1689" t="s">
        <v>837</v>
      </c>
      <c r="E8" s="1682">
        <v>250000</v>
      </c>
    </row>
    <row r="9" spans="1:6" ht="28.5" customHeight="1" x14ac:dyDescent="0.2">
      <c r="B9" s="1203" t="s">
        <v>1444</v>
      </c>
      <c r="C9" s="1688" t="s">
        <v>166</v>
      </c>
      <c r="D9" s="1689" t="s">
        <v>837</v>
      </c>
      <c r="E9" s="1682">
        <v>50000</v>
      </c>
    </row>
    <row r="10" spans="1:6" ht="28.5" customHeight="1" x14ac:dyDescent="0.2">
      <c r="B10" s="1203" t="s">
        <v>1433</v>
      </c>
      <c r="C10" s="1203" t="s">
        <v>1435</v>
      </c>
      <c r="D10" s="1690">
        <v>42602</v>
      </c>
      <c r="E10" s="1682">
        <v>24442</v>
      </c>
    </row>
    <row r="11" spans="1:6" ht="28.5" customHeight="1" x14ac:dyDescent="0.2">
      <c r="B11" s="1715" t="s">
        <v>896</v>
      </c>
      <c r="C11" s="1691" t="s">
        <v>341</v>
      </c>
      <c r="D11" s="1692">
        <v>42611</v>
      </c>
      <c r="E11" s="1684">
        <v>29000</v>
      </c>
    </row>
    <row r="12" spans="1:6" ht="28.5" customHeight="1" thickBot="1" x14ac:dyDescent="0.25">
      <c r="B12" s="1848" t="s">
        <v>1434</v>
      </c>
      <c r="C12" s="1848"/>
      <c r="D12" s="1848"/>
      <c r="E12" s="1684">
        <v>775133</v>
      </c>
      <c r="F12" t="s">
        <v>1449</v>
      </c>
    </row>
    <row r="13" spans="1:6" ht="28.5" customHeight="1" thickBot="1" x14ac:dyDescent="0.25">
      <c r="B13" s="1866" t="s">
        <v>1447</v>
      </c>
      <c r="C13" s="1867"/>
      <c r="D13" s="1868"/>
      <c r="E13" s="1685">
        <f>SUM(E8:E12)</f>
        <v>1128575</v>
      </c>
    </row>
    <row r="14" spans="1:6" ht="28.5" customHeight="1" x14ac:dyDescent="0.2">
      <c r="B14" s="1716"/>
      <c r="C14" s="1716"/>
      <c r="D14" s="1716"/>
      <c r="E14" s="1716"/>
    </row>
    <row r="15" spans="1:6" ht="28.5" customHeight="1" x14ac:dyDescent="0.2">
      <c r="A15" s="1872" t="s">
        <v>1453</v>
      </c>
      <c r="B15" s="1872"/>
      <c r="C15" s="1872"/>
      <c r="D15" s="1716"/>
      <c r="E15" s="1716"/>
    </row>
    <row r="16" spans="1:6" ht="28.5" customHeight="1" x14ac:dyDescent="0.2">
      <c r="A16" s="1872"/>
      <c r="B16" s="1872"/>
      <c r="C16" s="1872"/>
      <c r="D16" s="1717"/>
      <c r="E16" s="1716"/>
    </row>
    <row r="17" spans="1:6" ht="28.5" customHeight="1" x14ac:dyDescent="0.2">
      <c r="A17" s="1717"/>
      <c r="B17" s="1717"/>
      <c r="C17" s="1717"/>
      <c r="D17" s="1716"/>
      <c r="E17" s="1716"/>
    </row>
    <row r="18" spans="1:6" ht="28.5" customHeight="1" x14ac:dyDescent="0.2">
      <c r="B18" s="1699" t="s">
        <v>1460</v>
      </c>
    </row>
    <row r="19" spans="1:6" ht="28.5" customHeight="1" x14ac:dyDescent="0.2">
      <c r="B19" s="259" t="s">
        <v>1421</v>
      </c>
      <c r="C19" s="1681" t="s">
        <v>1431</v>
      </c>
      <c r="D19" s="1681" t="s">
        <v>1366</v>
      </c>
      <c r="E19" s="1680" t="s">
        <v>1420</v>
      </c>
    </row>
    <row r="20" spans="1:6" ht="28.5" customHeight="1" x14ac:dyDescent="0.2">
      <c r="B20" s="1203" t="s">
        <v>1461</v>
      </c>
      <c r="C20" s="1688" t="s">
        <v>1417</v>
      </c>
      <c r="D20" s="1689">
        <v>42610</v>
      </c>
      <c r="E20" s="1682">
        <v>110000</v>
      </c>
    </row>
    <row r="21" spans="1:6" ht="28.5" customHeight="1" thickBot="1" x14ac:dyDescent="0.25">
      <c r="B21" s="1203" t="s">
        <v>921</v>
      </c>
      <c r="C21" s="1688" t="s">
        <v>921</v>
      </c>
      <c r="D21" s="1689">
        <v>42610</v>
      </c>
      <c r="E21" s="1682">
        <v>30000</v>
      </c>
    </row>
    <row r="22" spans="1:6" ht="28.5" customHeight="1" thickBot="1" x14ac:dyDescent="0.25">
      <c r="B22" s="1866" t="s">
        <v>1462</v>
      </c>
      <c r="C22" s="1867"/>
      <c r="D22" s="1868"/>
      <c r="E22" s="1685">
        <f>+E20+E21</f>
        <v>140000</v>
      </c>
    </row>
    <row r="23" spans="1:6" ht="28.5" customHeight="1" x14ac:dyDescent="0.2"/>
    <row r="24" spans="1:6" ht="28.5" customHeight="1" x14ac:dyDescent="0.2">
      <c r="A24" s="1872" t="s">
        <v>1463</v>
      </c>
      <c r="B24" s="1872"/>
      <c r="C24" s="1872"/>
    </row>
    <row r="26" spans="1:6" x14ac:dyDescent="0.2">
      <c r="B26" s="934"/>
      <c r="C26" s="934"/>
      <c r="D26" s="934"/>
    </row>
    <row r="27" spans="1:6" ht="20.25" x14ac:dyDescent="0.2">
      <c r="B27" s="1699" t="s">
        <v>1450</v>
      </c>
    </row>
    <row r="28" spans="1:6" ht="35.1" customHeight="1" x14ac:dyDescent="0.2">
      <c r="B28" s="259" t="s">
        <v>1421</v>
      </c>
      <c r="C28" s="1681" t="s">
        <v>1431</v>
      </c>
      <c r="D28" s="1681" t="s">
        <v>1366</v>
      </c>
      <c r="E28" s="1680" t="s">
        <v>1420</v>
      </c>
    </row>
    <row r="29" spans="1:6" ht="24.95" customHeight="1" x14ac:dyDescent="0.2">
      <c r="B29" s="1203" t="s">
        <v>896</v>
      </c>
      <c r="C29" s="1688" t="s">
        <v>212</v>
      </c>
      <c r="D29" s="1689">
        <v>42601</v>
      </c>
      <c r="E29" s="1682">
        <v>16000</v>
      </c>
    </row>
    <row r="30" spans="1:6" ht="24.95" customHeight="1" x14ac:dyDescent="0.2">
      <c r="B30" s="1203" t="s">
        <v>896</v>
      </c>
      <c r="C30" s="1688" t="s">
        <v>946</v>
      </c>
      <c r="D30" s="1689">
        <v>42604</v>
      </c>
      <c r="E30" s="1682">
        <v>26000</v>
      </c>
    </row>
    <row r="31" spans="1:6" ht="24.95" customHeight="1" x14ac:dyDescent="0.2">
      <c r="B31" s="1203" t="s">
        <v>896</v>
      </c>
      <c r="C31" s="1688" t="s">
        <v>809</v>
      </c>
      <c r="D31" s="1689">
        <v>42605</v>
      </c>
      <c r="E31" s="1682">
        <v>6000</v>
      </c>
      <c r="F31" t="s">
        <v>1451</v>
      </c>
    </row>
    <row r="32" spans="1:6" ht="24.95" customHeight="1" thickBot="1" x14ac:dyDescent="0.25">
      <c r="B32" s="1715" t="s">
        <v>1425</v>
      </c>
      <c r="C32" s="1691" t="s">
        <v>1187</v>
      </c>
      <c r="D32" s="1692">
        <v>42611</v>
      </c>
      <c r="E32" s="1684">
        <v>10000</v>
      </c>
    </row>
    <row r="33" spans="1:5" ht="31.5" customHeight="1" thickBot="1" x14ac:dyDescent="0.25">
      <c r="B33" s="1866" t="s">
        <v>1452</v>
      </c>
      <c r="C33" s="1867"/>
      <c r="D33" s="1868"/>
      <c r="E33" s="1685">
        <f>+E29+E30+E31+E32</f>
        <v>58000</v>
      </c>
    </row>
    <row r="35" spans="1:5" ht="20.25" x14ac:dyDescent="0.2">
      <c r="A35" s="1872" t="s">
        <v>1454</v>
      </c>
      <c r="B35" s="1872"/>
      <c r="C35" s="1872"/>
    </row>
    <row r="43" spans="1:5" ht="20.25" x14ac:dyDescent="0.2">
      <c r="B43" s="1699" t="s">
        <v>1455</v>
      </c>
    </row>
    <row r="44" spans="1:5" ht="35.1" customHeight="1" x14ac:dyDescent="0.2">
      <c r="B44" s="259" t="s">
        <v>1421</v>
      </c>
      <c r="C44" s="1681" t="s">
        <v>1431</v>
      </c>
      <c r="D44" s="1681" t="s">
        <v>1366</v>
      </c>
      <c r="E44" s="1680" t="s">
        <v>1420</v>
      </c>
    </row>
    <row r="45" spans="1:5" ht="24.95" customHeight="1" x14ac:dyDescent="0.2">
      <c r="B45" s="1203" t="s">
        <v>1422</v>
      </c>
      <c r="C45" s="1688" t="s">
        <v>846</v>
      </c>
      <c r="D45" s="1689" t="s">
        <v>837</v>
      </c>
      <c r="E45" s="1682">
        <v>23000</v>
      </c>
    </row>
    <row r="46" spans="1:5" ht="24.95" customHeight="1" x14ac:dyDescent="0.2">
      <c r="B46" s="1203" t="s">
        <v>1217</v>
      </c>
      <c r="C46" s="1688" t="s">
        <v>1428</v>
      </c>
      <c r="D46" s="1689">
        <v>42602</v>
      </c>
      <c r="E46" s="1682">
        <v>3425</v>
      </c>
    </row>
    <row r="47" spans="1:5" ht="24.95" customHeight="1" x14ac:dyDescent="0.2">
      <c r="B47" s="1203" t="s">
        <v>1044</v>
      </c>
      <c r="C47" s="1203" t="s">
        <v>1423</v>
      </c>
      <c r="D47" s="1690">
        <v>42613</v>
      </c>
      <c r="E47" s="1682">
        <v>6217</v>
      </c>
    </row>
    <row r="48" spans="1:5" ht="24.95" customHeight="1" thickBot="1" x14ac:dyDescent="0.25">
      <c r="B48" s="1203" t="s">
        <v>1456</v>
      </c>
      <c r="C48" s="1203" t="s">
        <v>1457</v>
      </c>
      <c r="D48" s="1690" t="s">
        <v>837</v>
      </c>
      <c r="E48" s="1682">
        <v>17262</v>
      </c>
    </row>
    <row r="49" spans="1:9" ht="31.5" customHeight="1" thickBot="1" x14ac:dyDescent="0.25">
      <c r="B49" s="1866" t="s">
        <v>1458</v>
      </c>
      <c r="C49" s="1867"/>
      <c r="D49" s="1868"/>
      <c r="E49" s="1700">
        <f>SUM(E45:E48)</f>
        <v>49904</v>
      </c>
    </row>
    <row r="50" spans="1:9" ht="31.5" customHeight="1" x14ac:dyDescent="0.2">
      <c r="B50" s="1701"/>
      <c r="C50" s="1701"/>
      <c r="D50" s="1701"/>
      <c r="E50" s="1702"/>
    </row>
    <row r="51" spans="1:9" ht="31.5" customHeight="1" x14ac:dyDescent="0.2">
      <c r="A51" s="1872" t="s">
        <v>1459</v>
      </c>
      <c r="B51" s="1872"/>
      <c r="C51" s="1872"/>
      <c r="D51" s="1701"/>
      <c r="E51" s="1702"/>
    </row>
    <row r="54" spans="1:9" ht="13.5" thickBot="1" x14ac:dyDescent="0.25">
      <c r="I54" s="194"/>
    </row>
    <row r="55" spans="1:9" ht="33" customHeight="1" thickBot="1" x14ac:dyDescent="0.25">
      <c r="B55" s="1864" t="s">
        <v>1419</v>
      </c>
      <c r="C55" s="1865"/>
      <c r="D55" s="1683">
        <f>1100000+90000+20000+50000</f>
        <v>1260000</v>
      </c>
    </row>
    <row r="57" spans="1:9" x14ac:dyDescent="0.2">
      <c r="B57" s="62" t="s">
        <v>1466</v>
      </c>
    </row>
    <row r="59" spans="1:9" x14ac:dyDescent="0.2">
      <c r="B59" s="483" t="s">
        <v>1467</v>
      </c>
    </row>
    <row r="60" spans="1:9" x14ac:dyDescent="0.2">
      <c r="B60" s="483" t="s">
        <v>1468</v>
      </c>
    </row>
    <row r="61" spans="1:9" x14ac:dyDescent="0.2">
      <c r="B61" s="483" t="s">
        <v>1469</v>
      </c>
    </row>
    <row r="62" spans="1:9" x14ac:dyDescent="0.2">
      <c r="B62" s="1705" t="s">
        <v>1470</v>
      </c>
    </row>
    <row r="63" spans="1:9" x14ac:dyDescent="0.2">
      <c r="B63" s="1714" t="s">
        <v>1471</v>
      </c>
    </row>
    <row r="64" spans="1:9" x14ac:dyDescent="0.2">
      <c r="B64" s="1714"/>
    </row>
    <row r="65" spans="1:2" x14ac:dyDescent="0.2">
      <c r="B65" s="483"/>
    </row>
    <row r="66" spans="1:2" x14ac:dyDescent="0.2">
      <c r="A66" s="1" t="s">
        <v>1424</v>
      </c>
      <c r="B66" s="483" t="s">
        <v>1430</v>
      </c>
    </row>
    <row r="67" spans="1:2" x14ac:dyDescent="0.2">
      <c r="B67" s="483" t="s">
        <v>1429</v>
      </c>
    </row>
  </sheetData>
  <mergeCells count="12">
    <mergeCell ref="B55:C55"/>
    <mergeCell ref="B4:E4"/>
    <mergeCell ref="B12:D12"/>
    <mergeCell ref="B13:D13"/>
    <mergeCell ref="A15:C15"/>
    <mergeCell ref="A16:C16"/>
    <mergeCell ref="B22:D22"/>
    <mergeCell ref="A24:C24"/>
    <mergeCell ref="B33:D33"/>
    <mergeCell ref="A35:C35"/>
    <mergeCell ref="B49:D49"/>
    <mergeCell ref="A51:C51"/>
  </mergeCells>
  <pageMargins left="0.70866141732283472" right="0.70866141732283472" top="0.74803149606299213" bottom="0.74803149606299213" header="0.31496062992125984" footer="0.31496062992125984"/>
  <pageSetup paperSize="9" scale="51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65"/>
  <sheetViews>
    <sheetView topLeftCell="A13" workbookViewId="0">
      <selection activeCell="B16" sqref="B16"/>
    </sheetView>
  </sheetViews>
  <sheetFormatPr defaultColWidth="11.42578125" defaultRowHeight="12.75" x14ac:dyDescent="0.2"/>
  <cols>
    <col min="2" max="3" width="33.7109375" customWidth="1"/>
    <col min="4" max="4" width="23.85546875" customWidth="1"/>
    <col min="5" max="5" width="15.42578125" customWidth="1"/>
    <col min="9" max="9" width="13.85546875" bestFit="1" customWidth="1"/>
  </cols>
  <sheetData>
    <row r="2" spans="1:5" x14ac:dyDescent="0.2">
      <c r="E2" s="483" t="s">
        <v>1483</v>
      </c>
    </row>
    <row r="4" spans="1:5" ht="28.5" customHeight="1" x14ac:dyDescent="0.2">
      <c r="B4" s="1869" t="s">
        <v>1426</v>
      </c>
      <c r="C4" s="1869"/>
      <c r="D4" s="1869"/>
      <c r="E4" s="1869"/>
    </row>
    <row r="5" spans="1:5" ht="28.5" customHeight="1" x14ac:dyDescent="0.2">
      <c r="B5" s="1698"/>
      <c r="C5" s="1698"/>
      <c r="D5" s="1698"/>
      <c r="E5" s="1698"/>
    </row>
    <row r="6" spans="1:5" ht="28.5" customHeight="1" x14ac:dyDescent="0.2">
      <c r="B6" s="1699" t="s">
        <v>1484</v>
      </c>
      <c r="C6" s="1699"/>
      <c r="D6" s="1698"/>
      <c r="E6" s="1698"/>
    </row>
    <row r="7" spans="1:5" ht="28.5" customHeight="1" x14ac:dyDescent="0.2">
      <c r="B7" s="259" t="s">
        <v>1421</v>
      </c>
      <c r="C7" s="1681" t="s">
        <v>1431</v>
      </c>
      <c r="D7" s="259" t="s">
        <v>1366</v>
      </c>
      <c r="E7" s="1680" t="s">
        <v>1420</v>
      </c>
    </row>
    <row r="8" spans="1:5" ht="28.5" customHeight="1" x14ac:dyDescent="0.2">
      <c r="B8" s="1203" t="s">
        <v>1433</v>
      </c>
      <c r="C8" s="1203" t="s">
        <v>1485</v>
      </c>
      <c r="D8" s="1690">
        <v>42613</v>
      </c>
      <c r="E8" s="1682">
        <v>24442</v>
      </c>
    </row>
    <row r="9" spans="1:5" ht="28.5" customHeight="1" x14ac:dyDescent="0.2">
      <c r="B9" s="1697" t="s">
        <v>896</v>
      </c>
      <c r="C9" s="1691" t="s">
        <v>341</v>
      </c>
      <c r="D9" s="1692">
        <v>42611</v>
      </c>
      <c r="E9" s="1684">
        <v>29000</v>
      </c>
    </row>
    <row r="10" spans="1:5" ht="28.5" customHeight="1" thickBot="1" x14ac:dyDescent="0.25">
      <c r="B10" s="1848" t="s">
        <v>1434</v>
      </c>
      <c r="C10" s="1848"/>
      <c r="D10" s="1848"/>
      <c r="E10" s="1684">
        <v>592197</v>
      </c>
    </row>
    <row r="11" spans="1:5" ht="28.5" customHeight="1" thickBot="1" x14ac:dyDescent="0.25">
      <c r="B11" s="1866" t="s">
        <v>1447</v>
      </c>
      <c r="C11" s="1867"/>
      <c r="D11" s="1868"/>
      <c r="E11" s="1685">
        <f>SUM(E8:E10)</f>
        <v>645639</v>
      </c>
    </row>
    <row r="12" spans="1:5" ht="28.5" customHeight="1" x14ac:dyDescent="0.2">
      <c r="B12" s="1698"/>
      <c r="C12" s="1698"/>
      <c r="D12" s="1698"/>
      <c r="E12" s="1698"/>
    </row>
    <row r="13" spans="1:5" ht="28.5" customHeight="1" x14ac:dyDescent="0.2">
      <c r="A13" s="1872" t="s">
        <v>1486</v>
      </c>
      <c r="B13" s="1872"/>
      <c r="C13" s="1872"/>
      <c r="D13" s="1698"/>
      <c r="E13" s="1698"/>
    </row>
    <row r="14" spans="1:5" ht="28.5" customHeight="1" x14ac:dyDescent="0.2">
      <c r="A14" s="1872"/>
      <c r="B14" s="1872"/>
      <c r="C14" s="1872"/>
      <c r="D14" s="1703"/>
      <c r="E14" s="1698"/>
    </row>
    <row r="15" spans="1:5" ht="28.5" customHeight="1" x14ac:dyDescent="0.2">
      <c r="A15" s="1703"/>
      <c r="B15" s="1703"/>
      <c r="C15" s="1703"/>
      <c r="D15" s="1698"/>
      <c r="E15" s="1698"/>
    </row>
    <row r="16" spans="1:5" ht="28.5" customHeight="1" x14ac:dyDescent="0.2">
      <c r="B16" s="1699" t="s">
        <v>1487</v>
      </c>
    </row>
    <row r="17" spans="1:6" ht="28.5" customHeight="1" x14ac:dyDescent="0.2">
      <c r="B17" s="259" t="s">
        <v>1421</v>
      </c>
      <c r="C17" s="1681" t="s">
        <v>1431</v>
      </c>
      <c r="D17" s="1681" t="s">
        <v>1366</v>
      </c>
      <c r="E17" s="1680" t="s">
        <v>1420</v>
      </c>
    </row>
    <row r="18" spans="1:6" ht="28.5" customHeight="1" x14ac:dyDescent="0.2">
      <c r="B18" s="1203" t="s">
        <v>1154</v>
      </c>
      <c r="C18" s="1688" t="s">
        <v>1417</v>
      </c>
      <c r="D18" s="1689">
        <v>42610</v>
      </c>
      <c r="E18" s="1682">
        <v>110000</v>
      </c>
    </row>
    <row r="19" spans="1:6" ht="28.5" customHeight="1" thickBot="1" x14ac:dyDescent="0.25">
      <c r="B19" s="1203" t="s">
        <v>921</v>
      </c>
      <c r="C19" s="1688" t="s">
        <v>921</v>
      </c>
      <c r="D19" s="1689">
        <v>42610</v>
      </c>
      <c r="E19" s="1682">
        <v>30000</v>
      </c>
    </row>
    <row r="20" spans="1:6" ht="28.5" customHeight="1" thickBot="1" x14ac:dyDescent="0.25">
      <c r="B20" s="1866" t="s">
        <v>1462</v>
      </c>
      <c r="C20" s="1867"/>
      <c r="D20" s="1868"/>
      <c r="E20" s="1685">
        <f>+E18+E19</f>
        <v>140000</v>
      </c>
    </row>
    <row r="21" spans="1:6" ht="28.5" customHeight="1" x14ac:dyDescent="0.2"/>
    <row r="22" spans="1:6" ht="28.5" customHeight="1" x14ac:dyDescent="0.2">
      <c r="A22" s="1872" t="s">
        <v>1463</v>
      </c>
      <c r="B22" s="1872"/>
      <c r="C22" s="1872"/>
    </row>
    <row r="24" spans="1:6" x14ac:dyDescent="0.2">
      <c r="B24" s="934"/>
      <c r="C24" s="934"/>
      <c r="D24" s="934"/>
    </row>
    <row r="25" spans="1:6" ht="20.25" x14ac:dyDescent="0.2">
      <c r="B25" s="1699" t="s">
        <v>1450</v>
      </c>
    </row>
    <row r="26" spans="1:6" ht="35.1" customHeight="1" x14ac:dyDescent="0.2">
      <c r="B26" s="259" t="s">
        <v>1421</v>
      </c>
      <c r="C26" s="1681" t="s">
        <v>1431</v>
      </c>
      <c r="D26" s="1681" t="s">
        <v>1366</v>
      </c>
      <c r="E26" s="1680" t="s">
        <v>1420</v>
      </c>
    </row>
    <row r="27" spans="1:6" ht="24.95" customHeight="1" x14ac:dyDescent="0.2">
      <c r="B27" s="1203" t="s">
        <v>896</v>
      </c>
      <c r="C27" s="1688" t="s">
        <v>212</v>
      </c>
      <c r="D27" s="1689">
        <v>42601</v>
      </c>
      <c r="E27" s="1682">
        <v>16000</v>
      </c>
    </row>
    <row r="28" spans="1:6" ht="24.95" customHeight="1" x14ac:dyDescent="0.2">
      <c r="B28" s="1203" t="s">
        <v>896</v>
      </c>
      <c r="C28" s="1688" t="s">
        <v>946</v>
      </c>
      <c r="D28" s="1689">
        <v>42604</v>
      </c>
      <c r="E28" s="1682">
        <v>26000</v>
      </c>
    </row>
    <row r="29" spans="1:6" ht="24.95" customHeight="1" x14ac:dyDescent="0.2">
      <c r="B29" s="1203" t="s">
        <v>896</v>
      </c>
      <c r="C29" s="1688" t="s">
        <v>809</v>
      </c>
      <c r="D29" s="1689">
        <v>42605</v>
      </c>
      <c r="E29" s="1682">
        <v>6000</v>
      </c>
      <c r="F29" t="s">
        <v>1451</v>
      </c>
    </row>
    <row r="30" spans="1:6" ht="24.95" customHeight="1" thickBot="1" x14ac:dyDescent="0.25">
      <c r="B30" s="1697" t="s">
        <v>1425</v>
      </c>
      <c r="C30" s="1691" t="s">
        <v>1187</v>
      </c>
      <c r="D30" s="1692">
        <v>42611</v>
      </c>
      <c r="E30" s="1684">
        <v>10000</v>
      </c>
    </row>
    <row r="31" spans="1:6" ht="31.5" customHeight="1" thickBot="1" x14ac:dyDescent="0.25">
      <c r="B31" s="1866" t="s">
        <v>1452</v>
      </c>
      <c r="C31" s="1867"/>
      <c r="D31" s="1868"/>
      <c r="E31" s="1685">
        <f>+E27+E28+E29+E30</f>
        <v>58000</v>
      </c>
    </row>
    <row r="33" spans="1:5" ht="20.25" x14ac:dyDescent="0.2">
      <c r="A33" s="1872" t="s">
        <v>1454</v>
      </c>
      <c r="B33" s="1872"/>
      <c r="C33" s="1872"/>
    </row>
    <row r="41" spans="1:5" ht="20.25" x14ac:dyDescent="0.2">
      <c r="B41" s="1699" t="s">
        <v>1455</v>
      </c>
    </row>
    <row r="42" spans="1:5" ht="35.1" customHeight="1" x14ac:dyDescent="0.2">
      <c r="B42" s="259" t="s">
        <v>1421</v>
      </c>
      <c r="C42" s="1681" t="s">
        <v>1431</v>
      </c>
      <c r="D42" s="1681" t="s">
        <v>1366</v>
      </c>
      <c r="E42" s="1680" t="s">
        <v>1420</v>
      </c>
    </row>
    <row r="43" spans="1:5" ht="24.95" customHeight="1" x14ac:dyDescent="0.2">
      <c r="B43" s="1203" t="s">
        <v>1422</v>
      </c>
      <c r="C43" s="1688" t="s">
        <v>846</v>
      </c>
      <c r="D43" s="1689" t="s">
        <v>837</v>
      </c>
      <c r="E43" s="1682">
        <v>23000</v>
      </c>
    </row>
    <row r="44" spans="1:5" ht="24.95" customHeight="1" x14ac:dyDescent="0.2">
      <c r="B44" s="1203" t="s">
        <v>1217</v>
      </c>
      <c r="C44" s="1688" t="s">
        <v>1428</v>
      </c>
      <c r="D44" s="1689">
        <v>42602</v>
      </c>
      <c r="E44" s="1682">
        <v>3425</v>
      </c>
    </row>
    <row r="45" spans="1:5" ht="24.95" customHeight="1" x14ac:dyDescent="0.2">
      <c r="B45" s="1203" t="s">
        <v>1044</v>
      </c>
      <c r="C45" s="1203" t="s">
        <v>1423</v>
      </c>
      <c r="D45" s="1690">
        <v>42613</v>
      </c>
      <c r="E45" s="1682">
        <v>6217</v>
      </c>
    </row>
    <row r="46" spans="1:5" ht="24.95" customHeight="1" thickBot="1" x14ac:dyDescent="0.25">
      <c r="B46" s="1203" t="s">
        <v>1456</v>
      </c>
      <c r="C46" s="1203" t="s">
        <v>1457</v>
      </c>
      <c r="D46" s="1690" t="s">
        <v>837</v>
      </c>
      <c r="E46" s="1682">
        <v>17262</v>
      </c>
    </row>
    <row r="47" spans="1:5" ht="31.5" customHeight="1" thickBot="1" x14ac:dyDescent="0.25">
      <c r="B47" s="1866" t="s">
        <v>1458</v>
      </c>
      <c r="C47" s="1867"/>
      <c r="D47" s="1868"/>
      <c r="E47" s="1700">
        <f>SUM(E43:E46)</f>
        <v>49904</v>
      </c>
    </row>
    <row r="48" spans="1:5" ht="31.5" customHeight="1" x14ac:dyDescent="0.2">
      <c r="B48" s="1701"/>
      <c r="C48" s="1701"/>
      <c r="D48" s="1701"/>
      <c r="E48" s="1702"/>
    </row>
    <row r="49" spans="1:9" ht="31.5" customHeight="1" x14ac:dyDescent="0.2">
      <c r="A49" s="1872" t="s">
        <v>1459</v>
      </c>
      <c r="B49" s="1872"/>
      <c r="C49" s="1872"/>
      <c r="D49" s="1701"/>
      <c r="E49" s="1702"/>
    </row>
    <row r="52" spans="1:9" ht="13.5" thickBot="1" x14ac:dyDescent="0.25">
      <c r="I52" s="194"/>
    </row>
    <row r="53" spans="1:9" ht="33" customHeight="1" thickBot="1" x14ac:dyDescent="0.25">
      <c r="B53" s="1864" t="s">
        <v>1419</v>
      </c>
      <c r="C53" s="1865"/>
      <c r="D53" s="1683">
        <f>1100000+90000+20000+50000</f>
        <v>1260000</v>
      </c>
    </row>
    <row r="55" spans="1:9" x14ac:dyDescent="0.2">
      <c r="B55" s="62" t="s">
        <v>1466</v>
      </c>
    </row>
    <row r="57" spans="1:9" x14ac:dyDescent="0.2">
      <c r="B57" s="483" t="s">
        <v>1467</v>
      </c>
    </row>
    <row r="58" spans="1:9" x14ac:dyDescent="0.2">
      <c r="B58" s="483" t="s">
        <v>1468</v>
      </c>
    </row>
    <row r="59" spans="1:9" x14ac:dyDescent="0.2">
      <c r="B59" s="483" t="s">
        <v>1469</v>
      </c>
    </row>
    <row r="60" spans="1:9" x14ac:dyDescent="0.2">
      <c r="B60" s="1705" t="s">
        <v>1470</v>
      </c>
    </row>
    <row r="61" spans="1:9" x14ac:dyDescent="0.2">
      <c r="B61" s="1704" t="s">
        <v>1471</v>
      </c>
    </row>
    <row r="62" spans="1:9" x14ac:dyDescent="0.2">
      <c r="B62" s="1704"/>
    </row>
    <row r="63" spans="1:9" x14ac:dyDescent="0.2">
      <c r="B63" s="483"/>
    </row>
    <row r="64" spans="1:9" x14ac:dyDescent="0.2">
      <c r="A64" s="1" t="s">
        <v>1424</v>
      </c>
      <c r="B64" s="483" t="s">
        <v>1430</v>
      </c>
    </row>
    <row r="65" spans="2:2" x14ac:dyDescent="0.2">
      <c r="B65" s="483" t="s">
        <v>1429</v>
      </c>
    </row>
  </sheetData>
  <mergeCells count="12">
    <mergeCell ref="B53:C53"/>
    <mergeCell ref="A13:C13"/>
    <mergeCell ref="A33:C33"/>
    <mergeCell ref="A49:C49"/>
    <mergeCell ref="B20:D20"/>
    <mergeCell ref="A22:C22"/>
    <mergeCell ref="B4:E4"/>
    <mergeCell ref="B10:D10"/>
    <mergeCell ref="B11:D11"/>
    <mergeCell ref="B31:D31"/>
    <mergeCell ref="B47:D47"/>
    <mergeCell ref="A14:C14"/>
  </mergeCells>
  <pageMargins left="0.70866141732283472" right="0.70866141732283472" top="0.74803149606299213" bottom="0.74803149606299213" header="0.31496062992125984" footer="0.31496062992125984"/>
  <pageSetup paperSize="9" scale="53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pageSetUpPr fitToPage="1"/>
  </sheetPr>
  <dimension ref="A3:O207"/>
  <sheetViews>
    <sheetView workbookViewId="0">
      <selection activeCell="F8" sqref="F8"/>
    </sheetView>
  </sheetViews>
  <sheetFormatPr defaultColWidth="11.42578125" defaultRowHeight="12.75" x14ac:dyDescent="0.2"/>
  <cols>
    <col min="1" max="1" width="40.5703125" customWidth="1"/>
    <col min="2" max="2" width="19.42578125" customWidth="1"/>
    <col min="3" max="7" width="16.140625" customWidth="1"/>
    <col min="8" max="9" width="15.7109375" customWidth="1"/>
    <col min="10" max="10" width="12.85546875" bestFit="1" customWidth="1"/>
    <col min="11" max="11" width="14.7109375" bestFit="1" customWidth="1"/>
    <col min="12" max="15" width="11.85546875" bestFit="1" customWidth="1"/>
  </cols>
  <sheetData>
    <row r="3" spans="1:11" ht="13.5" thickBot="1" x14ac:dyDescent="0.25"/>
    <row r="4" spans="1:11" x14ac:dyDescent="0.2">
      <c r="A4" s="2"/>
      <c r="B4" s="3"/>
      <c r="C4" s="3"/>
      <c r="D4" s="3"/>
      <c r="E4" s="3"/>
      <c r="F4" s="3"/>
      <c r="G4" s="3"/>
      <c r="H4" s="119">
        <v>42269</v>
      </c>
      <c r="I4" s="60"/>
    </row>
    <row r="5" spans="1:11" x14ac:dyDescent="0.2">
      <c r="A5" s="5"/>
      <c r="B5" s="6"/>
      <c r="C5" s="6"/>
      <c r="D5" s="6"/>
      <c r="E5" s="6"/>
      <c r="F5" s="6"/>
      <c r="G5" s="6"/>
      <c r="H5" s="7"/>
      <c r="I5" s="6"/>
      <c r="J5">
        <v>100</v>
      </c>
      <c r="K5">
        <v>121</v>
      </c>
    </row>
    <row r="6" spans="1:11" ht="18" x14ac:dyDescent="0.25">
      <c r="A6" s="5"/>
      <c r="B6" s="505" t="s">
        <v>1099</v>
      </c>
      <c r="C6" s="6"/>
      <c r="D6" s="6"/>
      <c r="E6" s="6"/>
      <c r="F6" s="6"/>
      <c r="G6" s="6"/>
      <c r="H6" s="7"/>
      <c r="I6" s="6"/>
      <c r="K6">
        <f>+J5/K5</f>
        <v>0.82644628099173556</v>
      </c>
    </row>
    <row r="7" spans="1:11" x14ac:dyDescent="0.2">
      <c r="A7" s="5"/>
      <c r="B7" s="6"/>
      <c r="C7" s="6"/>
      <c r="D7" s="6"/>
      <c r="E7" s="6"/>
      <c r="F7" s="6"/>
      <c r="G7" s="6"/>
      <c r="H7" s="7"/>
      <c r="I7" s="6"/>
      <c r="J7">
        <v>14614496</v>
      </c>
      <c r="K7" s="1084">
        <v>17739897</v>
      </c>
    </row>
    <row r="8" spans="1:11" x14ac:dyDescent="0.2">
      <c r="A8" s="5"/>
      <c r="B8" s="6"/>
      <c r="C8" s="6"/>
      <c r="D8" s="6"/>
      <c r="E8" s="6"/>
      <c r="F8" s="6"/>
      <c r="G8" s="6"/>
      <c r="H8" s="7"/>
      <c r="I8" s="6"/>
      <c r="K8">
        <f>+J7/K7</f>
        <v>0.82382079219512938</v>
      </c>
    </row>
    <row r="9" spans="1:11" x14ac:dyDescent="0.2">
      <c r="A9" s="5"/>
      <c r="B9" s="6"/>
      <c r="C9" s="482"/>
      <c r="D9" s="482"/>
      <c r="E9" s="6"/>
      <c r="F9" s="6"/>
      <c r="G9" s="6"/>
      <c r="H9" s="7"/>
      <c r="I9" s="6"/>
    </row>
    <row r="10" spans="1:11" x14ac:dyDescent="0.2">
      <c r="A10" s="5"/>
      <c r="B10" s="6"/>
      <c r="C10" s="6"/>
      <c r="D10" s="6"/>
      <c r="E10" s="6"/>
      <c r="F10" s="6"/>
      <c r="G10" s="6"/>
      <c r="H10" s="7"/>
      <c r="I10" s="6"/>
    </row>
    <row r="11" spans="1:11" ht="13.5" thickBot="1" x14ac:dyDescent="0.25">
      <c r="A11" s="11"/>
      <c r="B11" s="12"/>
      <c r="C11" s="12"/>
      <c r="D11" s="12"/>
      <c r="E11" s="12"/>
      <c r="F11" s="12"/>
      <c r="G11" s="12"/>
      <c r="H11" s="130"/>
      <c r="I11" s="6"/>
    </row>
    <row r="12" spans="1:11" x14ac:dyDescent="0.2">
      <c r="A12" s="5"/>
      <c r="B12" s="205" t="s">
        <v>44</v>
      </c>
      <c r="C12" s="205" t="s">
        <v>21</v>
      </c>
      <c r="D12" s="205" t="s">
        <v>22</v>
      </c>
      <c r="E12" s="205" t="s">
        <v>23</v>
      </c>
      <c r="F12" s="205" t="s">
        <v>24</v>
      </c>
      <c r="G12" s="205" t="s">
        <v>35</v>
      </c>
      <c r="H12" s="561" t="s">
        <v>36</v>
      </c>
      <c r="I12" s="96"/>
    </row>
    <row r="13" spans="1:11" ht="13.5" thickBot="1" x14ac:dyDescent="0.25">
      <c r="A13" s="5"/>
      <c r="B13" s="27"/>
      <c r="C13" s="27"/>
      <c r="D13" s="27"/>
      <c r="E13" s="27"/>
      <c r="F13" s="27"/>
      <c r="G13" s="27"/>
      <c r="H13" s="27"/>
      <c r="I13" s="93"/>
    </row>
    <row r="14" spans="1:11" x14ac:dyDescent="0.2">
      <c r="A14" s="2"/>
      <c r="B14" s="33"/>
      <c r="C14" s="31"/>
      <c r="D14" s="31"/>
      <c r="E14" s="31"/>
      <c r="F14" s="31"/>
      <c r="G14" s="31"/>
      <c r="H14" s="31"/>
      <c r="I14" s="29"/>
      <c r="J14">
        <v>100</v>
      </c>
      <c r="K14">
        <v>121</v>
      </c>
    </row>
    <row r="15" spans="1:11" ht="15.75" x14ac:dyDescent="0.25">
      <c r="A15" s="43" t="s">
        <v>18</v>
      </c>
      <c r="B15" s="45">
        <f t="shared" ref="B15:H15" si="0">B17+B18</f>
        <v>-457173</v>
      </c>
      <c r="C15" s="44">
        <f t="shared" si="0"/>
        <v>-694170</v>
      </c>
      <c r="D15" s="44">
        <f t="shared" si="0"/>
        <v>-604670.5</v>
      </c>
      <c r="E15" s="44">
        <f t="shared" si="0"/>
        <v>-370353.99</v>
      </c>
      <c r="F15" s="44">
        <f t="shared" si="0"/>
        <v>-416629.49</v>
      </c>
      <c r="G15" s="44">
        <f t="shared" si="0"/>
        <v>-548642.99</v>
      </c>
      <c r="H15" s="44">
        <f t="shared" si="0"/>
        <v>-571688.49</v>
      </c>
      <c r="I15" s="122"/>
      <c r="K15">
        <v>777721</v>
      </c>
    </row>
    <row r="16" spans="1:11" ht="15.75" x14ac:dyDescent="0.25">
      <c r="A16" s="43"/>
      <c r="B16" s="45"/>
      <c r="C16" s="46"/>
      <c r="D16" s="46"/>
      <c r="E16" s="46"/>
      <c r="F16" s="46"/>
      <c r="G16" s="46"/>
      <c r="H16" s="46"/>
      <c r="I16" s="122"/>
    </row>
    <row r="17" spans="1:15" x14ac:dyDescent="0.2">
      <c r="A17" s="9" t="s">
        <v>19</v>
      </c>
      <c r="B17" s="34">
        <f>-302274-17970-20469-118460</f>
        <v>-459173</v>
      </c>
      <c r="C17" s="34">
        <f t="shared" ref="C17:H17" si="1">B56</f>
        <v>-696170</v>
      </c>
      <c r="D17" s="34">
        <f t="shared" si="1"/>
        <v>-606670.5</v>
      </c>
      <c r="E17" s="34">
        <f t="shared" si="1"/>
        <v>-372353.99</v>
      </c>
      <c r="F17" s="34">
        <f t="shared" si="1"/>
        <v>-418629.49</v>
      </c>
      <c r="G17" s="34">
        <f t="shared" si="1"/>
        <v>-550642.99</v>
      </c>
      <c r="H17" s="34">
        <f t="shared" si="1"/>
        <v>-573688.49</v>
      </c>
      <c r="I17" s="29"/>
      <c r="K17">
        <f>J14/K14</f>
        <v>0.82644628099173556</v>
      </c>
    </row>
    <row r="18" spans="1:15" x14ac:dyDescent="0.2">
      <c r="A18" s="9" t="s">
        <v>20</v>
      </c>
      <c r="B18" s="34">
        <v>2000</v>
      </c>
      <c r="C18" s="34">
        <f>B57</f>
        <v>2000</v>
      </c>
      <c r="D18" s="34">
        <f>B57</f>
        <v>2000</v>
      </c>
      <c r="E18" s="34">
        <v>2000</v>
      </c>
      <c r="F18" s="34">
        <f>B57</f>
        <v>2000</v>
      </c>
      <c r="G18" s="34">
        <f>B57</f>
        <v>2000</v>
      </c>
      <c r="H18" s="34">
        <f>C57</f>
        <v>2000</v>
      </c>
      <c r="I18" s="29"/>
    </row>
    <row r="19" spans="1:15" x14ac:dyDescent="0.2">
      <c r="A19" s="9"/>
      <c r="B19" s="34"/>
      <c r="C19" s="31"/>
      <c r="D19" s="31"/>
      <c r="E19" s="31"/>
      <c r="F19" s="31"/>
      <c r="G19" s="31"/>
      <c r="H19" s="31"/>
      <c r="I19" s="29"/>
    </row>
    <row r="20" spans="1:15" ht="13.5" thickBot="1" x14ac:dyDescent="0.25">
      <c r="A20" s="11"/>
      <c r="B20" s="35"/>
      <c r="C20" s="31"/>
      <c r="D20" s="31"/>
      <c r="E20" s="31"/>
      <c r="F20" s="31"/>
      <c r="G20" s="31"/>
      <c r="H20" s="31"/>
      <c r="I20" s="29"/>
    </row>
    <row r="21" spans="1:15" x14ac:dyDescent="0.2">
      <c r="A21" s="5"/>
      <c r="B21" s="33"/>
      <c r="C21" s="33"/>
      <c r="D21" s="33"/>
      <c r="E21" s="33"/>
      <c r="F21" s="33"/>
      <c r="G21" s="33"/>
      <c r="H21" s="33"/>
      <c r="I21" s="29"/>
    </row>
    <row r="22" spans="1:15" ht="15.75" x14ac:dyDescent="0.25">
      <c r="A22" s="43" t="s">
        <v>25</v>
      </c>
      <c r="B22" s="45">
        <f>B24+B27+B33+B29+B28+B30+B34+B25+B26+B31+B32</f>
        <v>929226</v>
      </c>
      <c r="C22" s="45">
        <f t="shared" ref="C22:H22" si="2">C24+C27+C33+C29+C28+C30+C34+C25+C26+C31+C32</f>
        <v>1965500.5</v>
      </c>
      <c r="D22" s="45">
        <f t="shared" si="2"/>
        <v>1670683.49</v>
      </c>
      <c r="E22" s="45">
        <f t="shared" si="2"/>
        <v>1751275.5</v>
      </c>
      <c r="F22" s="45">
        <f t="shared" si="2"/>
        <v>1787013.5</v>
      </c>
      <c r="G22" s="45">
        <f t="shared" si="2"/>
        <v>1728045.5</v>
      </c>
      <c r="H22" s="45">
        <f t="shared" si="2"/>
        <v>1819013.5</v>
      </c>
      <c r="I22" s="42">
        <f t="shared" ref="I22:N22" si="3">(C24+C27+C28+C29+C30)</f>
        <v>1643487</v>
      </c>
      <c r="J22" s="42">
        <f t="shared" si="3"/>
        <v>1397637.99</v>
      </c>
      <c r="K22" s="42">
        <f t="shared" si="3"/>
        <v>1487262</v>
      </c>
      <c r="L22" s="42">
        <f t="shared" si="3"/>
        <v>1465000</v>
      </c>
      <c r="M22" s="42">
        <f t="shared" si="3"/>
        <v>1455000</v>
      </c>
      <c r="N22" s="42">
        <f t="shared" si="3"/>
        <v>1555000</v>
      </c>
      <c r="O22" s="42">
        <f>SUM(I22:N22)</f>
        <v>9003386.9900000002</v>
      </c>
    </row>
    <row r="23" spans="1:15" ht="15.75" x14ac:dyDescent="0.25">
      <c r="A23" s="43"/>
      <c r="B23" s="45"/>
      <c r="C23" s="45"/>
      <c r="D23" s="45"/>
      <c r="E23" s="45"/>
      <c r="F23" s="45"/>
      <c r="G23" s="45"/>
      <c r="H23" s="45"/>
      <c r="I23" s="1082">
        <f t="shared" ref="I23:N23" si="4">I22/(C37)</f>
        <v>0.7997503649635036</v>
      </c>
      <c r="J23" s="1082">
        <f t="shared" si="4"/>
        <v>0.73366823622047239</v>
      </c>
      <c r="K23" s="1082">
        <f t="shared" si="4"/>
        <v>0.8722944281524927</v>
      </c>
      <c r="L23" s="1082">
        <f t="shared" si="4"/>
        <v>0.88519637462235645</v>
      </c>
      <c r="M23" s="1082">
        <f t="shared" si="4"/>
        <v>0.85337243401759533</v>
      </c>
      <c r="N23" s="1082">
        <f t="shared" si="4"/>
        <v>0.86149584487534625</v>
      </c>
    </row>
    <row r="24" spans="1:15" x14ac:dyDescent="0.2">
      <c r="A24" s="10" t="s">
        <v>133</v>
      </c>
      <c r="B24" s="120">
        <f>605598-20000-26800</f>
        <v>558798</v>
      </c>
      <c r="C24" s="120">
        <f>1319164+17890+17700-20000-4670</f>
        <v>1330084</v>
      </c>
      <c r="D24" s="120">
        <f>1123496+17800-20000-4670.01</f>
        <v>1116625.99</v>
      </c>
      <c r="E24" s="120">
        <v>1200000</v>
      </c>
      <c r="F24" s="120">
        <v>1000000</v>
      </c>
      <c r="G24" s="120">
        <v>1000000</v>
      </c>
      <c r="H24" s="120">
        <v>1100000</v>
      </c>
      <c r="I24" s="1085"/>
    </row>
    <row r="25" spans="1:15" x14ac:dyDescent="0.2">
      <c r="A25" s="491" t="s">
        <v>804</v>
      </c>
      <c r="B25" s="120">
        <v>0</v>
      </c>
      <c r="C25" s="120">
        <f>6088+1349+1398</f>
        <v>8835</v>
      </c>
      <c r="D25" s="120">
        <v>8835</v>
      </c>
      <c r="E25" s="120">
        <v>8835</v>
      </c>
      <c r="F25" s="120">
        <v>8835</v>
      </c>
      <c r="G25" s="120">
        <v>8835</v>
      </c>
      <c r="H25" s="120">
        <v>8835</v>
      </c>
      <c r="I25" s="42">
        <f t="shared" ref="I25:N25" si="5">I22/1.18</f>
        <v>1392785.5932203392</v>
      </c>
      <c r="J25" s="42">
        <f t="shared" si="5"/>
        <v>1184438.9745762711</v>
      </c>
      <c r="K25" s="42">
        <f t="shared" si="5"/>
        <v>1260391.5254237289</v>
      </c>
      <c r="L25" s="42">
        <f t="shared" si="5"/>
        <v>1241525.4237288137</v>
      </c>
      <c r="M25" s="42">
        <f t="shared" si="5"/>
        <v>1233050.8474576271</v>
      </c>
      <c r="N25" s="42">
        <f t="shared" si="5"/>
        <v>1317796.6101694915</v>
      </c>
      <c r="O25" s="42">
        <f>SUM(I25:N25)</f>
        <v>7629988.9745762711</v>
      </c>
    </row>
    <row r="26" spans="1:15" x14ac:dyDescent="0.2">
      <c r="A26" s="491" t="s">
        <v>805</v>
      </c>
      <c r="B26" s="120">
        <v>0</v>
      </c>
      <c r="C26" s="120">
        <v>24442</v>
      </c>
      <c r="D26" s="120">
        <v>24442</v>
      </c>
      <c r="E26" s="120">
        <v>24442</v>
      </c>
      <c r="F26" s="120">
        <v>24442</v>
      </c>
      <c r="G26" s="120">
        <v>24442</v>
      </c>
      <c r="H26" s="120">
        <v>24442</v>
      </c>
      <c r="I26" s="1082">
        <f t="shared" ref="I26:N26" si="6">+I25/(C37/1.18)</f>
        <v>0.79975036496350371</v>
      </c>
      <c r="J26" s="1082">
        <f t="shared" si="6"/>
        <v>0.73366823622047239</v>
      </c>
      <c r="K26" s="1082">
        <f t="shared" si="6"/>
        <v>0.8722944281524927</v>
      </c>
      <c r="L26" s="1082">
        <f t="shared" si="6"/>
        <v>0.88519637462235656</v>
      </c>
      <c r="M26" s="1082">
        <f t="shared" si="6"/>
        <v>0.85337243401759522</v>
      </c>
      <c r="N26" s="1082">
        <f t="shared" si="6"/>
        <v>0.86149584487534625</v>
      </c>
    </row>
    <row r="27" spans="1:15" x14ac:dyDescent="0.2">
      <c r="A27" s="10" t="s">
        <v>134</v>
      </c>
      <c r="B27" s="120">
        <f>0+29239+11286</f>
        <v>40525</v>
      </c>
      <c r="C27" s="120">
        <f>298063-68486-123000</f>
        <v>106577</v>
      </c>
      <c r="D27" s="729">
        <f>22432+27714</f>
        <v>50146</v>
      </c>
      <c r="E27" s="120">
        <v>100000</v>
      </c>
      <c r="F27" s="120">
        <v>200000</v>
      </c>
      <c r="G27" s="120">
        <v>200000</v>
      </c>
      <c r="H27" s="120">
        <v>200000</v>
      </c>
      <c r="I27" s="1085"/>
      <c r="N27" s="42">
        <f>SUM(I25:N25)</f>
        <v>7629988.9745762711</v>
      </c>
    </row>
    <row r="28" spans="1:15" s="58" customFormat="1" x14ac:dyDescent="0.2">
      <c r="A28" s="727" t="s">
        <v>359</v>
      </c>
      <c r="B28" s="728">
        <f>164119</f>
        <v>164119</v>
      </c>
      <c r="C28" s="728">
        <f>216985-46266-37450</f>
        <v>133269</v>
      </c>
      <c r="D28" s="728">
        <f>299616-170000</f>
        <v>129616</v>
      </c>
      <c r="E28" s="728">
        <f>51262+51000</f>
        <v>102262</v>
      </c>
      <c r="F28" s="728">
        <v>180000</v>
      </c>
      <c r="G28" s="728">
        <v>170000</v>
      </c>
      <c r="H28" s="728">
        <v>170000</v>
      </c>
      <c r="I28" s="1086"/>
    </row>
    <row r="29" spans="1:15" x14ac:dyDescent="0.2">
      <c r="A29" s="10" t="s">
        <v>292</v>
      </c>
      <c r="B29" s="120">
        <v>35000</v>
      </c>
      <c r="C29" s="120">
        <v>35000</v>
      </c>
      <c r="D29" s="120">
        <v>50000</v>
      </c>
      <c r="E29" s="120">
        <v>50000</v>
      </c>
      <c r="F29" s="120">
        <v>50000</v>
      </c>
      <c r="G29" s="120">
        <v>50000</v>
      </c>
      <c r="H29" s="120">
        <v>50000</v>
      </c>
      <c r="I29" s="1085"/>
      <c r="K29">
        <v>194399.91666666666</v>
      </c>
    </row>
    <row r="30" spans="1:15" x14ac:dyDescent="0.2">
      <c r="A30" s="10" t="s">
        <v>358</v>
      </c>
      <c r="B30" s="120">
        <v>0</v>
      </c>
      <c r="C30" s="120">
        <v>38557</v>
      </c>
      <c r="D30" s="120">
        <v>51250</v>
      </c>
      <c r="E30" s="120">
        <v>35000</v>
      </c>
      <c r="F30" s="120">
        <v>35000</v>
      </c>
      <c r="G30" s="120">
        <v>35000</v>
      </c>
      <c r="H30" s="120">
        <v>35000</v>
      </c>
      <c r="I30" s="1085"/>
      <c r="K30">
        <v>234844.66666666666</v>
      </c>
    </row>
    <row r="31" spans="1:15" x14ac:dyDescent="0.2">
      <c r="A31" s="491" t="s">
        <v>806</v>
      </c>
      <c r="B31" s="120">
        <f>4770+6014</f>
        <v>10784</v>
      </c>
      <c r="C31" s="120">
        <f>4770+6216</f>
        <v>10986</v>
      </c>
      <c r="D31" s="120">
        <v>20018</v>
      </c>
      <c r="E31" s="120">
        <v>10986</v>
      </c>
      <c r="F31" s="120">
        <v>10986</v>
      </c>
      <c r="G31" s="120">
        <v>20018</v>
      </c>
      <c r="H31" s="120">
        <v>10986</v>
      </c>
      <c r="I31" s="1085"/>
    </row>
    <row r="32" spans="1:15" x14ac:dyDescent="0.2">
      <c r="A32" s="491" t="s">
        <v>1069</v>
      </c>
      <c r="B32" s="120">
        <v>20000</v>
      </c>
      <c r="C32" s="120">
        <v>20000</v>
      </c>
      <c r="D32" s="120">
        <v>20000</v>
      </c>
      <c r="E32" s="120">
        <v>20000</v>
      </c>
      <c r="F32" s="120">
        <v>20000</v>
      </c>
      <c r="G32" s="120">
        <v>20000</v>
      </c>
      <c r="H32" s="120">
        <v>20000</v>
      </c>
      <c r="I32" s="1085"/>
    </row>
    <row r="33" spans="1:13" x14ac:dyDescent="0.2">
      <c r="A33" s="10" t="s">
        <v>135</v>
      </c>
      <c r="B33" s="120">
        <f>50000+40000+10000</f>
        <v>100000</v>
      </c>
      <c r="C33" s="120">
        <v>257750.49999999997</v>
      </c>
      <c r="D33" s="120">
        <v>199750.49999999997</v>
      </c>
      <c r="E33" s="120">
        <v>199750.49999999997</v>
      </c>
      <c r="F33" s="120">
        <v>257750.49999999997</v>
      </c>
      <c r="G33" s="120">
        <v>199750.49999999997</v>
      </c>
      <c r="H33" s="120">
        <v>199750.49999999997</v>
      </c>
      <c r="I33" s="1085"/>
    </row>
    <row r="34" spans="1:13" x14ac:dyDescent="0.2">
      <c r="A34" s="10"/>
      <c r="B34" s="120"/>
      <c r="C34" s="120"/>
      <c r="D34" s="120"/>
      <c r="E34" s="120"/>
      <c r="F34" s="120"/>
      <c r="G34" s="120"/>
      <c r="H34" s="120"/>
      <c r="I34" s="1085"/>
    </row>
    <row r="35" spans="1:13" ht="13.5" thickBot="1" x14ac:dyDescent="0.25">
      <c r="A35" s="121"/>
      <c r="B35" s="35"/>
      <c r="C35" s="35"/>
      <c r="D35" s="35"/>
      <c r="E35" s="35"/>
      <c r="F35" s="35"/>
      <c r="G35" s="35"/>
      <c r="H35" s="35"/>
      <c r="I35" s="29"/>
    </row>
    <row r="36" spans="1:13" x14ac:dyDescent="0.2">
      <c r="A36" s="5"/>
      <c r="B36" s="33"/>
      <c r="C36" s="21"/>
      <c r="D36" s="21"/>
      <c r="E36" s="21"/>
      <c r="F36" s="21"/>
      <c r="G36" s="21"/>
      <c r="H36" s="21"/>
      <c r="I36" s="29"/>
    </row>
    <row r="37" spans="1:13" ht="15.75" x14ac:dyDescent="0.25">
      <c r="A37" s="43" t="s">
        <v>136</v>
      </c>
      <c r="B37" s="45">
        <f>B41+B48</f>
        <v>692229</v>
      </c>
      <c r="C37" s="45">
        <f t="shared" ref="C37:H37" si="7">C41+C48</f>
        <v>2055000</v>
      </c>
      <c r="D37" s="45">
        <f t="shared" si="7"/>
        <v>1905000</v>
      </c>
      <c r="E37" s="45">
        <f t="shared" si="7"/>
        <v>1705000</v>
      </c>
      <c r="F37" s="45">
        <f t="shared" si="7"/>
        <v>1655000</v>
      </c>
      <c r="G37" s="45">
        <f>G41+G48</f>
        <v>1705000</v>
      </c>
      <c r="H37" s="45">
        <f t="shared" si="7"/>
        <v>1805000</v>
      </c>
      <c r="I37" s="122"/>
      <c r="J37" s="1081">
        <f>SUM(C37:H37)</f>
        <v>10830000</v>
      </c>
      <c r="K37" s="722">
        <f>J37/1.18</f>
        <v>9177966.1016949154</v>
      </c>
      <c r="L37" s="42">
        <f>+K37-N27</f>
        <v>1547977.1271186443</v>
      </c>
      <c r="M37">
        <f>L37/N27</f>
        <v>0.20288065058503058</v>
      </c>
    </row>
    <row r="38" spans="1:13" ht="15.75" x14ac:dyDescent="0.25">
      <c r="A38" s="43"/>
      <c r="B38" s="45"/>
      <c r="C38" s="46"/>
      <c r="D38" s="46"/>
      <c r="E38" s="46"/>
      <c r="F38" s="46"/>
      <c r="G38" s="46"/>
      <c r="H38" s="46"/>
      <c r="I38" s="122"/>
    </row>
    <row r="39" spans="1:13" ht="13.5" thickBot="1" x14ac:dyDescent="0.25">
      <c r="A39" s="5"/>
      <c r="B39" s="35"/>
      <c r="C39" s="20"/>
      <c r="D39" s="20"/>
      <c r="E39" s="20"/>
      <c r="F39" s="20"/>
      <c r="G39" s="20"/>
      <c r="H39" s="20"/>
      <c r="I39" s="29"/>
    </row>
    <row r="40" spans="1:13" x14ac:dyDescent="0.2">
      <c r="A40" s="13"/>
      <c r="B40" s="21"/>
      <c r="C40" s="21"/>
      <c r="D40" s="21"/>
      <c r="E40" s="21"/>
      <c r="F40" s="21"/>
      <c r="G40" s="21"/>
      <c r="H40" s="21"/>
      <c r="I40" s="29"/>
      <c r="K40">
        <f>O25/K37</f>
        <v>0.83133767220683286</v>
      </c>
    </row>
    <row r="41" spans="1:13" ht="13.5" thickBot="1" x14ac:dyDescent="0.25">
      <c r="A41" s="14" t="s">
        <v>137</v>
      </c>
      <c r="B41" s="41">
        <f t="shared" ref="B41:H41" si="8">B43+B44+B45</f>
        <v>462229</v>
      </c>
      <c r="C41" s="41">
        <f t="shared" si="8"/>
        <v>1405000</v>
      </c>
      <c r="D41" s="41">
        <f t="shared" si="8"/>
        <v>1305000</v>
      </c>
      <c r="E41" s="41">
        <f t="shared" si="8"/>
        <v>1155000</v>
      </c>
      <c r="F41" s="41">
        <f t="shared" si="8"/>
        <v>1105000</v>
      </c>
      <c r="G41" s="41">
        <f t="shared" si="8"/>
        <v>1155000</v>
      </c>
      <c r="H41" s="41">
        <f t="shared" si="8"/>
        <v>1205000</v>
      </c>
      <c r="I41" s="123"/>
    </row>
    <row r="42" spans="1:13" x14ac:dyDescent="0.2">
      <c r="A42" s="14"/>
      <c r="B42" s="172"/>
      <c r="C42" s="504"/>
      <c r="D42" s="172"/>
      <c r="E42" s="504"/>
      <c r="F42" s="172"/>
      <c r="G42" s="504"/>
      <c r="H42" s="172"/>
      <c r="I42" s="123"/>
    </row>
    <row r="43" spans="1:13" x14ac:dyDescent="0.2">
      <c r="A43" s="15" t="s">
        <v>8</v>
      </c>
      <c r="B43" s="34">
        <v>362229</v>
      </c>
      <c r="C43" s="29">
        <v>1000000</v>
      </c>
      <c r="D43" s="34">
        <v>900000</v>
      </c>
      <c r="E43" s="29">
        <v>800000</v>
      </c>
      <c r="F43" s="34">
        <v>750000</v>
      </c>
      <c r="G43" s="29">
        <v>750000</v>
      </c>
      <c r="H43" s="34">
        <v>800000</v>
      </c>
      <c r="I43" s="29"/>
    </row>
    <row r="44" spans="1:13" x14ac:dyDescent="0.2">
      <c r="A44" s="15" t="s">
        <v>26</v>
      </c>
      <c r="B44" s="34">
        <v>100000</v>
      </c>
      <c r="C44" s="29">
        <v>400000</v>
      </c>
      <c r="D44" s="34">
        <v>400000</v>
      </c>
      <c r="E44" s="29">
        <v>350000</v>
      </c>
      <c r="F44" s="34">
        <v>350000</v>
      </c>
      <c r="G44" s="29">
        <v>400000</v>
      </c>
      <c r="H44" s="34">
        <v>400000</v>
      </c>
      <c r="I44" s="29"/>
      <c r="J44" s="495"/>
    </row>
    <row r="45" spans="1:13" x14ac:dyDescent="0.2">
      <c r="A45" s="15" t="s">
        <v>29</v>
      </c>
      <c r="B45" s="34"/>
      <c r="C45" s="29">
        <v>5000</v>
      </c>
      <c r="D45" s="34">
        <v>5000</v>
      </c>
      <c r="E45" s="29">
        <v>5000</v>
      </c>
      <c r="F45" s="34">
        <v>5000</v>
      </c>
      <c r="G45" s="29">
        <v>5000</v>
      </c>
      <c r="H45" s="34">
        <v>5000</v>
      </c>
      <c r="I45" s="29"/>
    </row>
    <row r="46" spans="1:13" x14ac:dyDescent="0.2">
      <c r="A46" s="15"/>
      <c r="B46" s="34"/>
      <c r="C46" s="29"/>
      <c r="D46" s="34"/>
      <c r="E46" s="29"/>
      <c r="F46" s="34"/>
      <c r="G46" s="29"/>
      <c r="H46" s="34"/>
      <c r="I46" s="29"/>
    </row>
    <row r="47" spans="1:13" x14ac:dyDescent="0.2">
      <c r="A47" s="15" t="s">
        <v>179</v>
      </c>
      <c r="B47" s="34"/>
      <c r="C47" s="29"/>
      <c r="D47" s="34"/>
      <c r="E47" s="29"/>
      <c r="F47" s="34"/>
      <c r="G47" s="29"/>
      <c r="H47" s="34"/>
      <c r="I47" s="29"/>
    </row>
    <row r="48" spans="1:13" x14ac:dyDescent="0.2">
      <c r="A48" s="14" t="s">
        <v>138</v>
      </c>
      <c r="B48" s="173">
        <v>230000</v>
      </c>
      <c r="C48" s="123">
        <v>650000</v>
      </c>
      <c r="D48" s="173">
        <v>600000</v>
      </c>
      <c r="E48" s="123">
        <v>550000</v>
      </c>
      <c r="F48" s="173">
        <v>550000</v>
      </c>
      <c r="G48" s="123">
        <v>550000</v>
      </c>
      <c r="H48" s="173">
        <v>600000</v>
      </c>
      <c r="I48" s="123"/>
    </row>
    <row r="49" spans="1:9" ht="13.5" thickBot="1" x14ac:dyDescent="0.25">
      <c r="A49" s="16"/>
      <c r="B49" s="35"/>
      <c r="C49" s="37"/>
      <c r="D49" s="35"/>
      <c r="E49" s="37"/>
      <c r="F49" s="35"/>
      <c r="G49" s="37"/>
      <c r="H49" s="35"/>
      <c r="I49" s="29"/>
    </row>
    <row r="50" spans="1:9" x14ac:dyDescent="0.2">
      <c r="A50" s="2"/>
      <c r="B50" s="21"/>
      <c r="C50" s="21"/>
      <c r="D50" s="21"/>
      <c r="E50" s="21"/>
      <c r="F50" s="21"/>
      <c r="G50" s="21"/>
      <c r="H50" s="21"/>
      <c r="I50" s="29"/>
    </row>
    <row r="51" spans="1:9" x14ac:dyDescent="0.2">
      <c r="A51" s="9" t="s">
        <v>27</v>
      </c>
      <c r="B51" s="34">
        <f t="shared" ref="B51:H51" si="9">B37-B22</f>
        <v>-236997</v>
      </c>
      <c r="C51" s="34">
        <f t="shared" si="9"/>
        <v>89499.5</v>
      </c>
      <c r="D51" s="34">
        <f t="shared" si="9"/>
        <v>234316.51</v>
      </c>
      <c r="E51" s="34">
        <f t="shared" si="9"/>
        <v>-46275.5</v>
      </c>
      <c r="F51" s="34">
        <f t="shared" si="9"/>
        <v>-132013.5</v>
      </c>
      <c r="G51" s="34">
        <f>G37-G22</f>
        <v>-23045.5</v>
      </c>
      <c r="H51" s="34">
        <f t="shared" si="9"/>
        <v>-14013.5</v>
      </c>
      <c r="I51" s="29"/>
    </row>
    <row r="52" spans="1:9" ht="13.5" thickBot="1" x14ac:dyDescent="0.25">
      <c r="A52" s="5"/>
      <c r="B52" s="19"/>
      <c r="C52" s="19"/>
      <c r="D52" s="19"/>
      <c r="E52" s="19"/>
      <c r="F52" s="19"/>
      <c r="G52" s="19"/>
      <c r="H52" s="19"/>
      <c r="I52" s="29"/>
    </row>
    <row r="53" spans="1:9" x14ac:dyDescent="0.2">
      <c r="A53" s="2"/>
      <c r="B53" s="33"/>
      <c r="C53" s="33"/>
      <c r="D53" s="33"/>
      <c r="E53" s="33"/>
      <c r="F53" s="33"/>
      <c r="G53" s="33"/>
      <c r="H53" s="33"/>
      <c r="I53" s="29"/>
    </row>
    <row r="54" spans="1:9" ht="16.5" thickBot="1" x14ac:dyDescent="0.3">
      <c r="A54" s="43" t="s">
        <v>28</v>
      </c>
      <c r="B54" s="171">
        <f t="shared" ref="B54:H54" si="10">B15+B51</f>
        <v>-694170</v>
      </c>
      <c r="C54" s="171">
        <f t="shared" si="10"/>
        <v>-604670.5</v>
      </c>
      <c r="D54" s="171">
        <f t="shared" si="10"/>
        <v>-370353.99</v>
      </c>
      <c r="E54" s="171">
        <f t="shared" si="10"/>
        <v>-416629.49</v>
      </c>
      <c r="F54" s="171">
        <f t="shared" si="10"/>
        <v>-548642.99</v>
      </c>
      <c r="G54" s="171">
        <f>G15+G51</f>
        <v>-571688.49</v>
      </c>
      <c r="H54" s="171">
        <f t="shared" si="10"/>
        <v>-585701.99</v>
      </c>
      <c r="I54" s="122"/>
    </row>
    <row r="55" spans="1:9" ht="16.5" thickBot="1" x14ac:dyDescent="0.3">
      <c r="A55" s="43"/>
      <c r="B55" s="122"/>
      <c r="C55" s="122"/>
      <c r="D55" s="122"/>
      <c r="E55" s="122"/>
      <c r="F55" s="122"/>
      <c r="G55" s="122"/>
      <c r="H55" s="122"/>
      <c r="I55" s="122"/>
    </row>
    <row r="56" spans="1:9" x14ac:dyDescent="0.2">
      <c r="A56" s="9" t="s">
        <v>19</v>
      </c>
      <c r="B56" s="33">
        <f t="shared" ref="B56:H56" si="11">B54-B57</f>
        <v>-696170</v>
      </c>
      <c r="C56" s="33">
        <f t="shared" si="11"/>
        <v>-606670.5</v>
      </c>
      <c r="D56" s="33">
        <f t="shared" si="11"/>
        <v>-372353.99</v>
      </c>
      <c r="E56" s="33">
        <f t="shared" si="11"/>
        <v>-418629.49</v>
      </c>
      <c r="F56" s="33">
        <f t="shared" si="11"/>
        <v>-550642.99</v>
      </c>
      <c r="G56" s="33">
        <f t="shared" si="11"/>
        <v>-573688.49</v>
      </c>
      <c r="H56" s="33">
        <f t="shared" si="11"/>
        <v>-587701.99</v>
      </c>
      <c r="I56" s="29"/>
    </row>
    <row r="57" spans="1:9" x14ac:dyDescent="0.2">
      <c r="A57" s="9" t="s">
        <v>20</v>
      </c>
      <c r="B57" s="34">
        <f>2000</f>
        <v>2000</v>
      </c>
      <c r="C57" s="34">
        <f>2000</f>
        <v>2000</v>
      </c>
      <c r="D57" s="34">
        <f>2000</f>
        <v>2000</v>
      </c>
      <c r="E57" s="34">
        <f>2000</f>
        <v>2000</v>
      </c>
      <c r="F57" s="34">
        <f>2000</f>
        <v>2000</v>
      </c>
      <c r="G57" s="34">
        <f>2000</f>
        <v>2000</v>
      </c>
      <c r="H57" s="34">
        <f>2000</f>
        <v>2000</v>
      </c>
      <c r="I57" s="29"/>
    </row>
    <row r="58" spans="1:9" ht="13.5" thickBot="1" x14ac:dyDescent="0.25">
      <c r="A58" s="36"/>
      <c r="B58" s="35"/>
      <c r="C58" s="35"/>
      <c r="D58" s="35"/>
      <c r="E58" s="35"/>
      <c r="F58" s="35"/>
      <c r="G58" s="35"/>
      <c r="H58" s="35"/>
      <c r="I58" s="29"/>
    </row>
    <row r="59" spans="1:9" x14ac:dyDescent="0.2">
      <c r="A59" s="86"/>
      <c r="B59" s="29"/>
      <c r="C59" s="29"/>
      <c r="D59" s="29"/>
      <c r="E59" s="29"/>
      <c r="F59" s="29"/>
      <c r="G59" s="29"/>
      <c r="H59" s="29"/>
      <c r="I59" s="29"/>
    </row>
    <row r="60" spans="1:9" ht="18" x14ac:dyDescent="0.25">
      <c r="A60" s="86"/>
      <c r="B60" s="1111"/>
      <c r="C60" s="1112"/>
      <c r="D60" s="1112"/>
      <c r="E60" s="29"/>
      <c r="F60" s="29"/>
      <c r="G60" s="29"/>
      <c r="H60" s="29"/>
      <c r="I60" s="29"/>
    </row>
    <row r="61" spans="1:9" x14ac:dyDescent="0.2">
      <c r="A61" s="86"/>
      <c r="B61" s="29"/>
      <c r="C61" s="29"/>
      <c r="D61" s="29"/>
      <c r="E61" s="29"/>
      <c r="F61" s="29"/>
      <c r="G61" s="29"/>
      <c r="H61" s="29"/>
      <c r="I61" s="29"/>
    </row>
    <row r="62" spans="1:9" ht="18" x14ac:dyDescent="0.25">
      <c r="A62" s="505" t="s">
        <v>1147</v>
      </c>
      <c r="B62" s="1110"/>
      <c r="C62" s="1110"/>
      <c r="D62" s="1110"/>
      <c r="E62" s="29"/>
      <c r="F62" s="29"/>
      <c r="G62" s="29"/>
      <c r="H62" s="29"/>
      <c r="I62" s="29"/>
    </row>
    <row r="63" spans="1:9" ht="18" x14ac:dyDescent="0.25">
      <c r="A63" s="505"/>
      <c r="B63" s="1110"/>
      <c r="C63" s="1110"/>
      <c r="D63" s="1110"/>
      <c r="E63" s="29"/>
      <c r="F63" s="29"/>
      <c r="G63" s="29"/>
      <c r="H63" s="29"/>
      <c r="I63" s="29"/>
    </row>
    <row r="64" spans="1:9" ht="18" x14ac:dyDescent="0.25">
      <c r="A64" s="505"/>
      <c r="B64" s="1110"/>
      <c r="C64" s="1110"/>
      <c r="D64" s="1110"/>
      <c r="E64" s="29"/>
      <c r="F64" s="29"/>
      <c r="G64" s="29"/>
      <c r="H64" s="29"/>
      <c r="I64" s="29"/>
    </row>
    <row r="65" spans="1:9" ht="15.75" x14ac:dyDescent="0.25">
      <c r="A65" s="1122" t="s">
        <v>1143</v>
      </c>
      <c r="B65" s="1110"/>
      <c r="C65" s="1110"/>
      <c r="D65" s="1110"/>
      <c r="E65" s="29"/>
      <c r="F65" s="29"/>
      <c r="G65" s="29"/>
      <c r="H65" s="29"/>
      <c r="I65" s="29"/>
    </row>
    <row r="66" spans="1:9" ht="18" x14ac:dyDescent="0.25">
      <c r="A66" s="505"/>
      <c r="B66" s="1110"/>
      <c r="C66" s="1110"/>
      <c r="D66" s="1110"/>
      <c r="E66" s="29"/>
      <c r="F66" s="29"/>
      <c r="G66" s="29"/>
      <c r="H66" s="29"/>
      <c r="I66" s="29"/>
    </row>
    <row r="67" spans="1:9" ht="15" x14ac:dyDescent="0.2">
      <c r="A67" s="1124" t="s">
        <v>1144</v>
      </c>
      <c r="B67" s="1110"/>
      <c r="C67" s="1110"/>
      <c r="D67" s="1110"/>
      <c r="E67" s="29"/>
      <c r="F67" s="29"/>
      <c r="G67" s="29"/>
      <c r="H67" s="29"/>
      <c r="I67" s="29"/>
    </row>
    <row r="68" spans="1:9" ht="18" x14ac:dyDescent="0.25">
      <c r="A68" s="505"/>
      <c r="B68" s="1110"/>
      <c r="C68" s="1110"/>
      <c r="D68" s="1110"/>
      <c r="E68" s="29"/>
      <c r="F68" s="29"/>
      <c r="G68" s="29"/>
      <c r="H68" s="29"/>
      <c r="I68" s="29"/>
    </row>
    <row r="69" spans="1:9" ht="15.75" x14ac:dyDescent="0.25">
      <c r="A69" s="1121" t="s">
        <v>1127</v>
      </c>
      <c r="B69" s="1110"/>
      <c r="C69" s="1110"/>
      <c r="D69" s="1110"/>
      <c r="E69" s="29"/>
      <c r="F69" s="29"/>
      <c r="G69" s="29"/>
      <c r="H69" s="29"/>
      <c r="I69" s="29"/>
    </row>
    <row r="70" spans="1:9" ht="18" x14ac:dyDescent="0.25">
      <c r="A70" s="505"/>
      <c r="B70" s="1110"/>
      <c r="C70" s="1110"/>
      <c r="D70" s="1110"/>
      <c r="E70" s="29"/>
      <c r="F70" s="29"/>
      <c r="G70" s="29"/>
      <c r="H70" s="29"/>
      <c r="I70" s="29"/>
    </row>
    <row r="71" spans="1:9" ht="15" x14ac:dyDescent="0.2">
      <c r="A71" s="1120"/>
      <c r="B71" s="1110"/>
      <c r="C71" s="1110"/>
      <c r="D71" s="1110"/>
      <c r="E71" s="29"/>
      <c r="F71" s="29"/>
      <c r="G71" s="29"/>
      <c r="H71" s="29"/>
      <c r="I71" s="29"/>
    </row>
    <row r="72" spans="1:9" x14ac:dyDescent="0.2">
      <c r="A72" s="86"/>
      <c r="B72" s="1745" t="s">
        <v>1118</v>
      </c>
      <c r="C72" s="1745"/>
      <c r="D72" s="1118" t="s">
        <v>59</v>
      </c>
      <c r="E72" s="1118" t="s">
        <v>947</v>
      </c>
      <c r="F72" s="29"/>
      <c r="G72" s="29"/>
      <c r="H72" s="29"/>
      <c r="I72" s="29"/>
    </row>
    <row r="73" spans="1:9" x14ac:dyDescent="0.2">
      <c r="A73" s="676" t="s">
        <v>1138</v>
      </c>
      <c r="B73" s="1115" t="s">
        <v>1150</v>
      </c>
      <c r="C73" s="1115" t="s">
        <v>1151</v>
      </c>
      <c r="D73" s="1116">
        <v>42281</v>
      </c>
      <c r="E73" s="1118" t="s">
        <v>384</v>
      </c>
      <c r="F73" s="29"/>
      <c r="G73" s="29"/>
      <c r="H73" s="29"/>
      <c r="I73" s="29"/>
    </row>
    <row r="74" spans="1:9" x14ac:dyDescent="0.2">
      <c r="A74" s="676" t="s">
        <v>1140</v>
      </c>
      <c r="B74" s="1115" t="s">
        <v>1146</v>
      </c>
      <c r="C74" s="1115" t="s">
        <v>1142</v>
      </c>
      <c r="D74" s="1125">
        <v>42282</v>
      </c>
      <c r="E74" s="1118" t="s">
        <v>500</v>
      </c>
      <c r="F74" s="29"/>
      <c r="G74" s="29"/>
      <c r="H74" s="29"/>
      <c r="I74" s="29"/>
    </row>
    <row r="75" spans="1:9" ht="18" x14ac:dyDescent="0.25">
      <c r="A75" s="505"/>
      <c r="B75" s="1110"/>
      <c r="C75" s="1110"/>
      <c r="D75" s="1110"/>
      <c r="E75" s="1123"/>
      <c r="F75" s="29"/>
      <c r="G75" s="29"/>
      <c r="H75" s="29"/>
      <c r="I75" s="29"/>
    </row>
    <row r="76" spans="1:9" ht="18" x14ac:dyDescent="0.25">
      <c r="A76" s="505"/>
      <c r="B76" s="1110"/>
      <c r="C76" s="1110"/>
      <c r="D76" s="1110"/>
      <c r="E76" s="29"/>
      <c r="F76" s="29"/>
      <c r="G76" s="29"/>
      <c r="H76" s="29"/>
      <c r="I76" s="29"/>
    </row>
    <row r="77" spans="1:9" ht="15" x14ac:dyDescent="0.2">
      <c r="A77" s="1124" t="s">
        <v>1145</v>
      </c>
      <c r="B77" s="1110"/>
      <c r="C77" s="1110"/>
      <c r="D77" s="1110"/>
      <c r="E77" s="29"/>
      <c r="F77" s="29"/>
      <c r="G77" s="29"/>
      <c r="H77" s="29"/>
      <c r="I77" s="29"/>
    </row>
    <row r="78" spans="1:9" ht="18" x14ac:dyDescent="0.25">
      <c r="A78" s="505"/>
      <c r="B78" s="1110"/>
      <c r="C78" s="1110"/>
      <c r="D78" s="1110"/>
      <c r="E78" s="29"/>
      <c r="F78" s="29"/>
      <c r="G78" s="29"/>
      <c r="H78" s="29"/>
      <c r="I78" s="29"/>
    </row>
    <row r="79" spans="1:9" ht="18" x14ac:dyDescent="0.25">
      <c r="A79" s="505"/>
      <c r="B79" s="1110"/>
      <c r="C79" s="1110"/>
      <c r="D79" s="1110"/>
      <c r="E79" s="29"/>
      <c r="F79" s="29"/>
      <c r="G79" s="29"/>
      <c r="H79" s="29"/>
      <c r="I79" s="29"/>
    </row>
    <row r="80" spans="1:9" ht="15.75" x14ac:dyDescent="0.25">
      <c r="A80" s="1121" t="s">
        <v>1112</v>
      </c>
      <c r="B80" s="1110"/>
      <c r="C80" s="1110"/>
      <c r="D80" s="1110"/>
      <c r="E80" s="29"/>
      <c r="F80" s="29"/>
      <c r="G80" s="29"/>
      <c r="H80" s="29"/>
      <c r="I80" s="29"/>
    </row>
    <row r="81" spans="1:9" ht="18" x14ac:dyDescent="0.25">
      <c r="A81" s="505"/>
      <c r="B81" s="1110"/>
      <c r="C81" s="1110"/>
      <c r="D81" s="1110"/>
      <c r="E81" s="29"/>
      <c r="F81" s="29"/>
      <c r="G81" s="29"/>
      <c r="H81" s="29"/>
      <c r="I81" s="29"/>
    </row>
    <row r="82" spans="1:9" x14ac:dyDescent="0.2">
      <c r="A82" s="86"/>
      <c r="B82" s="1745" t="s">
        <v>1118</v>
      </c>
      <c r="C82" s="1745"/>
      <c r="D82" s="1118" t="s">
        <v>1125</v>
      </c>
      <c r="E82" s="1118" t="s">
        <v>890</v>
      </c>
      <c r="F82" s="29"/>
      <c r="G82" s="29"/>
      <c r="H82" s="29"/>
      <c r="I82" s="29"/>
    </row>
    <row r="83" spans="1:9" x14ac:dyDescent="0.2">
      <c r="A83" s="676" t="s">
        <v>1123</v>
      </c>
      <c r="B83" s="1114" t="s">
        <v>1122</v>
      </c>
      <c r="C83" s="1115" t="s">
        <v>1124</v>
      </c>
      <c r="D83" s="1116">
        <v>42277</v>
      </c>
      <c r="E83" s="1118" t="s">
        <v>698</v>
      </c>
      <c r="F83" s="29"/>
      <c r="G83" s="29"/>
      <c r="H83" s="29"/>
      <c r="I83" s="29"/>
    </row>
    <row r="84" spans="1:9" ht="18" x14ac:dyDescent="0.25">
      <c r="A84" s="505"/>
      <c r="B84" s="1110"/>
      <c r="C84" s="1110"/>
      <c r="D84" s="1110"/>
      <c r="E84" s="29"/>
      <c r="F84" s="29"/>
      <c r="G84" s="29"/>
      <c r="H84" s="29"/>
      <c r="I84" s="29"/>
    </row>
    <row r="85" spans="1:9" ht="18" x14ac:dyDescent="0.25">
      <c r="A85" s="505"/>
      <c r="B85" s="1110"/>
      <c r="C85" s="1110"/>
      <c r="D85" s="1110"/>
      <c r="E85" s="29"/>
      <c r="F85" s="29"/>
      <c r="G85" s="29"/>
      <c r="H85" s="29"/>
      <c r="I85" s="29"/>
    </row>
    <row r="86" spans="1:9" ht="15.75" x14ac:dyDescent="0.25">
      <c r="A86" s="1121" t="s">
        <v>1128</v>
      </c>
      <c r="B86" s="29"/>
      <c r="C86" s="29"/>
      <c r="D86" s="29"/>
      <c r="E86" s="29"/>
      <c r="F86" s="29"/>
      <c r="G86" s="29"/>
      <c r="H86" s="29"/>
      <c r="I86" s="29"/>
    </row>
    <row r="87" spans="1:9" x14ac:dyDescent="0.2">
      <c r="A87" s="1109"/>
      <c r="B87" s="29"/>
      <c r="C87" s="29"/>
      <c r="D87" s="29"/>
      <c r="E87" s="29"/>
      <c r="F87" s="29"/>
      <c r="G87" s="29"/>
      <c r="H87" s="29"/>
      <c r="I87" s="29"/>
    </row>
    <row r="88" spans="1:9" x14ac:dyDescent="0.2">
      <c r="A88" s="86" t="s">
        <v>1121</v>
      </c>
      <c r="B88" s="29"/>
      <c r="C88" s="29"/>
      <c r="D88" s="29"/>
      <c r="E88" s="29"/>
      <c r="F88" s="29"/>
      <c r="G88" s="29"/>
      <c r="H88" s="29"/>
      <c r="I88" s="29"/>
    </row>
    <row r="89" spans="1:9" x14ac:dyDescent="0.2">
      <c r="A89" s="86"/>
      <c r="B89" s="1745" t="s">
        <v>1118</v>
      </c>
      <c r="C89" s="1745"/>
      <c r="D89" s="1117" t="s">
        <v>1125</v>
      </c>
      <c r="E89" s="1745" t="s">
        <v>890</v>
      </c>
      <c r="F89" s="1745"/>
      <c r="G89" s="29"/>
      <c r="H89" s="29"/>
      <c r="I89" s="29"/>
    </row>
    <row r="90" spans="1:9" x14ac:dyDescent="0.2">
      <c r="A90" s="676" t="s">
        <v>1130</v>
      </c>
      <c r="B90" s="1115" t="s">
        <v>1129</v>
      </c>
      <c r="C90" s="1115" t="s">
        <v>1131</v>
      </c>
      <c r="D90" s="1116">
        <v>42324</v>
      </c>
      <c r="E90" s="1747" t="s">
        <v>1132</v>
      </c>
      <c r="F90" s="1747"/>
      <c r="G90" s="29"/>
      <c r="H90" s="29"/>
      <c r="I90" s="29"/>
    </row>
    <row r="91" spans="1:9" x14ac:dyDescent="0.2">
      <c r="A91" s="676" t="s">
        <v>1133</v>
      </c>
      <c r="B91" s="1115" t="s">
        <v>1135</v>
      </c>
      <c r="C91" s="1115" t="s">
        <v>1134</v>
      </c>
      <c r="D91" s="1116">
        <v>42335</v>
      </c>
      <c r="E91" s="1747" t="s">
        <v>384</v>
      </c>
      <c r="F91" s="1747"/>
      <c r="G91" s="29"/>
      <c r="H91" s="29"/>
      <c r="I91" s="29"/>
    </row>
    <row r="92" spans="1:9" ht="18" x14ac:dyDescent="0.25">
      <c r="A92" s="505"/>
      <c r="B92" s="1110"/>
      <c r="C92" s="1110"/>
      <c r="D92" s="1110"/>
      <c r="E92" s="29"/>
      <c r="F92" s="29"/>
      <c r="G92" s="29"/>
      <c r="H92" s="29"/>
      <c r="I92" s="29"/>
    </row>
    <row r="93" spans="1:9" ht="18" x14ac:dyDescent="0.25">
      <c r="A93" s="505"/>
      <c r="B93" s="1110"/>
      <c r="C93" s="1110"/>
      <c r="D93" s="1110"/>
      <c r="E93" s="29"/>
      <c r="F93" s="29"/>
      <c r="G93" s="29"/>
      <c r="H93" s="29"/>
      <c r="I93" s="29"/>
    </row>
    <row r="94" spans="1:9" ht="18" x14ac:dyDescent="0.25">
      <c r="A94" s="505"/>
      <c r="B94" s="1110"/>
      <c r="C94" s="1110"/>
      <c r="D94" s="1110"/>
      <c r="E94" s="29"/>
      <c r="F94" s="29"/>
      <c r="G94" s="29"/>
      <c r="H94" s="29"/>
      <c r="I94" s="29"/>
    </row>
    <row r="95" spans="1:9" ht="18" x14ac:dyDescent="0.25">
      <c r="A95" s="505"/>
      <c r="B95" s="1110"/>
      <c r="C95" s="1110"/>
      <c r="D95" s="1110"/>
      <c r="E95" s="29"/>
      <c r="F95" s="29"/>
      <c r="G95" s="29"/>
      <c r="H95" s="29"/>
      <c r="I95" s="29"/>
    </row>
    <row r="96" spans="1:9" ht="18" x14ac:dyDescent="0.25">
      <c r="A96" s="505"/>
      <c r="B96" s="1110"/>
      <c r="C96" s="1110"/>
      <c r="D96" s="1110"/>
      <c r="E96" s="29"/>
      <c r="F96" s="29"/>
      <c r="G96" s="29"/>
      <c r="H96" s="29"/>
      <c r="I96" s="29"/>
    </row>
    <row r="97" spans="1:9" ht="18" x14ac:dyDescent="0.25">
      <c r="A97" s="505"/>
      <c r="B97" s="1110"/>
      <c r="C97" s="1110"/>
      <c r="D97" s="1110"/>
      <c r="E97" s="29"/>
      <c r="F97" s="29"/>
      <c r="G97" s="29"/>
      <c r="H97" s="29"/>
      <c r="I97" s="29"/>
    </row>
    <row r="98" spans="1:9" ht="18" x14ac:dyDescent="0.25">
      <c r="A98" s="505"/>
      <c r="B98" s="1110"/>
      <c r="C98" s="1110"/>
      <c r="D98" s="1110"/>
      <c r="E98" s="29"/>
      <c r="F98" s="29"/>
      <c r="G98" s="29"/>
      <c r="H98" s="29"/>
      <c r="I98" s="29"/>
    </row>
    <row r="99" spans="1:9" ht="18" x14ac:dyDescent="0.25">
      <c r="A99" s="505"/>
      <c r="B99" s="1110"/>
      <c r="C99" s="1110"/>
      <c r="D99" s="1110"/>
      <c r="E99" s="29"/>
      <c r="F99" s="29"/>
      <c r="G99" s="29"/>
      <c r="H99" s="29"/>
      <c r="I99" s="29"/>
    </row>
    <row r="100" spans="1:9" ht="18" x14ac:dyDescent="0.25">
      <c r="A100" s="505"/>
      <c r="B100" s="1110"/>
      <c r="C100" s="1110"/>
      <c r="D100" s="1110"/>
      <c r="E100" s="29"/>
      <c r="F100" s="29"/>
      <c r="G100" s="29"/>
      <c r="H100" s="29"/>
      <c r="I100" s="29"/>
    </row>
    <row r="101" spans="1:9" ht="18" x14ac:dyDescent="0.25">
      <c r="A101" s="505"/>
      <c r="B101" s="1110"/>
      <c r="C101" s="1110"/>
      <c r="D101" s="1110"/>
      <c r="E101" s="29"/>
      <c r="F101" s="29"/>
      <c r="G101" s="29"/>
      <c r="H101" s="29"/>
      <c r="I101" s="29"/>
    </row>
    <row r="102" spans="1:9" ht="18" x14ac:dyDescent="0.25">
      <c r="A102" s="505"/>
      <c r="B102" s="1110"/>
      <c r="C102" s="1110"/>
      <c r="D102" s="1110"/>
      <c r="E102" s="29"/>
      <c r="F102" s="29"/>
      <c r="G102" s="29"/>
      <c r="H102" s="29"/>
      <c r="I102" s="29"/>
    </row>
    <row r="103" spans="1:9" ht="18" x14ac:dyDescent="0.25">
      <c r="A103" s="505"/>
      <c r="B103" s="1110"/>
      <c r="C103" s="1110"/>
      <c r="D103" s="1110"/>
      <c r="E103" s="29"/>
      <c r="F103" s="29"/>
      <c r="G103" s="29"/>
      <c r="H103" s="29"/>
      <c r="I103" s="29"/>
    </row>
    <row r="104" spans="1:9" ht="18" x14ac:dyDescent="0.25">
      <c r="A104" s="505"/>
      <c r="B104" s="1110"/>
      <c r="C104" s="1110"/>
      <c r="D104" s="1110"/>
      <c r="E104" s="29"/>
      <c r="F104" s="29"/>
      <c r="G104" s="29"/>
      <c r="H104" s="29"/>
      <c r="I104" s="29"/>
    </row>
    <row r="105" spans="1:9" ht="18" x14ac:dyDescent="0.25">
      <c r="A105" s="505"/>
      <c r="B105" s="1110"/>
      <c r="C105" s="1110"/>
      <c r="D105" s="1110"/>
      <c r="E105" s="29"/>
      <c r="F105" s="29"/>
      <c r="G105" s="29"/>
      <c r="H105" s="29"/>
      <c r="I105" s="29"/>
    </row>
    <row r="106" spans="1:9" ht="18" x14ac:dyDescent="0.25">
      <c r="A106" s="505"/>
      <c r="B106" s="1110"/>
      <c r="C106" s="1110"/>
      <c r="D106" s="1110"/>
      <c r="E106" s="29"/>
      <c r="F106" s="29"/>
      <c r="G106" s="29"/>
      <c r="H106" s="29"/>
      <c r="I106" s="29"/>
    </row>
    <row r="107" spans="1:9" ht="18" x14ac:dyDescent="0.25">
      <c r="A107" s="505"/>
      <c r="B107" s="1110"/>
      <c r="C107" s="1110"/>
      <c r="D107" s="1110"/>
      <c r="E107" s="29"/>
      <c r="F107" s="29"/>
      <c r="G107" s="29"/>
      <c r="H107" s="29"/>
      <c r="I107" s="29"/>
    </row>
    <row r="108" spans="1:9" x14ac:dyDescent="0.2">
      <c r="A108" s="86"/>
      <c r="B108" s="29"/>
      <c r="C108" s="29"/>
      <c r="D108" s="29"/>
      <c r="E108" s="29"/>
      <c r="F108" s="29"/>
      <c r="G108" s="29"/>
      <c r="H108" s="29"/>
      <c r="I108" s="29"/>
    </row>
    <row r="109" spans="1:9" ht="15" x14ac:dyDescent="0.2">
      <c r="A109" s="1120" t="s">
        <v>1126</v>
      </c>
      <c r="B109" s="29"/>
      <c r="C109" s="29"/>
      <c r="D109" s="29"/>
      <c r="E109" s="29"/>
      <c r="F109" s="29"/>
      <c r="G109" s="29"/>
      <c r="H109" s="29"/>
      <c r="I109" s="29"/>
    </row>
    <row r="110" spans="1:9" x14ac:dyDescent="0.2">
      <c r="A110" s="86"/>
      <c r="B110" s="29"/>
      <c r="C110" s="29"/>
      <c r="D110" s="29"/>
      <c r="E110" s="29"/>
      <c r="F110" s="29"/>
      <c r="G110" s="29"/>
      <c r="H110" s="29"/>
      <c r="I110" s="29"/>
    </row>
    <row r="111" spans="1:9" x14ac:dyDescent="0.2">
      <c r="A111" s="1109" t="s">
        <v>1112</v>
      </c>
      <c r="B111" s="29"/>
      <c r="C111" s="29"/>
      <c r="D111" s="29"/>
      <c r="E111" s="29"/>
      <c r="F111" s="29"/>
      <c r="G111" s="29"/>
      <c r="H111" s="29"/>
      <c r="I111" s="29"/>
    </row>
    <row r="112" spans="1:9" x14ac:dyDescent="0.2">
      <c r="A112" s="86"/>
      <c r="B112" s="29"/>
      <c r="C112" s="29"/>
      <c r="D112" s="29"/>
      <c r="E112" s="29"/>
      <c r="F112" s="29"/>
      <c r="G112" s="29"/>
      <c r="H112" s="29"/>
      <c r="I112" s="29"/>
    </row>
    <row r="113" spans="1:9" x14ac:dyDescent="0.2">
      <c r="A113" s="86" t="s">
        <v>1113</v>
      </c>
      <c r="B113" s="29"/>
      <c r="C113" s="29"/>
      <c r="D113" s="29"/>
      <c r="E113" s="29"/>
      <c r="F113" s="29"/>
      <c r="G113" s="29"/>
      <c r="H113" s="29"/>
      <c r="I113" s="29"/>
    </row>
    <row r="114" spans="1:9" x14ac:dyDescent="0.2">
      <c r="A114" s="86"/>
      <c r="B114" s="1747" t="s">
        <v>1118</v>
      </c>
      <c r="C114" s="1747"/>
      <c r="D114" s="29"/>
      <c r="E114" s="29"/>
      <c r="F114" s="29"/>
      <c r="G114" s="29"/>
      <c r="H114" s="29"/>
      <c r="I114" s="29"/>
    </row>
    <row r="115" spans="1:9" x14ac:dyDescent="0.2">
      <c r="A115" s="676" t="s">
        <v>1115</v>
      </c>
      <c r="B115" s="1119" t="s">
        <v>1114</v>
      </c>
      <c r="C115" s="1115" t="s">
        <v>1120</v>
      </c>
      <c r="D115" s="29"/>
      <c r="E115" s="29"/>
      <c r="F115" s="29"/>
      <c r="G115" s="29"/>
      <c r="H115" s="29"/>
      <c r="I115" s="29"/>
    </row>
    <row r="116" spans="1:9" x14ac:dyDescent="0.2">
      <c r="A116" s="676" t="s">
        <v>1116</v>
      </c>
      <c r="B116" s="676" t="s">
        <v>1117</v>
      </c>
      <c r="C116" s="1115" t="s">
        <v>1119</v>
      </c>
      <c r="D116" s="29"/>
      <c r="E116" s="29"/>
      <c r="F116" s="29"/>
      <c r="G116" s="29"/>
      <c r="H116" s="29"/>
      <c r="I116" s="29"/>
    </row>
    <row r="117" spans="1:9" x14ac:dyDescent="0.2">
      <c r="A117" s="86"/>
      <c r="B117" s="29"/>
      <c r="C117" s="29"/>
      <c r="D117" s="29"/>
      <c r="E117" s="29"/>
      <c r="F117" s="29"/>
      <c r="G117" s="29"/>
      <c r="H117" s="29"/>
      <c r="I117" s="29"/>
    </row>
    <row r="118" spans="1:9" x14ac:dyDescent="0.2">
      <c r="A118" s="86"/>
      <c r="B118" s="29"/>
      <c r="C118" s="29"/>
      <c r="D118" s="29"/>
      <c r="E118" s="29"/>
      <c r="F118" s="29"/>
      <c r="G118" s="29"/>
      <c r="H118" s="29"/>
      <c r="I118" s="29"/>
    </row>
    <row r="119" spans="1:9" x14ac:dyDescent="0.2">
      <c r="A119" s="86" t="s">
        <v>1121</v>
      </c>
      <c r="B119" s="29"/>
      <c r="C119" s="29"/>
      <c r="D119" s="29"/>
      <c r="E119" s="29"/>
      <c r="F119" s="29"/>
      <c r="G119" s="29"/>
      <c r="H119" s="29"/>
      <c r="I119" s="29"/>
    </row>
    <row r="120" spans="1:9" x14ac:dyDescent="0.2">
      <c r="A120" s="86"/>
      <c r="B120" s="1745" t="s">
        <v>1118</v>
      </c>
      <c r="C120" s="1745"/>
      <c r="D120" s="1113" t="s">
        <v>1125</v>
      </c>
      <c r="E120" s="1113" t="s">
        <v>890</v>
      </c>
      <c r="F120" s="29"/>
      <c r="G120" s="29"/>
      <c r="H120" s="29"/>
      <c r="I120" s="29"/>
    </row>
    <row r="121" spans="1:9" x14ac:dyDescent="0.2">
      <c r="A121" s="676" t="s">
        <v>1123</v>
      </c>
      <c r="B121" s="1114" t="s">
        <v>1122</v>
      </c>
      <c r="C121" s="1115" t="s">
        <v>1124</v>
      </c>
      <c r="D121" s="1116">
        <v>42277</v>
      </c>
      <c r="E121" s="1113" t="s">
        <v>698</v>
      </c>
      <c r="F121" s="29"/>
      <c r="G121" s="29"/>
      <c r="H121" s="29"/>
      <c r="I121" s="29"/>
    </row>
    <row r="122" spans="1:9" x14ac:dyDescent="0.2">
      <c r="A122" s="86"/>
      <c r="B122" s="29"/>
      <c r="C122" s="29"/>
      <c r="D122" s="29"/>
      <c r="E122" s="29"/>
      <c r="F122" s="29"/>
      <c r="G122" s="29"/>
      <c r="H122" s="29"/>
      <c r="I122" s="29"/>
    </row>
    <row r="123" spans="1:9" x14ac:dyDescent="0.2">
      <c r="A123" s="86"/>
      <c r="B123" s="29"/>
      <c r="C123" s="29"/>
      <c r="D123" s="29"/>
      <c r="E123" s="29"/>
      <c r="F123" s="29"/>
      <c r="G123" s="29"/>
      <c r="H123" s="29"/>
      <c r="I123" s="29"/>
    </row>
    <row r="124" spans="1:9" x14ac:dyDescent="0.2">
      <c r="A124" s="86"/>
      <c r="B124" s="29"/>
      <c r="C124" s="29"/>
      <c r="D124" s="29"/>
      <c r="E124" s="29"/>
      <c r="F124" s="29"/>
      <c r="G124" s="29"/>
      <c r="H124" s="29"/>
      <c r="I124" s="29"/>
    </row>
    <row r="125" spans="1:9" x14ac:dyDescent="0.2">
      <c r="A125" s="1109" t="s">
        <v>1128</v>
      </c>
      <c r="B125" s="29"/>
      <c r="C125" s="29"/>
      <c r="D125" s="29"/>
      <c r="E125" s="29"/>
      <c r="F125" s="29"/>
      <c r="G125" s="29"/>
      <c r="H125" s="29"/>
      <c r="I125" s="29"/>
    </row>
    <row r="126" spans="1:9" x14ac:dyDescent="0.2">
      <c r="A126" s="1109"/>
      <c r="B126" s="29"/>
      <c r="C126" s="29"/>
      <c r="D126" s="29"/>
      <c r="E126" s="29"/>
      <c r="F126" s="29"/>
      <c r="G126" s="29"/>
      <c r="H126" s="29"/>
      <c r="I126" s="29"/>
    </row>
    <row r="127" spans="1:9" x14ac:dyDescent="0.2">
      <c r="A127" s="86" t="s">
        <v>1121</v>
      </c>
      <c r="B127" s="29"/>
      <c r="C127" s="29"/>
      <c r="D127" s="29"/>
      <c r="E127" s="29"/>
      <c r="F127" s="29"/>
      <c r="G127" s="29"/>
      <c r="H127" s="29"/>
      <c r="I127" s="29"/>
    </row>
    <row r="128" spans="1:9" x14ac:dyDescent="0.2">
      <c r="A128" s="86"/>
      <c r="B128" s="1745" t="s">
        <v>1118</v>
      </c>
      <c r="C128" s="1745"/>
      <c r="D128" s="1117" t="s">
        <v>1125</v>
      </c>
      <c r="E128" s="1745" t="s">
        <v>890</v>
      </c>
      <c r="F128" s="1745"/>
      <c r="G128" s="29"/>
      <c r="H128" s="29"/>
      <c r="I128" s="29"/>
    </row>
    <row r="129" spans="1:9" x14ac:dyDescent="0.2">
      <c r="A129" s="676" t="s">
        <v>1130</v>
      </c>
      <c r="B129" s="1115" t="s">
        <v>1129</v>
      </c>
      <c r="C129" s="1115" t="s">
        <v>1131</v>
      </c>
      <c r="D129" s="1116">
        <v>42324</v>
      </c>
      <c r="E129" s="1747" t="s">
        <v>1132</v>
      </c>
      <c r="F129" s="1747"/>
      <c r="G129" s="29"/>
      <c r="H129" s="29"/>
      <c r="I129" s="29"/>
    </row>
    <row r="130" spans="1:9" x14ac:dyDescent="0.2">
      <c r="A130" s="676" t="s">
        <v>1133</v>
      </c>
      <c r="B130" s="1115" t="s">
        <v>1135</v>
      </c>
      <c r="C130" s="1115" t="s">
        <v>1134</v>
      </c>
      <c r="D130" s="1116">
        <v>42335</v>
      </c>
      <c r="E130" s="1747" t="s">
        <v>384</v>
      </c>
      <c r="F130" s="1747"/>
      <c r="G130" s="29"/>
      <c r="H130" s="29"/>
      <c r="I130" s="29"/>
    </row>
    <row r="131" spans="1:9" x14ac:dyDescent="0.2">
      <c r="A131" s="86"/>
      <c r="B131" s="29"/>
      <c r="C131" s="29"/>
      <c r="D131" s="29"/>
      <c r="E131" s="29"/>
      <c r="F131" s="29"/>
      <c r="G131" s="29"/>
      <c r="H131" s="29"/>
      <c r="I131" s="29"/>
    </row>
    <row r="132" spans="1:9" x14ac:dyDescent="0.2">
      <c r="A132" s="86"/>
      <c r="B132" s="29"/>
      <c r="C132" s="29"/>
      <c r="D132" s="29"/>
      <c r="E132" s="29"/>
      <c r="F132" s="29"/>
      <c r="G132" s="29"/>
      <c r="H132" s="29"/>
      <c r="I132" s="29"/>
    </row>
    <row r="133" spans="1:9" ht="15" x14ac:dyDescent="0.2">
      <c r="A133" s="1120" t="s">
        <v>1136</v>
      </c>
      <c r="B133" s="29"/>
      <c r="C133" s="29"/>
      <c r="D133" s="29"/>
      <c r="E133" s="29"/>
      <c r="F133" s="29"/>
      <c r="G133" s="29"/>
      <c r="H133" s="29"/>
      <c r="I133" s="29"/>
    </row>
    <row r="134" spans="1:9" x14ac:dyDescent="0.2">
      <c r="A134" s="482"/>
      <c r="B134" s="29"/>
      <c r="C134" s="29"/>
      <c r="D134" s="29"/>
      <c r="E134" s="29"/>
      <c r="F134" s="29"/>
      <c r="G134" s="29"/>
      <c r="H134" s="29"/>
      <c r="I134" s="29"/>
    </row>
    <row r="135" spans="1:9" x14ac:dyDescent="0.2">
      <c r="A135" s="1109" t="s">
        <v>1127</v>
      </c>
      <c r="B135" s="29"/>
      <c r="C135" s="29"/>
      <c r="D135" s="29"/>
      <c r="E135" s="29"/>
      <c r="F135" s="29"/>
      <c r="G135" s="29"/>
      <c r="H135" s="29"/>
      <c r="I135" s="29"/>
    </row>
    <row r="136" spans="1:9" x14ac:dyDescent="0.2">
      <c r="A136" s="86"/>
      <c r="B136" s="29"/>
      <c r="C136" s="29"/>
      <c r="D136" s="29"/>
      <c r="E136" s="29"/>
      <c r="F136" s="29"/>
      <c r="G136" s="29"/>
      <c r="H136" s="29"/>
      <c r="I136" s="29"/>
    </row>
    <row r="137" spans="1:9" x14ac:dyDescent="0.2">
      <c r="A137" s="86"/>
      <c r="B137" s="1745" t="s">
        <v>1118</v>
      </c>
      <c r="C137" s="1745"/>
      <c r="D137" s="1113" t="s">
        <v>947</v>
      </c>
      <c r="E137" s="1746"/>
      <c r="F137" s="1746"/>
      <c r="G137" s="29"/>
      <c r="H137" s="29"/>
      <c r="I137" s="29"/>
    </row>
    <row r="138" spans="1:9" x14ac:dyDescent="0.2">
      <c r="A138" s="676" t="s">
        <v>1138</v>
      </c>
      <c r="B138" s="1114" t="s">
        <v>1137</v>
      </c>
      <c r="C138" s="1115" t="s">
        <v>1141</v>
      </c>
      <c r="D138" s="1113" t="s">
        <v>384</v>
      </c>
      <c r="E138" s="29"/>
      <c r="F138" s="29"/>
      <c r="G138" s="29"/>
      <c r="H138" s="29"/>
      <c r="I138" s="29"/>
    </row>
    <row r="139" spans="1:9" x14ac:dyDescent="0.2">
      <c r="A139" s="676" t="s">
        <v>1140</v>
      </c>
      <c r="B139" s="1114" t="s">
        <v>1139</v>
      </c>
      <c r="C139" s="1115" t="s">
        <v>1142</v>
      </c>
      <c r="D139" s="1113" t="s">
        <v>500</v>
      </c>
      <c r="E139" s="29"/>
      <c r="F139" s="29"/>
      <c r="G139" s="29"/>
      <c r="H139" s="29"/>
      <c r="I139" s="29"/>
    </row>
    <row r="140" spans="1:9" x14ac:dyDescent="0.2">
      <c r="A140" s="86"/>
      <c r="B140" s="29"/>
      <c r="C140" s="29"/>
      <c r="D140" s="29"/>
      <c r="E140" s="29"/>
      <c r="F140" s="29"/>
      <c r="G140" s="29"/>
      <c r="H140" s="29"/>
      <c r="I140" s="29"/>
    </row>
    <row r="141" spans="1:9" x14ac:dyDescent="0.2">
      <c r="A141" s="86"/>
      <c r="B141" s="29"/>
      <c r="C141" s="29"/>
      <c r="D141" s="29"/>
      <c r="E141" s="29"/>
      <c r="F141" s="29"/>
      <c r="G141" s="29"/>
      <c r="H141" s="29"/>
      <c r="I141" s="29"/>
    </row>
    <row r="142" spans="1:9" x14ac:dyDescent="0.2">
      <c r="A142" s="86"/>
      <c r="B142" s="29"/>
      <c r="C142" s="29"/>
      <c r="D142" s="29"/>
      <c r="E142" s="29"/>
      <c r="F142" s="29"/>
      <c r="G142" s="29"/>
      <c r="H142" s="29"/>
      <c r="I142" s="29"/>
    </row>
    <row r="143" spans="1:9" x14ac:dyDescent="0.2">
      <c r="A143" s="86"/>
      <c r="B143" s="29"/>
      <c r="C143" s="29"/>
      <c r="D143" s="29"/>
      <c r="E143" s="29"/>
      <c r="F143" s="29"/>
      <c r="G143" s="29"/>
      <c r="H143" s="29"/>
      <c r="I143" s="29"/>
    </row>
    <row r="144" spans="1:9" x14ac:dyDescent="0.2">
      <c r="A144" s="86"/>
      <c r="B144" s="29"/>
      <c r="C144" s="29"/>
      <c r="D144" s="29"/>
      <c r="E144" s="29"/>
      <c r="F144" s="29"/>
      <c r="G144" s="29"/>
      <c r="H144" s="29"/>
      <c r="I144" s="29"/>
    </row>
    <row r="145" spans="1:9" x14ac:dyDescent="0.2">
      <c r="A145" s="86"/>
      <c r="B145" s="29"/>
      <c r="C145" s="29"/>
      <c r="D145" s="29"/>
      <c r="E145" s="29"/>
      <c r="F145" s="29"/>
      <c r="G145" s="29"/>
      <c r="H145" s="29"/>
      <c r="I145" s="29"/>
    </row>
    <row r="146" spans="1:9" x14ac:dyDescent="0.2">
      <c r="A146" s="86"/>
      <c r="B146" s="29"/>
      <c r="C146" s="29"/>
      <c r="D146" s="29"/>
      <c r="E146" s="29"/>
      <c r="F146" s="29"/>
      <c r="G146" s="29"/>
      <c r="H146" s="29"/>
      <c r="I146" s="29"/>
    </row>
    <row r="147" spans="1:9" x14ac:dyDescent="0.2">
      <c r="A147" s="86"/>
      <c r="B147" s="29"/>
      <c r="C147" s="29"/>
      <c r="D147" s="29"/>
      <c r="E147" s="29"/>
      <c r="F147" s="29"/>
      <c r="G147" s="29"/>
      <c r="H147" s="29"/>
      <c r="I147" s="29"/>
    </row>
    <row r="148" spans="1:9" x14ac:dyDescent="0.2">
      <c r="A148" s="86"/>
      <c r="B148" s="29"/>
      <c r="C148" s="29"/>
      <c r="D148" s="29"/>
      <c r="E148" s="29"/>
      <c r="F148" s="29"/>
      <c r="G148" s="29"/>
      <c r="H148" s="29"/>
      <c r="I148" s="29"/>
    </row>
    <row r="149" spans="1:9" x14ac:dyDescent="0.2">
      <c r="A149" s="86"/>
      <c r="B149" s="29"/>
      <c r="C149" s="29"/>
      <c r="D149" s="29"/>
      <c r="E149" s="29"/>
      <c r="F149" s="29"/>
      <c r="G149" s="29"/>
      <c r="H149" s="29"/>
      <c r="I149" s="29"/>
    </row>
    <row r="150" spans="1:9" x14ac:dyDescent="0.2">
      <c r="A150" s="86"/>
      <c r="B150" s="29"/>
      <c r="C150" s="29"/>
      <c r="D150" s="29"/>
      <c r="E150" s="29"/>
      <c r="F150" s="29"/>
      <c r="G150" s="29"/>
      <c r="H150" s="29"/>
      <c r="I150" s="29"/>
    </row>
    <row r="151" spans="1:9" x14ac:dyDescent="0.2">
      <c r="A151" s="86"/>
      <c r="B151" s="29"/>
      <c r="C151" s="29"/>
      <c r="D151" s="29"/>
      <c r="E151" s="29"/>
      <c r="F151" s="29"/>
      <c r="G151" s="29"/>
      <c r="H151" s="29"/>
      <c r="I151" s="29"/>
    </row>
    <row r="152" spans="1:9" x14ac:dyDescent="0.2">
      <c r="A152" s="86"/>
      <c r="B152" s="29"/>
      <c r="C152" s="29"/>
      <c r="D152" s="29"/>
      <c r="E152" s="29"/>
      <c r="F152" s="29"/>
      <c r="G152" s="29"/>
      <c r="H152" s="29"/>
      <c r="I152" s="29"/>
    </row>
    <row r="153" spans="1:9" x14ac:dyDescent="0.2">
      <c r="A153" s="86"/>
      <c r="B153" s="29"/>
      <c r="C153" s="29"/>
      <c r="D153" s="29"/>
      <c r="E153" s="29"/>
      <c r="F153" s="29"/>
      <c r="G153" s="29"/>
      <c r="H153" s="29"/>
      <c r="I153" s="29"/>
    </row>
    <row r="154" spans="1:9" x14ac:dyDescent="0.2">
      <c r="A154" s="86"/>
      <c r="B154" s="29"/>
      <c r="C154" s="29"/>
      <c r="D154" s="29"/>
      <c r="E154" s="29"/>
      <c r="F154" s="29"/>
      <c r="G154" s="29"/>
      <c r="H154" s="29"/>
      <c r="I154" s="29"/>
    </row>
    <row r="155" spans="1:9" x14ac:dyDescent="0.2">
      <c r="A155" s="86"/>
      <c r="B155" s="29"/>
      <c r="C155" s="29"/>
      <c r="D155" s="29"/>
      <c r="E155" s="29"/>
      <c r="F155" s="29"/>
      <c r="G155" s="29"/>
      <c r="H155" s="29"/>
      <c r="I155" s="29"/>
    </row>
    <row r="157" spans="1:9" x14ac:dyDescent="0.2">
      <c r="A157" s="62" t="s">
        <v>838</v>
      </c>
    </row>
    <row r="158" spans="1:9" x14ac:dyDescent="0.2">
      <c r="A158" s="577" t="s">
        <v>1050</v>
      </c>
    </row>
    <row r="159" spans="1:9" x14ac:dyDescent="0.2">
      <c r="A159" s="577" t="s">
        <v>1052</v>
      </c>
    </row>
    <row r="160" spans="1:9" x14ac:dyDescent="0.2">
      <c r="A160" s="577" t="s">
        <v>1051</v>
      </c>
    </row>
    <row r="161" spans="1:1" x14ac:dyDescent="0.2">
      <c r="A161" s="577" t="s">
        <v>1054</v>
      </c>
    </row>
    <row r="162" spans="1:1" x14ac:dyDescent="0.2">
      <c r="A162" s="577" t="s">
        <v>1055</v>
      </c>
    </row>
    <row r="164" spans="1:1" x14ac:dyDescent="0.2">
      <c r="A164" s="1071" t="s">
        <v>852</v>
      </c>
    </row>
    <row r="165" spans="1:1" x14ac:dyDescent="0.2">
      <c r="A165" s="577" t="s">
        <v>1051</v>
      </c>
    </row>
    <row r="166" spans="1:1" x14ac:dyDescent="0.2">
      <c r="A166" s="577" t="s">
        <v>1056</v>
      </c>
    </row>
    <row r="167" spans="1:1" x14ac:dyDescent="0.2">
      <c r="A167" s="577" t="s">
        <v>1057</v>
      </c>
    </row>
    <row r="169" spans="1:1" x14ac:dyDescent="0.2">
      <c r="A169" s="1071" t="s">
        <v>874</v>
      </c>
    </row>
    <row r="170" spans="1:1" x14ac:dyDescent="0.2">
      <c r="A170" s="577" t="s">
        <v>1050</v>
      </c>
    </row>
    <row r="171" spans="1:1" x14ac:dyDescent="0.2">
      <c r="A171" s="577" t="s">
        <v>1058</v>
      </c>
    </row>
    <row r="172" spans="1:1" x14ac:dyDescent="0.2">
      <c r="A172" s="577" t="s">
        <v>1059</v>
      </c>
    </row>
    <row r="173" spans="1:1" x14ac:dyDescent="0.2">
      <c r="A173" s="577" t="s">
        <v>1060</v>
      </c>
    </row>
    <row r="174" spans="1:1" x14ac:dyDescent="0.2">
      <c r="A174" s="577" t="s">
        <v>1061</v>
      </c>
    </row>
    <row r="175" spans="1:1" x14ac:dyDescent="0.2">
      <c r="A175" s="577" t="s">
        <v>1062</v>
      </c>
    </row>
    <row r="177" spans="1:3" x14ac:dyDescent="0.2">
      <c r="A177" s="577" t="s">
        <v>905</v>
      </c>
    </row>
    <row r="178" spans="1:3" x14ac:dyDescent="0.2">
      <c r="A178" s="577" t="s">
        <v>1050</v>
      </c>
    </row>
    <row r="179" spans="1:3" x14ac:dyDescent="0.2">
      <c r="A179" s="577" t="s">
        <v>1065</v>
      </c>
    </row>
    <row r="180" spans="1:3" x14ac:dyDescent="0.2">
      <c r="A180" s="577" t="s">
        <v>1064</v>
      </c>
    </row>
    <row r="181" spans="1:3" x14ac:dyDescent="0.2">
      <c r="A181" s="577" t="s">
        <v>1063</v>
      </c>
    </row>
    <row r="185" spans="1:3" x14ac:dyDescent="0.2">
      <c r="A185" s="62" t="s">
        <v>1087</v>
      </c>
    </row>
    <row r="186" spans="1:3" x14ac:dyDescent="0.2">
      <c r="B186" s="568" t="s">
        <v>1088</v>
      </c>
      <c r="C186" s="568" t="s">
        <v>1089</v>
      </c>
    </row>
    <row r="187" spans="1:3" x14ac:dyDescent="0.2">
      <c r="A187" s="483" t="s">
        <v>1076</v>
      </c>
      <c r="B187" s="25">
        <v>447000</v>
      </c>
      <c r="C187" s="25">
        <f>+B187/12</f>
        <v>37250</v>
      </c>
    </row>
    <row r="188" spans="1:3" x14ac:dyDescent="0.2">
      <c r="A188" s="483" t="s">
        <v>1077</v>
      </c>
      <c r="B188" s="25">
        <v>2185</v>
      </c>
      <c r="C188" s="25">
        <f t="shared" ref="C188:C199" si="12">+B188/12</f>
        <v>182.08333333333334</v>
      </c>
    </row>
    <row r="189" spans="1:3" x14ac:dyDescent="0.2">
      <c r="A189" s="483" t="s">
        <v>1078</v>
      </c>
      <c r="B189" s="25">
        <v>10881</v>
      </c>
      <c r="C189" s="25">
        <f t="shared" si="12"/>
        <v>906.75</v>
      </c>
    </row>
    <row r="190" spans="1:3" x14ac:dyDescent="0.2">
      <c r="A190" s="483" t="s">
        <v>1079</v>
      </c>
      <c r="B190" s="25">
        <v>70938</v>
      </c>
      <c r="C190" s="25">
        <f t="shared" si="12"/>
        <v>5911.5</v>
      </c>
    </row>
    <row r="191" spans="1:3" x14ac:dyDescent="0.2">
      <c r="A191" s="483" t="s">
        <v>1080</v>
      </c>
      <c r="B191" s="25">
        <v>21728</v>
      </c>
      <c r="C191" s="25">
        <f t="shared" si="12"/>
        <v>1810.6666666666667</v>
      </c>
    </row>
    <row r="192" spans="1:3" x14ac:dyDescent="0.2">
      <c r="A192" s="483" t="s">
        <v>1081</v>
      </c>
      <c r="B192" s="25">
        <f>229323*0.85</f>
        <v>194924.55</v>
      </c>
      <c r="C192" s="25">
        <v>26000</v>
      </c>
    </row>
    <row r="193" spans="1:4" x14ac:dyDescent="0.2">
      <c r="A193" s="483" t="s">
        <v>1082</v>
      </c>
      <c r="B193" s="25">
        <v>20870</v>
      </c>
      <c r="C193" s="25">
        <f t="shared" si="12"/>
        <v>1739.1666666666667</v>
      </c>
    </row>
    <row r="194" spans="1:4" x14ac:dyDescent="0.2">
      <c r="A194" s="483" t="s">
        <v>1083</v>
      </c>
      <c r="B194" s="25">
        <v>67582</v>
      </c>
      <c r="C194" s="25">
        <f t="shared" si="12"/>
        <v>5631.833333333333</v>
      </c>
    </row>
    <row r="195" spans="1:4" x14ac:dyDescent="0.2">
      <c r="A195" s="483" t="s">
        <v>1084</v>
      </c>
      <c r="B195" s="1083">
        <f>55651*0.95</f>
        <v>52868.45</v>
      </c>
      <c r="C195" s="25"/>
    </row>
    <row r="196" spans="1:4" x14ac:dyDescent="0.2">
      <c r="A196" s="483" t="s">
        <v>1085</v>
      </c>
      <c r="B196" s="25">
        <v>32647</v>
      </c>
      <c r="C196" s="25">
        <f t="shared" si="12"/>
        <v>2720.5833333333335</v>
      </c>
    </row>
    <row r="197" spans="1:4" x14ac:dyDescent="0.2">
      <c r="A197" s="483" t="s">
        <v>1086</v>
      </c>
      <c r="B197" s="25">
        <f>69599+80674</f>
        <v>150273</v>
      </c>
      <c r="C197" s="25">
        <f t="shared" si="12"/>
        <v>12522.75</v>
      </c>
    </row>
    <row r="198" spans="1:4" x14ac:dyDescent="0.2">
      <c r="A198" s="483" t="s">
        <v>1091</v>
      </c>
      <c r="B198" s="25">
        <v>780198</v>
      </c>
      <c r="C198" s="25">
        <f t="shared" si="12"/>
        <v>65016.5</v>
      </c>
    </row>
    <row r="199" spans="1:4" x14ac:dyDescent="0.2">
      <c r="A199" s="483" t="s">
        <v>961</v>
      </c>
      <c r="B199" s="25">
        <v>480704</v>
      </c>
      <c r="C199" s="25">
        <f t="shared" si="12"/>
        <v>40058.666666666664</v>
      </c>
    </row>
    <row r="200" spans="1:4" x14ac:dyDescent="0.2">
      <c r="A200" s="483" t="s">
        <v>1090</v>
      </c>
      <c r="B200" s="25">
        <v>232000</v>
      </c>
      <c r="C200" s="25">
        <f>+B200/12</f>
        <v>19333.333333333332</v>
      </c>
    </row>
    <row r="201" spans="1:4" x14ac:dyDescent="0.2">
      <c r="A201" s="483"/>
      <c r="B201" s="25"/>
      <c r="C201" s="25"/>
    </row>
    <row r="203" spans="1:4" x14ac:dyDescent="0.2">
      <c r="A203" s="483" t="s">
        <v>888</v>
      </c>
      <c r="B203" s="495">
        <f>SUM(B187:B202)</f>
        <v>2564799</v>
      </c>
      <c r="C203" s="495">
        <f>SUM(C187:C202)</f>
        <v>219083.83333333331</v>
      </c>
      <c r="D203" s="495">
        <f>+C203*3</f>
        <v>657251.5</v>
      </c>
    </row>
    <row r="204" spans="1:4" x14ac:dyDescent="0.2">
      <c r="B204" s="194">
        <f>SUM(B187:B199)/12</f>
        <v>194399.91666666666</v>
      </c>
      <c r="C204" s="495">
        <f>SUM(C187:C199)</f>
        <v>199750.49999999997</v>
      </c>
      <c r="D204" s="495">
        <f>+C204</f>
        <v>199750.49999999997</v>
      </c>
    </row>
    <row r="205" spans="1:4" x14ac:dyDescent="0.2">
      <c r="B205" s="194">
        <f>+B204+B200/4</f>
        <v>252399.91666666666</v>
      </c>
      <c r="C205" s="194">
        <f>C204+C200*3</f>
        <v>257750.49999999997</v>
      </c>
    </row>
    <row r="207" spans="1:4" x14ac:dyDescent="0.2">
      <c r="B207" s="194">
        <f>+B204*8+B205*4</f>
        <v>2564799</v>
      </c>
      <c r="C207" s="25">
        <f>50000+40000+26000+58000/3</f>
        <v>135333.33333333334</v>
      </c>
    </row>
  </sheetData>
  <mergeCells count="14">
    <mergeCell ref="B137:C137"/>
    <mergeCell ref="E137:F137"/>
    <mergeCell ref="B114:C114"/>
    <mergeCell ref="B120:C120"/>
    <mergeCell ref="B128:C128"/>
    <mergeCell ref="E128:F128"/>
    <mergeCell ref="E129:F129"/>
    <mergeCell ref="E130:F130"/>
    <mergeCell ref="E90:F90"/>
    <mergeCell ref="E91:F91"/>
    <mergeCell ref="B72:C72"/>
    <mergeCell ref="B82:C82"/>
    <mergeCell ref="B89:C89"/>
    <mergeCell ref="E89:F89"/>
  </mergeCells>
  <pageMargins left="1.9685039370078741" right="0.39370078740157483" top="0.19685039370078741" bottom="0.78740157480314965" header="0.51181102362204722" footer="0"/>
  <pageSetup paperSize="9" scale="8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3:O111"/>
  <sheetViews>
    <sheetView topLeftCell="A34" workbookViewId="0">
      <selection activeCell="B48" sqref="B48"/>
    </sheetView>
  </sheetViews>
  <sheetFormatPr defaultColWidth="11.42578125" defaultRowHeight="12.75" x14ac:dyDescent="0.2"/>
  <cols>
    <col min="1" max="1" width="40.5703125" customWidth="1"/>
    <col min="2" max="7" width="16.140625" customWidth="1"/>
    <col min="8" max="9" width="15.7109375" customWidth="1"/>
    <col min="10" max="10" width="12.85546875" bestFit="1" customWidth="1"/>
    <col min="11" max="11" width="14.7109375" bestFit="1" customWidth="1"/>
    <col min="12" max="15" width="11.85546875" bestFit="1" customWidth="1"/>
  </cols>
  <sheetData>
    <row r="3" spans="1:11" ht="13.5" thickBot="1" x14ac:dyDescent="0.25"/>
    <row r="4" spans="1:11" x14ac:dyDescent="0.2">
      <c r="A4" s="2"/>
      <c r="B4" s="3"/>
      <c r="C4" s="3"/>
      <c r="D4" s="3"/>
      <c r="E4" s="3"/>
      <c r="F4" s="3"/>
      <c r="G4" s="3"/>
      <c r="H4" s="119">
        <v>42265</v>
      </c>
      <c r="I4" s="60"/>
    </row>
    <row r="5" spans="1:11" x14ac:dyDescent="0.2">
      <c r="A5" s="5"/>
      <c r="B5" s="6"/>
      <c r="C5" s="6"/>
      <c r="D5" s="6"/>
      <c r="E5" s="6"/>
      <c r="F5" s="6"/>
      <c r="G5" s="6"/>
      <c r="H5" s="7"/>
      <c r="I5" s="6"/>
      <c r="J5">
        <v>100</v>
      </c>
      <c r="K5">
        <v>121</v>
      </c>
    </row>
    <row r="6" spans="1:11" ht="18" x14ac:dyDescent="0.25">
      <c r="A6" s="5"/>
      <c r="B6" s="505" t="s">
        <v>1068</v>
      </c>
      <c r="C6" s="6"/>
      <c r="D6" s="6"/>
      <c r="E6" s="6"/>
      <c r="F6" s="6"/>
      <c r="G6" s="6"/>
      <c r="H6" s="7"/>
      <c r="I6" s="6"/>
      <c r="K6">
        <f>+J5/K5</f>
        <v>0.82644628099173556</v>
      </c>
    </row>
    <row r="7" spans="1:11" x14ac:dyDescent="0.2">
      <c r="A7" s="5"/>
      <c r="B7" s="6"/>
      <c r="C7" s="6"/>
      <c r="D7" s="6"/>
      <c r="E7" s="6"/>
      <c r="F7" s="6"/>
      <c r="G7" s="6"/>
      <c r="H7" s="7"/>
      <c r="I7" s="6"/>
      <c r="J7">
        <v>14614496</v>
      </c>
      <c r="K7" s="1084">
        <v>17739897</v>
      </c>
    </row>
    <row r="8" spans="1:11" x14ac:dyDescent="0.2">
      <c r="A8" s="5"/>
      <c r="B8" s="6"/>
      <c r="C8" s="6"/>
      <c r="D8" s="6"/>
      <c r="E8" s="6"/>
      <c r="F8" s="6"/>
      <c r="G8" s="6"/>
      <c r="H8" s="7"/>
      <c r="I8" s="6"/>
      <c r="K8">
        <f>+J7/K7</f>
        <v>0.82382079219512938</v>
      </c>
    </row>
    <row r="9" spans="1:11" x14ac:dyDescent="0.2">
      <c r="A9" s="5"/>
      <c r="B9" s="6"/>
      <c r="C9" s="482"/>
      <c r="D9" s="482"/>
      <c r="E9" s="6"/>
      <c r="F9" s="6"/>
      <c r="G9" s="6"/>
      <c r="H9" s="7"/>
      <c r="I9" s="6"/>
    </row>
    <row r="10" spans="1:11" x14ac:dyDescent="0.2">
      <c r="A10" s="5"/>
      <c r="B10" s="6"/>
      <c r="C10" s="6"/>
      <c r="D10" s="6"/>
      <c r="E10" s="6"/>
      <c r="F10" s="6"/>
      <c r="G10" s="6"/>
      <c r="H10" s="7"/>
      <c r="I10" s="6"/>
    </row>
    <row r="11" spans="1:11" ht="13.5" thickBot="1" x14ac:dyDescent="0.25">
      <c r="A11" s="11"/>
      <c r="B11" s="12"/>
      <c r="C11" s="12"/>
      <c r="D11" s="12"/>
      <c r="E11" s="12"/>
      <c r="F11" s="12"/>
      <c r="G11" s="12"/>
      <c r="H11" s="130"/>
      <c r="I11" s="6"/>
    </row>
    <row r="12" spans="1:11" x14ac:dyDescent="0.2">
      <c r="A12" s="5"/>
      <c r="B12" s="205" t="s">
        <v>44</v>
      </c>
      <c r="C12" s="205" t="s">
        <v>21</v>
      </c>
      <c r="D12" s="205" t="s">
        <v>22</v>
      </c>
      <c r="E12" s="205" t="s">
        <v>23</v>
      </c>
      <c r="F12" s="205" t="s">
        <v>24</v>
      </c>
      <c r="G12" s="205" t="s">
        <v>35</v>
      </c>
      <c r="H12" s="561" t="s">
        <v>36</v>
      </c>
      <c r="I12" s="96"/>
    </row>
    <row r="13" spans="1:11" ht="13.5" thickBot="1" x14ac:dyDescent="0.25">
      <c r="A13" s="5"/>
      <c r="B13" s="27"/>
      <c r="C13" s="27"/>
      <c r="D13" s="27"/>
      <c r="E13" s="27"/>
      <c r="F13" s="27"/>
      <c r="G13" s="27"/>
      <c r="H13" s="27"/>
      <c r="I13" s="93"/>
    </row>
    <row r="14" spans="1:11" x14ac:dyDescent="0.2">
      <c r="A14" s="2"/>
      <c r="B14" s="33"/>
      <c r="C14" s="31"/>
      <c r="D14" s="31"/>
      <c r="E14" s="31"/>
      <c r="F14" s="31"/>
      <c r="G14" s="31"/>
      <c r="H14" s="31"/>
      <c r="I14" s="29"/>
      <c r="J14">
        <v>100</v>
      </c>
      <c r="K14">
        <v>121</v>
      </c>
    </row>
    <row r="15" spans="1:11" ht="15.75" x14ac:dyDescent="0.25">
      <c r="A15" s="43" t="s">
        <v>18</v>
      </c>
      <c r="B15" s="45">
        <f t="shared" ref="B15:H15" si="0">B17+B18</f>
        <v>-330470</v>
      </c>
      <c r="C15" s="44">
        <f t="shared" si="0"/>
        <v>-657501</v>
      </c>
      <c r="D15" s="44">
        <f t="shared" si="0"/>
        <v>-618001.5</v>
      </c>
      <c r="E15" s="44">
        <f t="shared" si="0"/>
        <v>-703684.99</v>
      </c>
      <c r="F15" s="44">
        <f t="shared" si="0"/>
        <v>-698960.49</v>
      </c>
      <c r="G15" s="44">
        <f t="shared" si="0"/>
        <v>-730973.99</v>
      </c>
      <c r="H15" s="44">
        <f t="shared" si="0"/>
        <v>-704019.49</v>
      </c>
      <c r="I15" s="122"/>
      <c r="K15">
        <v>777721</v>
      </c>
    </row>
    <row r="16" spans="1:11" ht="15.75" x14ac:dyDescent="0.25">
      <c r="A16" s="43"/>
      <c r="B16" s="45"/>
      <c r="C16" s="46"/>
      <c r="D16" s="46"/>
      <c r="E16" s="46"/>
      <c r="F16" s="46"/>
      <c r="G16" s="46"/>
      <c r="H16" s="46"/>
      <c r="I16" s="122"/>
    </row>
    <row r="17" spans="1:15" x14ac:dyDescent="0.2">
      <c r="A17" s="9" t="s">
        <v>19</v>
      </c>
      <c r="B17" s="34">
        <f>-284429-17644-19829-10568</f>
        <v>-332470</v>
      </c>
      <c r="C17" s="34">
        <f t="shared" ref="C17:H17" si="1">B56</f>
        <v>-659501</v>
      </c>
      <c r="D17" s="34">
        <f t="shared" si="1"/>
        <v>-620001.5</v>
      </c>
      <c r="E17" s="34">
        <f t="shared" si="1"/>
        <v>-705684.99</v>
      </c>
      <c r="F17" s="34">
        <f t="shared" si="1"/>
        <v>-700960.49</v>
      </c>
      <c r="G17" s="34">
        <f t="shared" si="1"/>
        <v>-732973.99</v>
      </c>
      <c r="H17" s="34">
        <f t="shared" si="1"/>
        <v>-706019.49</v>
      </c>
      <c r="I17" s="29"/>
      <c r="K17">
        <f>J14/K14</f>
        <v>0.82644628099173556</v>
      </c>
    </row>
    <row r="18" spans="1:15" x14ac:dyDescent="0.2">
      <c r="A18" s="9" t="s">
        <v>20</v>
      </c>
      <c r="B18" s="34">
        <v>2000</v>
      </c>
      <c r="C18" s="34">
        <f>B57</f>
        <v>2000</v>
      </c>
      <c r="D18" s="34">
        <f>B57</f>
        <v>2000</v>
      </c>
      <c r="E18" s="34">
        <v>2000</v>
      </c>
      <c r="F18" s="34">
        <f>B57</f>
        <v>2000</v>
      </c>
      <c r="G18" s="34">
        <f>B57</f>
        <v>2000</v>
      </c>
      <c r="H18" s="34">
        <f>C57</f>
        <v>2000</v>
      </c>
      <c r="I18" s="29"/>
    </row>
    <row r="19" spans="1:15" x14ac:dyDescent="0.2">
      <c r="A19" s="9"/>
      <c r="B19" s="34"/>
      <c r="C19" s="31"/>
      <c r="D19" s="31"/>
      <c r="E19" s="31"/>
      <c r="F19" s="31"/>
      <c r="G19" s="31"/>
      <c r="H19" s="31"/>
      <c r="I19" s="29"/>
    </row>
    <row r="20" spans="1:15" ht="13.5" thickBot="1" x14ac:dyDescent="0.25">
      <c r="A20" s="11"/>
      <c r="B20" s="35"/>
      <c r="C20" s="31"/>
      <c r="D20" s="31"/>
      <c r="E20" s="31"/>
      <c r="F20" s="31"/>
      <c r="G20" s="31"/>
      <c r="H20" s="31"/>
      <c r="I20" s="29"/>
    </row>
    <row r="21" spans="1:15" x14ac:dyDescent="0.2">
      <c r="A21" s="5"/>
      <c r="B21" s="33"/>
      <c r="C21" s="33"/>
      <c r="D21" s="33"/>
      <c r="E21" s="33"/>
      <c r="F21" s="33"/>
      <c r="G21" s="33"/>
      <c r="H21" s="33"/>
      <c r="I21" s="29"/>
    </row>
    <row r="22" spans="1:15" ht="15.75" x14ac:dyDescent="0.25">
      <c r="A22" s="43" t="s">
        <v>25</v>
      </c>
      <c r="B22" s="45">
        <f>B24+B27+B33+B29+B28+B30+B34+B25+B26+B31+B32</f>
        <v>1207356</v>
      </c>
      <c r="C22" s="45">
        <f t="shared" ref="C22:H22" si="2">C24+C27+C33+C29+C28+C30+C34+C25+C26+C31+C32</f>
        <v>1965500.5</v>
      </c>
      <c r="D22" s="45">
        <f t="shared" si="2"/>
        <v>1840683.49</v>
      </c>
      <c r="E22" s="45">
        <f t="shared" si="2"/>
        <v>1700275.5</v>
      </c>
      <c r="F22" s="45">
        <f t="shared" si="2"/>
        <v>1737013.5</v>
      </c>
      <c r="G22" s="45">
        <f t="shared" si="2"/>
        <v>1678045.5</v>
      </c>
      <c r="H22" s="45">
        <f t="shared" si="2"/>
        <v>1669013.5</v>
      </c>
      <c r="I22" s="42">
        <f t="shared" ref="I22:N22" si="3">(C24+C27+C28+C29+C30)</f>
        <v>1643487</v>
      </c>
      <c r="J22" s="42">
        <f t="shared" si="3"/>
        <v>1567637.99</v>
      </c>
      <c r="K22" s="42">
        <f t="shared" si="3"/>
        <v>1436262</v>
      </c>
      <c r="L22" s="42">
        <f t="shared" si="3"/>
        <v>1415000</v>
      </c>
      <c r="M22" s="42">
        <f t="shared" si="3"/>
        <v>1405000</v>
      </c>
      <c r="N22" s="42">
        <f t="shared" si="3"/>
        <v>1405000</v>
      </c>
      <c r="O22" s="42">
        <f>SUM(I22:N22)</f>
        <v>8872386.9900000002</v>
      </c>
    </row>
    <row r="23" spans="1:15" ht="15.75" x14ac:dyDescent="0.25">
      <c r="A23" s="43"/>
      <c r="B23" s="45"/>
      <c r="C23" s="45"/>
      <c r="D23" s="45"/>
      <c r="E23" s="45"/>
      <c r="F23" s="45"/>
      <c r="G23" s="45"/>
      <c r="H23" s="45"/>
      <c r="I23" s="1082">
        <f t="shared" ref="I23:N23" si="4">I22/(C37)</f>
        <v>0.81969426433915216</v>
      </c>
      <c r="J23" s="1082">
        <f t="shared" si="4"/>
        <v>0.89324101994301996</v>
      </c>
      <c r="K23" s="1082">
        <f t="shared" si="4"/>
        <v>0.84238240469208214</v>
      </c>
      <c r="L23" s="1082">
        <f t="shared" si="4"/>
        <v>0.8299120234604106</v>
      </c>
      <c r="M23" s="1082">
        <f t="shared" si="4"/>
        <v>0.82404692082111441</v>
      </c>
      <c r="N23" s="1082">
        <f t="shared" si="4"/>
        <v>0.84894259818731121</v>
      </c>
    </row>
    <row r="24" spans="1:15" x14ac:dyDescent="0.2">
      <c r="A24" s="10" t="s">
        <v>133</v>
      </c>
      <c r="B24" s="120">
        <v>720823</v>
      </c>
      <c r="C24" s="120">
        <f>1319164+17890+17700-20000-4670</f>
        <v>1330084</v>
      </c>
      <c r="D24" s="120">
        <f>1123496+17800-20000-4670.01</f>
        <v>1116625.99</v>
      </c>
      <c r="E24" s="120">
        <v>1200000</v>
      </c>
      <c r="F24" s="120">
        <v>1000000</v>
      </c>
      <c r="G24" s="120">
        <v>1000000</v>
      </c>
      <c r="H24" s="120">
        <v>1000000</v>
      </c>
      <c r="I24" s="1085"/>
    </row>
    <row r="25" spans="1:15" x14ac:dyDescent="0.2">
      <c r="A25" s="491" t="s">
        <v>804</v>
      </c>
      <c r="B25" s="120">
        <f>676+1349+1398</f>
        <v>3423</v>
      </c>
      <c r="C25" s="120">
        <f>6088+1349+1398</f>
        <v>8835</v>
      </c>
      <c r="D25" s="120">
        <v>8835</v>
      </c>
      <c r="E25" s="120">
        <v>8835</v>
      </c>
      <c r="F25" s="120">
        <v>8835</v>
      </c>
      <c r="G25" s="120">
        <v>8835</v>
      </c>
      <c r="H25" s="120">
        <v>8835</v>
      </c>
      <c r="I25" s="42">
        <f t="shared" ref="I25:N25" si="5">I22/1.18</f>
        <v>1392785.5932203392</v>
      </c>
      <c r="J25" s="42">
        <f t="shared" si="5"/>
        <v>1328506.7711864407</v>
      </c>
      <c r="K25" s="42">
        <f t="shared" si="5"/>
        <v>1217171.1864406781</v>
      </c>
      <c r="L25" s="42">
        <f t="shared" si="5"/>
        <v>1199152.5423728814</v>
      </c>
      <c r="M25" s="42">
        <f t="shared" si="5"/>
        <v>1190677.9661016951</v>
      </c>
      <c r="N25" s="42">
        <f t="shared" si="5"/>
        <v>1190677.9661016951</v>
      </c>
      <c r="O25" s="42">
        <f>SUM(I25:N25)</f>
        <v>7518972.0254237289</v>
      </c>
    </row>
    <row r="26" spans="1:15" x14ac:dyDescent="0.2">
      <c r="A26" s="491" t="s">
        <v>805</v>
      </c>
      <c r="B26" s="120">
        <v>24442</v>
      </c>
      <c r="C26" s="120">
        <v>24442</v>
      </c>
      <c r="D26" s="120">
        <v>24442</v>
      </c>
      <c r="E26" s="120">
        <v>24442</v>
      </c>
      <c r="F26" s="120">
        <v>24442</v>
      </c>
      <c r="G26" s="120">
        <v>24442</v>
      </c>
      <c r="H26" s="120">
        <v>24442</v>
      </c>
      <c r="I26" s="1082">
        <f t="shared" ref="I26:N26" si="6">+I25/(C37/1.18)</f>
        <v>0.81969426433915216</v>
      </c>
      <c r="J26" s="1082">
        <f t="shared" si="6"/>
        <v>0.89324101994301996</v>
      </c>
      <c r="K26" s="1082">
        <f t="shared" si="6"/>
        <v>0.84238240469208214</v>
      </c>
      <c r="L26" s="1082">
        <f t="shared" si="6"/>
        <v>0.8299120234604106</v>
      </c>
      <c r="M26" s="1082">
        <f t="shared" si="6"/>
        <v>0.82404692082111453</v>
      </c>
      <c r="N26" s="1082">
        <f t="shared" si="6"/>
        <v>0.84894259818731133</v>
      </c>
    </row>
    <row r="27" spans="1:15" x14ac:dyDescent="0.2">
      <c r="A27" s="10" t="s">
        <v>134</v>
      </c>
      <c r="B27" s="120">
        <f>0+29239+11286</f>
        <v>40525</v>
      </c>
      <c r="C27" s="120">
        <f>298063-68486-123000</f>
        <v>106577</v>
      </c>
      <c r="D27" s="729">
        <f>22432+27714</f>
        <v>50146</v>
      </c>
      <c r="E27" s="120">
        <v>100000</v>
      </c>
      <c r="F27" s="120">
        <v>150000</v>
      </c>
      <c r="G27" s="120">
        <v>150000</v>
      </c>
      <c r="H27" s="120">
        <v>150000</v>
      </c>
      <c r="I27" s="1085"/>
      <c r="N27" s="42">
        <f>SUM(I25:N25)</f>
        <v>7518972.0254237289</v>
      </c>
    </row>
    <row r="28" spans="1:15" s="58" customFormat="1" x14ac:dyDescent="0.2">
      <c r="A28" s="727" t="s">
        <v>359</v>
      </c>
      <c r="B28" s="728">
        <f>164119+88240</f>
        <v>252359</v>
      </c>
      <c r="C28" s="728">
        <f>216985-46266-37450</f>
        <v>133269</v>
      </c>
      <c r="D28" s="728">
        <f>299616</f>
        <v>299616</v>
      </c>
      <c r="E28" s="728">
        <v>51262</v>
      </c>
      <c r="F28" s="728">
        <v>180000</v>
      </c>
      <c r="G28" s="728">
        <v>170000</v>
      </c>
      <c r="H28" s="728">
        <v>170000</v>
      </c>
      <c r="I28" s="1086"/>
    </row>
    <row r="29" spans="1:15" x14ac:dyDescent="0.2">
      <c r="A29" s="10" t="s">
        <v>292</v>
      </c>
      <c r="B29" s="120">
        <v>35000</v>
      </c>
      <c r="C29" s="120">
        <v>35000</v>
      </c>
      <c r="D29" s="120">
        <v>50000</v>
      </c>
      <c r="E29" s="120">
        <v>50000</v>
      </c>
      <c r="F29" s="120">
        <v>50000</v>
      </c>
      <c r="G29" s="120">
        <v>50000</v>
      </c>
      <c r="H29" s="120">
        <v>50000</v>
      </c>
      <c r="I29" s="1085"/>
      <c r="K29">
        <v>194399.91666666666</v>
      </c>
    </row>
    <row r="30" spans="1:15" x14ac:dyDescent="0.2">
      <c r="A30" s="10" t="s">
        <v>358</v>
      </c>
      <c r="B30" s="120">
        <v>0</v>
      </c>
      <c r="C30" s="120">
        <v>38557</v>
      </c>
      <c r="D30" s="120">
        <v>51250</v>
      </c>
      <c r="E30" s="120">
        <v>35000</v>
      </c>
      <c r="F30" s="120">
        <v>35000</v>
      </c>
      <c r="G30" s="120">
        <v>35000</v>
      </c>
      <c r="H30" s="120">
        <v>35000</v>
      </c>
      <c r="I30" s="1085"/>
      <c r="K30">
        <v>234844.66666666666</v>
      </c>
    </row>
    <row r="31" spans="1:15" x14ac:dyDescent="0.2">
      <c r="A31" s="491" t="s">
        <v>806</v>
      </c>
      <c r="B31" s="120">
        <f>4770+6014</f>
        <v>10784</v>
      </c>
      <c r="C31" s="120">
        <f>4770+6216</f>
        <v>10986</v>
      </c>
      <c r="D31" s="120">
        <v>20018</v>
      </c>
      <c r="E31" s="120">
        <v>10986</v>
      </c>
      <c r="F31" s="120">
        <v>10986</v>
      </c>
      <c r="G31" s="120">
        <v>20018</v>
      </c>
      <c r="H31" s="120">
        <v>10986</v>
      </c>
      <c r="I31" s="1085"/>
    </row>
    <row r="32" spans="1:15" x14ac:dyDescent="0.2">
      <c r="A32" s="491" t="s">
        <v>1069</v>
      </c>
      <c r="B32" s="120">
        <v>20000</v>
      </c>
      <c r="C32" s="120">
        <v>20000</v>
      </c>
      <c r="D32" s="120">
        <v>20000</v>
      </c>
      <c r="E32" s="120">
        <v>20000</v>
      </c>
      <c r="F32" s="120">
        <v>20000</v>
      </c>
      <c r="G32" s="120">
        <v>20000</v>
      </c>
      <c r="H32" s="120">
        <v>20000</v>
      </c>
      <c r="I32" s="1085"/>
    </row>
    <row r="33" spans="1:13" x14ac:dyDescent="0.2">
      <c r="A33" s="10" t="s">
        <v>135</v>
      </c>
      <c r="B33" s="120">
        <f>50000+40000+10000</f>
        <v>100000</v>
      </c>
      <c r="C33" s="120">
        <v>257750.49999999997</v>
      </c>
      <c r="D33" s="120">
        <v>199750.49999999997</v>
      </c>
      <c r="E33" s="120">
        <v>199750.49999999997</v>
      </c>
      <c r="F33" s="120">
        <v>257750.49999999997</v>
      </c>
      <c r="G33" s="120">
        <v>199750.49999999997</v>
      </c>
      <c r="H33" s="120">
        <v>199750.49999999997</v>
      </c>
      <c r="I33" s="1085"/>
    </row>
    <row r="34" spans="1:13" x14ac:dyDescent="0.2">
      <c r="A34" s="10"/>
      <c r="B34" s="120"/>
      <c r="C34" s="120"/>
      <c r="D34" s="120"/>
      <c r="E34" s="120"/>
      <c r="F34" s="120"/>
      <c r="G34" s="120"/>
      <c r="H34" s="120"/>
      <c r="I34" s="1085"/>
    </row>
    <row r="35" spans="1:13" ht="13.5" thickBot="1" x14ac:dyDescent="0.25">
      <c r="A35" s="121"/>
      <c r="B35" s="35"/>
      <c r="C35" s="35"/>
      <c r="D35" s="35"/>
      <c r="E35" s="35"/>
      <c r="F35" s="35"/>
      <c r="G35" s="35"/>
      <c r="H35" s="35"/>
      <c r="I35" s="29"/>
    </row>
    <row r="36" spans="1:13" x14ac:dyDescent="0.2">
      <c r="A36" s="5"/>
      <c r="B36" s="33"/>
      <c r="C36" s="21"/>
      <c r="D36" s="21"/>
      <c r="E36" s="21"/>
      <c r="F36" s="21"/>
      <c r="G36" s="21"/>
      <c r="H36" s="21"/>
      <c r="I36" s="29"/>
    </row>
    <row r="37" spans="1:13" ht="15.75" x14ac:dyDescent="0.25">
      <c r="A37" s="43" t="s">
        <v>136</v>
      </c>
      <c r="B37" s="45">
        <f>B41+B48</f>
        <v>880325</v>
      </c>
      <c r="C37" s="45">
        <f t="shared" ref="C37:H37" si="7">C41+C48</f>
        <v>2005000</v>
      </c>
      <c r="D37" s="45">
        <f t="shared" si="7"/>
        <v>1755000</v>
      </c>
      <c r="E37" s="45">
        <f t="shared" si="7"/>
        <v>1705000</v>
      </c>
      <c r="F37" s="45">
        <f t="shared" si="7"/>
        <v>1705000</v>
      </c>
      <c r="G37" s="45">
        <f>G41+G48</f>
        <v>1705000</v>
      </c>
      <c r="H37" s="45">
        <f t="shared" si="7"/>
        <v>1655000</v>
      </c>
      <c r="I37" s="122"/>
      <c r="J37" s="1081">
        <f>SUM(C37:H37)</f>
        <v>10530000</v>
      </c>
      <c r="K37" s="722">
        <f>J37/1.18</f>
        <v>8923728.8135593217</v>
      </c>
      <c r="L37" s="42">
        <f>+K37-N27</f>
        <v>1404756.7881355928</v>
      </c>
      <c r="M37">
        <f>L37/N27</f>
        <v>0.18682830357470684</v>
      </c>
    </row>
    <row r="38" spans="1:13" ht="15.75" x14ac:dyDescent="0.25">
      <c r="A38" s="43"/>
      <c r="B38" s="45"/>
      <c r="C38" s="46"/>
      <c r="D38" s="46"/>
      <c r="E38" s="46"/>
      <c r="F38" s="46"/>
      <c r="G38" s="46"/>
      <c r="H38" s="46"/>
      <c r="I38" s="122"/>
    </row>
    <row r="39" spans="1:13" ht="13.5" thickBot="1" x14ac:dyDescent="0.25">
      <c r="A39" s="5"/>
      <c r="B39" s="35"/>
      <c r="C39" s="20"/>
      <c r="D39" s="20"/>
      <c r="E39" s="20"/>
      <c r="F39" s="20"/>
      <c r="G39" s="20"/>
      <c r="H39" s="20"/>
      <c r="I39" s="29"/>
    </row>
    <row r="40" spans="1:13" x14ac:dyDescent="0.2">
      <c r="A40" s="13"/>
      <c r="B40" s="21"/>
      <c r="C40" s="21"/>
      <c r="D40" s="21"/>
      <c r="E40" s="21"/>
      <c r="F40" s="21"/>
      <c r="G40" s="21"/>
      <c r="H40" s="21"/>
      <c r="I40" s="29"/>
      <c r="K40">
        <f>O25/K37</f>
        <v>0.8425818603988604</v>
      </c>
    </row>
    <row r="41" spans="1:13" ht="13.5" thickBot="1" x14ac:dyDescent="0.25">
      <c r="A41" s="14" t="s">
        <v>137</v>
      </c>
      <c r="B41" s="41">
        <f t="shared" ref="B41:H41" si="8">B43+B44+B45</f>
        <v>640325</v>
      </c>
      <c r="C41" s="41">
        <f t="shared" si="8"/>
        <v>1405000</v>
      </c>
      <c r="D41" s="41">
        <f t="shared" si="8"/>
        <v>1205000</v>
      </c>
      <c r="E41" s="41">
        <f t="shared" si="8"/>
        <v>1155000</v>
      </c>
      <c r="F41" s="41">
        <f t="shared" si="8"/>
        <v>1155000</v>
      </c>
      <c r="G41" s="41">
        <f t="shared" si="8"/>
        <v>1155000</v>
      </c>
      <c r="H41" s="41">
        <f t="shared" si="8"/>
        <v>1105000</v>
      </c>
      <c r="I41" s="123"/>
    </row>
    <row r="42" spans="1:13" x14ac:dyDescent="0.2">
      <c r="A42" s="14"/>
      <c r="B42" s="172"/>
      <c r="C42" s="504"/>
      <c r="D42" s="172"/>
      <c r="E42" s="504"/>
      <c r="F42" s="172"/>
      <c r="G42" s="504"/>
      <c r="H42" s="172"/>
      <c r="I42" s="123"/>
    </row>
    <row r="43" spans="1:13" x14ac:dyDescent="0.2">
      <c r="A43" s="15" t="s">
        <v>8</v>
      </c>
      <c r="B43" s="34">
        <v>480325</v>
      </c>
      <c r="C43" s="29">
        <v>1000000</v>
      </c>
      <c r="D43" s="34">
        <v>800000</v>
      </c>
      <c r="E43" s="29">
        <v>750000</v>
      </c>
      <c r="F43" s="34">
        <v>750000</v>
      </c>
      <c r="G43" s="29">
        <v>750000</v>
      </c>
      <c r="H43" s="34">
        <v>700000</v>
      </c>
      <c r="I43" s="29"/>
    </row>
    <row r="44" spans="1:13" x14ac:dyDescent="0.2">
      <c r="A44" s="15" t="s">
        <v>26</v>
      </c>
      <c r="B44" s="34">
        <v>160000</v>
      </c>
      <c r="C44" s="29">
        <v>400000</v>
      </c>
      <c r="D44" s="34">
        <v>400000</v>
      </c>
      <c r="E44" s="29">
        <v>400000</v>
      </c>
      <c r="F44" s="34">
        <v>400000</v>
      </c>
      <c r="G44" s="29">
        <v>400000</v>
      </c>
      <c r="H44" s="34">
        <v>400000</v>
      </c>
      <c r="I44" s="29"/>
      <c r="J44" s="495"/>
    </row>
    <row r="45" spans="1:13" x14ac:dyDescent="0.2">
      <c r="A45" s="15" t="s">
        <v>29</v>
      </c>
      <c r="B45" s="34"/>
      <c r="C45" s="29">
        <v>5000</v>
      </c>
      <c r="D45" s="34">
        <v>5000</v>
      </c>
      <c r="E45" s="29">
        <v>5000</v>
      </c>
      <c r="F45" s="34">
        <v>5000</v>
      </c>
      <c r="G45" s="29">
        <v>5000</v>
      </c>
      <c r="H45" s="34">
        <v>5000</v>
      </c>
      <c r="I45" s="29"/>
    </row>
    <row r="46" spans="1:13" x14ac:dyDescent="0.2">
      <c r="A46" s="15"/>
      <c r="B46" s="34"/>
      <c r="C46" s="29"/>
      <c r="D46" s="34"/>
      <c r="E46" s="29"/>
      <c r="F46" s="34"/>
      <c r="G46" s="29"/>
      <c r="H46" s="34"/>
      <c r="I46" s="29"/>
    </row>
    <row r="47" spans="1:13" x14ac:dyDescent="0.2">
      <c r="A47" s="15" t="s">
        <v>179</v>
      </c>
      <c r="B47" s="34"/>
      <c r="C47" s="29"/>
      <c r="D47" s="34"/>
      <c r="E47" s="29"/>
      <c r="F47" s="34"/>
      <c r="G47" s="29"/>
      <c r="H47" s="34"/>
      <c r="I47" s="29"/>
    </row>
    <row r="48" spans="1:13" x14ac:dyDescent="0.2">
      <c r="A48" s="14" t="s">
        <v>138</v>
      </c>
      <c r="B48" s="173">
        <v>240000</v>
      </c>
      <c r="C48" s="123">
        <v>600000</v>
      </c>
      <c r="D48" s="173">
        <v>550000</v>
      </c>
      <c r="E48" s="123">
        <v>550000</v>
      </c>
      <c r="F48" s="173">
        <v>550000</v>
      </c>
      <c r="G48" s="123">
        <v>550000</v>
      </c>
      <c r="H48" s="173">
        <v>550000</v>
      </c>
      <c r="I48" s="123"/>
    </row>
    <row r="49" spans="1:9" ht="13.5" thickBot="1" x14ac:dyDescent="0.25">
      <c r="A49" s="16"/>
      <c r="B49" s="35"/>
      <c r="C49" s="37"/>
      <c r="D49" s="35"/>
      <c r="E49" s="37"/>
      <c r="F49" s="35"/>
      <c r="G49" s="37"/>
      <c r="H49" s="35"/>
      <c r="I49" s="29"/>
    </row>
    <row r="50" spans="1:9" x14ac:dyDescent="0.2">
      <c r="A50" s="2"/>
      <c r="B50" s="21"/>
      <c r="C50" s="21"/>
      <c r="D50" s="21"/>
      <c r="E50" s="21"/>
      <c r="F50" s="21"/>
      <c r="G50" s="21"/>
      <c r="H50" s="21"/>
      <c r="I50" s="29"/>
    </row>
    <row r="51" spans="1:9" x14ac:dyDescent="0.2">
      <c r="A51" s="9" t="s">
        <v>27</v>
      </c>
      <c r="B51" s="34">
        <f t="shared" ref="B51:H51" si="9">B37-B22</f>
        <v>-327031</v>
      </c>
      <c r="C51" s="34">
        <f t="shared" si="9"/>
        <v>39499.5</v>
      </c>
      <c r="D51" s="34">
        <f t="shared" si="9"/>
        <v>-85683.489999999991</v>
      </c>
      <c r="E51" s="34">
        <f t="shared" si="9"/>
        <v>4724.5</v>
      </c>
      <c r="F51" s="34">
        <f t="shared" si="9"/>
        <v>-32013.5</v>
      </c>
      <c r="G51" s="34">
        <f>G37-G22</f>
        <v>26954.5</v>
      </c>
      <c r="H51" s="34">
        <f t="shared" si="9"/>
        <v>-14013.5</v>
      </c>
      <c r="I51" s="29"/>
    </row>
    <row r="52" spans="1:9" ht="13.5" thickBot="1" x14ac:dyDescent="0.25">
      <c r="A52" s="5"/>
      <c r="B52" s="19"/>
      <c r="C52" s="19"/>
      <c r="D52" s="19"/>
      <c r="E52" s="19"/>
      <c r="F52" s="19"/>
      <c r="G52" s="19"/>
      <c r="H52" s="19"/>
      <c r="I52" s="29"/>
    </row>
    <row r="53" spans="1:9" x14ac:dyDescent="0.2">
      <c r="A53" s="2"/>
      <c r="B53" s="33"/>
      <c r="C53" s="33"/>
      <c r="D53" s="33"/>
      <c r="E53" s="33"/>
      <c r="F53" s="33"/>
      <c r="G53" s="33"/>
      <c r="H53" s="33"/>
      <c r="I53" s="29"/>
    </row>
    <row r="54" spans="1:9" ht="16.5" thickBot="1" x14ac:dyDescent="0.3">
      <c r="A54" s="43" t="s">
        <v>28</v>
      </c>
      <c r="B54" s="171">
        <f t="shared" ref="B54:H54" si="10">B15+B51</f>
        <v>-657501</v>
      </c>
      <c r="C54" s="171">
        <f t="shared" si="10"/>
        <v>-618001.5</v>
      </c>
      <c r="D54" s="171">
        <f t="shared" si="10"/>
        <v>-703684.99</v>
      </c>
      <c r="E54" s="171">
        <f t="shared" si="10"/>
        <v>-698960.49</v>
      </c>
      <c r="F54" s="171">
        <f t="shared" si="10"/>
        <v>-730973.99</v>
      </c>
      <c r="G54" s="171">
        <f>G15+G51</f>
        <v>-704019.49</v>
      </c>
      <c r="H54" s="171">
        <f t="shared" si="10"/>
        <v>-718032.99</v>
      </c>
      <c r="I54" s="122"/>
    </row>
    <row r="55" spans="1:9" ht="16.5" thickBot="1" x14ac:dyDescent="0.3">
      <c r="A55" s="43"/>
      <c r="B55" s="122"/>
      <c r="C55" s="122"/>
      <c r="D55" s="122"/>
      <c r="E55" s="122"/>
      <c r="F55" s="122"/>
      <c r="G55" s="122"/>
      <c r="H55" s="122"/>
      <c r="I55" s="122"/>
    </row>
    <row r="56" spans="1:9" x14ac:dyDescent="0.2">
      <c r="A56" s="9" t="s">
        <v>19</v>
      </c>
      <c r="B56" s="33">
        <f t="shared" ref="B56:H56" si="11">B54-B57</f>
        <v>-659501</v>
      </c>
      <c r="C56" s="33">
        <f t="shared" si="11"/>
        <v>-620001.5</v>
      </c>
      <c r="D56" s="33">
        <f t="shared" si="11"/>
        <v>-705684.99</v>
      </c>
      <c r="E56" s="33">
        <f t="shared" si="11"/>
        <v>-700960.49</v>
      </c>
      <c r="F56" s="33">
        <f t="shared" si="11"/>
        <v>-732973.99</v>
      </c>
      <c r="G56" s="33">
        <f t="shared" si="11"/>
        <v>-706019.49</v>
      </c>
      <c r="H56" s="33">
        <f t="shared" si="11"/>
        <v>-720032.99</v>
      </c>
      <c r="I56" s="29"/>
    </row>
    <row r="57" spans="1:9" x14ac:dyDescent="0.2">
      <c r="A57" s="9" t="s">
        <v>20</v>
      </c>
      <c r="B57" s="34">
        <f>2000</f>
        <v>2000</v>
      </c>
      <c r="C57" s="34">
        <f>2000</f>
        <v>2000</v>
      </c>
      <c r="D57" s="34">
        <f>2000</f>
        <v>2000</v>
      </c>
      <c r="E57" s="34">
        <f>2000</f>
        <v>2000</v>
      </c>
      <c r="F57" s="34">
        <f>2000</f>
        <v>2000</v>
      </c>
      <c r="G57" s="34">
        <f>2000</f>
        <v>2000</v>
      </c>
      <c r="H57" s="34">
        <f>2000</f>
        <v>2000</v>
      </c>
      <c r="I57" s="29"/>
    </row>
    <row r="58" spans="1:9" ht="13.5" thickBot="1" x14ac:dyDescent="0.25">
      <c r="A58" s="36"/>
      <c r="B58" s="35"/>
      <c r="C58" s="35"/>
      <c r="D58" s="35"/>
      <c r="E58" s="35"/>
      <c r="F58" s="35"/>
      <c r="G58" s="35"/>
      <c r="H58" s="35"/>
      <c r="I58" s="29"/>
    </row>
    <row r="60" spans="1:9" x14ac:dyDescent="0.2">
      <c r="A60" s="62" t="s">
        <v>838</v>
      </c>
    </row>
    <row r="61" spans="1:9" x14ac:dyDescent="0.2">
      <c r="A61" s="577" t="s">
        <v>1050</v>
      </c>
    </row>
    <row r="62" spans="1:9" x14ac:dyDescent="0.2">
      <c r="A62" s="577" t="s">
        <v>1053</v>
      </c>
    </row>
    <row r="63" spans="1:9" x14ac:dyDescent="0.2">
      <c r="A63" s="577" t="s">
        <v>1052</v>
      </c>
    </row>
    <row r="64" spans="1:9" x14ac:dyDescent="0.2">
      <c r="A64" s="577" t="s">
        <v>1051</v>
      </c>
    </row>
    <row r="65" spans="1:1" x14ac:dyDescent="0.2">
      <c r="A65" s="577" t="s">
        <v>1054</v>
      </c>
    </row>
    <row r="66" spans="1:1" x14ac:dyDescent="0.2">
      <c r="A66" s="577" t="s">
        <v>1055</v>
      </c>
    </row>
    <row r="68" spans="1:1" x14ac:dyDescent="0.2">
      <c r="A68" s="1071" t="s">
        <v>852</v>
      </c>
    </row>
    <row r="69" spans="1:1" x14ac:dyDescent="0.2">
      <c r="A69" s="577" t="s">
        <v>1051</v>
      </c>
    </row>
    <row r="70" spans="1:1" x14ac:dyDescent="0.2">
      <c r="A70" s="577" t="s">
        <v>1056</v>
      </c>
    </row>
    <row r="71" spans="1:1" x14ac:dyDescent="0.2">
      <c r="A71" s="577" t="s">
        <v>1057</v>
      </c>
    </row>
    <row r="73" spans="1:1" x14ac:dyDescent="0.2">
      <c r="A73" s="1071" t="s">
        <v>874</v>
      </c>
    </row>
    <row r="74" spans="1:1" x14ac:dyDescent="0.2">
      <c r="A74" s="577" t="s">
        <v>1050</v>
      </c>
    </row>
    <row r="75" spans="1:1" x14ac:dyDescent="0.2">
      <c r="A75" s="577" t="s">
        <v>1058</v>
      </c>
    </row>
    <row r="76" spans="1:1" x14ac:dyDescent="0.2">
      <c r="A76" s="577" t="s">
        <v>1059</v>
      </c>
    </row>
    <row r="77" spans="1:1" x14ac:dyDescent="0.2">
      <c r="A77" s="577" t="s">
        <v>1060</v>
      </c>
    </row>
    <row r="78" spans="1:1" x14ac:dyDescent="0.2">
      <c r="A78" s="577" t="s">
        <v>1061</v>
      </c>
    </row>
    <row r="79" spans="1:1" x14ac:dyDescent="0.2">
      <c r="A79" s="577" t="s">
        <v>1062</v>
      </c>
    </row>
    <row r="81" spans="1:3" x14ac:dyDescent="0.2">
      <c r="A81" s="577" t="s">
        <v>905</v>
      </c>
    </row>
    <row r="82" spans="1:3" x14ac:dyDescent="0.2">
      <c r="A82" s="577" t="s">
        <v>1050</v>
      </c>
    </row>
    <row r="83" spans="1:3" x14ac:dyDescent="0.2">
      <c r="A83" s="577" t="s">
        <v>1065</v>
      </c>
    </row>
    <row r="84" spans="1:3" x14ac:dyDescent="0.2">
      <c r="A84" s="577" t="s">
        <v>1064</v>
      </c>
    </row>
    <row r="85" spans="1:3" x14ac:dyDescent="0.2">
      <c r="A85" s="577" t="s">
        <v>1063</v>
      </c>
    </row>
    <row r="89" spans="1:3" x14ac:dyDescent="0.2">
      <c r="A89" s="62" t="s">
        <v>1087</v>
      </c>
    </row>
    <row r="90" spans="1:3" x14ac:dyDescent="0.2">
      <c r="B90" s="568" t="s">
        <v>1088</v>
      </c>
      <c r="C90" s="568" t="s">
        <v>1089</v>
      </c>
    </row>
    <row r="91" spans="1:3" x14ac:dyDescent="0.2">
      <c r="A91" s="483" t="s">
        <v>1076</v>
      </c>
      <c r="B91" s="25">
        <v>447000</v>
      </c>
      <c r="C91" s="25">
        <f>+B91/12</f>
        <v>37250</v>
      </c>
    </row>
    <row r="92" spans="1:3" x14ac:dyDescent="0.2">
      <c r="A92" s="483" t="s">
        <v>1077</v>
      </c>
      <c r="B92" s="25">
        <v>2185</v>
      </c>
      <c r="C92" s="25">
        <f t="shared" ref="C92:C103" si="12">+B92/12</f>
        <v>182.08333333333334</v>
      </c>
    </row>
    <row r="93" spans="1:3" x14ac:dyDescent="0.2">
      <c r="A93" s="483" t="s">
        <v>1078</v>
      </c>
      <c r="B93" s="25">
        <v>10881</v>
      </c>
      <c r="C93" s="25">
        <f t="shared" si="12"/>
        <v>906.75</v>
      </c>
    </row>
    <row r="94" spans="1:3" x14ac:dyDescent="0.2">
      <c r="A94" s="483" t="s">
        <v>1079</v>
      </c>
      <c r="B94" s="25">
        <v>70938</v>
      </c>
      <c r="C94" s="25">
        <f t="shared" si="12"/>
        <v>5911.5</v>
      </c>
    </row>
    <row r="95" spans="1:3" x14ac:dyDescent="0.2">
      <c r="A95" s="483" t="s">
        <v>1080</v>
      </c>
      <c r="B95" s="25">
        <v>21728</v>
      </c>
      <c r="C95" s="25">
        <f t="shared" si="12"/>
        <v>1810.6666666666667</v>
      </c>
    </row>
    <row r="96" spans="1:3" x14ac:dyDescent="0.2">
      <c r="A96" s="483" t="s">
        <v>1081</v>
      </c>
      <c r="B96" s="25">
        <f>229323*0.85</f>
        <v>194924.55</v>
      </c>
      <c r="C96" s="25">
        <v>26000</v>
      </c>
    </row>
    <row r="97" spans="1:4" x14ac:dyDescent="0.2">
      <c r="A97" s="483" t="s">
        <v>1082</v>
      </c>
      <c r="B97" s="25">
        <v>20870</v>
      </c>
      <c r="C97" s="25">
        <f t="shared" si="12"/>
        <v>1739.1666666666667</v>
      </c>
    </row>
    <row r="98" spans="1:4" x14ac:dyDescent="0.2">
      <c r="A98" s="483" t="s">
        <v>1083</v>
      </c>
      <c r="B98" s="25">
        <v>67582</v>
      </c>
      <c r="C98" s="25">
        <f t="shared" si="12"/>
        <v>5631.833333333333</v>
      </c>
    </row>
    <row r="99" spans="1:4" x14ac:dyDescent="0.2">
      <c r="A99" s="483" t="s">
        <v>1084</v>
      </c>
      <c r="B99" s="1083">
        <f>55651*0.95</f>
        <v>52868.45</v>
      </c>
      <c r="C99" s="25"/>
    </row>
    <row r="100" spans="1:4" x14ac:dyDescent="0.2">
      <c r="A100" s="483" t="s">
        <v>1085</v>
      </c>
      <c r="B100" s="25">
        <v>32647</v>
      </c>
      <c r="C100" s="25">
        <f t="shared" si="12"/>
        <v>2720.5833333333335</v>
      </c>
    </row>
    <row r="101" spans="1:4" x14ac:dyDescent="0.2">
      <c r="A101" s="483" t="s">
        <v>1086</v>
      </c>
      <c r="B101" s="25">
        <f>69599+80674</f>
        <v>150273</v>
      </c>
      <c r="C101" s="25">
        <f t="shared" si="12"/>
        <v>12522.75</v>
      </c>
    </row>
    <row r="102" spans="1:4" x14ac:dyDescent="0.2">
      <c r="A102" s="483" t="s">
        <v>1091</v>
      </c>
      <c r="B102" s="25">
        <v>780198</v>
      </c>
      <c r="C102" s="25">
        <f t="shared" si="12"/>
        <v>65016.5</v>
      </c>
    </row>
    <row r="103" spans="1:4" x14ac:dyDescent="0.2">
      <c r="A103" s="483" t="s">
        <v>961</v>
      </c>
      <c r="B103" s="25">
        <v>480704</v>
      </c>
      <c r="C103" s="25">
        <f t="shared" si="12"/>
        <v>40058.666666666664</v>
      </c>
    </row>
    <row r="104" spans="1:4" x14ac:dyDescent="0.2">
      <c r="A104" s="483" t="s">
        <v>1090</v>
      </c>
      <c r="B104" s="25">
        <v>232000</v>
      </c>
      <c r="C104" s="25">
        <f>+B104/12</f>
        <v>19333.333333333332</v>
      </c>
    </row>
    <row r="105" spans="1:4" x14ac:dyDescent="0.2">
      <c r="A105" s="483"/>
      <c r="B105" s="25"/>
      <c r="C105" s="25"/>
    </row>
    <row r="107" spans="1:4" x14ac:dyDescent="0.2">
      <c r="A107" s="483" t="s">
        <v>888</v>
      </c>
      <c r="B107" s="495">
        <f>SUM(B91:B106)</f>
        <v>2564799</v>
      </c>
      <c r="C107" s="495">
        <f>SUM(C91:C106)</f>
        <v>219083.83333333331</v>
      </c>
      <c r="D107" s="495">
        <f>+C107*3</f>
        <v>657251.5</v>
      </c>
    </row>
    <row r="108" spans="1:4" x14ac:dyDescent="0.2">
      <c r="B108" s="194">
        <f>SUM(B91:B103)/12</f>
        <v>194399.91666666666</v>
      </c>
      <c r="C108" s="495">
        <f>SUM(C91:C103)</f>
        <v>199750.49999999997</v>
      </c>
      <c r="D108" s="495">
        <f>+C108</f>
        <v>199750.49999999997</v>
      </c>
    </row>
    <row r="109" spans="1:4" x14ac:dyDescent="0.2">
      <c r="B109" s="194">
        <f>+B108+B104/4</f>
        <v>252399.91666666666</v>
      </c>
      <c r="C109" s="194">
        <f>C108+C104*3</f>
        <v>257750.49999999997</v>
      </c>
    </row>
    <row r="111" spans="1:4" x14ac:dyDescent="0.2">
      <c r="B111" s="194">
        <f>+B108*8+B109*4</f>
        <v>2564799</v>
      </c>
      <c r="C111" s="25">
        <f>50000+40000+26000+58000/3</f>
        <v>135333.33333333334</v>
      </c>
    </row>
  </sheetData>
  <pageMargins left="1.9685039370078741" right="0.39370078740157483" top="0.19685039370078741" bottom="0.78740157480314965" header="0.51181102362204722" footer="0"/>
  <pageSetup paperSize="9" orientation="landscape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O174"/>
  <sheetViews>
    <sheetView workbookViewId="0">
      <selection activeCell="J45" sqref="J45"/>
    </sheetView>
  </sheetViews>
  <sheetFormatPr defaultColWidth="11.42578125" defaultRowHeight="12.75" x14ac:dyDescent="0.2"/>
  <cols>
    <col min="1" max="1" width="40.5703125" customWidth="1"/>
    <col min="2" max="2" width="19.42578125" customWidth="1"/>
    <col min="3" max="7" width="16.140625" customWidth="1"/>
    <col min="8" max="9" width="15.7109375" customWidth="1"/>
    <col min="10" max="10" width="12.85546875" bestFit="1" customWidth="1"/>
    <col min="11" max="11" width="14.7109375" bestFit="1" customWidth="1"/>
    <col min="12" max="15" width="11.85546875" bestFit="1" customWidth="1"/>
  </cols>
  <sheetData>
    <row r="3" spans="1:15" ht="13.5" thickBot="1" x14ac:dyDescent="0.25"/>
    <row r="4" spans="1:15" x14ac:dyDescent="0.2">
      <c r="A4" s="2"/>
      <c r="B4" s="3"/>
      <c r="C4" s="3"/>
      <c r="D4" s="3"/>
      <c r="E4" s="3"/>
      <c r="F4" s="3"/>
      <c r="G4" s="3"/>
      <c r="H4" s="119">
        <v>42376</v>
      </c>
      <c r="I4" s="60"/>
    </row>
    <row r="5" spans="1:15" x14ac:dyDescent="0.2">
      <c r="A5" s="5"/>
      <c r="B5" s="6"/>
      <c r="C5" s="6"/>
      <c r="D5" s="6"/>
      <c r="E5" s="6"/>
      <c r="F5" s="6"/>
      <c r="G5" s="6"/>
      <c r="H5" s="7"/>
      <c r="I5" s="6"/>
      <c r="J5">
        <v>100</v>
      </c>
      <c r="K5">
        <v>121</v>
      </c>
    </row>
    <row r="6" spans="1:15" ht="18" x14ac:dyDescent="0.25">
      <c r="A6" s="5"/>
      <c r="B6" s="505" t="s">
        <v>1223</v>
      </c>
      <c r="C6" s="6"/>
      <c r="D6" s="6"/>
      <c r="E6" s="6"/>
      <c r="F6" s="6"/>
      <c r="G6" s="6"/>
      <c r="H6" s="7"/>
      <c r="I6" s="6"/>
      <c r="K6">
        <f>+J5/K5</f>
        <v>0.82644628099173556</v>
      </c>
    </row>
    <row r="7" spans="1:15" x14ac:dyDescent="0.2">
      <c r="A7" s="5"/>
      <c r="B7" s="6"/>
      <c r="C7" s="6"/>
      <c r="D7" s="6"/>
      <c r="E7" s="6"/>
      <c r="F7" s="6"/>
      <c r="G7" s="6"/>
      <c r="H7" s="7"/>
      <c r="I7" s="6"/>
      <c r="J7">
        <v>14614496</v>
      </c>
      <c r="K7" s="1084">
        <v>17739897</v>
      </c>
    </row>
    <row r="8" spans="1:15" x14ac:dyDescent="0.2">
      <c r="A8" s="5"/>
      <c r="B8" s="6"/>
      <c r="C8" s="6"/>
      <c r="D8" s="6"/>
      <c r="E8" s="6"/>
      <c r="F8" s="6"/>
      <c r="G8" s="6"/>
      <c r="H8" s="7"/>
      <c r="I8" s="6"/>
      <c r="K8">
        <f>+J7/K7</f>
        <v>0.82382079219512938</v>
      </c>
    </row>
    <row r="9" spans="1:15" x14ac:dyDescent="0.2">
      <c r="A9" s="5"/>
      <c r="B9" s="6"/>
      <c r="C9" s="482"/>
      <c r="D9" s="482"/>
      <c r="E9" s="6"/>
      <c r="F9" s="6"/>
      <c r="G9" s="6"/>
      <c r="H9" s="7"/>
      <c r="I9" s="6"/>
    </row>
    <row r="10" spans="1:15" x14ac:dyDescent="0.2">
      <c r="A10" s="5"/>
      <c r="B10" s="6"/>
      <c r="C10" s="6"/>
      <c r="D10" s="6"/>
      <c r="E10" s="6"/>
      <c r="F10" s="6"/>
      <c r="G10" s="6"/>
      <c r="H10" s="7"/>
      <c r="I10" s="6"/>
    </row>
    <row r="11" spans="1:15" ht="13.5" thickBot="1" x14ac:dyDescent="0.25">
      <c r="A11" s="11"/>
      <c r="B11" s="12"/>
      <c r="C11" s="12"/>
      <c r="D11" s="12"/>
      <c r="E11" s="12"/>
      <c r="F11" s="12"/>
      <c r="G11" s="12"/>
      <c r="H11" s="130"/>
      <c r="I11" s="6"/>
    </row>
    <row r="12" spans="1:15" x14ac:dyDescent="0.2">
      <c r="A12" s="5"/>
      <c r="B12" s="205" t="s">
        <v>910</v>
      </c>
      <c r="C12" s="205" t="s">
        <v>912</v>
      </c>
      <c r="D12" s="205" t="s">
        <v>933</v>
      </c>
      <c r="E12" s="205" t="s">
        <v>820</v>
      </c>
      <c r="F12" s="205" t="s">
        <v>816</v>
      </c>
      <c r="G12" s="205" t="s">
        <v>823</v>
      </c>
      <c r="H12" s="561" t="s">
        <v>824</v>
      </c>
      <c r="I12" s="96"/>
    </row>
    <row r="13" spans="1:15" ht="13.5" thickBot="1" x14ac:dyDescent="0.25">
      <c r="A13" s="5"/>
      <c r="B13" s="27"/>
      <c r="C13" s="27"/>
      <c r="D13" s="27"/>
      <c r="E13" s="27"/>
      <c r="F13" s="27"/>
      <c r="G13" s="27"/>
      <c r="H13" s="27"/>
      <c r="I13" s="93"/>
    </row>
    <row r="14" spans="1:15" x14ac:dyDescent="0.2">
      <c r="A14" s="2"/>
      <c r="B14" s="33"/>
      <c r="C14" s="31"/>
      <c r="D14" s="31"/>
      <c r="E14" s="31"/>
      <c r="F14" s="31"/>
      <c r="G14" s="31"/>
      <c r="H14" s="31"/>
      <c r="I14" s="29"/>
      <c r="J14">
        <v>100</v>
      </c>
      <c r="K14">
        <v>121</v>
      </c>
      <c r="N14">
        <v>100</v>
      </c>
      <c r="O14">
        <v>105</v>
      </c>
    </row>
    <row r="15" spans="1:15" ht="15.75" x14ac:dyDescent="0.25">
      <c r="A15" s="43" t="s">
        <v>18</v>
      </c>
      <c r="B15" s="45">
        <f t="shared" ref="B15:H15" si="0">B17+B18</f>
        <v>-284385</v>
      </c>
      <c r="C15" s="44">
        <f t="shared" si="0"/>
        <v>-473761</v>
      </c>
      <c r="D15" s="44">
        <f t="shared" si="0"/>
        <v>-404849</v>
      </c>
      <c r="E15" s="44">
        <f t="shared" si="0"/>
        <v>-205218.5</v>
      </c>
      <c r="F15" s="44">
        <f t="shared" si="0"/>
        <v>-287232.5</v>
      </c>
      <c r="G15" s="44">
        <f t="shared" si="0"/>
        <v>-320279.5</v>
      </c>
      <c r="H15" s="44">
        <f t="shared" si="0"/>
        <v>-334293.5</v>
      </c>
      <c r="I15" s="122"/>
      <c r="K15">
        <v>777721</v>
      </c>
    </row>
    <row r="16" spans="1:15" ht="15.75" x14ac:dyDescent="0.25">
      <c r="A16" s="43"/>
      <c r="B16" s="45"/>
      <c r="C16" s="46"/>
      <c r="D16" s="46"/>
      <c r="E16" s="46"/>
      <c r="F16" s="46"/>
      <c r="G16" s="46"/>
      <c r="H16" s="46"/>
      <c r="I16" s="122"/>
    </row>
    <row r="17" spans="1:15" x14ac:dyDescent="0.2">
      <c r="A17" s="9" t="s">
        <v>19</v>
      </c>
      <c r="B17" s="34">
        <f>+-264976+4209-4111-21507</f>
        <v>-286385</v>
      </c>
      <c r="C17" s="34">
        <f t="shared" ref="C17:H17" si="1">B56</f>
        <v>-475761</v>
      </c>
      <c r="D17" s="34">
        <f t="shared" si="1"/>
        <v>-406849</v>
      </c>
      <c r="E17" s="34">
        <f t="shared" si="1"/>
        <v>-207218.5</v>
      </c>
      <c r="F17" s="34">
        <f t="shared" si="1"/>
        <v>-289232.5</v>
      </c>
      <c r="G17" s="34">
        <f t="shared" si="1"/>
        <v>-322279.5</v>
      </c>
      <c r="H17" s="34">
        <f t="shared" si="1"/>
        <v>-336293.5</v>
      </c>
      <c r="I17" s="29"/>
      <c r="K17">
        <f>J14/K14</f>
        <v>0.82644628099173556</v>
      </c>
    </row>
    <row r="18" spans="1:15" x14ac:dyDescent="0.2">
      <c r="A18" s="9" t="s">
        <v>20</v>
      </c>
      <c r="B18" s="34">
        <v>2000</v>
      </c>
      <c r="C18" s="34">
        <f>B57</f>
        <v>2000</v>
      </c>
      <c r="D18" s="34">
        <f>B57</f>
        <v>2000</v>
      </c>
      <c r="E18" s="34">
        <v>2000</v>
      </c>
      <c r="F18" s="34">
        <f>B57</f>
        <v>2000</v>
      </c>
      <c r="G18" s="34">
        <f>B57</f>
        <v>2000</v>
      </c>
      <c r="H18" s="34">
        <f>C57</f>
        <v>2000</v>
      </c>
      <c r="I18" s="29"/>
    </row>
    <row r="19" spans="1:15" x14ac:dyDescent="0.2">
      <c r="A19" s="9"/>
      <c r="B19" s="34"/>
      <c r="C19" s="31"/>
      <c r="D19" s="31"/>
      <c r="E19" s="31"/>
      <c r="F19" s="31"/>
      <c r="G19" s="31"/>
      <c r="H19" s="31"/>
      <c r="I19" s="29"/>
    </row>
    <row r="20" spans="1:15" ht="13.5" thickBot="1" x14ac:dyDescent="0.25">
      <c r="A20" s="11"/>
      <c r="B20" s="35"/>
      <c r="C20" s="31"/>
      <c r="D20" s="31"/>
      <c r="E20" s="31"/>
      <c r="F20" s="31"/>
      <c r="G20" s="31"/>
      <c r="H20" s="31"/>
      <c r="I20" s="29"/>
    </row>
    <row r="21" spans="1:15" x14ac:dyDescent="0.2">
      <c r="A21" s="5"/>
      <c r="B21" s="33"/>
      <c r="C21" s="33"/>
      <c r="D21" s="33"/>
      <c r="E21" s="33"/>
      <c r="F21" s="33"/>
      <c r="G21" s="33"/>
      <c r="H21" s="33"/>
      <c r="I21" s="29"/>
    </row>
    <row r="22" spans="1:15" ht="15.75" x14ac:dyDescent="0.25">
      <c r="A22" s="43" t="s">
        <v>25</v>
      </c>
      <c r="B22" s="45">
        <f>B24+B27+B33+B29+B28+B30+B34+B25+B26+B31+B32</f>
        <v>1604488</v>
      </c>
      <c r="C22" s="45">
        <f t="shared" ref="C22:H22" si="2">C24+C27+C33+C29+C28+C30+C34+C25+C26+C31+C32</f>
        <v>1636088</v>
      </c>
      <c r="D22" s="45">
        <f t="shared" si="2"/>
        <v>1605369.5</v>
      </c>
      <c r="E22" s="45">
        <f t="shared" si="2"/>
        <v>1887014</v>
      </c>
      <c r="F22" s="45">
        <f t="shared" si="2"/>
        <v>1838047</v>
      </c>
      <c r="G22" s="45">
        <f t="shared" si="2"/>
        <v>1819014</v>
      </c>
      <c r="H22" s="45">
        <f t="shared" si="2"/>
        <v>1877014</v>
      </c>
      <c r="I22" s="42">
        <f t="shared" ref="I22:N22" si="3">(C24+C27+C28+C29+C30)</f>
        <v>1363041</v>
      </c>
      <c r="J22" s="42">
        <f t="shared" si="3"/>
        <v>1271356</v>
      </c>
      <c r="K22" s="42">
        <f t="shared" si="3"/>
        <v>1565000</v>
      </c>
      <c r="L22" s="42">
        <f t="shared" si="3"/>
        <v>1565000</v>
      </c>
      <c r="M22" s="42">
        <f t="shared" si="3"/>
        <v>1555000</v>
      </c>
      <c r="N22" s="42">
        <f t="shared" si="3"/>
        <v>1555000</v>
      </c>
      <c r="O22" s="42">
        <f>SUM(I22:N22)</f>
        <v>8874397</v>
      </c>
    </row>
    <row r="23" spans="1:15" ht="15.75" x14ac:dyDescent="0.25">
      <c r="A23" s="43"/>
      <c r="B23" s="45"/>
      <c r="C23" s="45"/>
      <c r="D23" s="45"/>
      <c r="E23" s="45"/>
      <c r="F23" s="45"/>
      <c r="G23" s="45"/>
      <c r="H23" s="45"/>
      <c r="I23" s="1082">
        <f t="shared" ref="I23:N23" si="4">I22/(C37)</f>
        <v>0.79943753665689155</v>
      </c>
      <c r="J23" s="1082">
        <f t="shared" si="4"/>
        <v>0.70435235457063716</v>
      </c>
      <c r="K23" s="1082">
        <f t="shared" si="4"/>
        <v>0.86703601108033246</v>
      </c>
      <c r="L23" s="1082">
        <f t="shared" si="4"/>
        <v>0.86703601108033246</v>
      </c>
      <c r="M23" s="1082">
        <f t="shared" si="4"/>
        <v>0.86149584487534625</v>
      </c>
      <c r="N23" s="1082">
        <f t="shared" si="4"/>
        <v>0.86149584487534625</v>
      </c>
    </row>
    <row r="24" spans="1:15" x14ac:dyDescent="0.2">
      <c r="A24" s="10" t="s">
        <v>133</v>
      </c>
      <c r="B24" s="120">
        <f>1273538-20000</f>
        <v>1253538</v>
      </c>
      <c r="C24" s="120">
        <v>1049129</v>
      </c>
      <c r="D24" s="120">
        <f>992888+50000</f>
        <v>1042888</v>
      </c>
      <c r="E24" s="120">
        <v>1100000</v>
      </c>
      <c r="F24" s="120">
        <v>1100000</v>
      </c>
      <c r="G24" s="120">
        <v>1100000</v>
      </c>
      <c r="H24" s="120">
        <v>1100000</v>
      </c>
      <c r="I24" s="1085"/>
    </row>
    <row r="25" spans="1:15" x14ac:dyDescent="0.2">
      <c r="A25" s="491" t="s">
        <v>804</v>
      </c>
      <c r="B25" s="120">
        <v>3424</v>
      </c>
      <c r="C25" s="120">
        <f>6088+1349+1398</f>
        <v>8835</v>
      </c>
      <c r="D25" s="120">
        <v>8835</v>
      </c>
      <c r="E25" s="120">
        <v>8835</v>
      </c>
      <c r="F25" s="120">
        <v>8835</v>
      </c>
      <c r="G25" s="120">
        <v>8835</v>
      </c>
      <c r="H25" s="120">
        <v>8835</v>
      </c>
      <c r="I25" s="42">
        <f t="shared" ref="I25:N25" si="5">I22/1.18</f>
        <v>1155119.4915254237</v>
      </c>
      <c r="J25" s="42">
        <f t="shared" si="5"/>
        <v>1077420.338983051</v>
      </c>
      <c r="K25" s="42">
        <f t="shared" si="5"/>
        <v>1326271.1864406781</v>
      </c>
      <c r="L25" s="42">
        <f t="shared" si="5"/>
        <v>1326271.1864406781</v>
      </c>
      <c r="M25" s="42">
        <f t="shared" si="5"/>
        <v>1317796.6101694915</v>
      </c>
      <c r="N25" s="42">
        <f t="shared" si="5"/>
        <v>1317796.6101694915</v>
      </c>
      <c r="O25" s="42">
        <f>SUM(I25:N25)</f>
        <v>7520675.4237288143</v>
      </c>
    </row>
    <row r="26" spans="1:15" x14ac:dyDescent="0.2">
      <c r="A26" s="491" t="s">
        <v>805</v>
      </c>
      <c r="B26" s="120">
        <v>24442</v>
      </c>
      <c r="C26" s="120">
        <v>24442</v>
      </c>
      <c r="D26" s="120">
        <v>24442</v>
      </c>
      <c r="E26" s="120">
        <v>24442</v>
      </c>
      <c r="F26" s="120">
        <v>24442</v>
      </c>
      <c r="G26" s="120">
        <v>24442</v>
      </c>
      <c r="H26" s="120">
        <v>24442</v>
      </c>
      <c r="I26" s="1082">
        <f t="shared" ref="I26:N26" si="6">+I25/(C37/1.18)</f>
        <v>0.79943753665689143</v>
      </c>
      <c r="J26" s="1082">
        <f t="shared" si="6"/>
        <v>0.70435235457063716</v>
      </c>
      <c r="K26" s="1082">
        <f t="shared" si="6"/>
        <v>0.86703601108033246</v>
      </c>
      <c r="L26" s="1082">
        <f t="shared" si="6"/>
        <v>0.86703601108033246</v>
      </c>
      <c r="M26" s="1082">
        <f t="shared" si="6"/>
        <v>0.86149584487534625</v>
      </c>
      <c r="N26" s="1082">
        <f t="shared" si="6"/>
        <v>0.86149584487534625</v>
      </c>
    </row>
    <row r="27" spans="1:15" x14ac:dyDescent="0.2">
      <c r="A27" s="10" t="s">
        <v>134</v>
      </c>
      <c r="B27" s="120">
        <v>10839</v>
      </c>
      <c r="C27" s="120">
        <v>128334</v>
      </c>
      <c r="D27" s="729">
        <v>85331</v>
      </c>
      <c r="E27" s="120">
        <v>200000</v>
      </c>
      <c r="F27" s="120">
        <v>200000</v>
      </c>
      <c r="G27" s="120">
        <v>200000</v>
      </c>
      <c r="H27" s="120">
        <v>200000</v>
      </c>
      <c r="I27" s="1085"/>
      <c r="N27" s="42">
        <f>SUM(I25:N25)</f>
        <v>7520675.4237288143</v>
      </c>
    </row>
    <row r="28" spans="1:15" s="58" customFormat="1" x14ac:dyDescent="0.2">
      <c r="A28" s="727" t="s">
        <v>359</v>
      </c>
      <c r="B28" s="728">
        <v>56259</v>
      </c>
      <c r="C28" s="728">
        <v>120539</v>
      </c>
      <c r="D28" s="728">
        <v>23363</v>
      </c>
      <c r="E28" s="728">
        <v>180000</v>
      </c>
      <c r="F28" s="728">
        <v>180000</v>
      </c>
      <c r="G28" s="728">
        <v>170000</v>
      </c>
      <c r="H28" s="728">
        <v>170000</v>
      </c>
      <c r="I28" s="1086"/>
    </row>
    <row r="29" spans="1:15" x14ac:dyDescent="0.2">
      <c r="A29" s="10" t="s">
        <v>292</v>
      </c>
      <c r="B29" s="120">
        <v>35000</v>
      </c>
      <c r="C29" s="120">
        <v>50000</v>
      </c>
      <c r="D29" s="120">
        <v>50000</v>
      </c>
      <c r="E29" s="120">
        <v>50000</v>
      </c>
      <c r="F29" s="120">
        <v>50000</v>
      </c>
      <c r="G29" s="120">
        <v>50000</v>
      </c>
      <c r="H29" s="120">
        <v>50000</v>
      </c>
      <c r="I29" s="1085"/>
      <c r="K29">
        <v>194399.91666666701</v>
      </c>
    </row>
    <row r="30" spans="1:15" x14ac:dyDescent="0.2">
      <c r="A30" s="10" t="s">
        <v>358</v>
      </c>
      <c r="B30" s="120">
        <v>0</v>
      </c>
      <c r="C30" s="120">
        <v>15039</v>
      </c>
      <c r="D30" s="120">
        <v>69774</v>
      </c>
      <c r="E30" s="120">
        <v>35000</v>
      </c>
      <c r="F30" s="120">
        <v>35000</v>
      </c>
      <c r="G30" s="120">
        <v>35000</v>
      </c>
      <c r="H30" s="120">
        <v>35000</v>
      </c>
      <c r="I30" s="1085"/>
      <c r="K30">
        <v>234844.66666666666</v>
      </c>
    </row>
    <row r="31" spans="1:15" x14ac:dyDescent="0.2">
      <c r="A31" s="491" t="s">
        <v>806</v>
      </c>
      <c r="B31" s="120">
        <f>4770+6216</f>
        <v>10986</v>
      </c>
      <c r="C31" s="120">
        <v>20019</v>
      </c>
      <c r="D31" s="120">
        <v>10986</v>
      </c>
      <c r="E31" s="120">
        <v>10986</v>
      </c>
      <c r="F31" s="120">
        <v>20019</v>
      </c>
      <c r="G31" s="120">
        <v>10986</v>
      </c>
      <c r="H31" s="120">
        <v>10986</v>
      </c>
      <c r="I31" s="1085"/>
    </row>
    <row r="32" spans="1:15" x14ac:dyDescent="0.2">
      <c r="A32" s="491" t="s">
        <v>1069</v>
      </c>
      <c r="B32" s="120">
        <v>20000</v>
      </c>
      <c r="C32" s="120">
        <v>20000</v>
      </c>
      <c r="D32" s="120">
        <v>20000</v>
      </c>
      <c r="E32" s="120">
        <v>20000</v>
      </c>
      <c r="F32" s="120">
        <v>20000</v>
      </c>
      <c r="G32" s="120">
        <v>20000</v>
      </c>
      <c r="H32" s="120">
        <v>20000</v>
      </c>
      <c r="I32" s="1085"/>
    </row>
    <row r="33" spans="1:13" x14ac:dyDescent="0.2">
      <c r="A33" s="10" t="s">
        <v>135</v>
      </c>
      <c r="B33" s="120">
        <v>190000</v>
      </c>
      <c r="C33" s="120">
        <v>199751</v>
      </c>
      <c r="D33" s="120">
        <f>199750.5+70000</f>
        <v>269750.5</v>
      </c>
      <c r="E33" s="120">
        <v>257751</v>
      </c>
      <c r="F33" s="120">
        <v>199751</v>
      </c>
      <c r="G33" s="120">
        <v>199751</v>
      </c>
      <c r="H33" s="120">
        <v>257751</v>
      </c>
      <c r="I33" s="1085"/>
    </row>
    <row r="34" spans="1:13" x14ac:dyDescent="0.2">
      <c r="A34" s="10"/>
      <c r="B34" s="120"/>
      <c r="C34" s="120"/>
      <c r="D34" s="120"/>
      <c r="E34" s="120"/>
      <c r="F34" s="120"/>
      <c r="G34" s="120"/>
      <c r="H34" s="120"/>
      <c r="I34" s="1085"/>
    </row>
    <row r="35" spans="1:13" ht="13.5" thickBot="1" x14ac:dyDescent="0.25">
      <c r="A35" s="121"/>
      <c r="B35" s="35"/>
      <c r="C35" s="35"/>
      <c r="D35" s="35"/>
      <c r="E35" s="35"/>
      <c r="F35" s="35"/>
      <c r="G35" s="35"/>
      <c r="H35" s="35"/>
      <c r="I35" s="29"/>
    </row>
    <row r="36" spans="1:13" x14ac:dyDescent="0.2">
      <c r="A36" s="5"/>
      <c r="B36" s="33"/>
      <c r="C36" s="21"/>
      <c r="D36" s="21"/>
      <c r="E36" s="21"/>
      <c r="F36" s="21"/>
      <c r="G36" s="21"/>
      <c r="H36" s="21"/>
      <c r="I36" s="29"/>
    </row>
    <row r="37" spans="1:13" ht="15.75" x14ac:dyDescent="0.25">
      <c r="A37" s="43" t="s">
        <v>136</v>
      </c>
      <c r="B37" s="45">
        <f>B41+B48</f>
        <v>1415112</v>
      </c>
      <c r="C37" s="45">
        <f t="shared" ref="C37:H37" si="7">C41+C48</f>
        <v>1705000</v>
      </c>
      <c r="D37" s="45">
        <f t="shared" si="7"/>
        <v>1805000</v>
      </c>
      <c r="E37" s="45">
        <f t="shared" si="7"/>
        <v>1805000</v>
      </c>
      <c r="F37" s="45">
        <f t="shared" si="7"/>
        <v>1805000</v>
      </c>
      <c r="G37" s="45">
        <f>G41+G48</f>
        <v>1805000</v>
      </c>
      <c r="H37" s="45">
        <f t="shared" si="7"/>
        <v>1805000</v>
      </c>
      <c r="I37" s="122"/>
      <c r="J37" s="1081">
        <f>SUM(C37:H37)</f>
        <v>10730000</v>
      </c>
      <c r="K37" s="722">
        <f>J37/1.18</f>
        <v>9093220.3389830515</v>
      </c>
      <c r="L37" s="42">
        <f>+K37-N27</f>
        <v>1572544.9152542371</v>
      </c>
      <c r="M37">
        <f>L37/N27</f>
        <v>0.2090962349329199</v>
      </c>
    </row>
    <row r="38" spans="1:13" ht="15.75" x14ac:dyDescent="0.25">
      <c r="A38" s="43"/>
      <c r="B38" s="45"/>
      <c r="C38" s="46"/>
      <c r="D38" s="46"/>
      <c r="E38" s="46"/>
      <c r="F38" s="46"/>
      <c r="G38" s="46"/>
      <c r="H38" s="46"/>
      <c r="I38" s="122"/>
    </row>
    <row r="39" spans="1:13" ht="13.5" thickBot="1" x14ac:dyDescent="0.25">
      <c r="A39" s="5"/>
      <c r="B39" s="35"/>
      <c r="C39" s="20"/>
      <c r="D39" s="20"/>
      <c r="E39" s="20"/>
      <c r="F39" s="20"/>
      <c r="G39" s="20"/>
      <c r="H39" s="20"/>
      <c r="I39" s="29"/>
    </row>
    <row r="40" spans="1:13" x14ac:dyDescent="0.2">
      <c r="A40" s="13"/>
      <c r="B40" s="21"/>
      <c r="C40" s="21"/>
      <c r="D40" s="21"/>
      <c r="E40" s="21"/>
      <c r="F40" s="21"/>
      <c r="G40" s="21"/>
      <c r="H40" s="21"/>
      <c r="I40" s="29"/>
      <c r="K40">
        <f>O25/K37</f>
        <v>0.82706402609506058</v>
      </c>
    </row>
    <row r="41" spans="1:13" ht="13.5" thickBot="1" x14ac:dyDescent="0.25">
      <c r="A41" s="14" t="s">
        <v>137</v>
      </c>
      <c r="B41" s="41">
        <f t="shared" ref="B41:H41" si="8">B43+B44+B45</f>
        <v>1024317</v>
      </c>
      <c r="C41" s="41">
        <f t="shared" si="8"/>
        <v>1155000</v>
      </c>
      <c r="D41" s="41">
        <f t="shared" si="8"/>
        <v>1205000</v>
      </c>
      <c r="E41" s="41">
        <f t="shared" si="8"/>
        <v>1205000</v>
      </c>
      <c r="F41" s="41">
        <f t="shared" si="8"/>
        <v>1205000</v>
      </c>
      <c r="G41" s="41">
        <f t="shared" si="8"/>
        <v>1205000</v>
      </c>
      <c r="H41" s="41">
        <f t="shared" si="8"/>
        <v>1205000</v>
      </c>
      <c r="I41" s="123"/>
    </row>
    <row r="42" spans="1:13" x14ac:dyDescent="0.2">
      <c r="A42" s="14"/>
      <c r="B42" s="172"/>
      <c r="C42" s="504"/>
      <c r="D42" s="172"/>
      <c r="E42" s="504"/>
      <c r="F42" s="172"/>
      <c r="G42" s="504"/>
      <c r="H42" s="172"/>
      <c r="I42" s="123"/>
    </row>
    <row r="43" spans="1:13" x14ac:dyDescent="0.2">
      <c r="A43" s="15" t="s">
        <v>8</v>
      </c>
      <c r="B43" s="34">
        <v>724317</v>
      </c>
      <c r="C43" s="29">
        <v>750000</v>
      </c>
      <c r="D43" s="34">
        <v>800000</v>
      </c>
      <c r="E43" s="29">
        <v>800000</v>
      </c>
      <c r="F43" s="34">
        <v>800000</v>
      </c>
      <c r="G43" s="29">
        <v>800000</v>
      </c>
      <c r="H43" s="34">
        <v>800000</v>
      </c>
      <c r="I43" s="29"/>
    </row>
    <row r="44" spans="1:13" x14ac:dyDescent="0.2">
      <c r="A44" s="15" t="s">
        <v>26</v>
      </c>
      <c r="B44" s="34">
        <v>300000</v>
      </c>
      <c r="C44" s="29">
        <v>400000</v>
      </c>
      <c r="D44" s="34">
        <v>400000</v>
      </c>
      <c r="E44" s="29">
        <v>400000</v>
      </c>
      <c r="F44" s="34">
        <v>400000</v>
      </c>
      <c r="G44" s="29">
        <v>400000</v>
      </c>
      <c r="H44" s="34">
        <v>400000</v>
      </c>
      <c r="I44" s="29"/>
      <c r="J44" s="495"/>
    </row>
    <row r="45" spans="1:13" x14ac:dyDescent="0.2">
      <c r="A45" s="15" t="s">
        <v>29</v>
      </c>
      <c r="B45" s="34"/>
      <c r="C45" s="29">
        <v>5000</v>
      </c>
      <c r="D45" s="34">
        <v>5000</v>
      </c>
      <c r="E45" s="29">
        <v>5000</v>
      </c>
      <c r="F45" s="34">
        <v>5000</v>
      </c>
      <c r="G45" s="29">
        <v>5000</v>
      </c>
      <c r="H45" s="34">
        <v>5000</v>
      </c>
      <c r="I45" s="29"/>
    </row>
    <row r="46" spans="1:13" x14ac:dyDescent="0.2">
      <c r="A46" s="15"/>
      <c r="B46" s="34"/>
      <c r="C46" s="29"/>
      <c r="D46" s="34"/>
      <c r="E46" s="29"/>
      <c r="F46" s="34"/>
      <c r="G46" s="29"/>
      <c r="H46" s="34"/>
      <c r="I46" s="29"/>
    </row>
    <row r="47" spans="1:13" x14ac:dyDescent="0.2">
      <c r="A47" s="15" t="s">
        <v>179</v>
      </c>
      <c r="B47" s="34"/>
      <c r="C47" s="29"/>
      <c r="D47" s="34"/>
      <c r="E47" s="29"/>
      <c r="F47" s="34"/>
      <c r="G47" s="29"/>
      <c r="H47" s="34"/>
      <c r="I47" s="29"/>
    </row>
    <row r="48" spans="1:13" x14ac:dyDescent="0.2">
      <c r="A48" s="14" t="s">
        <v>138</v>
      </c>
      <c r="B48" s="173">
        <v>390795</v>
      </c>
      <c r="C48" s="123">
        <v>550000</v>
      </c>
      <c r="D48" s="173">
        <v>600000</v>
      </c>
      <c r="E48" s="123">
        <v>600000</v>
      </c>
      <c r="F48" s="173">
        <v>600000</v>
      </c>
      <c r="G48" s="123">
        <v>600000</v>
      </c>
      <c r="H48" s="173">
        <v>600000</v>
      </c>
      <c r="I48" s="123"/>
    </row>
    <row r="49" spans="1:9" ht="13.5" thickBot="1" x14ac:dyDescent="0.25">
      <c r="A49" s="16"/>
      <c r="B49" s="35"/>
      <c r="C49" s="37"/>
      <c r="D49" s="35"/>
      <c r="E49" s="37"/>
      <c r="F49" s="35"/>
      <c r="G49" s="37"/>
      <c r="H49" s="35"/>
      <c r="I49" s="29"/>
    </row>
    <row r="50" spans="1:9" x14ac:dyDescent="0.2">
      <c r="A50" s="2"/>
      <c r="B50" s="21"/>
      <c r="C50" s="21"/>
      <c r="D50" s="21"/>
      <c r="E50" s="21"/>
      <c r="F50" s="21"/>
      <c r="G50" s="21"/>
      <c r="H50" s="21"/>
      <c r="I50" s="29"/>
    </row>
    <row r="51" spans="1:9" x14ac:dyDescent="0.2">
      <c r="A51" s="9" t="s">
        <v>27</v>
      </c>
      <c r="B51" s="34">
        <f t="shared" ref="B51:H51" si="9">B37-B22</f>
        <v>-189376</v>
      </c>
      <c r="C51" s="34">
        <f t="shared" si="9"/>
        <v>68912</v>
      </c>
      <c r="D51" s="34">
        <f t="shared" si="9"/>
        <v>199630.5</v>
      </c>
      <c r="E51" s="34">
        <f t="shared" si="9"/>
        <v>-82014</v>
      </c>
      <c r="F51" s="34">
        <f t="shared" si="9"/>
        <v>-33047</v>
      </c>
      <c r="G51" s="34">
        <f>G37-G22</f>
        <v>-14014</v>
      </c>
      <c r="H51" s="34">
        <f t="shared" si="9"/>
        <v>-72014</v>
      </c>
      <c r="I51" s="29"/>
    </row>
    <row r="52" spans="1:9" ht="13.5" thickBot="1" x14ac:dyDescent="0.25">
      <c r="A52" s="5"/>
      <c r="B52" s="19"/>
      <c r="C52" s="19"/>
      <c r="D52" s="19"/>
      <c r="E52" s="19"/>
      <c r="F52" s="19"/>
      <c r="G52" s="19"/>
      <c r="H52" s="19"/>
      <c r="I52" s="29"/>
    </row>
    <row r="53" spans="1:9" x14ac:dyDescent="0.2">
      <c r="A53" s="2"/>
      <c r="B53" s="33"/>
      <c r="C53" s="33"/>
      <c r="D53" s="33"/>
      <c r="E53" s="33"/>
      <c r="F53" s="33"/>
      <c r="G53" s="33"/>
      <c r="H53" s="33"/>
      <c r="I53" s="29"/>
    </row>
    <row r="54" spans="1:9" ht="16.5" thickBot="1" x14ac:dyDescent="0.3">
      <c r="A54" s="43" t="s">
        <v>28</v>
      </c>
      <c r="B54" s="171">
        <f t="shared" ref="B54:H54" si="10">B15+B51</f>
        <v>-473761</v>
      </c>
      <c r="C54" s="171">
        <f t="shared" si="10"/>
        <v>-404849</v>
      </c>
      <c r="D54" s="171">
        <f t="shared" si="10"/>
        <v>-205218.5</v>
      </c>
      <c r="E54" s="171">
        <f t="shared" si="10"/>
        <v>-287232.5</v>
      </c>
      <c r="F54" s="171">
        <f t="shared" si="10"/>
        <v>-320279.5</v>
      </c>
      <c r="G54" s="171">
        <f>G15+G51</f>
        <v>-334293.5</v>
      </c>
      <c r="H54" s="171">
        <f t="shared" si="10"/>
        <v>-406307.5</v>
      </c>
      <c r="I54" s="122"/>
    </row>
    <row r="55" spans="1:9" ht="16.5" thickBot="1" x14ac:dyDescent="0.3">
      <c r="A55" s="43"/>
      <c r="B55" s="122"/>
      <c r="C55" s="122"/>
      <c r="D55" s="122"/>
      <c r="E55" s="122"/>
      <c r="F55" s="122"/>
      <c r="G55" s="122"/>
      <c r="H55" s="122"/>
      <c r="I55" s="122"/>
    </row>
    <row r="56" spans="1:9" x14ac:dyDescent="0.2">
      <c r="A56" s="9" t="s">
        <v>19</v>
      </c>
      <c r="B56" s="33">
        <f t="shared" ref="B56:H56" si="11">B54-B57</f>
        <v>-475761</v>
      </c>
      <c r="C56" s="33">
        <f t="shared" si="11"/>
        <v>-406849</v>
      </c>
      <c r="D56" s="33">
        <f t="shared" si="11"/>
        <v>-207218.5</v>
      </c>
      <c r="E56" s="33">
        <f t="shared" si="11"/>
        <v>-289232.5</v>
      </c>
      <c r="F56" s="33">
        <f t="shared" si="11"/>
        <v>-322279.5</v>
      </c>
      <c r="G56" s="33">
        <f t="shared" si="11"/>
        <v>-336293.5</v>
      </c>
      <c r="H56" s="33">
        <f t="shared" si="11"/>
        <v>-408307.5</v>
      </c>
      <c r="I56" s="29"/>
    </row>
    <row r="57" spans="1:9" x14ac:dyDescent="0.2">
      <c r="A57" s="9" t="s">
        <v>20</v>
      </c>
      <c r="B57" s="34">
        <f>2000</f>
        <v>2000</v>
      </c>
      <c r="C57" s="34">
        <f>2000</f>
        <v>2000</v>
      </c>
      <c r="D57" s="34">
        <f>2000</f>
        <v>2000</v>
      </c>
      <c r="E57" s="34">
        <f>2000</f>
        <v>2000</v>
      </c>
      <c r="F57" s="34">
        <f>2000</f>
        <v>2000</v>
      </c>
      <c r="G57" s="34">
        <f>2000</f>
        <v>2000</v>
      </c>
      <c r="H57" s="34">
        <f>2000</f>
        <v>2000</v>
      </c>
      <c r="I57" s="29"/>
    </row>
    <row r="58" spans="1:9" ht="13.5" thickBot="1" x14ac:dyDescent="0.25">
      <c r="A58" s="36"/>
      <c r="B58" s="35"/>
      <c r="C58" s="35"/>
      <c r="D58" s="35"/>
      <c r="E58" s="35"/>
      <c r="F58" s="35"/>
      <c r="G58" s="35"/>
      <c r="H58" s="35"/>
      <c r="I58" s="29"/>
    </row>
    <row r="59" spans="1:9" x14ac:dyDescent="0.2">
      <c r="A59" s="86"/>
      <c r="B59" s="29"/>
      <c r="C59" s="29"/>
      <c r="D59" s="29"/>
      <c r="E59" s="29"/>
      <c r="F59" s="29"/>
      <c r="G59" s="29"/>
      <c r="H59" s="29"/>
      <c r="I59" s="29"/>
    </row>
    <row r="60" spans="1:9" ht="18" x14ac:dyDescent="0.25">
      <c r="A60" s="86"/>
      <c r="B60" s="1111"/>
      <c r="C60" s="1112"/>
      <c r="D60" s="1112"/>
      <c r="E60" s="29"/>
      <c r="F60" s="29"/>
      <c r="G60" s="29"/>
      <c r="H60" s="29"/>
      <c r="I60" s="29"/>
    </row>
    <row r="61" spans="1:9" x14ac:dyDescent="0.2">
      <c r="A61" s="86"/>
      <c r="B61" s="29"/>
      <c r="C61" s="29"/>
      <c r="D61" s="29"/>
      <c r="E61" s="29"/>
      <c r="F61" s="29"/>
      <c r="G61" s="29"/>
      <c r="H61" s="29"/>
      <c r="I61" s="29"/>
    </row>
    <row r="62" spans="1:9" ht="18" x14ac:dyDescent="0.25">
      <c r="A62" s="505" t="s">
        <v>1269</v>
      </c>
      <c r="B62" s="1110"/>
      <c r="C62" s="1110"/>
      <c r="D62" s="1110"/>
      <c r="E62" s="29"/>
      <c r="F62" s="29"/>
      <c r="G62" s="29"/>
      <c r="H62" s="29"/>
      <c r="I62" s="29"/>
    </row>
    <row r="63" spans="1:9" ht="18" x14ac:dyDescent="0.25">
      <c r="A63" s="505"/>
      <c r="B63" s="1110"/>
      <c r="C63" s="1110"/>
      <c r="D63" s="1110"/>
      <c r="E63" s="29"/>
      <c r="F63" s="29"/>
      <c r="G63" s="29"/>
      <c r="H63" s="29"/>
      <c r="I63" s="29"/>
    </row>
    <row r="64" spans="1:9" ht="18" x14ac:dyDescent="0.25">
      <c r="A64" s="505"/>
      <c r="B64" s="1110"/>
      <c r="C64" s="1110"/>
      <c r="D64" s="1110"/>
      <c r="E64" s="29"/>
      <c r="F64" s="29"/>
      <c r="G64" s="29"/>
      <c r="H64" s="29"/>
      <c r="I64" s="29"/>
    </row>
    <row r="65" spans="1:9" ht="15.75" x14ac:dyDescent="0.25">
      <c r="A65" s="1122" t="s">
        <v>1143</v>
      </c>
      <c r="B65" s="1110"/>
      <c r="C65" s="1110"/>
      <c r="D65" s="1110"/>
      <c r="E65" s="29"/>
      <c r="F65" s="29"/>
      <c r="G65" s="29"/>
      <c r="H65" s="29"/>
      <c r="I65" s="29"/>
    </row>
    <row r="66" spans="1:9" ht="18" x14ac:dyDescent="0.25">
      <c r="A66" s="505"/>
      <c r="B66" s="1110"/>
      <c r="C66" s="1110"/>
      <c r="D66" s="1110"/>
      <c r="E66" s="29"/>
      <c r="F66" s="29"/>
      <c r="G66" s="29"/>
      <c r="H66" s="29"/>
      <c r="I66" s="29"/>
    </row>
    <row r="68" spans="1:9" ht="18" x14ac:dyDescent="0.25">
      <c r="A68" s="505"/>
      <c r="B68" s="1110"/>
      <c r="C68" s="1110"/>
      <c r="D68" s="1110"/>
      <c r="E68" s="29"/>
      <c r="F68" s="29"/>
      <c r="G68" s="29"/>
      <c r="H68" s="29"/>
      <c r="I68" s="29"/>
    </row>
    <row r="69" spans="1:9" ht="15.75" x14ac:dyDescent="0.25">
      <c r="A69" s="1121" t="s">
        <v>1229</v>
      </c>
      <c r="B69" s="1110"/>
      <c r="C69" s="1110"/>
      <c r="D69" s="1110"/>
      <c r="E69" s="29"/>
      <c r="F69" s="29"/>
      <c r="G69" s="29"/>
      <c r="H69" s="29"/>
      <c r="I69" s="29"/>
    </row>
    <row r="70" spans="1:9" ht="15.75" x14ac:dyDescent="0.25">
      <c r="A70" s="1121"/>
      <c r="B70" s="1110"/>
      <c r="C70" s="1110"/>
      <c r="D70" s="1110"/>
      <c r="E70" s="29"/>
      <c r="F70" s="29"/>
      <c r="G70" s="29"/>
      <c r="H70" s="29"/>
      <c r="I70" s="29"/>
    </row>
    <row r="71" spans="1:9" ht="15.75" x14ac:dyDescent="0.25">
      <c r="A71" s="1121"/>
      <c r="B71" s="1110"/>
      <c r="C71" s="1110"/>
      <c r="D71" s="1110"/>
      <c r="E71" s="29"/>
      <c r="F71" s="29"/>
      <c r="G71" s="29"/>
      <c r="H71" s="29"/>
      <c r="I71" s="29"/>
    </row>
    <row r="72" spans="1:9" ht="15.75" x14ac:dyDescent="0.25">
      <c r="A72" s="1121"/>
      <c r="B72" s="1110"/>
      <c r="C72" s="1110"/>
      <c r="D72" s="1110"/>
      <c r="E72" s="29"/>
      <c r="F72" s="29"/>
      <c r="G72" s="29"/>
      <c r="H72" s="29"/>
      <c r="I72" s="29"/>
    </row>
    <row r="73" spans="1:9" ht="15" x14ac:dyDescent="0.2">
      <c r="A73" s="1124" t="s">
        <v>1246</v>
      </c>
      <c r="B73" s="1110"/>
      <c r="C73" s="1110"/>
      <c r="D73" s="1110"/>
      <c r="E73" s="29"/>
      <c r="F73" s="29"/>
      <c r="G73" s="29"/>
      <c r="H73" s="29"/>
      <c r="I73" s="29"/>
    </row>
    <row r="74" spans="1:9" ht="15" x14ac:dyDescent="0.2">
      <c r="A74" s="1120"/>
      <c r="B74" s="1110"/>
      <c r="C74" s="1110"/>
      <c r="D74" s="1110"/>
      <c r="E74" s="29"/>
      <c r="F74" s="29"/>
      <c r="G74" s="29"/>
      <c r="H74" s="29"/>
      <c r="I74" s="29"/>
    </row>
    <row r="75" spans="1:9" x14ac:dyDescent="0.2">
      <c r="A75" s="86"/>
      <c r="B75" s="1745" t="s">
        <v>1118</v>
      </c>
      <c r="C75" s="1745"/>
      <c r="D75" s="1422" t="s">
        <v>59</v>
      </c>
      <c r="E75" s="1422" t="s">
        <v>947</v>
      </c>
      <c r="F75" s="29"/>
      <c r="G75" s="29"/>
      <c r="H75" s="29"/>
      <c r="I75" s="29"/>
    </row>
    <row r="76" spans="1:9" x14ac:dyDescent="0.2">
      <c r="A76" s="676" t="s">
        <v>1236</v>
      </c>
      <c r="B76" s="1115" t="s">
        <v>1247</v>
      </c>
      <c r="C76" s="1115" t="s">
        <v>1131</v>
      </c>
      <c r="D76" s="1116">
        <v>42416</v>
      </c>
      <c r="E76" s="1422" t="s">
        <v>384</v>
      </c>
      <c r="F76" s="29"/>
      <c r="G76" s="29"/>
      <c r="H76" s="29"/>
      <c r="I76" s="29"/>
    </row>
    <row r="77" spans="1:9" ht="18" x14ac:dyDescent="0.25">
      <c r="A77" s="505"/>
      <c r="B77" s="1110"/>
      <c r="C77" s="1110"/>
      <c r="D77" s="1110"/>
      <c r="E77" s="29"/>
      <c r="F77" s="29"/>
      <c r="G77" s="29"/>
      <c r="H77" s="29"/>
      <c r="I77" s="29"/>
    </row>
    <row r="78" spans="1:9" ht="15" x14ac:dyDescent="0.2">
      <c r="A78" s="1124" t="s">
        <v>1244</v>
      </c>
      <c r="B78" s="1110"/>
      <c r="C78" s="1110"/>
      <c r="D78" s="1110"/>
      <c r="E78" s="29"/>
      <c r="F78" s="29"/>
      <c r="G78" s="29"/>
      <c r="H78" s="29"/>
      <c r="I78" s="29"/>
    </row>
    <row r="79" spans="1:9" ht="15" x14ac:dyDescent="0.2">
      <c r="A79" s="1120"/>
      <c r="B79" s="1110"/>
      <c r="C79" s="1110"/>
      <c r="D79" s="1110"/>
      <c r="E79" s="29"/>
      <c r="F79" s="29"/>
      <c r="G79" s="29"/>
      <c r="H79" s="29"/>
      <c r="I79" s="29"/>
    </row>
    <row r="80" spans="1:9" x14ac:dyDescent="0.2">
      <c r="A80" s="86"/>
      <c r="B80" s="1745" t="s">
        <v>1118</v>
      </c>
      <c r="C80" s="1745"/>
      <c r="D80" s="1412" t="s">
        <v>59</v>
      </c>
      <c r="E80" s="1412" t="s">
        <v>947</v>
      </c>
      <c r="F80" s="29"/>
      <c r="G80" s="29"/>
      <c r="H80" s="29"/>
      <c r="I80" s="29"/>
    </row>
    <row r="81" spans="1:9" x14ac:dyDescent="0.2">
      <c r="A81" s="676" t="s">
        <v>1230</v>
      </c>
      <c r="B81" s="1115" t="s">
        <v>1231</v>
      </c>
      <c r="C81" s="1115" t="s">
        <v>1232</v>
      </c>
      <c r="D81" s="1116">
        <v>42419</v>
      </c>
      <c r="E81" s="1412" t="s">
        <v>384</v>
      </c>
      <c r="F81" s="29"/>
      <c r="G81" s="29"/>
      <c r="H81" s="29"/>
      <c r="I81" s="29"/>
    </row>
    <row r="82" spans="1:9" x14ac:dyDescent="0.2">
      <c r="A82" s="676" t="s">
        <v>1233</v>
      </c>
      <c r="B82" s="1115" t="s">
        <v>1234</v>
      </c>
      <c r="C82" s="1115" t="s">
        <v>1235</v>
      </c>
      <c r="D82" s="1125">
        <v>42420</v>
      </c>
      <c r="E82" s="1422" t="s">
        <v>384</v>
      </c>
      <c r="F82" s="29"/>
      <c r="G82" s="29"/>
      <c r="H82" s="29"/>
      <c r="I82" s="29"/>
    </row>
    <row r="83" spans="1:9" ht="18" x14ac:dyDescent="0.25">
      <c r="A83" s="505"/>
      <c r="B83" s="1110"/>
      <c r="C83" s="1110"/>
      <c r="D83" s="1110"/>
      <c r="E83" s="1123"/>
      <c r="F83" s="29"/>
      <c r="G83" s="29"/>
      <c r="H83" s="29"/>
      <c r="I83" s="29"/>
    </row>
    <row r="84" spans="1:9" ht="18" x14ac:dyDescent="0.25">
      <c r="A84" s="505"/>
      <c r="B84" s="1110"/>
      <c r="C84" s="1110"/>
      <c r="D84" s="1110"/>
      <c r="E84" s="29"/>
      <c r="F84" s="29"/>
      <c r="G84" s="29"/>
      <c r="H84" s="29"/>
      <c r="I84" s="29"/>
    </row>
    <row r="85" spans="1:9" ht="15" x14ac:dyDescent="0.2">
      <c r="A85" s="1124" t="s">
        <v>1245</v>
      </c>
      <c r="B85" s="1110"/>
      <c r="C85" s="1110"/>
      <c r="D85" s="1110"/>
      <c r="E85" s="29"/>
      <c r="F85" s="29"/>
      <c r="G85" s="29"/>
      <c r="H85" s="29"/>
      <c r="I85" s="29"/>
    </row>
    <row r="86" spans="1:9" ht="18" x14ac:dyDescent="0.25">
      <c r="A86" s="505"/>
      <c r="B86" s="1110"/>
      <c r="C86" s="1110"/>
      <c r="D86" s="1110"/>
      <c r="E86" s="29"/>
      <c r="F86" s="29"/>
      <c r="G86" s="29"/>
      <c r="H86" s="29"/>
      <c r="I86" s="29"/>
    </row>
    <row r="87" spans="1:9" ht="18" x14ac:dyDescent="0.25">
      <c r="A87" s="505"/>
      <c r="B87" s="1110"/>
      <c r="C87" s="1110"/>
      <c r="D87" s="1110"/>
      <c r="E87" s="29"/>
      <c r="F87" s="29"/>
      <c r="G87" s="29"/>
      <c r="H87" s="29"/>
      <c r="I87" s="29"/>
    </row>
    <row r="88" spans="1:9" x14ac:dyDescent="0.2">
      <c r="A88" s="86"/>
      <c r="B88" s="1745" t="s">
        <v>1118</v>
      </c>
      <c r="C88" s="1745"/>
      <c r="D88" s="1412" t="s">
        <v>1125</v>
      </c>
      <c r="E88" s="1412" t="s">
        <v>890</v>
      </c>
      <c r="F88" s="29"/>
      <c r="G88" s="29"/>
      <c r="H88" s="29"/>
      <c r="I88" s="29"/>
    </row>
    <row r="89" spans="1:9" x14ac:dyDescent="0.2">
      <c r="A89" s="676" t="s">
        <v>1236</v>
      </c>
      <c r="B89" s="1114" t="s">
        <v>1153</v>
      </c>
      <c r="C89" s="1115" t="s">
        <v>1237</v>
      </c>
      <c r="D89" s="1116">
        <v>42411</v>
      </c>
      <c r="E89" s="1412" t="s">
        <v>698</v>
      </c>
      <c r="F89" s="29"/>
      <c r="G89" s="29"/>
      <c r="H89" s="29"/>
      <c r="I89" s="29"/>
    </row>
    <row r="90" spans="1:9" x14ac:dyDescent="0.2">
      <c r="A90" s="676" t="s">
        <v>1238</v>
      </c>
      <c r="B90" s="1114" t="s">
        <v>1186</v>
      </c>
      <c r="C90" s="1115" t="s">
        <v>1239</v>
      </c>
      <c r="D90" s="1116">
        <v>42422</v>
      </c>
      <c r="E90" s="1422" t="s">
        <v>698</v>
      </c>
      <c r="F90" s="29"/>
      <c r="G90" s="29"/>
      <c r="H90" s="29"/>
      <c r="I90" s="29"/>
    </row>
    <row r="91" spans="1:9" x14ac:dyDescent="0.2">
      <c r="A91" s="676" t="s">
        <v>1240</v>
      </c>
      <c r="B91" s="1114" t="s">
        <v>1189</v>
      </c>
      <c r="C91" s="1115" t="s">
        <v>1241</v>
      </c>
      <c r="D91" s="1116">
        <v>42424</v>
      </c>
      <c r="E91" s="1422" t="s">
        <v>698</v>
      </c>
      <c r="F91" s="29"/>
      <c r="G91" s="29"/>
      <c r="H91" s="29"/>
      <c r="I91" s="29"/>
    </row>
    <row r="92" spans="1:9" x14ac:dyDescent="0.2">
      <c r="A92" s="676" t="s">
        <v>1242</v>
      </c>
      <c r="B92" s="1114" t="s">
        <v>1190</v>
      </c>
      <c r="C92" s="1115" t="s">
        <v>1243</v>
      </c>
      <c r="D92" s="1116">
        <v>42429</v>
      </c>
      <c r="E92" s="1422" t="s">
        <v>698</v>
      </c>
      <c r="F92" s="29"/>
      <c r="G92" s="29"/>
      <c r="H92" s="29"/>
      <c r="I92" s="29"/>
    </row>
    <row r="93" spans="1:9" x14ac:dyDescent="0.2">
      <c r="A93" s="482"/>
      <c r="B93" s="29"/>
      <c r="C93" s="1096"/>
      <c r="D93" s="1426"/>
      <c r="E93" s="1427"/>
      <c r="F93" s="29"/>
      <c r="G93" s="29"/>
      <c r="H93" s="29"/>
      <c r="I93" s="29"/>
    </row>
    <row r="94" spans="1:9" ht="18" x14ac:dyDescent="0.25">
      <c r="A94" s="505"/>
      <c r="B94" s="1110"/>
      <c r="C94" s="1110"/>
      <c r="D94" s="1110"/>
      <c r="E94" s="29"/>
      <c r="F94" s="29"/>
      <c r="G94" s="29"/>
      <c r="H94" s="29"/>
      <c r="I94" s="29"/>
    </row>
    <row r="95" spans="1:9" ht="15.75" x14ac:dyDescent="0.25">
      <c r="A95" s="1121" t="s">
        <v>1252</v>
      </c>
      <c r="B95" s="29"/>
      <c r="C95" s="29"/>
      <c r="D95" s="29"/>
      <c r="E95" s="29"/>
      <c r="F95" s="29"/>
      <c r="G95" s="29"/>
      <c r="H95" s="29"/>
      <c r="I95" s="29"/>
    </row>
    <row r="96" spans="1:9" x14ac:dyDescent="0.2">
      <c r="A96" s="1109"/>
      <c r="B96" s="29"/>
      <c r="C96" s="29"/>
      <c r="D96" s="29"/>
      <c r="E96" s="29"/>
      <c r="F96" s="29"/>
      <c r="G96" s="29"/>
      <c r="H96" s="29"/>
      <c r="I96" s="29"/>
    </row>
    <row r="97" spans="1:9" ht="15" x14ac:dyDescent="0.2">
      <c r="A97" s="1124" t="s">
        <v>1246</v>
      </c>
      <c r="B97" s="1110"/>
      <c r="C97" s="1110"/>
      <c r="D97" s="1110"/>
      <c r="E97" s="29"/>
      <c r="F97" s="29"/>
      <c r="G97" s="29"/>
      <c r="H97" s="29"/>
      <c r="I97" s="29"/>
    </row>
    <row r="98" spans="1:9" ht="15" x14ac:dyDescent="0.2">
      <c r="A98" s="1120"/>
      <c r="B98" s="1110"/>
      <c r="C98" s="1110"/>
      <c r="D98" s="1110"/>
      <c r="E98" s="29"/>
      <c r="F98" s="29"/>
      <c r="G98" s="29"/>
      <c r="H98" s="29"/>
      <c r="I98" s="29"/>
    </row>
    <row r="99" spans="1:9" x14ac:dyDescent="0.2">
      <c r="A99" s="86"/>
      <c r="B99" s="1745" t="s">
        <v>1118</v>
      </c>
      <c r="C99" s="1745"/>
      <c r="D99" s="1422" t="s">
        <v>59</v>
      </c>
      <c r="E99" s="1422" t="s">
        <v>947</v>
      </c>
      <c r="F99" s="29"/>
      <c r="G99" s="29"/>
      <c r="H99" s="29"/>
      <c r="I99" s="29"/>
    </row>
    <row r="100" spans="1:9" x14ac:dyDescent="0.2">
      <c r="A100" s="676" t="s">
        <v>1253</v>
      </c>
      <c r="B100" s="1115" t="s">
        <v>1254</v>
      </c>
      <c r="C100" s="1115" t="s">
        <v>1255</v>
      </c>
      <c r="D100" s="1116">
        <v>42443</v>
      </c>
      <c r="E100" s="1422" t="s">
        <v>384</v>
      </c>
      <c r="F100" s="29"/>
      <c r="G100" s="29"/>
      <c r="H100" s="29"/>
      <c r="I100" s="29"/>
    </row>
    <row r="101" spans="1:9" ht="18" x14ac:dyDescent="0.25">
      <c r="A101" s="505"/>
      <c r="B101" s="1110"/>
      <c r="C101" s="1110"/>
      <c r="D101" s="1110"/>
      <c r="E101" s="29"/>
      <c r="F101" s="29"/>
      <c r="G101" s="29"/>
      <c r="H101" s="29"/>
      <c r="I101" s="29"/>
    </row>
    <row r="102" spans="1:9" ht="18" x14ac:dyDescent="0.25">
      <c r="A102" s="505"/>
      <c r="B102" s="1110"/>
      <c r="C102" s="1110"/>
      <c r="D102" s="1110"/>
      <c r="E102" s="29"/>
      <c r="F102" s="29"/>
      <c r="G102" s="29"/>
      <c r="H102" s="29"/>
      <c r="I102" s="29"/>
    </row>
    <row r="103" spans="1:9" ht="15" x14ac:dyDescent="0.2">
      <c r="A103" s="1124" t="s">
        <v>1145</v>
      </c>
      <c r="B103" s="1110"/>
      <c r="C103" s="1110"/>
      <c r="D103" s="1110"/>
      <c r="E103" s="29"/>
      <c r="F103" s="29"/>
      <c r="G103" s="29"/>
      <c r="H103" s="29"/>
      <c r="I103" s="29"/>
    </row>
    <row r="104" spans="1:9" ht="18" x14ac:dyDescent="0.25">
      <c r="A104" s="505"/>
      <c r="B104" s="1110"/>
      <c r="C104" s="1110"/>
      <c r="D104" s="1110"/>
      <c r="E104" s="29"/>
      <c r="F104" s="29"/>
      <c r="G104" s="29"/>
      <c r="H104" s="29"/>
      <c r="I104" s="29"/>
    </row>
    <row r="105" spans="1:9" ht="18" x14ac:dyDescent="0.25">
      <c r="A105" s="505"/>
      <c r="B105" s="1110"/>
      <c r="C105" s="1110"/>
      <c r="D105" s="1110"/>
      <c r="E105" s="29"/>
      <c r="F105" s="29"/>
      <c r="G105" s="29"/>
      <c r="H105" s="29"/>
      <c r="I105" s="29"/>
    </row>
    <row r="106" spans="1:9" x14ac:dyDescent="0.2">
      <c r="A106" s="86"/>
      <c r="B106" s="1745" t="s">
        <v>1118</v>
      </c>
      <c r="C106" s="1745"/>
      <c r="D106" s="1422" t="s">
        <v>1125</v>
      </c>
      <c r="E106" s="1422" t="s">
        <v>890</v>
      </c>
      <c r="F106" s="29"/>
      <c r="G106" s="29"/>
      <c r="H106" s="29"/>
      <c r="I106" s="29"/>
    </row>
    <row r="107" spans="1:9" x14ac:dyDescent="0.2">
      <c r="A107" s="676" t="s">
        <v>1257</v>
      </c>
      <c r="B107" s="1115" t="s">
        <v>1258</v>
      </c>
      <c r="C107" s="1115" t="s">
        <v>1259</v>
      </c>
      <c r="D107" s="1116">
        <v>42430</v>
      </c>
      <c r="E107" s="1422" t="s">
        <v>698</v>
      </c>
      <c r="F107" s="29"/>
      <c r="G107" s="29"/>
      <c r="H107" s="29"/>
      <c r="I107" s="29"/>
    </row>
    <row r="108" spans="1:9" x14ac:dyDescent="0.2">
      <c r="A108" s="676" t="s">
        <v>1261</v>
      </c>
      <c r="B108" s="1115" t="s">
        <v>1262</v>
      </c>
      <c r="C108" s="1115" t="s">
        <v>1263</v>
      </c>
      <c r="D108" s="1116">
        <v>42432</v>
      </c>
      <c r="E108" s="1422" t="s">
        <v>698</v>
      </c>
      <c r="F108" s="29"/>
      <c r="G108" s="29"/>
      <c r="H108" s="29"/>
      <c r="I108" s="29"/>
    </row>
    <row r="109" spans="1:9" ht="12" customHeight="1" x14ac:dyDescent="0.2">
      <c r="A109" s="676" t="s">
        <v>1260</v>
      </c>
      <c r="B109" s="1115" t="s">
        <v>1049</v>
      </c>
      <c r="C109" s="1115" t="s">
        <v>1267</v>
      </c>
      <c r="D109" s="1116">
        <v>42436</v>
      </c>
      <c r="E109" s="1422" t="s">
        <v>698</v>
      </c>
      <c r="F109" s="29"/>
      <c r="G109" s="29"/>
      <c r="H109" s="29"/>
      <c r="I109" s="29"/>
    </row>
    <row r="110" spans="1:9" ht="12" customHeight="1" x14ac:dyDescent="0.2">
      <c r="A110" s="676" t="s">
        <v>1268</v>
      </c>
      <c r="B110" s="1114" t="s">
        <v>1153</v>
      </c>
      <c r="C110" s="1115" t="s">
        <v>1237</v>
      </c>
      <c r="D110" s="1116">
        <v>42440</v>
      </c>
      <c r="E110" s="1422" t="s">
        <v>698</v>
      </c>
      <c r="F110" s="29"/>
      <c r="G110" s="29"/>
      <c r="H110" s="29"/>
      <c r="I110" s="29"/>
    </row>
    <row r="111" spans="1:9" x14ac:dyDescent="0.2">
      <c r="A111" s="676" t="s">
        <v>1264</v>
      </c>
      <c r="B111" s="1115" t="s">
        <v>1265</v>
      </c>
      <c r="C111" s="1115" t="s">
        <v>1266</v>
      </c>
      <c r="D111" s="1116">
        <v>42443</v>
      </c>
      <c r="E111" s="1422" t="s">
        <v>698</v>
      </c>
      <c r="F111" s="29"/>
      <c r="G111" s="29"/>
      <c r="H111" s="29"/>
      <c r="I111" s="29"/>
    </row>
    <row r="112" spans="1:9" x14ac:dyDescent="0.2">
      <c r="A112" s="482"/>
      <c r="B112" s="29"/>
      <c r="C112" s="1096"/>
      <c r="D112" s="1426"/>
      <c r="E112" s="1427"/>
      <c r="F112" s="29"/>
      <c r="G112" s="29"/>
      <c r="H112" s="29"/>
      <c r="I112" s="29"/>
    </row>
    <row r="113" spans="1:9" x14ac:dyDescent="0.2">
      <c r="A113" s="86"/>
      <c r="B113" s="29"/>
      <c r="C113" s="29"/>
      <c r="D113" s="29"/>
      <c r="E113" s="29"/>
      <c r="F113" s="29"/>
      <c r="G113" s="29"/>
      <c r="H113" s="29"/>
      <c r="I113" s="29"/>
    </row>
    <row r="114" spans="1:9" x14ac:dyDescent="0.2">
      <c r="A114" s="86"/>
      <c r="B114" s="29"/>
      <c r="C114" s="29"/>
      <c r="D114" s="29"/>
      <c r="E114" s="29"/>
      <c r="F114" s="29"/>
      <c r="G114" s="29"/>
      <c r="H114" s="29"/>
      <c r="I114" s="29"/>
    </row>
    <row r="115" spans="1:9" x14ac:dyDescent="0.2">
      <c r="A115" s="86"/>
      <c r="B115" s="29"/>
      <c r="C115" s="29"/>
      <c r="D115" s="29"/>
      <c r="E115" s="29"/>
      <c r="F115" s="29"/>
      <c r="G115" s="29"/>
      <c r="H115" s="29"/>
      <c r="I115" s="29"/>
    </row>
    <row r="116" spans="1:9" x14ac:dyDescent="0.2">
      <c r="A116" s="86"/>
      <c r="B116" s="29"/>
      <c r="C116" s="29"/>
      <c r="D116" s="29"/>
      <c r="E116" s="29"/>
      <c r="F116" s="29"/>
      <c r="G116" s="29"/>
      <c r="H116" s="29"/>
      <c r="I116" s="29"/>
    </row>
    <row r="117" spans="1:9" x14ac:dyDescent="0.2">
      <c r="A117" s="86"/>
      <c r="B117" s="29"/>
      <c r="C117" s="29"/>
      <c r="D117" s="29"/>
      <c r="E117" s="29"/>
      <c r="F117" s="29"/>
      <c r="G117" s="29"/>
      <c r="H117" s="29"/>
      <c r="I117" s="29"/>
    </row>
    <row r="118" spans="1:9" x14ac:dyDescent="0.2">
      <c r="A118" s="86"/>
      <c r="B118" s="29"/>
      <c r="C118" s="29"/>
      <c r="D118" s="29"/>
      <c r="E118" s="29"/>
      <c r="F118" s="29"/>
      <c r="G118" s="29"/>
      <c r="H118" s="29"/>
      <c r="I118" s="29"/>
    </row>
    <row r="119" spans="1:9" x14ac:dyDescent="0.2">
      <c r="A119" s="86"/>
      <c r="B119" s="29"/>
      <c r="C119" s="29"/>
      <c r="D119" s="29"/>
      <c r="E119" s="29"/>
      <c r="F119" s="29"/>
      <c r="G119" s="29"/>
      <c r="H119" s="29"/>
      <c r="I119" s="29"/>
    </row>
    <row r="120" spans="1:9" x14ac:dyDescent="0.2">
      <c r="A120" s="86"/>
      <c r="B120" s="29"/>
      <c r="C120" s="29"/>
      <c r="D120" s="29"/>
      <c r="E120" s="29"/>
      <c r="F120" s="29"/>
      <c r="G120" s="29"/>
      <c r="H120" s="29"/>
      <c r="I120" s="29"/>
    </row>
    <row r="121" spans="1:9" x14ac:dyDescent="0.2">
      <c r="A121" s="86"/>
      <c r="B121" s="29"/>
      <c r="C121" s="29"/>
      <c r="D121" s="29"/>
      <c r="E121" s="29"/>
      <c r="F121" s="29"/>
      <c r="G121" s="29"/>
      <c r="H121" s="29"/>
      <c r="I121" s="29"/>
    </row>
    <row r="122" spans="1:9" x14ac:dyDescent="0.2">
      <c r="A122" s="86"/>
      <c r="B122" s="29"/>
      <c r="C122" s="29"/>
      <c r="D122" s="29"/>
      <c r="E122" s="29"/>
      <c r="F122" s="29"/>
      <c r="G122" s="29"/>
      <c r="H122" s="29"/>
      <c r="I122" s="29"/>
    </row>
    <row r="124" spans="1:9" x14ac:dyDescent="0.2">
      <c r="A124" s="62" t="s">
        <v>838</v>
      </c>
    </row>
    <row r="125" spans="1:9" x14ac:dyDescent="0.2">
      <c r="A125" s="577" t="s">
        <v>1050</v>
      </c>
    </row>
    <row r="126" spans="1:9" x14ac:dyDescent="0.2">
      <c r="A126" s="577" t="s">
        <v>1052</v>
      </c>
    </row>
    <row r="127" spans="1:9" x14ac:dyDescent="0.2">
      <c r="A127" s="577" t="s">
        <v>1051</v>
      </c>
    </row>
    <row r="128" spans="1:9" x14ac:dyDescent="0.2">
      <c r="A128" s="577" t="s">
        <v>1054</v>
      </c>
    </row>
    <row r="129" spans="1:1" x14ac:dyDescent="0.2">
      <c r="A129" s="577" t="s">
        <v>1055</v>
      </c>
    </row>
    <row r="131" spans="1:1" x14ac:dyDescent="0.2">
      <c r="A131" s="1071" t="s">
        <v>852</v>
      </c>
    </row>
    <row r="132" spans="1:1" x14ac:dyDescent="0.2">
      <c r="A132" s="577" t="s">
        <v>1051</v>
      </c>
    </row>
    <row r="133" spans="1:1" x14ac:dyDescent="0.2">
      <c r="A133" s="577" t="s">
        <v>1056</v>
      </c>
    </row>
    <row r="134" spans="1:1" x14ac:dyDescent="0.2">
      <c r="A134" s="577" t="s">
        <v>1057</v>
      </c>
    </row>
    <row r="136" spans="1:1" x14ac:dyDescent="0.2">
      <c r="A136" s="1071" t="s">
        <v>874</v>
      </c>
    </row>
    <row r="137" spans="1:1" x14ac:dyDescent="0.2">
      <c r="A137" s="577" t="s">
        <v>1050</v>
      </c>
    </row>
    <row r="138" spans="1:1" x14ac:dyDescent="0.2">
      <c r="A138" s="577" t="s">
        <v>1058</v>
      </c>
    </row>
    <row r="139" spans="1:1" x14ac:dyDescent="0.2">
      <c r="A139" s="577" t="s">
        <v>1059</v>
      </c>
    </row>
    <row r="140" spans="1:1" x14ac:dyDescent="0.2">
      <c r="A140" s="577" t="s">
        <v>1060</v>
      </c>
    </row>
    <row r="141" spans="1:1" x14ac:dyDescent="0.2">
      <c r="A141" s="577" t="s">
        <v>1061</v>
      </c>
    </row>
    <row r="142" spans="1:1" x14ac:dyDescent="0.2">
      <c r="A142" s="577" t="s">
        <v>1062</v>
      </c>
    </row>
    <row r="144" spans="1:1" x14ac:dyDescent="0.2">
      <c r="A144" s="577" t="s">
        <v>905</v>
      </c>
    </row>
    <row r="145" spans="1:3" x14ac:dyDescent="0.2">
      <c r="A145" s="577" t="s">
        <v>1050</v>
      </c>
    </row>
    <row r="146" spans="1:3" x14ac:dyDescent="0.2">
      <c r="A146" s="577" t="s">
        <v>1065</v>
      </c>
    </row>
    <row r="147" spans="1:3" x14ac:dyDescent="0.2">
      <c r="A147" s="577" t="s">
        <v>1064</v>
      </c>
    </row>
    <row r="148" spans="1:3" x14ac:dyDescent="0.2">
      <c r="A148" s="577" t="s">
        <v>1063</v>
      </c>
    </row>
    <row r="152" spans="1:3" x14ac:dyDescent="0.2">
      <c r="A152" s="62" t="s">
        <v>1087</v>
      </c>
    </row>
    <row r="153" spans="1:3" x14ac:dyDescent="0.2">
      <c r="B153" s="568" t="s">
        <v>1088</v>
      </c>
      <c r="C153" s="568" t="s">
        <v>1089</v>
      </c>
    </row>
    <row r="154" spans="1:3" x14ac:dyDescent="0.2">
      <c r="A154" s="483" t="s">
        <v>1076</v>
      </c>
      <c r="B154" s="25">
        <v>447000</v>
      </c>
      <c r="C154" s="25">
        <f>+B154/12</f>
        <v>37250</v>
      </c>
    </row>
    <row r="155" spans="1:3" x14ac:dyDescent="0.2">
      <c r="A155" s="483" t="s">
        <v>1077</v>
      </c>
      <c r="B155" s="25">
        <v>2185</v>
      </c>
      <c r="C155" s="25">
        <f t="shared" ref="C155:C166" si="12">+B155/12</f>
        <v>182.08333333333334</v>
      </c>
    </row>
    <row r="156" spans="1:3" x14ac:dyDescent="0.2">
      <c r="A156" s="483" t="s">
        <v>1078</v>
      </c>
      <c r="B156" s="25">
        <v>10881</v>
      </c>
      <c r="C156" s="25">
        <f t="shared" si="12"/>
        <v>906.75</v>
      </c>
    </row>
    <row r="157" spans="1:3" x14ac:dyDescent="0.2">
      <c r="A157" s="483" t="s">
        <v>1079</v>
      </c>
      <c r="B157" s="25">
        <v>70938</v>
      </c>
      <c r="C157" s="25">
        <f t="shared" si="12"/>
        <v>5911.5</v>
      </c>
    </row>
    <row r="158" spans="1:3" x14ac:dyDescent="0.2">
      <c r="A158" s="483" t="s">
        <v>1080</v>
      </c>
      <c r="B158" s="25">
        <v>21728</v>
      </c>
      <c r="C158" s="25">
        <f t="shared" si="12"/>
        <v>1810.6666666666667</v>
      </c>
    </row>
    <row r="159" spans="1:3" x14ac:dyDescent="0.2">
      <c r="A159" s="483" t="s">
        <v>1081</v>
      </c>
      <c r="B159" s="25">
        <f>229323*0.85</f>
        <v>194924.55</v>
      </c>
      <c r="C159" s="25">
        <v>26000</v>
      </c>
    </row>
    <row r="160" spans="1:3" x14ac:dyDescent="0.2">
      <c r="A160" s="483" t="s">
        <v>1082</v>
      </c>
      <c r="B160" s="25">
        <v>20870</v>
      </c>
      <c r="C160" s="25">
        <f t="shared" si="12"/>
        <v>1739.1666666666667</v>
      </c>
    </row>
    <row r="161" spans="1:4" x14ac:dyDescent="0.2">
      <c r="A161" s="483" t="s">
        <v>1083</v>
      </c>
      <c r="B161" s="25">
        <v>67582</v>
      </c>
      <c r="C161" s="25">
        <f t="shared" si="12"/>
        <v>5631.833333333333</v>
      </c>
    </row>
    <row r="162" spans="1:4" x14ac:dyDescent="0.2">
      <c r="A162" s="483" t="s">
        <v>1084</v>
      </c>
      <c r="B162" s="1083">
        <f>55651*0.95</f>
        <v>52868.45</v>
      </c>
      <c r="C162" s="25"/>
    </row>
    <row r="163" spans="1:4" x14ac:dyDescent="0.2">
      <c r="A163" s="483" t="s">
        <v>1085</v>
      </c>
      <c r="B163" s="25">
        <v>32647</v>
      </c>
      <c r="C163" s="25">
        <f t="shared" si="12"/>
        <v>2720.5833333333335</v>
      </c>
    </row>
    <row r="164" spans="1:4" x14ac:dyDescent="0.2">
      <c r="A164" s="483" t="s">
        <v>1086</v>
      </c>
      <c r="B164" s="25">
        <f>69599+80674</f>
        <v>150273</v>
      </c>
      <c r="C164" s="25">
        <f t="shared" si="12"/>
        <v>12522.75</v>
      </c>
    </row>
    <row r="165" spans="1:4" x14ac:dyDescent="0.2">
      <c r="A165" s="483" t="s">
        <v>1091</v>
      </c>
      <c r="B165" s="25">
        <v>780198</v>
      </c>
      <c r="C165" s="25">
        <f t="shared" si="12"/>
        <v>65016.5</v>
      </c>
    </row>
    <row r="166" spans="1:4" x14ac:dyDescent="0.2">
      <c r="A166" s="483" t="s">
        <v>961</v>
      </c>
      <c r="B166" s="25">
        <v>480704</v>
      </c>
      <c r="C166" s="25">
        <f t="shared" si="12"/>
        <v>40058.666666666664</v>
      </c>
    </row>
    <row r="167" spans="1:4" x14ac:dyDescent="0.2">
      <c r="A167" s="483" t="s">
        <v>1090</v>
      </c>
      <c r="B167" s="25">
        <v>232000</v>
      </c>
      <c r="C167" s="25">
        <f>+B167/12</f>
        <v>19333.333333333332</v>
      </c>
    </row>
    <row r="168" spans="1:4" x14ac:dyDescent="0.2">
      <c r="A168" s="483"/>
      <c r="B168" s="25"/>
      <c r="C168" s="25"/>
    </row>
    <row r="170" spans="1:4" x14ac:dyDescent="0.2">
      <c r="A170" s="483" t="s">
        <v>888</v>
      </c>
      <c r="B170" s="495">
        <f>SUM(B154:B169)</f>
        <v>2564799</v>
      </c>
      <c r="C170" s="495">
        <f>SUM(C154:C169)</f>
        <v>219083.83333333331</v>
      </c>
      <c r="D170" s="495">
        <f>+C170*3</f>
        <v>657251.5</v>
      </c>
    </row>
    <row r="171" spans="1:4" x14ac:dyDescent="0.2">
      <c r="B171" s="194">
        <f>SUM(B154:B166)/12</f>
        <v>194399.91666666666</v>
      </c>
      <c r="C171" s="495">
        <f>SUM(C154:C166)</f>
        <v>199750.49999999997</v>
      </c>
      <c r="D171" s="495">
        <f>+C171</f>
        <v>199750.49999999997</v>
      </c>
    </row>
    <row r="172" spans="1:4" x14ac:dyDescent="0.2">
      <c r="B172" s="194">
        <f>+B171+B167/4</f>
        <v>252399.91666666666</v>
      </c>
      <c r="C172" s="194">
        <f>C171+C167*3</f>
        <v>257750.49999999997</v>
      </c>
    </row>
    <row r="174" spans="1:4" x14ac:dyDescent="0.2">
      <c r="B174" s="194">
        <f>+B171*8+B172*4</f>
        <v>2564799</v>
      </c>
      <c r="C174" s="25">
        <f>50000+40000+26000+58000/3</f>
        <v>135333.33333333334</v>
      </c>
    </row>
  </sheetData>
  <mergeCells count="5">
    <mergeCell ref="B75:C75"/>
    <mergeCell ref="B99:C99"/>
    <mergeCell ref="B106:C106"/>
    <mergeCell ref="B80:C80"/>
    <mergeCell ref="B88:C88"/>
  </mergeCells>
  <pageMargins left="1.9685039370078741" right="0.39370078740157483" top="0.19685039370078741" bottom="0.78740157480314965" header="0.51181102362204722" footer="0"/>
  <pageSetup paperSize="9" scale="6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58</vt:i4>
      </vt:variant>
    </vt:vector>
  </HeadingPairs>
  <TitlesOfParts>
    <vt:vector size="120" baseType="lpstr">
      <vt:lpstr>Feuil10</vt:lpstr>
      <vt:lpstr>Feuil8</vt:lpstr>
      <vt:lpstr>Tableau de vérification TM TP</vt:lpstr>
      <vt:lpstr>Tableau de vérification 10</vt:lpstr>
      <vt:lpstr>Tableau de vérification 09</vt:lpstr>
      <vt:lpstr> TRESORERIE ATTIJARI 2310</vt:lpstr>
      <vt:lpstr> TRESORERIE ATTIJARI 2209 </vt:lpstr>
      <vt:lpstr> TRESORERIE ATT PRO</vt:lpstr>
      <vt:lpstr> TRESORERIE ATTIJARI 07012016</vt:lpstr>
      <vt:lpstr> TRESORERIE AMB 25012016</vt:lpstr>
      <vt:lpstr>ATTIJARI JANV</vt:lpstr>
      <vt:lpstr> TRESORERIE AMB 22042016</vt:lpstr>
      <vt:lpstr>SEPTEMBRE 2016</vt:lpstr>
      <vt:lpstr>AOUT 2016</vt:lpstr>
      <vt:lpstr>JUILLET 2016</vt:lpstr>
      <vt:lpstr>JUIN 2016</vt:lpstr>
      <vt:lpstr>MAI 2016</vt:lpstr>
      <vt:lpstr>AVRIL 2016 </vt:lpstr>
      <vt:lpstr>MARS 2016</vt:lpstr>
      <vt:lpstr>FEVRIER 2016</vt:lpstr>
      <vt:lpstr>JANVIER 2016</vt:lpstr>
      <vt:lpstr>DECEMBRE 2015 </vt:lpstr>
      <vt:lpstr>NOVEMBRE 2015</vt:lpstr>
      <vt:lpstr>OCTOBRE 2015</vt:lpstr>
      <vt:lpstr>SEPTEMBRE 2015</vt:lpstr>
      <vt:lpstr>Trésorerie AMB (2)</vt:lpstr>
      <vt:lpstr>Trésorerie AMB</vt:lpstr>
      <vt:lpstr>AOUT 2015</vt:lpstr>
      <vt:lpstr>JUILLET 2015</vt:lpstr>
      <vt:lpstr>JUIN 2015 </vt:lpstr>
      <vt:lpstr>Mai 2015</vt:lpstr>
      <vt:lpstr>Avril 2015</vt:lpstr>
      <vt:lpstr>Mars 2015</vt:lpstr>
      <vt:lpstr>FEVRIER 2015</vt:lpstr>
      <vt:lpstr>Trésorerie P</vt:lpstr>
      <vt:lpstr>EXPLOT.PREV</vt:lpstr>
      <vt:lpstr>Travaux 2015</vt:lpstr>
      <vt:lpstr>Exploitation prévisionnelles</vt:lpstr>
      <vt:lpstr>Plan tresorerie</vt:lpstr>
      <vt:lpstr>Engagements  B. 08012014</vt:lpstr>
      <vt:lpstr>SUIVI  IMPORT (3)</vt:lpstr>
      <vt:lpstr>Trésorerie ATTIJARI</vt:lpstr>
      <vt:lpstr>ENGAGEMENT PAR SIGNUATURE</vt:lpstr>
      <vt:lpstr>Trésorerie jawaher 04</vt:lpstr>
      <vt:lpstr>Trésorerie jawaher 05</vt:lpstr>
      <vt:lpstr>Trésorerie jawaher 06</vt:lpstr>
      <vt:lpstr>Trésorerie jawaher 07</vt:lpstr>
      <vt:lpstr>Trésorerie jawaher 08</vt:lpstr>
      <vt:lpstr>Trésorerie jawaher 09</vt:lpstr>
      <vt:lpstr>Trésorerie jawaher 10</vt:lpstr>
      <vt:lpstr>Trésorerie jawaher 11</vt:lpstr>
      <vt:lpstr>Trésorerie jawaher 12</vt:lpstr>
      <vt:lpstr>Exploitation P ATB</vt:lpstr>
      <vt:lpstr>Exploitation P ATTIJARI</vt:lpstr>
      <vt:lpstr>Engagements  B. 08012014 (2)</vt:lpstr>
      <vt:lpstr>Feuil1</vt:lpstr>
      <vt:lpstr>Feuil3</vt:lpstr>
      <vt:lpstr>Feuil2</vt:lpstr>
      <vt:lpstr>Feuil4</vt:lpstr>
      <vt:lpstr>Feuil5</vt:lpstr>
      <vt:lpstr>BESOIN TRESORERIE (2)</vt:lpstr>
      <vt:lpstr>BESOIN TRESORERIE 24-08-16</vt:lpstr>
      <vt:lpstr>' TRESORERIE AMB 22042016'!Print_Area</vt:lpstr>
      <vt:lpstr>' TRESORERIE AMB 25012016'!Print_Area</vt:lpstr>
      <vt:lpstr>' TRESORERIE ATT PRO'!Print_Area</vt:lpstr>
      <vt:lpstr>' TRESORERIE ATTIJARI 07012016'!Print_Area</vt:lpstr>
      <vt:lpstr>' TRESORERIE ATTIJARI 2209 '!Print_Area</vt:lpstr>
      <vt:lpstr>' TRESORERIE ATTIJARI 2310'!Print_Area</vt:lpstr>
      <vt:lpstr>'AOUT 2015'!Print_Area</vt:lpstr>
      <vt:lpstr>'AOUT 2016'!Print_Area</vt:lpstr>
      <vt:lpstr>'ATTIJARI JANV'!Print_Area</vt:lpstr>
      <vt:lpstr>'Avril 2015'!Print_Area</vt:lpstr>
      <vt:lpstr>'AVRIL 2016 '!Print_Area</vt:lpstr>
      <vt:lpstr>'BESOIN TRESORERIE (2)'!Print_Area</vt:lpstr>
      <vt:lpstr>'BESOIN TRESORERIE 24-08-16'!Print_Area</vt:lpstr>
      <vt:lpstr>'DECEMBRE 2015 '!Print_Area</vt:lpstr>
      <vt:lpstr>'ENGAGEMENT PAR SIGNUATURE'!Print_Area</vt:lpstr>
      <vt:lpstr>'Engagements  B. 08012014'!Print_Area</vt:lpstr>
      <vt:lpstr>'Engagements  B. 08012014 (2)'!Print_Area</vt:lpstr>
      <vt:lpstr>'Exploitation P ATB'!Print_Area</vt:lpstr>
      <vt:lpstr>'Exploitation P ATTIJARI'!Print_Area</vt:lpstr>
      <vt:lpstr>'Exploitation prévisionnelles'!Print_Area</vt:lpstr>
      <vt:lpstr>EXPLOT.PREV!Print_Area</vt:lpstr>
      <vt:lpstr>Feuil2!Print_Area</vt:lpstr>
      <vt:lpstr>Feuil3!Print_Area</vt:lpstr>
      <vt:lpstr>Feuil4!Print_Area</vt:lpstr>
      <vt:lpstr>'FEVRIER 2015'!Print_Area</vt:lpstr>
      <vt:lpstr>'FEVRIER 2016'!Print_Area</vt:lpstr>
      <vt:lpstr>'JANVIER 2016'!Print_Area</vt:lpstr>
      <vt:lpstr>'JUILLET 2015'!Print_Area</vt:lpstr>
      <vt:lpstr>'JUILLET 2016'!Print_Area</vt:lpstr>
      <vt:lpstr>'JUIN 2015 '!Print_Area</vt:lpstr>
      <vt:lpstr>'JUIN 2016'!Print_Area</vt:lpstr>
      <vt:lpstr>'Mai 2015'!Print_Area</vt:lpstr>
      <vt:lpstr>'MAI 2016'!Print_Area</vt:lpstr>
      <vt:lpstr>'Mars 2015'!Print_Area</vt:lpstr>
      <vt:lpstr>'MARS 2016'!Print_Area</vt:lpstr>
      <vt:lpstr>'NOVEMBRE 2015'!Print_Area</vt:lpstr>
      <vt:lpstr>'OCTOBRE 2015'!Print_Area</vt:lpstr>
      <vt:lpstr>'Plan tresorerie'!Print_Area</vt:lpstr>
      <vt:lpstr>'SEPTEMBRE 2015'!Print_Area</vt:lpstr>
      <vt:lpstr>'SEPTEMBRE 2016'!Print_Area</vt:lpstr>
      <vt:lpstr>'SUIVI  IMPORT (3)'!Print_Area</vt:lpstr>
      <vt:lpstr>'Tableau de vérification 09'!Print_Area</vt:lpstr>
      <vt:lpstr>'Tableau de vérification 10'!Print_Area</vt:lpstr>
      <vt:lpstr>'Tableau de vérification TM TP'!Print_Area</vt:lpstr>
      <vt:lpstr>'Travaux 2015'!Print_Area</vt:lpstr>
      <vt:lpstr>'Trésorerie AMB'!Print_Area</vt:lpstr>
      <vt:lpstr>'Trésorerie AMB (2)'!Print_Area</vt:lpstr>
      <vt:lpstr>'Trésorerie ATTIJARI'!Print_Area</vt:lpstr>
      <vt:lpstr>'Trésorerie jawaher 04'!Print_Area</vt:lpstr>
      <vt:lpstr>'Trésorerie jawaher 05'!Print_Area</vt:lpstr>
      <vt:lpstr>'Trésorerie jawaher 06'!Print_Area</vt:lpstr>
      <vt:lpstr>'Trésorerie jawaher 07'!Print_Area</vt:lpstr>
      <vt:lpstr>'Trésorerie jawaher 08'!Print_Area</vt:lpstr>
      <vt:lpstr>'Trésorerie jawaher 09'!Print_Area</vt:lpstr>
      <vt:lpstr>'Trésorerie jawaher 10'!Print_Area</vt:lpstr>
      <vt:lpstr>'Trésorerie jawaher 11'!Print_Area</vt:lpstr>
      <vt:lpstr>'Trésorerie jawaher 12'!Print_Area</vt:lpstr>
      <vt:lpstr>'Trésorerie P'!Print_Area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mahfoud</dc:creator>
  <cp:lastModifiedBy>sonotem2</cp:lastModifiedBy>
  <cp:lastPrinted>2016-08-24T08:34:33Z</cp:lastPrinted>
  <dcterms:created xsi:type="dcterms:W3CDTF">2006-07-08T11:40:26Z</dcterms:created>
  <dcterms:modified xsi:type="dcterms:W3CDTF">2016-09-08T10:17:37Z</dcterms:modified>
</cp:coreProperties>
</file>